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pietrodogliani/Downloads/"/>
    </mc:Choice>
  </mc:AlternateContent>
  <xr:revisionPtr revIDLastSave="0" documentId="13_ncr:1_{1A034662-2BF1-1840-8F42-B4DDF45F97B6}" xr6:coauthVersionLast="47" xr6:coauthVersionMax="47" xr10:uidLastSave="{00000000-0000-0000-0000-000000000000}"/>
  <bookViews>
    <workbookView xWindow="0" yWindow="500" windowWidth="28800" windowHeight="15940" activeTab="3" xr2:uid="{00000000-000D-0000-FFFF-FFFF00000000}"/>
  </bookViews>
  <sheets>
    <sheet name="European" sheetId="2" r:id="rId1"/>
    <sheet name="Swedish" sheetId="4" r:id="rId2"/>
    <sheet name="Technology" sheetId="5" r:id="rId3"/>
    <sheet name="CAPEX calc" sheetId="7" r:id="rId4"/>
    <sheet name="CCS" sheetId="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4" l="1"/>
  <c r="C17" i="4" s="1"/>
  <c r="D15" i="4"/>
  <c r="C15" i="4"/>
  <c r="C14" i="4"/>
  <c r="D14" i="4" s="1"/>
  <c r="C13" i="4"/>
  <c r="D13" i="4" s="1"/>
  <c r="C12" i="4"/>
  <c r="D12" i="4" s="1"/>
  <c r="D11" i="4"/>
  <c r="C11" i="4"/>
  <c r="C10" i="4"/>
  <c r="D10" i="4" s="1"/>
  <c r="C9" i="4"/>
  <c r="D9" i="4" s="1"/>
  <c r="C1" i="4"/>
  <c r="D3" i="4" s="1"/>
  <c r="E9" i="2"/>
  <c r="E10" i="2"/>
  <c r="E11" i="2"/>
  <c r="E12" i="2"/>
  <c r="E13" i="2"/>
  <c r="E14" i="2"/>
  <c r="F15" i="2" s="1"/>
  <c r="E20" i="8"/>
  <c r="D38" i="7"/>
  <c r="D36" i="7"/>
  <c r="D35" i="7"/>
  <c r="D37" i="7" s="1"/>
  <c r="D30" i="7"/>
  <c r="D28" i="7"/>
  <c r="D27" i="7"/>
  <c r="D29" i="7" s="1"/>
  <c r="D31" i="7" s="1"/>
  <c r="D32" i="7" s="1"/>
  <c r="D24" i="7"/>
  <c r="D22" i="7"/>
  <c r="D20" i="7"/>
  <c r="D19" i="7"/>
  <c r="D21" i="7" s="1"/>
  <c r="D23" i="7" s="1"/>
  <c r="D14" i="7"/>
  <c r="D15" i="7" s="1"/>
  <c r="D16" i="7" s="1"/>
  <c r="D7" i="7"/>
  <c r="D6" i="7"/>
  <c r="D8" i="7" s="1"/>
  <c r="D9" i="7" s="1"/>
  <c r="D4" i="7"/>
  <c r="F14" i="2"/>
  <c r="F13" i="2"/>
  <c r="F12" i="2"/>
  <c r="F11" i="2"/>
  <c r="F10" i="2"/>
  <c r="B2" i="2"/>
  <c r="B4" i="2" s="1"/>
  <c r="C9" i="2" s="1"/>
  <c r="C10" i="2" s="1"/>
  <c r="C11" i="2" s="1"/>
  <c r="C12" i="2" s="1"/>
  <c r="C13" i="2" s="1"/>
  <c r="C14" i="2" s="1"/>
  <c r="C18" i="4" l="1"/>
  <c r="D17" i="4"/>
  <c r="D16" i="4"/>
  <c r="C15" i="2"/>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D15" i="2"/>
  <c r="D39" i="7"/>
  <c r="D40" i="7" s="1"/>
  <c r="B37" i="7"/>
  <c r="D18" i="4" l="1"/>
  <c r="C19" i="4"/>
  <c r="E15" i="2"/>
  <c r="E16" i="2" s="1"/>
  <c r="E17" i="2" s="1"/>
  <c r="E18" i="2" s="1"/>
  <c r="E19" i="2" s="1"/>
  <c r="E20" i="2" s="1"/>
  <c r="E21" i="2" s="1"/>
  <c r="E22" i="2" s="1"/>
  <c r="E23" i="2" s="1"/>
  <c r="E24" i="2" s="1"/>
  <c r="E25" i="2" s="1"/>
  <c r="E26" i="2" s="1"/>
  <c r="E27" i="2" s="1"/>
  <c r="E28" i="2" s="1"/>
  <c r="E29" i="2" s="1"/>
  <c r="E30" i="2" s="1"/>
  <c r="E31" i="2" s="1"/>
  <c r="E32" i="2" s="1"/>
  <c r="E33" i="2" s="1"/>
  <c r="E34" i="2" s="1"/>
  <c r="C44" i="2" s="1"/>
  <c r="F16" i="2"/>
  <c r="F17" i="2" s="1"/>
  <c r="F18" i="2" s="1"/>
  <c r="F19" i="2" s="1"/>
  <c r="F20" i="2" s="1"/>
  <c r="F21" i="2" s="1"/>
  <c r="F22" i="2" s="1"/>
  <c r="F23" i="2" s="1"/>
  <c r="F24" i="2" s="1"/>
  <c r="D16" i="2"/>
  <c r="C20" i="4" l="1"/>
  <c r="D19" i="4"/>
  <c r="F25" i="2"/>
  <c r="F26" i="2" s="1"/>
  <c r="F27" i="2" s="1"/>
  <c r="F28" i="2" s="1"/>
  <c r="F29" i="2" s="1"/>
  <c r="E35" i="2"/>
  <c r="E36" i="2" s="1"/>
  <c r="E37" i="2" s="1"/>
  <c r="E38" i="2" s="1"/>
  <c r="E39" i="2" s="1"/>
  <c r="E40" i="2" s="1"/>
  <c r="E41" i="2" s="1"/>
  <c r="E42" i="2" s="1"/>
  <c r="D17" i="2"/>
  <c r="F30" i="2"/>
  <c r="F31" i="2" s="1"/>
  <c r="F32" i="2" s="1"/>
  <c r="F33" i="2" s="1"/>
  <c r="D20" i="4" l="1"/>
  <c r="C21" i="4"/>
  <c r="C22" i="4" l="1"/>
  <c r="D21" i="4"/>
  <c r="D22" i="4" l="1"/>
  <c r="C23" i="4"/>
  <c r="C24" i="4" l="1"/>
  <c r="D23" i="4"/>
  <c r="C25" i="4" l="1"/>
  <c r="D24" i="4"/>
  <c r="C26" i="4" l="1"/>
  <c r="D25" i="4"/>
  <c r="D26" i="4" l="1"/>
  <c r="C27" i="4"/>
  <c r="C28" i="4" l="1"/>
  <c r="D27" i="4"/>
  <c r="C29" i="4" l="1"/>
  <c r="D28" i="4"/>
  <c r="C30" i="4" l="1"/>
  <c r="D29" i="4"/>
  <c r="D30" i="4" l="1"/>
  <c r="C31" i="4"/>
  <c r="C32" i="4" l="1"/>
  <c r="D31" i="4"/>
  <c r="C33" i="4" l="1"/>
  <c r="D32" i="4"/>
  <c r="C34" i="4" l="1"/>
  <c r="D33" i="4"/>
  <c r="D34" i="4" l="1"/>
  <c r="C35" i="4"/>
  <c r="C36" i="4" l="1"/>
  <c r="D35" i="4"/>
  <c r="C37" i="4" l="1"/>
  <c r="D36" i="4"/>
  <c r="C38" i="4" l="1"/>
  <c r="D37" i="4"/>
  <c r="D38" i="4" l="1"/>
  <c r="C39" i="4"/>
  <c r="C40" i="4" l="1"/>
  <c r="D39" i="4"/>
  <c r="C41" i="4" l="1"/>
  <c r="D40" i="4"/>
  <c r="C42" i="4" l="1"/>
  <c r="D41" i="4"/>
  <c r="D42" i="4" l="1"/>
  <c r="C43" i="4"/>
  <c r="C44" i="4" l="1"/>
  <c r="D43" i="4"/>
  <c r="C45" i="4" l="1"/>
  <c r="D44" i="4"/>
  <c r="C46" i="4" l="1"/>
  <c r="D45" i="4"/>
  <c r="D46" i="4" l="1"/>
  <c r="C47" i="4"/>
  <c r="C48" i="4" l="1"/>
  <c r="D47" i="4"/>
  <c r="C49" i="4" l="1"/>
  <c r="D48" i="4"/>
  <c r="C50" i="4" l="1"/>
  <c r="D49" i="4"/>
  <c r="D50" i="4" l="1"/>
  <c r="C51" i="4"/>
  <c r="C52" i="4" l="1"/>
  <c r="D51" i="4"/>
  <c r="C53" i="4" l="1"/>
  <c r="D52" i="4"/>
  <c r="C54" i="4" l="1"/>
  <c r="D54" i="4" s="1"/>
  <c r="D5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8" authorId="0" shapeId="0" xr:uid="{00000000-0006-0000-0100-00000A000000}">
      <text>
        <r>
          <rPr>
            <sz val="10"/>
            <color rgb="FF000000"/>
            <rFont val="Arial"/>
          </rPr>
          <t xml:space="preserve">Total cap (with el from Hauke)
</t>
        </r>
        <r>
          <rPr>
            <sz val="10"/>
            <color rgb="FF000000"/>
            <rFont val="Arial"/>
          </rPr>
          <t xml:space="preserve">	-Clara N
</t>
        </r>
        <r>
          <rPr>
            <sz val="10"/>
            <color rgb="FF000000"/>
            <rFont val="Arial"/>
          </rPr>
          <t xml:space="preserve">The regression is following the cost effective scenario, what the cap need to be in order for the Eu to fulfill its 1.5C pledges in te Paris Agreement
</t>
        </r>
        <r>
          <rPr>
            <sz val="10"/>
            <color rgb="FF000000"/>
            <rFont val="Arial"/>
          </rPr>
          <t xml:space="preserve">	-Clara N
</t>
        </r>
        <r>
          <rPr>
            <sz val="10"/>
            <color rgb="FF000000"/>
            <rFont val="Arial"/>
          </rPr>
          <t xml:space="preserve">https://www.tandfonline.com/doi/full/10.1080/14693062.2021.1878999
</t>
        </r>
        <r>
          <rPr>
            <sz val="10"/>
            <color rgb="FF000000"/>
            <rFont val="Arial"/>
          </rPr>
          <t xml:space="preserve">	-Clara N
</t>
        </r>
        <r>
          <rPr>
            <sz val="10"/>
            <color rgb="FF000000"/>
            <rFont val="Arial"/>
          </rPr>
          <t xml:space="preserve">The cost-effective path in this scenario yields an LRF of 4.0% for 2021–2030, 3.4% for 2031–2040, 0.9% for 2041–2050. Net-zero emissions are achieved in 2050
</t>
        </r>
        <r>
          <rPr>
            <sz val="10"/>
            <color rgb="FF000000"/>
            <rFont val="Arial"/>
          </rPr>
          <t xml:space="preserve">	-Clara N
</t>
        </r>
        <r>
          <rPr>
            <sz val="10"/>
            <color rgb="FF000000"/>
            <rFont val="Arial"/>
          </rPr>
          <t xml:space="preserve">Update - without el and paper
</t>
        </r>
        <r>
          <rPr>
            <sz val="10"/>
            <color rgb="FF000000"/>
            <rFont val="Arial"/>
          </rPr>
          <t xml:space="preserve">	-Clara N</t>
        </r>
      </text>
    </comment>
    <comment ref="B9" authorId="0" shapeId="0" xr:uid="{00000000-0006-0000-0100-000009000000}">
      <text>
        <r>
          <rPr>
            <sz val="10"/>
            <color rgb="FF000000"/>
            <rFont val="Arial"/>
          </rPr>
          <t xml:space="preserve">Historical LRF
</t>
        </r>
        <r>
          <rPr>
            <sz val="10"/>
            <color rgb="FF000000"/>
            <rFont val="Arial"/>
          </rPr>
          <t xml:space="preserve">	-Clara N</t>
        </r>
      </text>
    </comment>
    <comment ref="E9" authorId="0" shapeId="0" xr:uid="{00000000-0006-0000-0100-000008000000}">
      <text>
        <r>
          <rPr>
            <sz val="10"/>
            <color rgb="FF000000"/>
            <rFont val="Arial"/>
          </rPr>
          <t xml:space="preserve">Data from 2015-2020is from Pietro and Hauke's emission calculation sheet
</t>
        </r>
        <r>
          <rPr>
            <sz val="10"/>
            <color rgb="FF000000"/>
            <rFont val="Arial"/>
          </rPr>
          <t xml:space="preserve">	-Clara N</t>
        </r>
      </text>
    </comment>
    <comment ref="C15" authorId="0" shapeId="0" xr:uid="{00000000-0006-0000-0100-000007000000}">
      <text>
        <r>
          <rPr>
            <sz val="10"/>
            <color rgb="FF000000"/>
            <rFont val="Arial"/>
          </rPr>
          <t>Using same method as Hauke
	-Clara N</t>
        </r>
      </text>
    </comment>
    <comment ref="C35" authorId="0" shapeId="0" xr:uid="{00000000-0006-0000-0100-000001000000}">
      <text>
        <r>
          <rPr>
            <sz val="10"/>
            <color rgb="FF000000"/>
            <rFont val="Arial"/>
          </rPr>
          <t>Ignore
	-Clara 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CB27BCD4-81CC-A147-B24B-0B8A80EE8C46}">
      <text>
        <r>
          <rPr>
            <sz val="10"/>
            <color rgb="FF000000"/>
            <rFont val="Arial"/>
          </rPr>
          <t xml:space="preserve">https://carbonpricingdashboard.worldbank.org/map_data
</t>
        </r>
        <r>
          <rPr>
            <sz val="10"/>
            <color rgb="FF000000"/>
            <rFont val="Arial"/>
          </rPr>
          <t xml:space="preserve">	-Yifeng Zhong</t>
        </r>
      </text>
    </comment>
    <comment ref="E8" authorId="0" shapeId="0" xr:uid="{05B7F696-B9F2-FC49-8083-7D5D66A0668F}">
      <text>
        <r>
          <rPr>
            <sz val="10"/>
            <color rgb="FF000000"/>
            <rFont val="Arial"/>
          </rPr>
          <t xml:space="preserve">https://www.scb.se/en/finding-statistics/statistics-by-subject-area/environment/environmental-accounts-and-sustainable-development/system-of-environmental-and-economic-accounts/pong/tables-and-graphs/environmental-taxes/total-environmental-taxes-in-sweden/
</t>
        </r>
        <r>
          <rPr>
            <sz val="10"/>
            <color rgb="FF000000"/>
            <rFont val="Arial"/>
          </rPr>
          <t xml:space="preserve">	-Yifeng Zhong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400-000003000000}">
      <text>
        <r>
          <rPr>
            <sz val="10"/>
            <color rgb="FF000000"/>
            <rFont val="Arial"/>
          </rPr>
          <t>electric arc furnace
	-Inês Mendes Letra</t>
        </r>
      </text>
    </comment>
    <comment ref="C5" authorId="0" shapeId="0" xr:uid="{00000000-0006-0000-0400-000001000000}">
      <text>
        <r>
          <rPr>
            <sz val="10"/>
            <color rgb="FF000000"/>
            <rFont val="Arial"/>
          </rPr>
          <t>Phase out in 2035?
	-Pietro Dogliani
https://www.powermag.com/swedish-companies-jointly-explore-hydrogen-based-production-of-steel/
	-Pietro Dogliani</t>
        </r>
      </text>
    </comment>
    <comment ref="B7" authorId="0" shapeId="0" xr:uid="{00000000-0006-0000-0400-000002000000}">
      <text>
        <r>
          <rPr>
            <sz val="10"/>
            <color rgb="FF000000"/>
            <rFont val="Arial"/>
          </rPr>
          <t>"the CAPEX of every million tons of H2-DRI-EAF production
capacity is EUR 1 billion at today's prices. This results
in an EU-wide CAPEX requirement of up to EUR 100 bn
to make the approximately 100 million tons of crude
steel produced in the bloc today via the integrated blast
furnace route carbon neutral."
	-Inês Mendes Letra
The future of steelmaking - Roland Bergerhttps://www.rolandberger.com › publication_pdf
	-Inês Mendes Letra</t>
        </r>
      </text>
    </comment>
  </commentList>
</comments>
</file>

<file path=xl/sharedStrings.xml><?xml version="1.0" encoding="utf-8"?>
<sst xmlns="http://schemas.openxmlformats.org/spreadsheetml/2006/main" count="179" uniqueCount="95">
  <si>
    <t>CapitalCost</t>
  </si>
  <si>
    <t>InputActivityRatio</t>
  </si>
  <si>
    <t>OperationalLife</t>
  </si>
  <si>
    <t>ResidualCapacity</t>
  </si>
  <si>
    <t>TotalAnnualMaxCapacity</t>
  </si>
  <si>
    <t>European Scenario</t>
  </si>
  <si>
    <t>Cap for steel, cement and pulp in 2013 [Mt], calculated from Hauke sheet</t>
  </si>
  <si>
    <t>LRF 2013</t>
  </si>
  <si>
    <t>Annual decrease 2013-2020</t>
  </si>
  <si>
    <t>LRF 2021-2024</t>
  </si>
  <si>
    <t>Parameter</t>
  </si>
  <si>
    <t>Year</t>
  </si>
  <si>
    <t>LRF</t>
  </si>
  <si>
    <t xml:space="preserve">Annual decrease </t>
  </si>
  <si>
    <t>Annual Emission Limit experiment</t>
  </si>
  <si>
    <t>AnnualEmissionLimit [kton]</t>
  </si>
  <si>
    <t>Annual limit to Pietro 3/12</t>
  </si>
  <si>
    <t>kt CO2 eq</t>
  </si>
  <si>
    <t>EmissionPenalty ($/t)</t>
  </si>
  <si>
    <t>EmissionPenalty_Carbon Tax  (€/t)</t>
  </si>
  <si>
    <t>EmissionPenalty_Carbon Tax  (M€/kton)</t>
  </si>
  <si>
    <t>Energy Tax_Increase cost on fuel (M SEK)</t>
  </si>
  <si>
    <t>Energy Tax_Increase cost on fuel (M€)</t>
  </si>
  <si>
    <t xml:space="preserve">assume constant </t>
  </si>
  <si>
    <t>Reference</t>
  </si>
  <si>
    <t>Swedish subsidies for industries to decarbonize:</t>
  </si>
  <si>
    <t>Steel</t>
  </si>
  <si>
    <t>CAPEX values</t>
  </si>
  <si>
    <t>750 Mkr</t>
  </si>
  <si>
    <t>https://www.energimyndigheten.se/forskning-och-innovation/forskning/omraden-for-forskning/industri/industriklivet/</t>
  </si>
  <si>
    <t>https://www.fao.org/3/ca5690t/CA5690T.pdf</t>
  </si>
  <si>
    <t>Conventional (BF/BOF)</t>
  </si>
  <si>
    <t>Until 2026</t>
  </si>
  <si>
    <t>https://www.forbes.com/sites/scottcarpenter/2020/08/31/swedish-steelmaker-uses-hydrogen-instead-of-coal-to-make-fossil-free-steel/</t>
  </si>
  <si>
    <t>Can be used until 2028</t>
  </si>
  <si>
    <t>page 39</t>
  </si>
  <si>
    <t>Conventional + CCS</t>
  </si>
  <si>
    <t>After 2030</t>
  </si>
  <si>
    <t>https://energy.nl/wp-content/uploads/2020/09/TGRBF-steelmaking-Technology-Factsheet_080920.pdf</t>
  </si>
  <si>
    <t xml:space="preserve">EAF </t>
  </si>
  <si>
    <t>After 2020</t>
  </si>
  <si>
    <r>
      <rPr>
        <u/>
        <sz val="10"/>
        <color rgb="FF1155CC"/>
        <rFont val="Arial"/>
      </rPr>
      <t>https://www.mdpi.com/1996-1073/13/15/3840/htm</t>
    </r>
    <r>
      <rPr>
        <u/>
        <sz val="10"/>
        <color rgb="FF000000"/>
        <rFont val="Arial"/>
      </rPr>
      <t xml:space="preserve"> table 1</t>
    </r>
  </si>
  <si>
    <t>TGRBF + CCS</t>
  </si>
  <si>
    <t>Hydrogen + EAF</t>
  </si>
  <si>
    <t>After 2040</t>
  </si>
  <si>
    <r>
      <rPr>
        <u/>
        <sz val="10"/>
        <color rgb="FF1155CC"/>
        <rFont val="Arial"/>
      </rPr>
      <t>https://www.mdpi.com/1996-1073/13/15/3840/htm</t>
    </r>
    <r>
      <rPr>
        <u/>
        <sz val="10"/>
        <color rgb="FF000000"/>
        <rFont val="Arial"/>
      </rPr>
      <t xml:space="preserve"> table 1</t>
    </r>
  </si>
  <si>
    <t>Cement</t>
  </si>
  <si>
    <t>Conventional</t>
  </si>
  <si>
    <t>CemZero</t>
  </si>
  <si>
    <t>Plasma</t>
  </si>
  <si>
    <t>page 71</t>
  </si>
  <si>
    <t>Paper and Pulp</t>
  </si>
  <si>
    <t>Electrification</t>
  </si>
  <si>
    <t>TGRBF</t>
  </si>
  <si>
    <t>Hp: only decrease in CCS price</t>
  </si>
  <si>
    <t>CAPEX (w/CCS)</t>
  </si>
  <si>
    <t>€/tonne</t>
  </si>
  <si>
    <t>M€/Mtonne</t>
  </si>
  <si>
    <t>Used in the model</t>
  </si>
  <si>
    <t>CAPEX (w/out CCS)</t>
  </si>
  <si>
    <t>$/tonne</t>
  </si>
  <si>
    <t>Link</t>
  </si>
  <si>
    <t>p120</t>
  </si>
  <si>
    <t>CAPEX CCS</t>
  </si>
  <si>
    <t>Calc</t>
  </si>
  <si>
    <t>CCS CAPEX Decrease</t>
  </si>
  <si>
    <t>From CCS sheet</t>
  </si>
  <si>
    <t>Decreased CAPEX CCS</t>
  </si>
  <si>
    <t>Decreased CAPEX</t>
  </si>
  <si>
    <t>For 2060</t>
  </si>
  <si>
    <t>HDR-EAF</t>
  </si>
  <si>
    <t>Hp: decrease in electrolyser costs</t>
  </si>
  <si>
    <t>CAPEX</t>
  </si>
  <si>
    <t>CAPEX Electrolysers</t>
  </si>
  <si>
    <t>Same source as the previous one</t>
  </si>
  <si>
    <t>EL CAPEX Annual Decrease</t>
  </si>
  <si>
    <t>p18, AE, IRENA</t>
  </si>
  <si>
    <t>Decreased CAPEX EL</t>
  </si>
  <si>
    <t>AMINE CEM</t>
  </si>
  <si>
    <t>Same source as in the model</t>
  </si>
  <si>
    <t>p60</t>
  </si>
  <si>
    <t>PLASMA CEM</t>
  </si>
  <si>
    <t>Hp: only decrease in CCS price, like Oxyfuel</t>
  </si>
  <si>
    <t>P&amp;P CCS</t>
  </si>
  <si>
    <t>Hp: only decrease in CCS price, lik Gas</t>
  </si>
  <si>
    <t>Low cost path (P80)</t>
  </si>
  <si>
    <t>CAPEX reduction £/kW</t>
  </si>
  <si>
    <t>Reduction %</t>
  </si>
  <si>
    <t xml:space="preserve">Post comb. Coal </t>
  </si>
  <si>
    <t>Post comb. Gas</t>
  </si>
  <si>
    <t>Oxy comb. Coal</t>
  </si>
  <si>
    <t>IGCC</t>
  </si>
  <si>
    <t>High cost path (P20)</t>
  </si>
  <si>
    <t>https://assets.publishing.service.gov.uk/government/uploads/system/uploads/attachment_data/file/48365/5237-potential-cost-reductions-in-ccs-in-the-power-sect.pdf</t>
  </si>
  <si>
    <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</si>
</sst>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0"/>
      <color rgb="FF000000"/>
      <name val="Arial"/>
    </font>
    <font>
      <sz val="10"/>
      <color theme="1"/>
      <name val="Arial"/>
    </font>
    <font>
      <i/>
      <sz val="10"/>
      <color theme="1"/>
      <name val="Arial"/>
    </font>
    <font>
      <b/>
      <sz val="10"/>
      <color theme="1"/>
      <name val="Arial"/>
    </font>
    <font>
      <sz val="10"/>
      <color rgb="FFFF0000"/>
      <name val="Arial"/>
    </font>
    <font>
      <sz val="11"/>
      <color rgb="FF11A9CC"/>
      <name val="Inconsolata"/>
    </font>
    <font>
      <sz val="8"/>
      <color rgb="FF000000"/>
      <name val="&quot;Helvetica Neue&quot;"/>
    </font>
    <font>
      <sz val="11"/>
      <color theme="1"/>
      <name val="Docs-Calibri"/>
    </font>
    <font>
      <sz val="11"/>
      <color theme="1"/>
      <name val="Calibri"/>
    </font>
    <font>
      <sz val="10"/>
      <color rgb="FF000000"/>
      <name val="Arial"/>
    </font>
    <font>
      <sz val="11"/>
      <color rgb="FF000000"/>
      <name val="Docs-Calibri"/>
    </font>
    <font>
      <u/>
      <sz val="10"/>
      <color rgb="FF1155CC"/>
      <name val="Arial"/>
    </font>
    <font>
      <u/>
      <sz val="10"/>
      <color rgb="FF1155CC"/>
      <name val="Arial"/>
    </font>
    <font>
      <u/>
      <sz val="10"/>
      <color rgb="FF0000FF"/>
      <name val="Arial"/>
    </font>
    <font>
      <u/>
      <sz val="10"/>
      <color rgb="FF1155CC"/>
      <name val="Arial"/>
    </font>
    <font>
      <i/>
      <sz val="12"/>
      <color rgb="FF000000"/>
      <name val="Calibri"/>
    </font>
    <font>
      <b/>
      <sz val="10"/>
      <color rgb="FF000000"/>
      <name val="Arial"/>
    </font>
    <font>
      <b/>
      <sz val="12"/>
      <color rgb="FF000000"/>
      <name val="Calibri"/>
    </font>
    <font>
      <sz val="12"/>
      <color rgb="FF000000"/>
      <name val="Calibri"/>
    </font>
    <font>
      <u/>
      <sz val="10"/>
      <color rgb="FF000000"/>
      <name val="Arial"/>
    </font>
  </fonts>
  <fills count="9">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FFF2CC"/>
        <bgColor rgb="FFFFF2CC"/>
      </patternFill>
    </fill>
    <fill>
      <patternFill patternType="solid">
        <fgColor theme="9"/>
        <bgColor theme="9"/>
      </patternFill>
    </fill>
    <fill>
      <patternFill patternType="solid">
        <fgColor rgb="FFEAD1DC"/>
        <bgColor rgb="FFEAD1DC"/>
      </patternFill>
    </fill>
    <fill>
      <patternFill patternType="solid">
        <fgColor rgb="FFEFEFEF"/>
        <bgColor rgb="FFEFEFEF"/>
      </patternFill>
    </fill>
    <fill>
      <patternFill patternType="solid">
        <fgColor rgb="FFD9EAD3"/>
        <bgColor rgb="FFD9EAD3"/>
      </patternFill>
    </fill>
  </fills>
  <borders count="3">
    <border>
      <left/>
      <right/>
      <top/>
      <bottom/>
      <diagonal/>
    </border>
    <border>
      <left/>
      <right/>
      <top/>
      <bottom style="thin">
        <color rgb="FF000000"/>
      </bottom>
      <diagonal/>
    </border>
    <border>
      <left/>
      <right style="thin">
        <color rgb="FF000000"/>
      </right>
      <top/>
      <bottom/>
      <diagonal/>
    </border>
  </borders>
  <cellStyleXfs count="1">
    <xf numFmtId="0" fontId="0" fillId="0" borderId="0"/>
  </cellStyleXfs>
  <cellXfs count="59">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10" fontId="1" fillId="0" borderId="0" xfId="0" applyNumberFormat="1" applyFont="1" applyAlignment="1"/>
    <xf numFmtId="0" fontId="1" fillId="0" borderId="0" xfId="0" applyFont="1"/>
    <xf numFmtId="0" fontId="1" fillId="0" borderId="1" xfId="0" applyFont="1" applyBorder="1" applyAlignment="1"/>
    <xf numFmtId="0" fontId="1" fillId="2" borderId="1" xfId="0" applyFont="1" applyFill="1" applyBorder="1" applyAlignment="1"/>
    <xf numFmtId="0" fontId="4" fillId="0" borderId="0" xfId="0" applyFont="1" applyAlignment="1"/>
    <xf numFmtId="0" fontId="1" fillId="0" borderId="2" xfId="0" applyFont="1" applyBorder="1" applyAlignment="1"/>
    <xf numFmtId="0" fontId="5" fillId="3" borderId="0" xfId="0" applyFont="1" applyFill="1"/>
    <xf numFmtId="0" fontId="1" fillId="4" borderId="0" xfId="0" applyFont="1" applyFill="1"/>
    <xf numFmtId="0" fontId="6" fillId="0" borderId="0" xfId="0" applyFont="1" applyAlignment="1">
      <alignment vertical="top"/>
    </xf>
    <xf numFmtId="10" fontId="8" fillId="5" borderId="0" xfId="0" applyNumberFormat="1" applyFont="1" applyFill="1" applyAlignment="1">
      <alignment horizontal="right"/>
    </xf>
    <xf numFmtId="0" fontId="1" fillId="5" borderId="0" xfId="0" applyFont="1" applyFill="1" applyAlignment="1">
      <alignment horizontal="right"/>
    </xf>
    <xf numFmtId="10" fontId="7" fillId="5" borderId="0" xfId="0" applyNumberFormat="1" applyFont="1" applyFill="1" applyAlignment="1">
      <alignment horizontal="right"/>
    </xf>
    <xf numFmtId="0" fontId="3" fillId="0" borderId="0" xfId="0" applyFont="1" applyAlignment="1">
      <alignment horizontal="center"/>
    </xf>
    <xf numFmtId="0" fontId="1" fillId="0" borderId="0" xfId="0" applyFont="1" applyAlignment="1">
      <alignment horizontal="right"/>
    </xf>
    <xf numFmtId="0" fontId="9" fillId="3" borderId="0" xfId="0" applyFont="1" applyFill="1" applyAlignment="1">
      <alignment horizontal="left"/>
    </xf>
    <xf numFmtId="0" fontId="1" fillId="0" borderId="0" xfId="0" applyFont="1" applyAlignment="1">
      <alignment horizontal="center"/>
    </xf>
    <xf numFmtId="10" fontId="1" fillId="0" borderId="0" xfId="0" applyNumberFormat="1" applyFont="1" applyAlignment="1">
      <alignment horizontal="right"/>
    </xf>
    <xf numFmtId="10" fontId="8" fillId="3" borderId="0" xfId="0" applyNumberFormat="1" applyFont="1" applyFill="1" applyAlignment="1">
      <alignment horizontal="right"/>
    </xf>
    <xf numFmtId="10" fontId="7" fillId="3" borderId="0" xfId="0" applyNumberFormat="1" applyFont="1" applyFill="1" applyAlignment="1">
      <alignment horizontal="right"/>
    </xf>
    <xf numFmtId="0" fontId="8" fillId="0" borderId="0" xfId="0" applyFont="1" applyAlignment="1">
      <alignment wrapText="1"/>
    </xf>
    <xf numFmtId="0" fontId="10" fillId="3" borderId="0" xfId="0" applyFont="1" applyFill="1" applyAlignment="1">
      <alignment horizontal="left"/>
    </xf>
    <xf numFmtId="10" fontId="10" fillId="3" borderId="0" xfId="0" applyNumberFormat="1" applyFont="1" applyFill="1" applyAlignment="1">
      <alignment horizontal="right"/>
    </xf>
    <xf numFmtId="10" fontId="8" fillId="0" borderId="0" xfId="0" applyNumberFormat="1" applyFont="1" applyAlignment="1">
      <alignment horizontal="right"/>
    </xf>
    <xf numFmtId="164" fontId="8" fillId="0" borderId="0" xfId="0" applyNumberFormat="1" applyFont="1" applyAlignment="1">
      <alignment horizontal="right"/>
    </xf>
    <xf numFmtId="0" fontId="11" fillId="0" borderId="0" xfId="0" applyFont="1" applyAlignment="1">
      <alignment horizontal="center"/>
    </xf>
    <xf numFmtId="0" fontId="8" fillId="0" borderId="0" xfId="0" applyFont="1" applyAlignment="1">
      <alignment horizontal="right"/>
    </xf>
    <xf numFmtId="0" fontId="3" fillId="0" borderId="0" xfId="0" applyFont="1" applyAlignment="1"/>
    <xf numFmtId="0" fontId="3" fillId="0" borderId="0" xfId="0" applyFont="1" applyAlignment="1"/>
    <xf numFmtId="0" fontId="13" fillId="0" borderId="0" xfId="0" applyFont="1" applyAlignment="1"/>
    <xf numFmtId="0" fontId="1" fillId="6" borderId="0" xfId="0" applyFont="1" applyFill="1" applyAlignment="1"/>
    <xf numFmtId="0" fontId="14" fillId="0" borderId="0" xfId="0" applyFont="1" applyAlignment="1"/>
    <xf numFmtId="0" fontId="1" fillId="7" borderId="0" xfId="0" applyFont="1" applyFill="1" applyAlignment="1"/>
    <xf numFmtId="0" fontId="1" fillId="8" borderId="0" xfId="0" applyFont="1" applyFill="1" applyAlignment="1"/>
    <xf numFmtId="2" fontId="1" fillId="0" borderId="0" xfId="0" applyNumberFormat="1" applyFont="1"/>
    <xf numFmtId="9" fontId="1" fillId="0" borderId="0" xfId="0" applyNumberFormat="1" applyFont="1" applyAlignment="1"/>
    <xf numFmtId="10" fontId="1" fillId="0" borderId="0" xfId="0" applyNumberFormat="1" applyFont="1"/>
    <xf numFmtId="0" fontId="9" fillId="0" borderId="0" xfId="0" applyFont="1" applyAlignment="1"/>
    <xf numFmtId="0" fontId="15" fillId="0" borderId="0" xfId="0" applyFont="1" applyAlignment="1"/>
    <xf numFmtId="0" fontId="3" fillId="0" borderId="0" xfId="0" applyFont="1"/>
    <xf numFmtId="0" fontId="16" fillId="0" borderId="0" xfId="0" applyFont="1" applyAlignment="1">
      <alignment horizontal="right"/>
    </xf>
    <xf numFmtId="0" fontId="17" fillId="0" borderId="0" xfId="0" applyFont="1" applyAlignment="1">
      <alignment horizontal="right"/>
    </xf>
    <xf numFmtId="0" fontId="18" fillId="0" borderId="0" xfId="0" applyFont="1" applyAlignment="1">
      <alignment horizontal="right"/>
    </xf>
    <xf numFmtId="9" fontId="18" fillId="8" borderId="0" xfId="0" applyNumberFormat="1" applyFont="1" applyFill="1" applyAlignment="1">
      <alignment horizontal="right"/>
    </xf>
    <xf numFmtId="0" fontId="18" fillId="0" borderId="0" xfId="0" applyFont="1" applyAlignment="1"/>
    <xf numFmtId="0" fontId="3" fillId="0" borderId="0" xfId="0" applyFont="1" applyAlignment="1">
      <alignment horizontal="right"/>
    </xf>
    <xf numFmtId="9" fontId="18" fillId="4" borderId="0" xfId="0" applyNumberFormat="1" applyFont="1" applyFill="1" applyAlignment="1">
      <alignment horizontal="right"/>
    </xf>
    <xf numFmtId="0" fontId="12" fillId="0" borderId="0" xfId="0" applyFont="1" applyAlignment="1">
      <alignment horizontal="center" vertical="center"/>
    </xf>
    <xf numFmtId="0" fontId="0" fillId="0" borderId="0" xfId="0" applyFont="1" applyAlignment="1"/>
    <xf numFmtId="0" fontId="0" fillId="0" borderId="0" xfId="0"/>
    <xf numFmtId="0" fontId="1" fillId="5" borderId="0" xfId="0" applyFont="1" applyFill="1"/>
    <xf numFmtId="10" fontId="1" fillId="5" borderId="0" xfId="0" applyNumberFormat="1" applyFont="1" applyFill="1"/>
    <xf numFmtId="0" fontId="7" fillId="5" borderId="0" xfId="0" applyFont="1" applyFill="1"/>
    <xf numFmtId="0" fontId="8" fillId="5" borderId="0" xfId="0" applyFont="1" applyFill="1"/>
    <xf numFmtId="0" fontId="7" fillId="3" borderId="0" xfId="0" applyFont="1" applyFill="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542925</xdr:colOff>
      <xdr:row>5</xdr:row>
      <xdr:rowOff>19050</xdr:rowOff>
    </xdr:from>
    <xdr:ext cx="5667375" cy="2162175"/>
    <xdr:pic>
      <xdr:nvPicPr>
        <xdr:cNvPr id="2" name="image2.png" title="图片">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542925</xdr:colOff>
      <xdr:row>17</xdr:row>
      <xdr:rowOff>114300</xdr:rowOff>
    </xdr:from>
    <xdr:ext cx="4981575" cy="3629025"/>
    <xdr:pic>
      <xdr:nvPicPr>
        <xdr:cNvPr id="3" name="image1.png" title="图片">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11</xdr:col>
      <xdr:colOff>542925</xdr:colOff>
      <xdr:row>5</xdr:row>
      <xdr:rowOff>19050</xdr:rowOff>
    </xdr:from>
    <xdr:ext cx="5667375" cy="2162175"/>
    <xdr:pic>
      <xdr:nvPicPr>
        <xdr:cNvPr id="4" name="image1.png" title="图片">
          <a:extLst>
            <a:ext uri="{FF2B5EF4-FFF2-40B4-BE49-F238E27FC236}">
              <a16:creationId xmlns:a16="http://schemas.microsoft.com/office/drawing/2014/main" id="{3ECCE321-487A-BF42-9E3F-EC851F5F8025}"/>
            </a:ext>
          </a:extLst>
        </xdr:cNvPr>
        <xdr:cNvPicPr preferRelativeResize="0"/>
      </xdr:nvPicPr>
      <xdr:blipFill>
        <a:blip xmlns:r="http://schemas.openxmlformats.org/officeDocument/2006/relationships" r:embed="rId1" cstate="print"/>
        <a:stretch>
          <a:fillRect/>
        </a:stretch>
      </xdr:blipFill>
      <xdr:spPr>
        <a:xfrm>
          <a:off x="21383625" y="971550"/>
          <a:ext cx="5667375" cy="2162175"/>
        </a:xfrm>
        <a:prstGeom prst="rect">
          <a:avLst/>
        </a:prstGeom>
        <a:noFill/>
      </xdr:spPr>
    </xdr:pic>
    <xdr:clientData fLocksWithSheet="0"/>
  </xdr:oneCellAnchor>
  <xdr:oneCellAnchor>
    <xdr:from>
      <xdr:col>7</xdr:col>
      <xdr:colOff>542925</xdr:colOff>
      <xdr:row>17</xdr:row>
      <xdr:rowOff>114300</xdr:rowOff>
    </xdr:from>
    <xdr:ext cx="4981575" cy="3629025"/>
    <xdr:pic>
      <xdr:nvPicPr>
        <xdr:cNvPr id="5" name="image2.png" title="图片">
          <a:extLst>
            <a:ext uri="{FF2B5EF4-FFF2-40B4-BE49-F238E27FC236}">
              <a16:creationId xmlns:a16="http://schemas.microsoft.com/office/drawing/2014/main" id="{961ED801-4D20-A048-9D89-5FE90E31CAAE}"/>
            </a:ext>
          </a:extLst>
        </xdr:cNvPr>
        <xdr:cNvPicPr preferRelativeResize="0"/>
      </xdr:nvPicPr>
      <xdr:blipFill>
        <a:blip xmlns:r="http://schemas.openxmlformats.org/officeDocument/2006/relationships" r:embed="rId2" cstate="print"/>
        <a:stretch>
          <a:fillRect/>
        </a:stretch>
      </xdr:blipFill>
      <xdr:spPr>
        <a:xfrm>
          <a:off x="13446125" y="3352800"/>
          <a:ext cx="4981575" cy="36290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cementa.se/sites/default/files/assets/document/65/de/final_cemzero_2018_public_version_2.0.pdf.pdf" TargetMode="External"/><Relationship Id="rId3" Type="http://schemas.openxmlformats.org/officeDocument/2006/relationships/hyperlink" Target="https://www.forbes.com/sites/scottcarpenter/2020/08/31/swedish-steelmaker-uses-hydrogen-instead-of-coal-to-make-fossil-free-steel/" TargetMode="External"/><Relationship Id="rId7" Type="http://schemas.openxmlformats.org/officeDocument/2006/relationships/hyperlink" Target="https://www.mdpi.com/1996-1073/13/15/3840/htm" TargetMode="External"/><Relationship Id="rId2" Type="http://schemas.openxmlformats.org/officeDocument/2006/relationships/hyperlink" Target="https://www.fao.org/3/ca5690t/CA5690T.pdf" TargetMode="External"/><Relationship Id="rId1" Type="http://schemas.openxmlformats.org/officeDocument/2006/relationships/hyperlink" Target="https://www.energimyndigheten.se/forskning-och-innovation/forskning/omraden-for-forskning/industri/industriklivet/" TargetMode="External"/><Relationship Id="rId6" Type="http://schemas.openxmlformats.org/officeDocument/2006/relationships/hyperlink" Target="https://energy.nl/wp-content/uploads/2020/09/TGRBF-steelmaking-Technology-Factsheet_080920.pdf" TargetMode="External"/><Relationship Id="rId5" Type="http://schemas.openxmlformats.org/officeDocument/2006/relationships/hyperlink" Target="https://www.mdpi.com/1996-1073/13/15/3840/htm" TargetMode="External"/><Relationship Id="rId10" Type="http://schemas.openxmlformats.org/officeDocument/2006/relationships/comments" Target="../comments3.xml"/><Relationship Id="rId4" Type="http://schemas.openxmlformats.org/officeDocument/2006/relationships/hyperlink" Target="https://energy.nl/wp-content/uploads/2020/09/TGRBF-steelmaking-Technology-Factsheet_080920.pdf" TargetMode="External"/><Relationship Id="rId9"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s://pdf.sciencedirectassets.com/271750/1-s2.0-S0959652618X00298/1-s2.0-S0959652618326301/main.pdf?X-Amz-Security-Token=IQoJb3JpZ2luX2VjED8aCXVzLWVhc3QtMSJHMEUCIA82HgsxNwcZ3C5fwnNl4d%2Fcd6cti%2FuDFyvt8vdVTJ6XAiEA6HMmfcHQk8se%2BsbqcF6EclHwSCbwtgWIjakJ5Qw2tNUq%2BgMIGBAEGgwwNTkwMDM1NDY4NjUiDG3iFGaY4qcN6MMbCSrXA8nn6RyjFtGi7Z1QL8x3gy4hLXVahFQ0mhcJ7uuxP%2B220CkeE0HhNpvpWvN7p2efpE66VR9OIRVB2B4h0qE0CA5ylSEbbM0e%2BYffO1EmILSXbEbCpomHe6G0QTVaPqVqp848uBNAInSl%2BjhvxX3YewnNk%2F5WCv%2B33yxnfpTUb8SK3GaB4kf7qnITXEESY2Z%2BTlJ2fTHIRQTQKCNSHszV0EWsoJHZtJZvYeCsw4aVie0qCpI8SRwrEOil7%2BCEFa%2FOHzzUOVS8FY17%2BsCwlUELzVRjTGv%2Bf9y4LEas%2Be8m0XnR%2FD8VBokG0B%2BtS12IHKz7wYRCXAkowC5Sva94OBz3hg8NGCCsVk%2FZGbOyWGwYoFUt3YZ88LiuceWtJX7ewSMMcPjHhGgnOocLXr7kypUZolQbPSNfe64m7QLOlG%2FVa5YlvXqONA3AV1IYKpGwJ7StepgftLUxz8clVbRmFIAQi71jfCUkJeJvQnaJFNGKo3tOH61J7hUD3beZesOjugYY7eH%2FGNz0GMJXBAVySmHjjLPF25NKBXrZan5tigWi0OKk06FmHG3fw0BKU5x1%2Fuqfu%2BiKUKanS6MSlXbOlEYiEdJ93zRDKvv%2B5VQ6pbOSfe2VzoQ8q%2BbLWzDXmZ6NBjqlAZE%2BjcFJeBDjNtjlTHtbkLPKR6yAZ3nzmmhYFJ%2BLzwNMUbpZr5IAP5LiyKQB1cf0rM%2BmSNWYUvpNqHK5%2B%2FsRJIyhOrnm%2Fnwh057RT1xJAxVDznyHwuYFvBpIGsoWfjH65MuX6SnqLMvHMk%2B9S%2BehBlqaEMC%2Fs9%2B2c%2BVwwrR8wjIvPgYNQ3Kon7LEV4RqEg3MXdD2BL0qxMtBwjt1wD3knT%2B39rximg%3D%3D&amp;X-Amz-Algorithm=AWS4-HMAC-SHA256&amp;X-Amz-Date=20211201T161611Z&amp;X-Amz-SignedHeaders=host&amp;X-Amz-Expires=300&amp;X-Amz-Credential=ASIAQ3PHCVTY6P5O7TOQ%2F20211201%2Fus-east-1%2Fs3%2Faws4_request&amp;X-Amz-Signature=e401925957ceef6c6f221c32094c3a3f3eb02b7bb7018be90fd709289bbfea78&amp;hash=1f0e89f6ed547af6d0d399ca45d33dee573aca5b5a5881897b038a5a5f292caa&amp;host=68042c943591013ac2b2430a89b270f6af2c76d8dfd086a07176afe7c76c2c61&amp;pii=S0959652618326301&amp;tid=spdf-f3cd9056-3c69-4370-a810-1a5c0f10b151&amp;sid=23393ca5535b28478f1a7ed-05f287de905fgxrqb&amp;type=client" TargetMode="External"/><Relationship Id="rId2" Type="http://schemas.openxmlformats.org/officeDocument/2006/relationships/hyperlink" Target="https://pdf.sciencedirectassets.com/271750/1-s2.0-S0959652618X00298/1-s2.0-S0959652618326301/main.pdf?X-Amz-Security-Token=IQoJb3JpZ2luX2VjED8aCXVzLWVhc3QtMSJHMEUCIA82HgsxNwcZ3C5fwnNl4d%2Fcd6cti%2FuDFyvt8vdVTJ6XAiEA6HMmfcHQk8se%2BsbqcF6EclHwSCbwtgWIjakJ5Qw2tNUq%2BgMIGBAEGgwwNTkwMDM1NDY4NjUiDG3iFGaY4qcN6MMbCSrXA8nn6RyjFtGi7Z1QL8x3gy4hLXVahFQ0mhcJ7uuxP%2B220CkeE0HhNpvpWvN7p2efpE66VR9OIRVB2B4h0qE0CA5ylSEbbM0e%2BYffO1EmILSXbEbCpomHe6G0QTVaPqVqp848uBNAInSl%2BjhvxX3YewnNk%2F5WCv%2B33yxnfpTUb8SK3GaB4kf7qnITXEESY2Z%2BTlJ2fTHIRQTQKCNSHszV0EWsoJHZtJZvYeCsw4aVie0qCpI8SRwrEOil7%2BCEFa%2FOHzzUOVS8FY17%2BsCwlUELzVRjTGv%2Bf9y4LEas%2Be8m0XnR%2FD8VBokG0B%2BtS12IHKz7wYRCXAkowC5Sva94OBz3hg8NGCCsVk%2FZGbOyWGwYoFUt3YZ88LiuceWtJX7ewSMMcPjHhGgnOocLXr7kypUZolQbPSNfe64m7QLOlG%2FVa5YlvXqONA3AV1IYKpGwJ7StepgftLUxz8clVbRmFIAQi71jfCUkJeJvQnaJFNGKo3tOH61J7hUD3beZesOjugYY7eH%2FGNz0GMJXBAVySmHjjLPF25NKBXrZan5tigWi0OKk06FmHG3fw0BKU5x1%2Fuqfu%2BiKUKanS6MSlXbOlEYiEdJ93zRDKvv%2B5VQ6pbOSfe2VzoQ8q%2BbLWzDXmZ6NBjqlAZE%2BjcFJeBDjNtjlTHtbkLPKR6yAZ3nzmmhYFJ%2BLzwNMUbpZr5IAP5LiyKQB1cf0rM%2BmSNWYUvpNqHK5%2B%2FsRJIyhOrnm%2Fnwh057RT1xJAxVDznyHwuYFvBpIGsoWfjH65MuX6SnqLMvHMk%2B9S%2BehBlqaEMC%2Fs9%2B2c%2BVwwrR8wjIvPgYNQ3Kon7LEV4RqEg3MXdD2BL0qxMtBwjt1wD3knT%2B39rximg%3D%3D&amp;X-Amz-Algorithm=AWS4-HMAC-SHA256&amp;X-Amz-Date=20211201T161611Z&amp;X-Amz-SignedHeaders=host&amp;X-Amz-Expires=300&amp;X-Amz-Credential=ASIAQ3PHCVTY6P5O7TOQ%2F20211201%2Fus-east-1%2Fs3%2Faws4_request&amp;X-Amz-Signature=e401925957ceef6c6f221c32094c3a3f3eb02b7bb7018be90fd709289bbfea78&amp;hash=1f0e89f6ed547af6d0d399ca45d33dee573aca5b5a5881897b038a5a5f292caa&amp;host=68042c943591013ac2b2430a89b270f6af2c76d8dfd086a07176afe7c76c2c61&amp;pii=S0959652618326301&amp;tid=spdf-f3cd9056-3c69-4370-a810-1a5c0f10b151&amp;sid=23393ca5535b28478f1a7ed-05f287de905fgxrqb&amp;type=client" TargetMode="External"/><Relationship Id="rId1" Type="http://schemas.openxmlformats.org/officeDocument/2006/relationships/hyperlink" Target="https://books.google.se/books?hl=it&amp;lr=&amp;id=lOCsDwAAQBAJ&amp;oi=fnd&amp;pg=PP1&amp;dq=Environmental+and+Economic+Sustainability+in+East+Asia:+Policies+and+Institutional+Reforms&amp;ots=naxqXbRMq2&amp;sig=7j0I1zkJBQlbLsGISKyUw-I3yyw&amp;redir_esc=y" TargetMode="External"/><Relationship Id="rId5" Type="http://schemas.openxmlformats.org/officeDocument/2006/relationships/hyperlink" Target="https://www.cementa.se/sites/default/files/assets/document/65/de/final_cemzero_2018_public_version_2.0.pdf.pdf" TargetMode="External"/><Relationship Id="rId4" Type="http://schemas.openxmlformats.org/officeDocument/2006/relationships/hyperlink" Target="https://theicct.org/sites/default/files/publications/final_icct2020_assessment_of%20_hydrogen_production_costs%20v2.pd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ssets.publishing.service.gov.uk/government/uploads/system/uploads/attachment_data/file/48365/5237-potential-cost-reductions-in-ccs-in-the-power-sect.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5"/>
  <sheetViews>
    <sheetView workbookViewId="0">
      <selection activeCell="B8" sqref="B8"/>
    </sheetView>
  </sheetViews>
  <sheetFormatPr baseColWidth="10" defaultColWidth="14.5" defaultRowHeight="15.75" customHeight="1"/>
  <cols>
    <col min="1" max="1" width="30" customWidth="1"/>
    <col min="2" max="2" width="18.83203125" customWidth="1"/>
    <col min="3" max="3" width="22.5" customWidth="1"/>
    <col min="4" max="5" width="24" customWidth="1"/>
    <col min="6" max="6" width="22" customWidth="1"/>
    <col min="7" max="8" width="24.5" customWidth="1"/>
    <col min="9" max="10" width="20.5" customWidth="1"/>
    <col min="12" max="12" width="18.83203125" customWidth="1"/>
    <col min="13" max="14" width="25.83203125" customWidth="1"/>
    <col min="15" max="15" width="16" customWidth="1"/>
  </cols>
  <sheetData>
    <row r="1" spans="1:7" ht="15.75" customHeight="1">
      <c r="A1" s="3" t="s">
        <v>5</v>
      </c>
      <c r="G1" s="1">
        <v>0</v>
      </c>
    </row>
    <row r="2" spans="1:7" ht="15.75" customHeight="1">
      <c r="A2" s="1" t="s">
        <v>6</v>
      </c>
      <c r="B2" s="1">
        <f>9112.324</f>
        <v>9112.3240000000005</v>
      </c>
    </row>
    <row r="3" spans="1:7" ht="15.75" customHeight="1">
      <c r="A3" s="1" t="s">
        <v>7</v>
      </c>
      <c r="B3" s="4">
        <v>1.7399999999999999E-2</v>
      </c>
    </row>
    <row r="4" spans="1:7" ht="15.75" customHeight="1">
      <c r="A4" s="1" t="s">
        <v>8</v>
      </c>
      <c r="B4" s="5">
        <f>B2*B3</f>
        <v>158.5544376</v>
      </c>
    </row>
    <row r="5" spans="1:7" ht="15.75" customHeight="1">
      <c r="A5" s="1" t="s">
        <v>9</v>
      </c>
      <c r="B5" s="4">
        <v>2.1999999999999999E-2</v>
      </c>
    </row>
    <row r="7" spans="1:7" ht="15.75" customHeight="1">
      <c r="B7" s="3" t="s">
        <v>10</v>
      </c>
    </row>
    <row r="8" spans="1:7" ht="15.75" customHeight="1">
      <c r="A8" s="3" t="s">
        <v>11</v>
      </c>
      <c r="B8" s="6" t="s">
        <v>12</v>
      </c>
      <c r="C8" s="6" t="s">
        <v>13</v>
      </c>
      <c r="D8" s="1" t="s">
        <v>14</v>
      </c>
      <c r="E8" s="7" t="s">
        <v>15</v>
      </c>
      <c r="F8" s="8" t="s">
        <v>16</v>
      </c>
    </row>
    <row r="9" spans="1:7" ht="15.75" customHeight="1">
      <c r="A9" s="9">
        <v>2015</v>
      </c>
      <c r="B9" s="1">
        <v>1.7399999999999999E-2</v>
      </c>
      <c r="C9" s="1">
        <f>B4</f>
        <v>158.5544376</v>
      </c>
      <c r="E9" s="1">
        <f>8610.46</f>
        <v>8610.4599999999991</v>
      </c>
      <c r="F9" s="1">
        <v>8777.75</v>
      </c>
    </row>
    <row r="10" spans="1:7" ht="15.75" customHeight="1">
      <c r="A10" s="9">
        <v>2016</v>
      </c>
      <c r="B10" s="1">
        <v>1.7399999999999999E-2</v>
      </c>
      <c r="C10" s="1">
        <f t="shared" ref="C10:C14" si="0">C9</f>
        <v>158.5544376</v>
      </c>
      <c r="E10" s="1">
        <f>8443.18</f>
        <v>8443.18</v>
      </c>
      <c r="F10" s="5">
        <f>E9</f>
        <v>8610.4599999999991</v>
      </c>
    </row>
    <row r="11" spans="1:7" ht="15.75" customHeight="1">
      <c r="A11" s="9">
        <v>2017</v>
      </c>
      <c r="B11" s="1">
        <v>1.7399999999999999E-2</v>
      </c>
      <c r="C11" s="1">
        <f t="shared" si="0"/>
        <v>158.5544376</v>
      </c>
      <c r="E11" s="1">
        <f>8275.89</f>
        <v>8275.89</v>
      </c>
      <c r="F11" s="5">
        <f>E10</f>
        <v>8443.18</v>
      </c>
    </row>
    <row r="12" spans="1:7" ht="15.75" customHeight="1">
      <c r="A12" s="9">
        <v>2018</v>
      </c>
      <c r="B12" s="1">
        <v>1.7399999999999999E-2</v>
      </c>
      <c r="C12" s="1">
        <f t="shared" si="0"/>
        <v>158.5544376</v>
      </c>
      <c r="E12" s="1">
        <f>8108.6</f>
        <v>8108.6</v>
      </c>
      <c r="F12" s="5">
        <f>E11</f>
        <v>8275.89</v>
      </c>
    </row>
    <row r="13" spans="1:7" ht="15.75" customHeight="1">
      <c r="A13" s="9">
        <v>2019</v>
      </c>
      <c r="B13" s="1">
        <v>1.7399999999999999E-2</v>
      </c>
      <c r="C13" s="1">
        <f t="shared" si="0"/>
        <v>158.5544376</v>
      </c>
      <c r="E13" s="1">
        <f>7941.32</f>
        <v>7941.32</v>
      </c>
      <c r="F13" s="5">
        <f>E12</f>
        <v>8108.6</v>
      </c>
    </row>
    <row r="14" spans="1:7" ht="15.75" customHeight="1">
      <c r="A14" s="9">
        <v>2020</v>
      </c>
      <c r="B14" s="1">
        <v>1.7399999999999999E-2</v>
      </c>
      <c r="C14" s="1">
        <f t="shared" si="0"/>
        <v>158.5544376</v>
      </c>
      <c r="E14" s="1">
        <f>7729.8</f>
        <v>7729.8</v>
      </c>
      <c r="F14" s="5">
        <f>E13</f>
        <v>7941.32</v>
      </c>
    </row>
    <row r="15" spans="1:7" ht="15.75" customHeight="1">
      <c r="A15" s="9">
        <v>2021</v>
      </c>
      <c r="B15" s="1">
        <v>0.04</v>
      </c>
      <c r="C15" s="5">
        <f t="shared" ref="C15:C43" si="1">(C14/B14)*B15</f>
        <v>364.49296000000004</v>
      </c>
      <c r="D15" s="10">
        <f>(C14/B14)*B5</f>
        <v>200.47112799999999</v>
      </c>
      <c r="E15" s="5">
        <f t="shared" ref="E15:E34" si="2">E14-C15</f>
        <v>7365.3070399999997</v>
      </c>
      <c r="F15" s="5">
        <f>E14</f>
        <v>7729.8</v>
      </c>
    </row>
    <row r="16" spans="1:7" ht="15.75" customHeight="1">
      <c r="A16" s="9">
        <v>2022</v>
      </c>
      <c r="B16" s="1">
        <v>0.04</v>
      </c>
      <c r="C16" s="5">
        <f t="shared" si="1"/>
        <v>364.49296000000004</v>
      </c>
      <c r="D16" s="5">
        <f>(D15/B5)*0.096</f>
        <v>874.78310400000009</v>
      </c>
      <c r="E16" s="5">
        <f t="shared" si="2"/>
        <v>7000.8140800000001</v>
      </c>
      <c r="F16" s="5">
        <f>F15-D15</f>
        <v>7529.328872</v>
      </c>
    </row>
    <row r="17" spans="1:6" ht="15.75" customHeight="1">
      <c r="A17" s="9">
        <v>2023</v>
      </c>
      <c r="B17" s="1">
        <v>0.04</v>
      </c>
      <c r="C17" s="5">
        <f t="shared" si="1"/>
        <v>364.49296000000004</v>
      </c>
      <c r="D17" s="5">
        <f>F29/5</f>
        <v>310.32886559999969</v>
      </c>
      <c r="E17" s="5">
        <f t="shared" si="2"/>
        <v>6636.3211200000005</v>
      </c>
      <c r="F17" s="5">
        <f>F16-D15</f>
        <v>7328.8577439999999</v>
      </c>
    </row>
    <row r="18" spans="1:6" ht="15.75" customHeight="1">
      <c r="A18" s="9">
        <v>2024</v>
      </c>
      <c r="B18" s="1">
        <v>0.04</v>
      </c>
      <c r="C18" s="5">
        <f t="shared" si="1"/>
        <v>364.49296000000004</v>
      </c>
      <c r="E18" s="5">
        <f t="shared" si="2"/>
        <v>6271.8281600000009</v>
      </c>
      <c r="F18" s="5">
        <f>F17-D15</f>
        <v>7128.3866159999998</v>
      </c>
    </row>
    <row r="19" spans="1:6" ht="15.75" customHeight="1">
      <c r="A19" s="9">
        <v>2025</v>
      </c>
      <c r="B19" s="1">
        <v>0.04</v>
      </c>
      <c r="C19" s="5">
        <f t="shared" si="1"/>
        <v>364.49296000000004</v>
      </c>
      <c r="E19" s="5">
        <f t="shared" si="2"/>
        <v>5907.3352000000014</v>
      </c>
      <c r="F19" s="5">
        <f>F18-D15</f>
        <v>6927.9154879999996</v>
      </c>
    </row>
    <row r="20" spans="1:6" ht="15.75" customHeight="1">
      <c r="A20" s="9">
        <v>2026</v>
      </c>
      <c r="B20" s="1">
        <v>0.04</v>
      </c>
      <c r="C20" s="5">
        <f t="shared" si="1"/>
        <v>364.49296000000004</v>
      </c>
      <c r="E20" s="5">
        <f t="shared" si="2"/>
        <v>5542.8422400000018</v>
      </c>
      <c r="F20" s="5">
        <f>F19-D15</f>
        <v>6727.4443599999995</v>
      </c>
    </row>
    <row r="21" spans="1:6" ht="15.75" customHeight="1">
      <c r="A21" s="9">
        <v>2027</v>
      </c>
      <c r="B21" s="1">
        <v>0.04</v>
      </c>
      <c r="C21" s="5">
        <f t="shared" si="1"/>
        <v>364.49296000000004</v>
      </c>
      <c r="E21" s="5">
        <f t="shared" si="2"/>
        <v>5178.3492800000022</v>
      </c>
      <c r="F21" s="5">
        <f>F20-D15</f>
        <v>6526.9732319999994</v>
      </c>
    </row>
    <row r="22" spans="1:6" ht="15.75" customHeight="1">
      <c r="A22" s="9">
        <v>2028</v>
      </c>
      <c r="B22" s="1">
        <v>0.04</v>
      </c>
      <c r="C22" s="5">
        <f t="shared" si="1"/>
        <v>364.49296000000004</v>
      </c>
      <c r="E22" s="5">
        <f t="shared" si="2"/>
        <v>4813.8563200000026</v>
      </c>
      <c r="F22" s="5">
        <f>F21-D15</f>
        <v>6326.5021039999992</v>
      </c>
    </row>
    <row r="23" spans="1:6" ht="15.75" customHeight="1">
      <c r="A23" s="9">
        <v>2029</v>
      </c>
      <c r="B23" s="1">
        <v>0.04</v>
      </c>
      <c r="C23" s="5">
        <f t="shared" si="1"/>
        <v>364.49296000000004</v>
      </c>
      <c r="E23" s="5">
        <f t="shared" si="2"/>
        <v>4449.363360000003</v>
      </c>
      <c r="F23" s="5">
        <f>F22-D15</f>
        <v>6126.0309759999991</v>
      </c>
    </row>
    <row r="24" spans="1:6" ht="15.75" customHeight="1">
      <c r="A24" s="9">
        <v>2030</v>
      </c>
      <c r="B24" s="1">
        <v>0.04</v>
      </c>
      <c r="C24" s="5">
        <f t="shared" si="1"/>
        <v>364.49296000000004</v>
      </c>
      <c r="E24" s="5">
        <f t="shared" si="2"/>
        <v>4084.870400000003</v>
      </c>
      <c r="F24" s="5">
        <f>F23-D15</f>
        <v>5925.559847999999</v>
      </c>
    </row>
    <row r="25" spans="1:6" ht="15.75" customHeight="1">
      <c r="A25" s="9">
        <v>2031</v>
      </c>
      <c r="B25" s="1">
        <v>3.4000000000000002E-2</v>
      </c>
      <c r="C25" s="5">
        <f t="shared" si="1"/>
        <v>309.81901600000003</v>
      </c>
      <c r="E25" s="5">
        <f t="shared" si="2"/>
        <v>3775.0513840000031</v>
      </c>
      <c r="F25" s="5">
        <f>F24-D16</f>
        <v>5050.7767439999989</v>
      </c>
    </row>
    <row r="26" spans="1:6" ht="15.75" customHeight="1">
      <c r="A26" s="9">
        <v>2032</v>
      </c>
      <c r="B26" s="1">
        <v>3.4000000000000002E-2</v>
      </c>
      <c r="C26" s="5">
        <f t="shared" si="1"/>
        <v>309.81901600000003</v>
      </c>
      <c r="E26" s="5">
        <f t="shared" si="2"/>
        <v>3465.2323680000031</v>
      </c>
      <c r="F26" s="5">
        <f>F25-D16</f>
        <v>4175.9936399999988</v>
      </c>
    </row>
    <row r="27" spans="1:6" ht="15.75" customHeight="1">
      <c r="A27" s="9">
        <v>2033</v>
      </c>
      <c r="B27" s="1">
        <v>3.4000000000000002E-2</v>
      </c>
      <c r="C27" s="5">
        <f t="shared" si="1"/>
        <v>309.81901600000003</v>
      </c>
      <c r="E27" s="5">
        <f t="shared" si="2"/>
        <v>3155.4133520000032</v>
      </c>
      <c r="F27" s="5">
        <f>F26-D16</f>
        <v>3301.2105359999987</v>
      </c>
    </row>
    <row r="28" spans="1:6" ht="15.75" customHeight="1">
      <c r="A28" s="9">
        <v>2034</v>
      </c>
      <c r="B28" s="1">
        <v>3.4000000000000002E-2</v>
      </c>
      <c r="C28" s="5">
        <f t="shared" si="1"/>
        <v>309.81901600000003</v>
      </c>
      <c r="E28" s="5">
        <f t="shared" si="2"/>
        <v>2845.5943360000033</v>
      </c>
      <c r="F28" s="5">
        <f>F27-D16</f>
        <v>2426.4274319999986</v>
      </c>
    </row>
    <row r="29" spans="1:6" ht="15.75" customHeight="1">
      <c r="A29" s="9">
        <v>2035</v>
      </c>
      <c r="B29" s="1">
        <v>3.4000000000000002E-2</v>
      </c>
      <c r="C29" s="5">
        <f t="shared" si="1"/>
        <v>309.81901600000003</v>
      </c>
      <c r="E29" s="5">
        <f t="shared" si="2"/>
        <v>2535.7753200000034</v>
      </c>
      <c r="F29" s="5">
        <f>F28-D16</f>
        <v>1551.6443279999985</v>
      </c>
    </row>
    <row r="30" spans="1:6" ht="15.75" customHeight="1">
      <c r="A30" s="9">
        <v>2036</v>
      </c>
      <c r="B30" s="1">
        <v>3.4000000000000002E-2</v>
      </c>
      <c r="C30" s="5">
        <f t="shared" si="1"/>
        <v>309.81901600000003</v>
      </c>
      <c r="E30" s="5">
        <f t="shared" si="2"/>
        <v>2225.9563040000035</v>
      </c>
      <c r="F30" s="5">
        <f>F29-D17</f>
        <v>1241.3154623999988</v>
      </c>
    </row>
    <row r="31" spans="1:6" ht="15.75" customHeight="1">
      <c r="A31" s="9">
        <v>2037</v>
      </c>
      <c r="B31" s="1">
        <v>3.4000000000000002E-2</v>
      </c>
      <c r="C31" s="5">
        <f t="shared" si="1"/>
        <v>309.81901600000003</v>
      </c>
      <c r="E31" s="5">
        <f t="shared" si="2"/>
        <v>1916.1372880000035</v>
      </c>
      <c r="F31" s="5">
        <f>F30-D17</f>
        <v>930.98659679999901</v>
      </c>
    </row>
    <row r="32" spans="1:6" ht="15.75" customHeight="1">
      <c r="A32" s="9">
        <v>2038</v>
      </c>
      <c r="B32" s="1">
        <v>3.4000000000000002E-2</v>
      </c>
      <c r="C32" s="5">
        <f t="shared" si="1"/>
        <v>309.81901600000003</v>
      </c>
      <c r="E32" s="5">
        <f t="shared" si="2"/>
        <v>1606.3182720000036</v>
      </c>
      <c r="F32" s="5">
        <f>F31-D17</f>
        <v>620.65773119999926</v>
      </c>
    </row>
    <row r="33" spans="1:6" ht="15.75" customHeight="1">
      <c r="A33" s="9">
        <v>2039</v>
      </c>
      <c r="B33" s="1">
        <v>3.4000000000000002E-2</v>
      </c>
      <c r="C33" s="5">
        <f t="shared" si="1"/>
        <v>309.81901600000003</v>
      </c>
      <c r="E33" s="5">
        <f t="shared" si="2"/>
        <v>1296.4992560000037</v>
      </c>
      <c r="F33" s="5">
        <f>F32-D17</f>
        <v>310.32886559999957</v>
      </c>
    </row>
    <row r="34" spans="1:6" ht="15.75" customHeight="1">
      <c r="A34" s="9">
        <v>2040</v>
      </c>
      <c r="B34" s="1">
        <v>3.4000000000000002E-2</v>
      </c>
      <c r="C34" s="5">
        <f t="shared" si="1"/>
        <v>309.81901600000003</v>
      </c>
      <c r="E34" s="5">
        <f t="shared" si="2"/>
        <v>986.68024000000366</v>
      </c>
      <c r="F34" s="1">
        <v>0</v>
      </c>
    </row>
    <row r="35" spans="1:6" ht="15.75" customHeight="1">
      <c r="A35" s="9">
        <v>2041</v>
      </c>
      <c r="B35" s="1">
        <v>8.9999999999999993E-3</v>
      </c>
      <c r="C35" s="11">
        <f t="shared" si="1"/>
        <v>82.010915999999995</v>
      </c>
      <c r="E35" s="5">
        <f>E34-C44</f>
        <v>888.01221600000326</v>
      </c>
      <c r="F35" s="1">
        <v>0</v>
      </c>
    </row>
    <row r="36" spans="1:6" ht="15.75" customHeight="1">
      <c r="A36" s="9">
        <v>2042</v>
      </c>
      <c r="B36" s="1">
        <v>8.9999999999999993E-3</v>
      </c>
      <c r="C36" s="11">
        <f t="shared" si="1"/>
        <v>82.010915999999995</v>
      </c>
      <c r="E36" s="5">
        <f>E35-C44</f>
        <v>789.34419200000286</v>
      </c>
      <c r="F36" s="1">
        <v>0</v>
      </c>
    </row>
    <row r="37" spans="1:6" ht="15.75" customHeight="1">
      <c r="A37" s="9">
        <v>2043</v>
      </c>
      <c r="B37" s="1">
        <v>8.9999999999999993E-3</v>
      </c>
      <c r="C37" s="11">
        <f t="shared" si="1"/>
        <v>82.010915999999995</v>
      </c>
      <c r="E37" s="5">
        <f>E36-C44</f>
        <v>690.67616800000246</v>
      </c>
      <c r="F37" s="1">
        <v>0</v>
      </c>
    </row>
    <row r="38" spans="1:6" ht="15.75" customHeight="1">
      <c r="A38" s="9">
        <v>2044</v>
      </c>
      <c r="B38" s="1">
        <v>8.9999999999999993E-3</v>
      </c>
      <c r="C38" s="11">
        <f t="shared" si="1"/>
        <v>82.010915999999995</v>
      </c>
      <c r="E38" s="5">
        <f>E37-C44</f>
        <v>592.00814400000206</v>
      </c>
      <c r="F38" s="1">
        <v>0</v>
      </c>
    </row>
    <row r="39" spans="1:6" ht="15.75" customHeight="1">
      <c r="A39" s="9">
        <v>2045</v>
      </c>
      <c r="B39" s="1">
        <v>8.9999999999999993E-3</v>
      </c>
      <c r="C39" s="11">
        <f t="shared" si="1"/>
        <v>82.010915999999995</v>
      </c>
      <c r="E39" s="5">
        <f>E38-C44</f>
        <v>493.34012000000166</v>
      </c>
      <c r="F39" s="1">
        <v>0</v>
      </c>
    </row>
    <row r="40" spans="1:6" ht="15.75" customHeight="1">
      <c r="A40" s="9">
        <v>2046</v>
      </c>
      <c r="B40" s="1">
        <v>8.9999999999999993E-3</v>
      </c>
      <c r="C40" s="11">
        <f t="shared" si="1"/>
        <v>82.010915999999995</v>
      </c>
      <c r="E40" s="5">
        <f>E39-C44</f>
        <v>394.67209600000126</v>
      </c>
      <c r="F40" s="1">
        <v>0</v>
      </c>
    </row>
    <row r="41" spans="1:6" ht="15.75" customHeight="1">
      <c r="A41" s="9">
        <v>2047</v>
      </c>
      <c r="B41" s="1">
        <v>8.9999999999999993E-3</v>
      </c>
      <c r="C41" s="11">
        <f t="shared" si="1"/>
        <v>82.010915999999995</v>
      </c>
      <c r="E41" s="5">
        <f>E40-C44</f>
        <v>296.00407200000086</v>
      </c>
      <c r="F41" s="1">
        <v>0</v>
      </c>
    </row>
    <row r="42" spans="1:6" ht="15.75" customHeight="1">
      <c r="A42" s="9">
        <v>2048</v>
      </c>
      <c r="B42" s="1">
        <v>8.9999999999999993E-3</v>
      </c>
      <c r="C42" s="11">
        <f t="shared" si="1"/>
        <v>82.010915999999995</v>
      </c>
      <c r="E42" s="5">
        <f>E41-C44</f>
        <v>197.33604800000049</v>
      </c>
      <c r="F42" s="1">
        <v>0</v>
      </c>
    </row>
    <row r="43" spans="1:6" ht="15.75" customHeight="1">
      <c r="A43" s="9">
        <v>2049</v>
      </c>
      <c r="B43" s="1">
        <v>8.9999999999999993E-3</v>
      </c>
      <c r="C43" s="11">
        <f t="shared" si="1"/>
        <v>82.010915999999995</v>
      </c>
      <c r="E43" s="5">
        <v>194.30434955927251</v>
      </c>
      <c r="F43" s="1">
        <v>0</v>
      </c>
    </row>
    <row r="44" spans="1:6" ht="15.75" customHeight="1">
      <c r="A44" s="9">
        <v>2050</v>
      </c>
      <c r="B44" s="1">
        <v>8.9999999999999993E-3</v>
      </c>
      <c r="C44" s="5">
        <f>(E34)/10</f>
        <v>98.668024000000372</v>
      </c>
      <c r="E44" s="12">
        <v>115.37</v>
      </c>
      <c r="F44" s="1">
        <v>0</v>
      </c>
    </row>
    <row r="45" spans="1:6" ht="15.75" customHeight="1">
      <c r="A45" s="9">
        <v>2051</v>
      </c>
      <c r="E45" s="12">
        <v>115.37</v>
      </c>
      <c r="F45" s="1">
        <v>0</v>
      </c>
    </row>
    <row r="46" spans="1:6" ht="13">
      <c r="A46" s="9">
        <v>2052</v>
      </c>
      <c r="E46" s="12">
        <v>115.37</v>
      </c>
      <c r="F46" s="1">
        <v>0</v>
      </c>
    </row>
    <row r="47" spans="1:6" ht="13">
      <c r="A47" s="9">
        <v>2053</v>
      </c>
      <c r="E47" s="12">
        <v>115.37</v>
      </c>
      <c r="F47" s="1">
        <v>0</v>
      </c>
    </row>
    <row r="48" spans="1:6" ht="13">
      <c r="A48" s="9">
        <v>2054</v>
      </c>
      <c r="E48" s="12">
        <v>115.37</v>
      </c>
      <c r="F48" s="1">
        <v>0</v>
      </c>
    </row>
    <row r="49" spans="1:6" ht="13">
      <c r="A49" s="9">
        <v>2055</v>
      </c>
      <c r="E49" s="12">
        <v>115.37</v>
      </c>
      <c r="F49" s="1">
        <v>0</v>
      </c>
    </row>
    <row r="50" spans="1:6" ht="13">
      <c r="A50" s="9">
        <v>2056</v>
      </c>
      <c r="E50" s="12">
        <v>115.37</v>
      </c>
      <c r="F50" s="1">
        <v>0</v>
      </c>
    </row>
    <row r="51" spans="1:6" ht="13">
      <c r="A51" s="9">
        <v>2057</v>
      </c>
      <c r="E51" s="12">
        <v>115.37</v>
      </c>
      <c r="F51" s="1">
        <v>0</v>
      </c>
    </row>
    <row r="52" spans="1:6" ht="13">
      <c r="A52" s="9">
        <v>2058</v>
      </c>
      <c r="E52" s="12">
        <v>115.37</v>
      </c>
      <c r="F52" s="1">
        <v>0</v>
      </c>
    </row>
    <row r="53" spans="1:6" ht="13">
      <c r="A53" s="9">
        <v>2059</v>
      </c>
      <c r="E53" s="12">
        <v>115.37</v>
      </c>
      <c r="F53" s="1">
        <v>0</v>
      </c>
    </row>
    <row r="54" spans="1:6" ht="13">
      <c r="A54" s="9">
        <v>2060</v>
      </c>
      <c r="E54" s="12">
        <v>115.37</v>
      </c>
      <c r="F54" s="1">
        <v>0</v>
      </c>
    </row>
    <row r="59" spans="1:6" ht="13"/>
    <row r="60" spans="1:6" ht="13"/>
    <row r="61" spans="1:6" ht="13"/>
    <row r="62" spans="1:6" ht="13"/>
    <row r="63" spans="1:6" ht="13"/>
    <row r="64" spans="1:6" ht="13"/>
    <row r="65" ht="13"/>
    <row r="66" ht="13"/>
    <row r="67" ht="13"/>
    <row r="68" ht="13"/>
    <row r="69" ht="13"/>
    <row r="70" ht="13"/>
    <row r="71" ht="13"/>
    <row r="72" ht="13"/>
    <row r="73" ht="13"/>
    <row r="74" ht="13"/>
    <row r="75" ht="13"/>
    <row r="76" ht="13"/>
    <row r="77" ht="13"/>
    <row r="78" ht="13"/>
    <row r="79" ht="13"/>
    <row r="80" ht="13"/>
    <row r="81" ht="13"/>
    <row r="82" ht="13"/>
    <row r="83" ht="13"/>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54"/>
  <sheetViews>
    <sheetView workbookViewId="0">
      <selection activeCell="F21" sqref="F21"/>
    </sheetView>
  </sheetViews>
  <sheetFormatPr baseColWidth="10" defaultColWidth="14.5" defaultRowHeight="15.75" customHeight="1"/>
  <cols>
    <col min="1" max="1" width="14.5" style="52"/>
    <col min="2" max="2" width="36" style="52" customWidth="1"/>
    <col min="3" max="4" width="19.5" style="52" customWidth="1"/>
    <col min="5" max="5" width="18.33203125" style="52" customWidth="1"/>
    <col min="6" max="6" width="31.5" style="52" customWidth="1"/>
    <col min="7" max="9" width="30" style="52" customWidth="1"/>
    <col min="10" max="10" width="30.5" style="52" customWidth="1"/>
    <col min="11" max="11" width="13.6640625" style="52" customWidth="1"/>
    <col min="12" max="12" width="9.1640625" style="52" customWidth="1"/>
    <col min="13" max="13" width="32.33203125" style="52" customWidth="1"/>
    <col min="14" max="16384" width="14.5" style="52"/>
  </cols>
  <sheetData>
    <row r="1" spans="1:14" ht="15.75" customHeight="1">
      <c r="A1" s="5"/>
      <c r="B1" s="5" t="s">
        <v>6</v>
      </c>
      <c r="C1" s="5">
        <f>9112.324</f>
        <v>9112.3240000000005</v>
      </c>
      <c r="E1" s="53"/>
      <c r="F1" s="53"/>
      <c r="G1" s="19"/>
      <c r="H1" s="19"/>
      <c r="I1" s="19"/>
      <c r="J1" s="19"/>
      <c r="K1" s="19"/>
    </row>
    <row r="2" spans="1:14" ht="15.75" customHeight="1">
      <c r="A2" s="39"/>
      <c r="B2" s="53"/>
      <c r="C2" s="54"/>
      <c r="D2" s="53"/>
      <c r="E2" s="53"/>
      <c r="F2" s="53"/>
      <c r="G2" s="19"/>
      <c r="H2" s="19"/>
      <c r="I2" s="19"/>
      <c r="J2" s="19"/>
      <c r="K2" s="19"/>
    </row>
    <row r="3" spans="1:14" ht="15">
      <c r="A3" s="5"/>
      <c r="B3" s="55" t="s">
        <v>8</v>
      </c>
      <c r="C3" s="13">
        <v>1.7399999999999999E-2</v>
      </c>
      <c r="D3" s="14">
        <f>C1*C3</f>
        <v>158.5544376</v>
      </c>
      <c r="E3" s="55"/>
      <c r="F3" s="55" t="s">
        <v>17</v>
      </c>
      <c r="G3" s="19"/>
      <c r="H3" s="19"/>
      <c r="I3" s="19"/>
      <c r="J3" s="19"/>
      <c r="K3" s="19"/>
    </row>
    <row r="4" spans="1:14" ht="15">
      <c r="A4" s="5"/>
      <c r="B4" s="56"/>
      <c r="C4" s="15"/>
      <c r="D4" s="14"/>
      <c r="E4" s="55"/>
      <c r="F4" s="55"/>
      <c r="G4" s="19"/>
      <c r="H4" s="19"/>
      <c r="I4" s="19"/>
      <c r="J4" s="19"/>
      <c r="K4" s="19"/>
    </row>
    <row r="5" spans="1:14" ht="15.75" customHeight="1">
      <c r="A5" s="19"/>
      <c r="B5" s="16"/>
      <c r="C5" s="16"/>
      <c r="D5" s="16"/>
      <c r="E5" s="19"/>
      <c r="F5" s="19"/>
      <c r="G5" s="19"/>
      <c r="H5" s="19"/>
      <c r="I5" s="19"/>
      <c r="J5" s="19"/>
      <c r="K5" s="19"/>
    </row>
    <row r="6" spans="1:14" ht="15.75" customHeight="1">
      <c r="A6" s="19"/>
      <c r="B6" s="16"/>
      <c r="C6" s="16"/>
      <c r="D6" s="16"/>
      <c r="E6" s="19"/>
      <c r="F6" s="19"/>
      <c r="G6" s="19"/>
      <c r="H6" s="19"/>
      <c r="I6" s="19"/>
      <c r="J6" s="19"/>
      <c r="K6" s="19"/>
    </row>
    <row r="7" spans="1:14" ht="15.75" customHeight="1">
      <c r="A7" s="19"/>
      <c r="B7" s="16" t="s">
        <v>10</v>
      </c>
      <c r="C7" s="16"/>
      <c r="D7" s="16"/>
      <c r="E7" s="19"/>
      <c r="F7" s="19"/>
      <c r="G7" s="19"/>
      <c r="H7" s="19"/>
      <c r="I7" s="19"/>
      <c r="J7" s="19"/>
      <c r="K7" s="19"/>
    </row>
    <row r="8" spans="1:14" ht="15.75" customHeight="1">
      <c r="A8" s="16" t="s">
        <v>11</v>
      </c>
      <c r="B8" s="19" t="s">
        <v>18</v>
      </c>
      <c r="C8" s="19" t="s">
        <v>19</v>
      </c>
      <c r="D8" s="19" t="s">
        <v>20</v>
      </c>
      <c r="E8" s="19" t="s">
        <v>21</v>
      </c>
      <c r="F8" s="19" t="s">
        <v>22</v>
      </c>
      <c r="H8" s="5"/>
      <c r="I8" s="5"/>
      <c r="J8" s="17"/>
      <c r="K8" s="18"/>
    </row>
    <row r="9" spans="1:14" ht="15.75" customHeight="1">
      <c r="A9" s="19">
        <v>2015</v>
      </c>
      <c r="B9" s="19">
        <v>78</v>
      </c>
      <c r="C9" s="19">
        <f>0.9015 *B9</f>
        <v>70.316999999999993</v>
      </c>
      <c r="D9" s="19">
        <f>C9/1000</f>
        <v>7.0316999999999991E-2</v>
      </c>
      <c r="E9" s="19"/>
      <c r="F9" s="19"/>
      <c r="H9" s="39"/>
      <c r="I9" s="5"/>
      <c r="J9" s="20"/>
      <c r="K9" s="5"/>
    </row>
    <row r="10" spans="1:14" ht="15">
      <c r="A10" s="19">
        <v>2016</v>
      </c>
      <c r="B10" s="19">
        <v>130.5</v>
      </c>
      <c r="C10" s="19">
        <f>0.87797*B10</f>
        <v>114.575085</v>
      </c>
      <c r="D10" s="19">
        <f>C10/1000</f>
        <v>0.11457508500000001</v>
      </c>
      <c r="E10" s="19"/>
      <c r="F10" s="19"/>
      <c r="H10" s="5"/>
      <c r="I10" s="57"/>
      <c r="J10" s="21"/>
      <c r="K10" s="17"/>
      <c r="L10" s="57"/>
    </row>
    <row r="11" spans="1:14" ht="15">
      <c r="A11" s="19">
        <v>2017</v>
      </c>
      <c r="B11" s="19">
        <v>140</v>
      </c>
      <c r="C11" s="19">
        <f>0.8865*B11</f>
        <v>124.11</v>
      </c>
      <c r="D11" s="19">
        <f>C11/1000</f>
        <v>0.12411</v>
      </c>
      <c r="E11" s="19"/>
      <c r="F11" s="19"/>
      <c r="I11" s="58"/>
      <c r="J11" s="22"/>
      <c r="K11" s="17"/>
      <c r="L11" s="57"/>
    </row>
    <row r="12" spans="1:14" ht="15">
      <c r="A12" s="19">
        <v>2018</v>
      </c>
      <c r="B12" s="19">
        <v>140</v>
      </c>
      <c r="C12" s="19">
        <f>0.8475*B12</f>
        <v>118.65</v>
      </c>
      <c r="D12" s="19">
        <f>C12/1000</f>
        <v>0.11865000000000001</v>
      </c>
      <c r="E12" s="19"/>
      <c r="F12" s="19"/>
      <c r="G12" s="19"/>
      <c r="I12" s="58"/>
      <c r="J12" s="5"/>
      <c r="K12" s="5"/>
      <c r="L12" s="5"/>
      <c r="M12" s="23"/>
      <c r="N12" s="58"/>
    </row>
    <row r="13" spans="1:14" ht="15">
      <c r="A13" s="19">
        <v>2019</v>
      </c>
      <c r="B13" s="19">
        <v>127</v>
      </c>
      <c r="C13" s="19">
        <f>0.8931*B13</f>
        <v>113.4237</v>
      </c>
      <c r="D13" s="19">
        <f>C13/1000</f>
        <v>0.1134237</v>
      </c>
      <c r="E13" s="19"/>
      <c r="F13" s="19"/>
      <c r="G13" s="19"/>
      <c r="I13" s="24"/>
      <c r="J13" s="25"/>
      <c r="L13" s="24"/>
      <c r="M13" s="26"/>
      <c r="N13" s="27"/>
    </row>
    <row r="14" spans="1:14" ht="15">
      <c r="A14" s="19">
        <v>2020</v>
      </c>
      <c r="B14" s="28">
        <v>134</v>
      </c>
      <c r="C14" s="28">
        <f>0.877*B14</f>
        <v>117.518</v>
      </c>
      <c r="D14" s="19">
        <f>C14/1000</f>
        <v>0.117518</v>
      </c>
      <c r="E14" s="19"/>
      <c r="F14" s="19"/>
      <c r="G14" s="19"/>
      <c r="I14" s="58"/>
      <c r="J14" s="25"/>
      <c r="L14" s="24"/>
      <c r="M14" s="29"/>
      <c r="N14" s="29"/>
    </row>
    <row r="15" spans="1:14" ht="15">
      <c r="A15" s="19">
        <v>2021</v>
      </c>
      <c r="B15" s="19">
        <v>137</v>
      </c>
      <c r="C15" s="19">
        <f>0.88*B15</f>
        <v>120.56</v>
      </c>
      <c r="D15" s="19">
        <f>C15/1000</f>
        <v>0.12056</v>
      </c>
      <c r="E15" s="19" t="s">
        <v>23</v>
      </c>
      <c r="F15" s="19" t="s">
        <v>23</v>
      </c>
      <c r="G15" s="19"/>
      <c r="J15" s="29"/>
      <c r="K15" s="29"/>
    </row>
    <row r="16" spans="1:14" ht="15.75" customHeight="1">
      <c r="A16" s="19">
        <v>2022</v>
      </c>
      <c r="B16" s="19"/>
      <c r="C16" s="19">
        <f t="shared" ref="C16:C54" si="0">C15+3</f>
        <v>123.56</v>
      </c>
      <c r="D16" s="19">
        <f>C16/1000</f>
        <v>0.12356</v>
      </c>
      <c r="E16" s="19"/>
      <c r="F16" s="19"/>
      <c r="G16" s="19"/>
    </row>
    <row r="17" spans="1:7" ht="15.75" customHeight="1">
      <c r="A17" s="19">
        <v>2023</v>
      </c>
      <c r="B17" s="19"/>
      <c r="C17" s="19">
        <f t="shared" si="0"/>
        <v>126.56</v>
      </c>
      <c r="D17" s="19">
        <f>C17/1000</f>
        <v>0.12656000000000001</v>
      </c>
      <c r="E17" s="19"/>
      <c r="F17" s="19"/>
      <c r="G17" s="19"/>
    </row>
    <row r="18" spans="1:7" ht="15.75" customHeight="1">
      <c r="A18" s="19">
        <v>2024</v>
      </c>
      <c r="B18" s="19"/>
      <c r="C18" s="19">
        <f t="shared" si="0"/>
        <v>129.56</v>
      </c>
      <c r="D18" s="19">
        <f>C18/1000</f>
        <v>0.12956000000000001</v>
      </c>
      <c r="E18" s="19"/>
      <c r="F18" s="19"/>
      <c r="G18" s="19"/>
    </row>
    <row r="19" spans="1:7" ht="15.75" customHeight="1">
      <c r="A19" s="19">
        <v>2025</v>
      </c>
      <c r="B19" s="19"/>
      <c r="C19" s="19">
        <f t="shared" si="0"/>
        <v>132.56</v>
      </c>
      <c r="D19" s="19">
        <f>C19/1000</f>
        <v>0.13256000000000001</v>
      </c>
      <c r="E19" s="19"/>
      <c r="F19" s="19"/>
      <c r="G19" s="19"/>
    </row>
    <row r="20" spans="1:7" ht="15.75" customHeight="1">
      <c r="A20" s="19">
        <v>2026</v>
      </c>
      <c r="B20" s="19"/>
      <c r="C20" s="19">
        <f t="shared" si="0"/>
        <v>135.56</v>
      </c>
      <c r="D20" s="19">
        <f>C20/1000</f>
        <v>0.13556000000000001</v>
      </c>
      <c r="E20" s="19"/>
      <c r="F20" s="19"/>
      <c r="G20" s="19"/>
    </row>
    <row r="21" spans="1:7" ht="15.75" customHeight="1">
      <c r="A21" s="19">
        <v>2027</v>
      </c>
      <c r="B21" s="19"/>
      <c r="C21" s="19">
        <f t="shared" si="0"/>
        <v>138.56</v>
      </c>
      <c r="D21" s="19">
        <f>C21/1000</f>
        <v>0.13855999999999999</v>
      </c>
      <c r="E21" s="19"/>
      <c r="F21" s="19"/>
      <c r="G21" s="19"/>
    </row>
    <row r="22" spans="1:7" ht="15.75" customHeight="1">
      <c r="A22" s="19">
        <v>2028</v>
      </c>
      <c r="B22" s="19"/>
      <c r="C22" s="19">
        <f t="shared" si="0"/>
        <v>141.56</v>
      </c>
      <c r="D22" s="19">
        <f>C22/1000</f>
        <v>0.14155999999999999</v>
      </c>
      <c r="E22" s="19"/>
      <c r="F22" s="19"/>
      <c r="G22" s="19"/>
    </row>
    <row r="23" spans="1:7" ht="15.75" customHeight="1">
      <c r="A23" s="19">
        <v>2029</v>
      </c>
      <c r="B23" s="19"/>
      <c r="C23" s="19">
        <f t="shared" si="0"/>
        <v>144.56</v>
      </c>
      <c r="D23" s="19">
        <f>C23/1000</f>
        <v>0.14455999999999999</v>
      </c>
      <c r="E23" s="19"/>
      <c r="F23" s="19"/>
      <c r="G23" s="19"/>
    </row>
    <row r="24" spans="1:7" ht="15.75" customHeight="1">
      <c r="A24" s="19">
        <v>2030</v>
      </c>
      <c r="B24" s="19"/>
      <c r="C24" s="19">
        <f t="shared" si="0"/>
        <v>147.56</v>
      </c>
      <c r="D24" s="19">
        <f>C24/1000</f>
        <v>0.14756</v>
      </c>
      <c r="E24" s="19"/>
      <c r="F24" s="19"/>
      <c r="G24" s="19"/>
    </row>
    <row r="25" spans="1:7" ht="15.75" customHeight="1">
      <c r="A25" s="19">
        <v>2031</v>
      </c>
      <c r="B25" s="19"/>
      <c r="C25" s="19">
        <f t="shared" si="0"/>
        <v>150.56</v>
      </c>
      <c r="D25" s="19">
        <f>C25/1000</f>
        <v>0.15056</v>
      </c>
      <c r="E25" s="19"/>
      <c r="F25" s="19"/>
      <c r="G25" s="19"/>
    </row>
    <row r="26" spans="1:7" ht="15.75" customHeight="1">
      <c r="A26" s="19">
        <v>2032</v>
      </c>
      <c r="B26" s="19"/>
      <c r="C26" s="19">
        <f t="shared" si="0"/>
        <v>153.56</v>
      </c>
      <c r="D26" s="19">
        <f>C26/1000</f>
        <v>0.15356</v>
      </c>
      <c r="E26" s="19"/>
      <c r="F26" s="19"/>
      <c r="G26" s="19"/>
    </row>
    <row r="27" spans="1:7" ht="15.75" customHeight="1">
      <c r="A27" s="19">
        <v>2033</v>
      </c>
      <c r="B27" s="19"/>
      <c r="C27" s="19">
        <f t="shared" si="0"/>
        <v>156.56</v>
      </c>
      <c r="D27" s="19">
        <f>C27/1000</f>
        <v>0.15656</v>
      </c>
      <c r="E27" s="19"/>
      <c r="F27" s="19"/>
      <c r="G27" s="19"/>
    </row>
    <row r="28" spans="1:7" ht="15.75" customHeight="1">
      <c r="A28" s="19">
        <v>2034</v>
      </c>
      <c r="B28" s="19"/>
      <c r="C28" s="19">
        <f t="shared" si="0"/>
        <v>159.56</v>
      </c>
      <c r="D28" s="19">
        <f>C28/1000</f>
        <v>0.15956000000000001</v>
      </c>
      <c r="E28" s="19"/>
      <c r="F28" s="19"/>
      <c r="G28" s="19"/>
    </row>
    <row r="29" spans="1:7" ht="15.75" customHeight="1">
      <c r="A29" s="19">
        <v>2035</v>
      </c>
      <c r="B29" s="19"/>
      <c r="C29" s="19">
        <f t="shared" si="0"/>
        <v>162.56</v>
      </c>
      <c r="D29" s="19">
        <f>C29/1000</f>
        <v>0.16256000000000001</v>
      </c>
      <c r="E29" s="19"/>
      <c r="F29" s="19"/>
      <c r="G29" s="19"/>
    </row>
    <row r="30" spans="1:7" ht="15.75" customHeight="1">
      <c r="A30" s="19">
        <v>2036</v>
      </c>
      <c r="B30" s="19"/>
      <c r="C30" s="19">
        <f t="shared" si="0"/>
        <v>165.56</v>
      </c>
      <c r="D30" s="19">
        <f>C30/1000</f>
        <v>0.16556000000000001</v>
      </c>
      <c r="E30" s="19"/>
      <c r="F30" s="19"/>
      <c r="G30" s="19"/>
    </row>
    <row r="31" spans="1:7" ht="15.75" customHeight="1">
      <c r="A31" s="19">
        <v>2037</v>
      </c>
      <c r="B31" s="19"/>
      <c r="C31" s="19">
        <f t="shared" si="0"/>
        <v>168.56</v>
      </c>
      <c r="D31" s="19">
        <f>C31/1000</f>
        <v>0.16856000000000002</v>
      </c>
      <c r="E31" s="19"/>
      <c r="F31" s="19"/>
      <c r="G31" s="19"/>
    </row>
    <row r="32" spans="1:7" ht="15.75" customHeight="1">
      <c r="A32" s="19">
        <v>2038</v>
      </c>
      <c r="B32" s="19"/>
      <c r="C32" s="19">
        <f t="shared" si="0"/>
        <v>171.56</v>
      </c>
      <c r="D32" s="19">
        <f>C32/1000</f>
        <v>0.17155999999999999</v>
      </c>
      <c r="E32" s="19"/>
      <c r="F32" s="19"/>
      <c r="G32" s="19"/>
    </row>
    <row r="33" spans="1:7" ht="15.75" customHeight="1">
      <c r="A33" s="19">
        <v>2039</v>
      </c>
      <c r="B33" s="19"/>
      <c r="C33" s="19">
        <f t="shared" si="0"/>
        <v>174.56</v>
      </c>
      <c r="D33" s="19">
        <f>C33/1000</f>
        <v>0.17455999999999999</v>
      </c>
      <c r="E33" s="19"/>
      <c r="F33" s="19"/>
      <c r="G33" s="19"/>
    </row>
    <row r="34" spans="1:7" ht="15.75" customHeight="1">
      <c r="A34" s="19">
        <v>2040</v>
      </c>
      <c r="B34" s="19"/>
      <c r="C34" s="19">
        <f t="shared" si="0"/>
        <v>177.56</v>
      </c>
      <c r="D34" s="19">
        <f>C34/1000</f>
        <v>0.17756</v>
      </c>
      <c r="E34" s="19"/>
      <c r="F34" s="19"/>
      <c r="G34" s="19"/>
    </row>
    <row r="35" spans="1:7" ht="15.75" customHeight="1">
      <c r="A35" s="19">
        <v>2041</v>
      </c>
      <c r="B35" s="19"/>
      <c r="C35" s="19">
        <f t="shared" si="0"/>
        <v>180.56</v>
      </c>
      <c r="D35" s="19">
        <f>C35/1000</f>
        <v>0.18056</v>
      </c>
      <c r="E35" s="19"/>
      <c r="F35" s="19"/>
      <c r="G35" s="19"/>
    </row>
    <row r="36" spans="1:7" ht="15.75" customHeight="1">
      <c r="A36" s="19">
        <v>2042</v>
      </c>
      <c r="B36" s="19"/>
      <c r="C36" s="19">
        <f t="shared" si="0"/>
        <v>183.56</v>
      </c>
      <c r="D36" s="19">
        <f>C36/1000</f>
        <v>0.18356</v>
      </c>
      <c r="E36" s="19"/>
      <c r="F36" s="19"/>
      <c r="G36" s="19"/>
    </row>
    <row r="37" spans="1:7" ht="15.75" customHeight="1">
      <c r="A37" s="19">
        <v>2043</v>
      </c>
      <c r="B37" s="19"/>
      <c r="C37" s="19">
        <f t="shared" si="0"/>
        <v>186.56</v>
      </c>
      <c r="D37" s="19">
        <f>C37/1000</f>
        <v>0.18656</v>
      </c>
      <c r="E37" s="19"/>
      <c r="F37" s="19"/>
      <c r="G37" s="19"/>
    </row>
    <row r="38" spans="1:7" ht="15.75" customHeight="1">
      <c r="A38" s="19">
        <v>2044</v>
      </c>
      <c r="B38" s="19"/>
      <c r="C38" s="19">
        <f t="shared" si="0"/>
        <v>189.56</v>
      </c>
      <c r="D38" s="19">
        <f>C38/1000</f>
        <v>0.18956000000000001</v>
      </c>
      <c r="E38" s="19"/>
      <c r="F38" s="19"/>
      <c r="G38" s="19"/>
    </row>
    <row r="39" spans="1:7" ht="15.75" customHeight="1">
      <c r="A39" s="19">
        <v>2045</v>
      </c>
      <c r="B39" s="19"/>
      <c r="C39" s="19">
        <f t="shared" si="0"/>
        <v>192.56</v>
      </c>
      <c r="D39" s="19">
        <f>C39/1000</f>
        <v>0.19256000000000001</v>
      </c>
      <c r="E39" s="19"/>
      <c r="F39" s="19"/>
      <c r="G39" s="19"/>
    </row>
    <row r="40" spans="1:7" ht="15.75" customHeight="1">
      <c r="A40" s="19">
        <v>2046</v>
      </c>
      <c r="B40" s="19"/>
      <c r="C40" s="19">
        <f t="shared" si="0"/>
        <v>195.56</v>
      </c>
      <c r="D40" s="19">
        <f>C40/1000</f>
        <v>0.19556000000000001</v>
      </c>
      <c r="E40" s="19"/>
      <c r="F40" s="19"/>
      <c r="G40" s="19"/>
    </row>
    <row r="41" spans="1:7" ht="15.75" customHeight="1">
      <c r="A41" s="19">
        <v>2047</v>
      </c>
      <c r="B41" s="19"/>
      <c r="C41" s="19">
        <f t="shared" si="0"/>
        <v>198.56</v>
      </c>
      <c r="D41" s="19">
        <f>C41/1000</f>
        <v>0.19856000000000001</v>
      </c>
      <c r="E41" s="19"/>
      <c r="F41" s="19"/>
      <c r="G41" s="19"/>
    </row>
    <row r="42" spans="1:7" ht="15.75" customHeight="1">
      <c r="A42" s="19">
        <v>2048</v>
      </c>
      <c r="B42" s="19"/>
      <c r="C42" s="19">
        <f t="shared" si="0"/>
        <v>201.56</v>
      </c>
      <c r="D42" s="19">
        <f>C42/1000</f>
        <v>0.20155999999999999</v>
      </c>
      <c r="E42" s="19"/>
      <c r="F42" s="19"/>
      <c r="G42" s="19"/>
    </row>
    <row r="43" spans="1:7" ht="15.75" customHeight="1">
      <c r="A43" s="19">
        <v>2049</v>
      </c>
      <c r="B43" s="19"/>
      <c r="C43" s="19">
        <f t="shared" si="0"/>
        <v>204.56</v>
      </c>
      <c r="D43" s="19">
        <f>C43/1000</f>
        <v>0.20455999999999999</v>
      </c>
      <c r="E43" s="19"/>
      <c r="F43" s="19"/>
      <c r="G43" s="19"/>
    </row>
    <row r="44" spans="1:7" ht="15.75" customHeight="1">
      <c r="A44" s="19">
        <v>2050</v>
      </c>
      <c r="B44" s="19"/>
      <c r="C44" s="19">
        <f t="shared" si="0"/>
        <v>207.56</v>
      </c>
      <c r="D44" s="19">
        <f>C44/1000</f>
        <v>0.20755999999999999</v>
      </c>
      <c r="E44" s="19"/>
      <c r="F44" s="19"/>
      <c r="G44" s="19"/>
    </row>
    <row r="45" spans="1:7" ht="15.75" customHeight="1">
      <c r="A45" s="19">
        <v>2051</v>
      </c>
      <c r="B45" s="19"/>
      <c r="C45" s="19">
        <f t="shared" si="0"/>
        <v>210.56</v>
      </c>
      <c r="D45" s="19">
        <f>C45/1000</f>
        <v>0.21056</v>
      </c>
      <c r="E45" s="19"/>
      <c r="F45" s="19"/>
      <c r="G45" s="19"/>
    </row>
    <row r="46" spans="1:7" ht="13">
      <c r="A46" s="19">
        <v>2052</v>
      </c>
      <c r="B46" s="19"/>
      <c r="C46" s="19">
        <f t="shared" si="0"/>
        <v>213.56</v>
      </c>
      <c r="D46" s="19">
        <f>C46/1000</f>
        <v>0.21356</v>
      </c>
      <c r="E46" s="19"/>
      <c r="F46" s="19"/>
      <c r="G46" s="19"/>
    </row>
    <row r="47" spans="1:7" ht="13">
      <c r="A47" s="19">
        <v>2053</v>
      </c>
      <c r="B47" s="19"/>
      <c r="C47" s="19">
        <f t="shared" si="0"/>
        <v>216.56</v>
      </c>
      <c r="D47" s="19">
        <f>C47/1000</f>
        <v>0.21656</v>
      </c>
      <c r="E47" s="19"/>
      <c r="F47" s="19"/>
      <c r="G47" s="19"/>
    </row>
    <row r="48" spans="1:7" ht="13">
      <c r="A48" s="19">
        <v>2054</v>
      </c>
      <c r="B48" s="19"/>
      <c r="C48" s="19">
        <f t="shared" si="0"/>
        <v>219.56</v>
      </c>
      <c r="D48" s="19">
        <f>C48/1000</f>
        <v>0.21956000000000001</v>
      </c>
      <c r="E48" s="19"/>
      <c r="F48" s="19"/>
      <c r="G48" s="19"/>
    </row>
    <row r="49" spans="1:7" ht="13">
      <c r="A49" s="19">
        <v>2055</v>
      </c>
      <c r="B49" s="19"/>
      <c r="C49" s="19">
        <f t="shared" si="0"/>
        <v>222.56</v>
      </c>
      <c r="D49" s="19">
        <f>C49/1000</f>
        <v>0.22256000000000001</v>
      </c>
      <c r="E49" s="19"/>
      <c r="F49" s="19"/>
      <c r="G49" s="19"/>
    </row>
    <row r="50" spans="1:7" ht="13">
      <c r="A50" s="19">
        <v>2056</v>
      </c>
      <c r="B50" s="19"/>
      <c r="C50" s="19">
        <f t="shared" si="0"/>
        <v>225.56</v>
      </c>
      <c r="D50" s="19">
        <f>C50/1000</f>
        <v>0.22556000000000001</v>
      </c>
      <c r="E50" s="19"/>
      <c r="F50" s="19"/>
      <c r="G50" s="19"/>
    </row>
    <row r="51" spans="1:7" ht="13">
      <c r="A51" s="19">
        <v>2057</v>
      </c>
      <c r="B51" s="19"/>
      <c r="C51" s="19">
        <f t="shared" si="0"/>
        <v>228.56</v>
      </c>
      <c r="D51" s="19">
        <f>C51/1000</f>
        <v>0.22856000000000001</v>
      </c>
      <c r="E51" s="19"/>
      <c r="F51" s="19"/>
      <c r="G51" s="19"/>
    </row>
    <row r="52" spans="1:7" ht="13">
      <c r="A52" s="19">
        <v>2058</v>
      </c>
      <c r="B52" s="19"/>
      <c r="C52" s="19">
        <f t="shared" si="0"/>
        <v>231.56</v>
      </c>
      <c r="D52" s="19">
        <f>C52/1000</f>
        <v>0.23156000000000002</v>
      </c>
      <c r="E52" s="19"/>
      <c r="F52" s="19"/>
      <c r="G52" s="19"/>
    </row>
    <row r="53" spans="1:7" ht="13">
      <c r="A53" s="19">
        <v>2059</v>
      </c>
      <c r="B53" s="19"/>
      <c r="C53" s="19">
        <f t="shared" si="0"/>
        <v>234.56</v>
      </c>
      <c r="D53" s="19">
        <f>C53/1000</f>
        <v>0.23455999999999999</v>
      </c>
      <c r="E53" s="19"/>
      <c r="F53" s="19"/>
      <c r="G53" s="19"/>
    </row>
    <row r="54" spans="1:7" ht="13">
      <c r="A54" s="19">
        <v>2060</v>
      </c>
      <c r="B54" s="19"/>
      <c r="C54" s="19">
        <f t="shared" si="0"/>
        <v>237.56</v>
      </c>
      <c r="D54" s="19">
        <f>C54/1000</f>
        <v>0.23755999999999999</v>
      </c>
      <c r="E54" s="19"/>
      <c r="F54" s="19"/>
      <c r="G54" s="19"/>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39"/>
  <sheetViews>
    <sheetView workbookViewId="0">
      <selection activeCell="C15" sqref="C1:E15"/>
    </sheetView>
  </sheetViews>
  <sheetFormatPr baseColWidth="10" defaultColWidth="14.5" defaultRowHeight="15.75" customHeight="1"/>
  <cols>
    <col min="1" max="1" width="22.1640625" customWidth="1"/>
    <col min="2" max="2" width="21" customWidth="1"/>
    <col min="3" max="3" width="13" customWidth="1"/>
    <col min="4" max="4" width="19.33203125" customWidth="1"/>
    <col min="5" max="7" width="15.1640625" customWidth="1"/>
    <col min="8" max="8" width="17" customWidth="1"/>
    <col min="9" max="9" width="23.6640625" customWidth="1"/>
    <col min="10" max="10" width="17.5" customWidth="1"/>
    <col min="12" max="12" width="22.1640625" customWidth="1"/>
    <col min="14" max="14" width="16.5" customWidth="1"/>
    <col min="15" max="15" width="21.6640625" customWidth="1"/>
  </cols>
  <sheetData>
    <row r="1" spans="1:15" ht="15.75" customHeight="1">
      <c r="B1" s="30" t="s">
        <v>0</v>
      </c>
      <c r="C1" s="30" t="s">
        <v>2</v>
      </c>
      <c r="D1" s="31" t="s">
        <v>24</v>
      </c>
      <c r="E1" s="30" t="s">
        <v>3</v>
      </c>
      <c r="F1" s="30" t="s">
        <v>4</v>
      </c>
      <c r="G1" s="30" t="s">
        <v>1</v>
      </c>
      <c r="I1" s="2" t="s">
        <v>25</v>
      </c>
    </row>
    <row r="2" spans="1:15" ht="15.75" customHeight="1">
      <c r="A2" s="3" t="s">
        <v>26</v>
      </c>
      <c r="B2" s="50" t="s">
        <v>27</v>
      </c>
      <c r="C2" s="1"/>
      <c r="D2" s="1"/>
      <c r="E2" s="1"/>
      <c r="F2" s="1"/>
      <c r="G2" s="1"/>
      <c r="I2" s="1" t="s">
        <v>28</v>
      </c>
      <c r="J2" s="32" t="s">
        <v>29</v>
      </c>
      <c r="L2" s="1"/>
      <c r="M2" s="1"/>
      <c r="O2" s="32" t="s">
        <v>30</v>
      </c>
    </row>
    <row r="3" spans="1:15" ht="15.75" customHeight="1">
      <c r="A3" s="33" t="s">
        <v>31</v>
      </c>
      <c r="B3" s="51"/>
      <c r="C3" s="1" t="s">
        <v>32</v>
      </c>
      <c r="D3" s="32" t="s">
        <v>33</v>
      </c>
      <c r="E3" s="1"/>
      <c r="I3" s="2" t="s">
        <v>34</v>
      </c>
      <c r="O3" s="1" t="s">
        <v>35</v>
      </c>
    </row>
    <row r="4" spans="1:15" ht="15.75" customHeight="1">
      <c r="A4" s="33" t="s">
        <v>36</v>
      </c>
      <c r="B4" s="51"/>
      <c r="C4" s="1" t="s">
        <v>37</v>
      </c>
      <c r="D4" s="32" t="s">
        <v>38</v>
      </c>
    </row>
    <row r="5" spans="1:15" ht="15.75" customHeight="1">
      <c r="A5" s="33" t="s">
        <v>39</v>
      </c>
      <c r="B5" s="51"/>
      <c r="C5" s="1" t="s">
        <v>40</v>
      </c>
      <c r="D5" s="34" t="s">
        <v>41</v>
      </c>
    </row>
    <row r="6" spans="1:15" ht="15.75" customHeight="1">
      <c r="A6" s="33" t="s">
        <v>42</v>
      </c>
      <c r="B6" s="51"/>
      <c r="C6" s="1" t="s">
        <v>37</v>
      </c>
      <c r="D6" s="32" t="s">
        <v>38</v>
      </c>
    </row>
    <row r="7" spans="1:15" ht="15.75" customHeight="1">
      <c r="A7" s="33" t="s">
        <v>43</v>
      </c>
      <c r="B7" s="51"/>
      <c r="C7" s="1" t="s">
        <v>44</v>
      </c>
      <c r="D7" s="34" t="s">
        <v>45</v>
      </c>
    </row>
    <row r="8" spans="1:15" ht="15.75" customHeight="1">
      <c r="A8" s="3" t="s">
        <v>46</v>
      </c>
      <c r="B8" s="51"/>
      <c r="G8" s="1"/>
    </row>
    <row r="9" spans="1:15" ht="15.75" customHeight="1">
      <c r="A9" s="35" t="s">
        <v>47</v>
      </c>
      <c r="B9" s="51"/>
    </row>
    <row r="10" spans="1:15" ht="15.75" customHeight="1">
      <c r="A10" s="35" t="s">
        <v>36</v>
      </c>
      <c r="B10" s="51"/>
      <c r="C10" s="1" t="s">
        <v>37</v>
      </c>
      <c r="D10" s="34" t="s">
        <v>48</v>
      </c>
    </row>
    <row r="11" spans="1:15" ht="15.75" customHeight="1">
      <c r="A11" s="35" t="s">
        <v>49</v>
      </c>
      <c r="B11" s="51"/>
      <c r="C11" s="1" t="s">
        <v>37</v>
      </c>
      <c r="D11" s="1" t="s">
        <v>50</v>
      </c>
    </row>
    <row r="12" spans="1:15" ht="15.75" customHeight="1">
      <c r="A12" s="3" t="s">
        <v>51</v>
      </c>
      <c r="B12" s="51"/>
    </row>
    <row r="13" spans="1:15" ht="15.75" customHeight="1">
      <c r="A13" s="36" t="s">
        <v>47</v>
      </c>
      <c r="B13" s="51"/>
    </row>
    <row r="14" spans="1:15" ht="15.75" customHeight="1">
      <c r="A14" s="36" t="s">
        <v>36</v>
      </c>
      <c r="B14" s="51"/>
      <c r="C14" s="1" t="s">
        <v>37</v>
      </c>
    </row>
    <row r="15" spans="1:15" ht="15.75" customHeight="1">
      <c r="A15" s="36" t="s">
        <v>52</v>
      </c>
      <c r="B15" s="51"/>
      <c r="C15" s="1" t="s">
        <v>40</v>
      </c>
    </row>
    <row r="19" spans="1:5" ht="15.75" customHeight="1">
      <c r="A19" s="1"/>
    </row>
    <row r="20" spans="1:5" ht="15.75" customHeight="1">
      <c r="A20" s="1"/>
    </row>
    <row r="21" spans="1:5" ht="15.75" customHeight="1">
      <c r="A21" s="1"/>
    </row>
    <row r="26" spans="1:5" ht="15.75" customHeight="1">
      <c r="C26" s="51"/>
      <c r="D26" s="51"/>
      <c r="E26" s="51"/>
    </row>
    <row r="30" spans="1:5" ht="15.75" customHeight="1">
      <c r="A30" s="3"/>
    </row>
    <row r="31" spans="1:5" ht="15.75" customHeight="1">
      <c r="A31" s="1"/>
    </row>
    <row r="32" spans="1:5" ht="15.75" customHeight="1">
      <c r="A32" s="1"/>
    </row>
    <row r="33" spans="1:1" ht="15.75" customHeight="1">
      <c r="A33" s="1"/>
    </row>
    <row r="34" spans="1:1" ht="15.75" customHeight="1">
      <c r="A34" s="1"/>
    </row>
    <row r="35" spans="1:1" ht="15.75" customHeight="1">
      <c r="A35" s="1"/>
    </row>
    <row r="36" spans="1:1" ht="15.75" customHeight="1">
      <c r="A36" s="1"/>
    </row>
    <row r="37" spans="1:1" ht="15.75" customHeight="1">
      <c r="A37" s="1"/>
    </row>
    <row r="38" spans="1:1" ht="15.75" customHeight="1">
      <c r="A38" s="1"/>
    </row>
    <row r="39" spans="1:1" ht="15.75" customHeight="1">
      <c r="A39" s="1"/>
    </row>
  </sheetData>
  <mergeCells count="2">
    <mergeCell ref="B2:B15"/>
    <mergeCell ref="C26:E26"/>
  </mergeCells>
  <hyperlinks>
    <hyperlink ref="B2" location="CAPEX!A1" display="CAPEX values" xr:uid="{00000000-0004-0000-0400-000000000000}"/>
    <hyperlink ref="J2" r:id="rId1" xr:uid="{00000000-0004-0000-0400-000001000000}"/>
    <hyperlink ref="O2" r:id="rId2" xr:uid="{00000000-0004-0000-0400-000002000000}"/>
    <hyperlink ref="D3" r:id="rId3" xr:uid="{00000000-0004-0000-0400-000003000000}"/>
    <hyperlink ref="D4" r:id="rId4" xr:uid="{00000000-0004-0000-0400-000006000000}"/>
    <hyperlink ref="D5" r:id="rId5" xr:uid="{00000000-0004-0000-0400-000008000000}"/>
    <hyperlink ref="D6" r:id="rId6" xr:uid="{00000000-0004-0000-0400-000009000000}"/>
    <hyperlink ref="D7" r:id="rId7" xr:uid="{00000000-0004-0000-0400-00000B000000}"/>
    <hyperlink ref="D10" r:id="rId8" xr:uid="{00000000-0004-0000-0400-00000E000000}"/>
  </hyperlinks>
  <pageMargins left="0.7" right="0.7" top="0.75" bottom="0.75" header="0.3" footer="0.3"/>
  <legacy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H40"/>
  <sheetViews>
    <sheetView tabSelected="1" workbookViewId="0"/>
  </sheetViews>
  <sheetFormatPr baseColWidth="10" defaultColWidth="14.5" defaultRowHeight="15.75" customHeight="1"/>
  <sheetData>
    <row r="3" spans="1:8" ht="15.75" customHeight="1">
      <c r="A3" s="3" t="s">
        <v>53</v>
      </c>
      <c r="B3" s="1" t="s">
        <v>54</v>
      </c>
    </row>
    <row r="4" spans="1:8" ht="15.75" customHeight="1">
      <c r="A4" s="1" t="s">
        <v>55</v>
      </c>
      <c r="B4" s="1">
        <v>692</v>
      </c>
      <c r="C4" s="1" t="s">
        <v>56</v>
      </c>
      <c r="D4" s="5">
        <f>B4</f>
        <v>692</v>
      </c>
      <c r="E4" s="1" t="s">
        <v>57</v>
      </c>
      <c r="G4" s="1" t="s">
        <v>58</v>
      </c>
    </row>
    <row r="5" spans="1:8" ht="15.75" customHeight="1">
      <c r="A5" s="1" t="s">
        <v>59</v>
      </c>
      <c r="B5" s="1">
        <v>632</v>
      </c>
      <c r="C5" s="1" t="s">
        <v>60</v>
      </c>
      <c r="D5" s="1">
        <v>557.49</v>
      </c>
      <c r="E5" s="1" t="s">
        <v>57</v>
      </c>
      <c r="G5" s="34" t="s">
        <v>61</v>
      </c>
      <c r="H5" s="1" t="s">
        <v>62</v>
      </c>
    </row>
    <row r="6" spans="1:8" ht="15.75" customHeight="1">
      <c r="A6" s="1" t="s">
        <v>63</v>
      </c>
      <c r="D6" s="5">
        <f>D4-D5</f>
        <v>134.51</v>
      </c>
      <c r="E6" s="1" t="s">
        <v>57</v>
      </c>
      <c r="G6" s="1" t="s">
        <v>64</v>
      </c>
    </row>
    <row r="7" spans="1:8" ht="15.75" customHeight="1">
      <c r="A7" s="1" t="s">
        <v>65</v>
      </c>
      <c r="D7" s="38">
        <f>CCS!I3</f>
        <v>0.64</v>
      </c>
      <c r="G7" s="1" t="s">
        <v>66</v>
      </c>
    </row>
    <row r="8" spans="1:8" ht="15.75" customHeight="1">
      <c r="A8" s="1" t="s">
        <v>67</v>
      </c>
      <c r="D8" s="37">
        <f>D6*(1-D7)</f>
        <v>48.423599999999993</v>
      </c>
      <c r="E8" s="1" t="s">
        <v>57</v>
      </c>
    </row>
    <row r="9" spans="1:8" ht="15.75" customHeight="1">
      <c r="A9" s="1" t="s">
        <v>68</v>
      </c>
      <c r="D9" s="37">
        <f>D8+D5</f>
        <v>605.91359999999997</v>
      </c>
      <c r="E9" s="1" t="s">
        <v>57</v>
      </c>
      <c r="G9" s="1" t="s">
        <v>69</v>
      </c>
    </row>
    <row r="11" spans="1:8" ht="15.75" customHeight="1">
      <c r="A11" s="3" t="s">
        <v>70</v>
      </c>
      <c r="B11" s="1" t="s">
        <v>71</v>
      </c>
    </row>
    <row r="12" spans="1:8" ht="15.75" customHeight="1">
      <c r="A12" s="1" t="s">
        <v>72</v>
      </c>
      <c r="D12" s="1">
        <v>574</v>
      </c>
      <c r="E12" s="1" t="s">
        <v>57</v>
      </c>
      <c r="G12" s="34" t="s">
        <v>58</v>
      </c>
    </row>
    <row r="13" spans="1:8" ht="15.75" customHeight="1">
      <c r="A13" s="1" t="s">
        <v>73</v>
      </c>
      <c r="D13" s="1">
        <v>160</v>
      </c>
      <c r="E13" s="1" t="s">
        <v>57</v>
      </c>
      <c r="G13" s="34" t="s">
        <v>74</v>
      </c>
    </row>
    <row r="14" spans="1:8" ht="15.75" customHeight="1">
      <c r="A14" s="1" t="s">
        <v>75</v>
      </c>
      <c r="D14" s="39">
        <f>200/840/30</f>
        <v>7.9365079365079361E-3</v>
      </c>
      <c r="G14" s="34" t="s">
        <v>61</v>
      </c>
      <c r="H14" s="1" t="s">
        <v>76</v>
      </c>
    </row>
    <row r="15" spans="1:8" ht="15.75" customHeight="1">
      <c r="A15" s="1" t="s">
        <v>77</v>
      </c>
      <c r="D15" s="5">
        <f>(1-40*D14)*D13</f>
        <v>109.20634920634922</v>
      </c>
      <c r="E15" s="1" t="s">
        <v>57</v>
      </c>
    </row>
    <row r="16" spans="1:8" ht="15.75" customHeight="1">
      <c r="A16" s="1" t="s">
        <v>68</v>
      </c>
      <c r="D16" s="37">
        <f>D12-D13+D15</f>
        <v>523.20634920634916</v>
      </c>
      <c r="E16" s="1" t="s">
        <v>57</v>
      </c>
    </row>
    <row r="18" spans="1:8" ht="15.75" customHeight="1">
      <c r="A18" s="3" t="s">
        <v>78</v>
      </c>
      <c r="B18" s="1" t="s">
        <v>54</v>
      </c>
    </row>
    <row r="19" spans="1:8" ht="15.75" customHeight="1">
      <c r="A19" s="1" t="s">
        <v>55</v>
      </c>
      <c r="B19" s="1">
        <v>374</v>
      </c>
      <c r="C19" s="1" t="s">
        <v>56</v>
      </c>
      <c r="D19" s="5">
        <f>B19/1.35</f>
        <v>277.03703703703701</v>
      </c>
      <c r="E19" s="1" t="s">
        <v>57</v>
      </c>
      <c r="G19" s="1" t="s">
        <v>58</v>
      </c>
    </row>
    <row r="20" spans="1:8" ht="15.75" customHeight="1">
      <c r="A20" s="1" t="s">
        <v>59</v>
      </c>
      <c r="D20" s="1">
        <f>210/1.35</f>
        <v>155.55555555555554</v>
      </c>
      <c r="E20" s="1" t="s">
        <v>57</v>
      </c>
      <c r="G20" s="34" t="s">
        <v>79</v>
      </c>
      <c r="H20" s="1" t="s">
        <v>80</v>
      </c>
    </row>
    <row r="21" spans="1:8" ht="15.75" customHeight="1">
      <c r="A21" s="1" t="s">
        <v>63</v>
      </c>
      <c r="D21" s="5">
        <f>D19-D20</f>
        <v>121.48148148148147</v>
      </c>
      <c r="E21" s="1" t="s">
        <v>57</v>
      </c>
      <c r="G21" s="1" t="s">
        <v>64</v>
      </c>
    </row>
    <row r="22" spans="1:8" ht="15.75" customHeight="1">
      <c r="A22" s="1" t="s">
        <v>65</v>
      </c>
      <c r="D22" s="38">
        <f>CCS!I3</f>
        <v>0.64</v>
      </c>
      <c r="G22" s="1" t="s">
        <v>66</v>
      </c>
    </row>
    <row r="23" spans="1:8" ht="15.75" customHeight="1">
      <c r="A23" s="1" t="s">
        <v>67</v>
      </c>
      <c r="D23" s="37">
        <f>D21*(1-D22)</f>
        <v>43.733333333333327</v>
      </c>
      <c r="E23" s="1" t="s">
        <v>57</v>
      </c>
    </row>
    <row r="24" spans="1:8" ht="15.75" customHeight="1">
      <c r="A24" s="1" t="s">
        <v>68</v>
      </c>
      <c r="D24" s="37">
        <f>D23+D20</f>
        <v>199.28888888888886</v>
      </c>
      <c r="E24" s="1" t="s">
        <v>57</v>
      </c>
      <c r="G24" s="1" t="s">
        <v>69</v>
      </c>
    </row>
    <row r="26" spans="1:8" ht="15.75" customHeight="1">
      <c r="A26" s="3" t="s">
        <v>81</v>
      </c>
      <c r="B26" s="1" t="s">
        <v>82</v>
      </c>
    </row>
    <row r="27" spans="1:8" ht="15.75" customHeight="1">
      <c r="A27" s="1" t="s">
        <v>55</v>
      </c>
      <c r="B27" s="1">
        <v>303.8</v>
      </c>
      <c r="C27" s="1" t="s">
        <v>56</v>
      </c>
      <c r="D27" s="5">
        <f>B27/1.35</f>
        <v>225.03703703703704</v>
      </c>
      <c r="E27" s="1" t="s">
        <v>57</v>
      </c>
      <c r="G27" s="1" t="s">
        <v>58</v>
      </c>
    </row>
    <row r="28" spans="1:8" ht="15.75" customHeight="1">
      <c r="A28" s="1" t="s">
        <v>59</v>
      </c>
      <c r="D28" s="1">
        <f>204.4/1.35</f>
        <v>151.40740740740739</v>
      </c>
      <c r="E28" s="1" t="s">
        <v>57</v>
      </c>
      <c r="G28" s="40" t="s">
        <v>79</v>
      </c>
    </row>
    <row r="29" spans="1:8" ht="15.75" customHeight="1">
      <c r="A29" s="1" t="s">
        <v>63</v>
      </c>
      <c r="D29" s="5">
        <f>D27-D28</f>
        <v>73.629629629629648</v>
      </c>
      <c r="E29" s="1" t="s">
        <v>57</v>
      </c>
      <c r="G29" s="1" t="s">
        <v>64</v>
      </c>
    </row>
    <row r="30" spans="1:8" ht="15.75" customHeight="1">
      <c r="A30" s="1" t="s">
        <v>65</v>
      </c>
      <c r="D30" s="38">
        <f>CCS!I5</f>
        <v>0.7</v>
      </c>
      <c r="G30" s="1" t="s">
        <v>66</v>
      </c>
    </row>
    <row r="31" spans="1:8" ht="15.75" customHeight="1">
      <c r="A31" s="1" t="s">
        <v>67</v>
      </c>
      <c r="D31" s="37">
        <f>D29*(1-D30)</f>
        <v>22.088888888888899</v>
      </c>
      <c r="E31" s="1" t="s">
        <v>57</v>
      </c>
    </row>
    <row r="32" spans="1:8" ht="15.75" customHeight="1">
      <c r="A32" s="1" t="s">
        <v>68</v>
      </c>
      <c r="D32" s="37">
        <f>D31+D28</f>
        <v>173.49629629629629</v>
      </c>
      <c r="E32" s="1" t="s">
        <v>57</v>
      </c>
      <c r="G32" s="1" t="s">
        <v>69</v>
      </c>
    </row>
    <row r="34" spans="1:7" ht="15.75" customHeight="1">
      <c r="A34" s="3" t="s">
        <v>83</v>
      </c>
      <c r="B34" s="1" t="s">
        <v>84</v>
      </c>
    </row>
    <row r="35" spans="1:7" ht="15.75" customHeight="1">
      <c r="A35" s="1" t="s">
        <v>55</v>
      </c>
      <c r="B35" s="1">
        <v>1758.1</v>
      </c>
      <c r="C35" s="1" t="s">
        <v>56</v>
      </c>
      <c r="D35" s="5">
        <f t="shared" ref="D35:D36" si="0">B35/800</f>
        <v>2.1976249999999999</v>
      </c>
      <c r="E35" s="1" t="s">
        <v>57</v>
      </c>
      <c r="G35" s="1" t="s">
        <v>58</v>
      </c>
    </row>
    <row r="36" spans="1:7" ht="15.75" customHeight="1">
      <c r="A36" s="1" t="s">
        <v>59</v>
      </c>
      <c r="B36" s="1">
        <v>1341.5</v>
      </c>
      <c r="C36" s="1" t="s">
        <v>56</v>
      </c>
      <c r="D36" s="5">
        <f t="shared" si="0"/>
        <v>1.6768749999999999</v>
      </c>
      <c r="E36" s="1" t="s">
        <v>57</v>
      </c>
      <c r="G36" s="40" t="s">
        <v>79</v>
      </c>
    </row>
    <row r="37" spans="1:7" ht="15.75" customHeight="1">
      <c r="A37" s="1" t="s">
        <v>63</v>
      </c>
      <c r="B37" s="5">
        <f>D37*800</f>
        <v>416.6</v>
      </c>
      <c r="C37" s="1" t="s">
        <v>56</v>
      </c>
      <c r="D37" s="5">
        <f>D35-D36</f>
        <v>0.52075000000000005</v>
      </c>
      <c r="E37" s="1" t="s">
        <v>57</v>
      </c>
      <c r="G37" s="1" t="s">
        <v>64</v>
      </c>
    </row>
    <row r="38" spans="1:7" ht="15.75" customHeight="1">
      <c r="A38" s="1" t="s">
        <v>65</v>
      </c>
      <c r="D38" s="38">
        <f>CCS!I4</f>
        <v>0.57999999999999996</v>
      </c>
      <c r="G38" s="1" t="s">
        <v>66</v>
      </c>
    </row>
    <row r="39" spans="1:7" ht="15.75" customHeight="1">
      <c r="A39" s="1" t="s">
        <v>67</v>
      </c>
      <c r="D39" s="37">
        <f>D37*(1-D38)</f>
        <v>0.21871500000000005</v>
      </c>
      <c r="E39" s="1" t="s">
        <v>57</v>
      </c>
    </row>
    <row r="40" spans="1:7" ht="15.75" customHeight="1">
      <c r="A40" s="1" t="s">
        <v>68</v>
      </c>
      <c r="D40" s="37">
        <f>D39+D36</f>
        <v>1.8955899999999999</v>
      </c>
      <c r="E40" s="1" t="s">
        <v>57</v>
      </c>
      <c r="G40" s="1" t="s">
        <v>69</v>
      </c>
    </row>
  </sheetData>
  <hyperlinks>
    <hyperlink ref="G5" r:id="rId1" location="v=onepage&amp;q=Environmental%20and%20Economic%20Sustainability%20in%20East%20Asia%3A%20Policies%20and%20Institutional%20Reforms&amp;f=false" xr:uid="{00000000-0004-0000-0600-000000000000}"/>
    <hyperlink ref="G12" r:id="rId2" xr:uid="{00000000-0004-0000-0600-000001000000}"/>
    <hyperlink ref="G13" r:id="rId3" xr:uid="{00000000-0004-0000-0600-000002000000}"/>
    <hyperlink ref="G14" r:id="rId4" xr:uid="{00000000-0004-0000-0600-000003000000}"/>
    <hyperlink ref="G20" r:id="rId5" xr:uid="{00000000-0004-0000-0600-00000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20"/>
  <sheetViews>
    <sheetView workbookViewId="0"/>
  </sheetViews>
  <sheetFormatPr baseColWidth="10" defaultColWidth="14.5" defaultRowHeight="15.75" customHeight="1"/>
  <cols>
    <col min="1" max="1" width="24.5" customWidth="1"/>
  </cols>
  <sheetData>
    <row r="1" spans="1:26">
      <c r="A1" s="41" t="s">
        <v>85</v>
      </c>
    </row>
    <row r="2" spans="1:26">
      <c r="A2" s="3" t="s">
        <v>86</v>
      </c>
      <c r="B2" s="3">
        <v>2013</v>
      </c>
      <c r="C2" s="3">
        <v>2020</v>
      </c>
      <c r="D2" s="3">
        <v>2028</v>
      </c>
      <c r="E2" s="3">
        <v>2040</v>
      </c>
      <c r="F2" s="42"/>
      <c r="G2" s="43">
        <v>2015</v>
      </c>
      <c r="H2" s="43">
        <v>2060</v>
      </c>
      <c r="I2" s="44" t="s">
        <v>87</v>
      </c>
      <c r="J2" s="42"/>
      <c r="K2" s="42"/>
      <c r="L2" s="42"/>
      <c r="M2" s="42"/>
      <c r="N2" s="42"/>
      <c r="O2" s="42"/>
      <c r="P2" s="42"/>
      <c r="Q2" s="42"/>
      <c r="R2" s="42"/>
      <c r="S2" s="42"/>
      <c r="T2" s="42"/>
      <c r="U2" s="42"/>
      <c r="V2" s="42"/>
      <c r="W2" s="42"/>
      <c r="X2" s="42"/>
      <c r="Y2" s="42"/>
      <c r="Z2" s="42"/>
    </row>
    <row r="3" spans="1:26">
      <c r="A3" s="1" t="s">
        <v>88</v>
      </c>
      <c r="B3" s="1">
        <v>1241</v>
      </c>
      <c r="C3" s="1">
        <v>1103</v>
      </c>
      <c r="D3" s="1">
        <v>932</v>
      </c>
      <c r="E3" s="1">
        <v>787</v>
      </c>
      <c r="G3" s="45">
        <v>1188.93</v>
      </c>
      <c r="H3" s="45">
        <v>426.72</v>
      </c>
      <c r="I3" s="46">
        <v>0.64</v>
      </c>
    </row>
    <row r="4" spans="1:26">
      <c r="A4" s="1" t="s">
        <v>89</v>
      </c>
      <c r="B4" s="1">
        <v>813</v>
      </c>
      <c r="C4" s="1">
        <v>727</v>
      </c>
      <c r="D4" s="1">
        <v>626</v>
      </c>
      <c r="E4" s="1">
        <v>543</v>
      </c>
      <c r="G4" s="45">
        <v>780.34</v>
      </c>
      <c r="H4" s="45">
        <v>328.36</v>
      </c>
      <c r="I4" s="46">
        <v>0.57999999999999996</v>
      </c>
    </row>
    <row r="5" spans="1:26">
      <c r="A5" s="1" t="s">
        <v>90</v>
      </c>
      <c r="B5" s="1">
        <v>1245</v>
      </c>
      <c r="C5" s="1">
        <v>1095</v>
      </c>
      <c r="D5" s="1">
        <v>899</v>
      </c>
      <c r="E5" s="1">
        <v>755</v>
      </c>
      <c r="G5" s="45">
        <v>1185.7049999999999</v>
      </c>
      <c r="H5" s="45">
        <v>359.82</v>
      </c>
      <c r="I5" s="46">
        <v>0.7</v>
      </c>
    </row>
    <row r="6" spans="1:26">
      <c r="A6" s="1" t="s">
        <v>91</v>
      </c>
      <c r="B6" s="1">
        <v>974</v>
      </c>
      <c r="C6" s="1">
        <v>906</v>
      </c>
      <c r="D6" s="1">
        <v>771</v>
      </c>
      <c r="E6" s="1">
        <v>681</v>
      </c>
      <c r="G6" s="45">
        <v>948.55</v>
      </c>
      <c r="H6" s="45">
        <v>443.2</v>
      </c>
      <c r="I6" s="46">
        <v>0.53</v>
      </c>
    </row>
    <row r="7" spans="1:26">
      <c r="G7" s="47"/>
      <c r="H7" s="47"/>
      <c r="I7" s="47"/>
    </row>
    <row r="8" spans="1:26">
      <c r="A8" s="41" t="s">
        <v>92</v>
      </c>
      <c r="F8" s="48"/>
    </row>
    <row r="9" spans="1:26">
      <c r="A9" s="3" t="s">
        <v>86</v>
      </c>
      <c r="B9" s="3">
        <v>2013</v>
      </c>
      <c r="C9" s="3">
        <v>2020</v>
      </c>
      <c r="D9" s="3">
        <v>2028</v>
      </c>
      <c r="E9" s="3">
        <v>2040</v>
      </c>
      <c r="F9" s="39"/>
      <c r="G9" s="43">
        <v>2015</v>
      </c>
      <c r="H9" s="43">
        <v>2060</v>
      </c>
      <c r="I9" s="44" t="s">
        <v>87</v>
      </c>
    </row>
    <row r="10" spans="1:26">
      <c r="A10" s="1" t="s">
        <v>88</v>
      </c>
      <c r="B10" s="1">
        <v>1437</v>
      </c>
      <c r="C10" s="1">
        <v>1361</v>
      </c>
      <c r="D10" s="1">
        <v>1281</v>
      </c>
      <c r="E10" s="1">
        <v>1171</v>
      </c>
      <c r="F10" s="39"/>
      <c r="G10" s="45">
        <v>1413.1555000000001</v>
      </c>
      <c r="H10" s="45">
        <v>971.42200000000003</v>
      </c>
      <c r="I10" s="49">
        <v>0.31</v>
      </c>
    </row>
    <row r="11" spans="1:26">
      <c r="A11" s="1" t="s">
        <v>89</v>
      </c>
      <c r="B11" s="1">
        <v>964</v>
      </c>
      <c r="C11" s="1">
        <v>943</v>
      </c>
      <c r="D11" s="1">
        <v>889</v>
      </c>
      <c r="E11" s="1">
        <v>832</v>
      </c>
      <c r="F11" s="39"/>
      <c r="G11" s="45">
        <v>958.71100000000001</v>
      </c>
      <c r="H11" s="45">
        <v>730.44399999999996</v>
      </c>
      <c r="I11" s="49">
        <v>0.24</v>
      </c>
    </row>
    <row r="12" spans="1:26">
      <c r="A12" s="1" t="s">
        <v>90</v>
      </c>
      <c r="B12" s="1">
        <v>1486</v>
      </c>
      <c r="C12" s="1">
        <v>1400</v>
      </c>
      <c r="D12" s="1">
        <v>1286</v>
      </c>
      <c r="E12" s="1">
        <v>1176</v>
      </c>
      <c r="F12" s="39"/>
      <c r="G12" s="45">
        <v>1455.03</v>
      </c>
      <c r="H12" s="45">
        <v>933.12</v>
      </c>
      <c r="I12" s="49">
        <v>0.36</v>
      </c>
    </row>
    <row r="13" spans="1:26">
      <c r="A13" s="1" t="s">
        <v>91</v>
      </c>
      <c r="B13" s="1">
        <v>1220</v>
      </c>
      <c r="C13" s="1">
        <v>1178</v>
      </c>
      <c r="D13" s="1">
        <v>1109</v>
      </c>
      <c r="E13" s="1">
        <v>1039</v>
      </c>
      <c r="G13" s="45">
        <v>1207.0119999999999</v>
      </c>
      <c r="H13" s="45">
        <v>899.24800000000005</v>
      </c>
      <c r="I13" s="49">
        <v>0.25</v>
      </c>
    </row>
    <row r="15" spans="1:26" ht="15.75" customHeight="1">
      <c r="A15" s="32" t="s">
        <v>93</v>
      </c>
      <c r="C15" s="39"/>
    </row>
    <row r="20" spans="5:6" ht="15.75" customHeight="1">
      <c r="E20" s="5">
        <f>1000000000/1000000</f>
        <v>1000</v>
      </c>
      <c r="F20" s="1" t="s">
        <v>94</v>
      </c>
    </row>
  </sheetData>
  <hyperlinks>
    <hyperlink ref="A15" r:id="rId1" xr:uid="{00000000-0004-0000-07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European</vt:lpstr>
      <vt:lpstr>Swedish</vt:lpstr>
      <vt:lpstr>Technology</vt:lpstr>
      <vt:lpstr>CAPEX calc</vt:lpstr>
      <vt:lpstr>CCS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2021-12-15T18:13:04Z</dcterms:modified>
</cp:coreProperties>
</file>