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8_{FD633CD2-AF32-4D12-ACAB-B9C07CCB9E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lance del flujo de caja" sheetId="1" r:id="rId1"/>
  </sheets>
  <definedNames>
    <definedName name="FechaDeInicioelañoFiscal">'Balance del flujo de caja'!$B$4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9" i="1" l="1"/>
  <c r="R30" i="1"/>
  <c r="P3" i="1" l="1"/>
  <c r="O3" i="1"/>
  <c r="N3" i="1"/>
  <c r="M3" i="1"/>
  <c r="L3" i="1"/>
  <c r="K3" i="1"/>
  <c r="J3" i="1"/>
  <c r="I3" i="1"/>
  <c r="H3" i="1"/>
  <c r="G3" i="1"/>
  <c r="F3" i="1"/>
  <c r="E3" i="1" l="1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E4" i="1"/>
  <c r="F4" i="1" s="1"/>
  <c r="G4" i="1" l="1"/>
  <c r="H4" i="1" s="1"/>
  <c r="I4" i="1" s="1"/>
  <c r="J4" i="1" s="1"/>
  <c r="K4" i="1" s="1"/>
  <c r="L4" i="1" s="1"/>
  <c r="M4" i="1" s="1"/>
  <c r="N4" i="1" s="1"/>
  <c r="O4" i="1" s="1"/>
  <c r="P4" i="1" s="1"/>
  <c r="E32" i="1"/>
  <c r="F32" i="1"/>
  <c r="G32" i="1"/>
  <c r="H32" i="1"/>
  <c r="I32" i="1"/>
  <c r="J32" i="1"/>
  <c r="K32" i="1"/>
  <c r="L32" i="1"/>
  <c r="M32" i="1"/>
  <c r="N32" i="1"/>
  <c r="O32" i="1"/>
  <c r="P32" i="1"/>
  <c r="D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R28" i="1"/>
  <c r="R17" i="1"/>
  <c r="R18" i="1"/>
  <c r="R19" i="1"/>
  <c r="R20" i="1"/>
  <c r="R21" i="1"/>
  <c r="R22" i="1"/>
  <c r="R23" i="1"/>
  <c r="R24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R16" i="1"/>
  <c r="D13" i="1"/>
  <c r="R9" i="1"/>
  <c r="R10" i="1"/>
  <c r="R11" i="1"/>
  <c r="R12" i="1" l="1"/>
  <c r="D34" i="1"/>
  <c r="E6" i="1" s="1"/>
  <c r="E13" i="1" s="1"/>
  <c r="E34" i="1" s="1"/>
  <c r="R32" i="1"/>
  <c r="R31" i="1"/>
  <c r="R25" i="1"/>
  <c r="F6" i="1" l="1"/>
  <c r="F13" i="1" s="1"/>
  <c r="F34" i="1" s="1"/>
  <c r="G6" i="1" s="1"/>
  <c r="G13" i="1" s="1"/>
  <c r="G34" i="1" s="1"/>
  <c r="H6" i="1" s="1"/>
  <c r="H13" i="1" s="1"/>
  <c r="H34" i="1" s="1"/>
  <c r="I6" i="1" s="1"/>
  <c r="I13" i="1" s="1"/>
  <c r="I34" i="1" s="1"/>
  <c r="J6" i="1" s="1"/>
  <c r="J13" i="1" s="1"/>
  <c r="J34" i="1" s="1"/>
  <c r="K6" i="1" s="1"/>
  <c r="K13" i="1" s="1"/>
  <c r="K34" i="1" s="1"/>
  <c r="L6" i="1" s="1"/>
  <c r="L13" i="1" s="1"/>
  <c r="L34" i="1" s="1"/>
  <c r="M6" i="1" s="1"/>
  <c r="M13" i="1" s="1"/>
  <c r="M34" i="1" s="1"/>
  <c r="N6" i="1" s="1"/>
  <c r="N13" i="1" s="1"/>
  <c r="N34" i="1" s="1"/>
  <c r="O6" i="1" s="1"/>
  <c r="O13" i="1" s="1"/>
  <c r="O34" i="1" s="1"/>
  <c r="P6" i="1" s="1"/>
  <c r="P13" i="1" l="1"/>
  <c r="P34" i="1" s="1"/>
  <c r="R6" i="1"/>
  <c r="R13" i="1" s="1"/>
  <c r="R34" i="1" s="1"/>
</calcChain>
</file>

<file path=xl/sharedStrings.xml><?xml version="1.0" encoding="utf-8"?>
<sst xmlns="http://schemas.openxmlformats.org/spreadsheetml/2006/main" count="31" uniqueCount="28">
  <si>
    <t>Efectivo en la mano (al principio del mes)</t>
  </si>
  <si>
    <t>Cobros de las cuentas fm CR</t>
  </si>
  <si>
    <t>Préstamo / Otras inyecciones de efectivo</t>
  </si>
  <si>
    <t>Efectivo total disponible (antes del retiro)</t>
  </si>
  <si>
    <t>Publicidad</t>
  </si>
  <si>
    <t>Impuestos (bienes raíces, etc.)</t>
  </si>
  <si>
    <t>Interés</t>
  </si>
  <si>
    <t>Pago principal del préstamo</t>
  </si>
  <si>
    <t>Posición del efectivo (al final del mes)</t>
  </si>
  <si>
    <t>Total</t>
  </si>
  <si>
    <t>Efectivo total pagado</t>
  </si>
  <si>
    <t>Comienza el año fiscal:</t>
  </si>
  <si>
    <t>EST</t>
  </si>
  <si>
    <t>EST del elemento</t>
  </si>
  <si>
    <t>(Pre) Lanzamiento</t>
  </si>
  <si>
    <t>Flujo de caja Declaración</t>
  </si>
  <si>
    <t xml:space="preserve">Ventas </t>
  </si>
  <si>
    <t xml:space="preserve">Dominio </t>
  </si>
  <si>
    <t>Diseño de playeras</t>
  </si>
  <si>
    <t>Envios</t>
  </si>
  <si>
    <t>Equipos</t>
  </si>
  <si>
    <t>Diseño y desarrollo web</t>
  </si>
  <si>
    <t>Aportaciones a caridad</t>
  </si>
  <si>
    <t>Salarios de los 3 Idio.</t>
  </si>
  <si>
    <t>Gastos</t>
  </si>
  <si>
    <t>Ingresos/Ventas</t>
  </si>
  <si>
    <t>Utilidades</t>
  </si>
  <si>
    <t xml:space="preserve">Utilidades al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</si>
</sst>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"/>
    <numFmt numFmtId="165" formatCode="dd"/>
    <numFmt numFmtId="166" formatCode="0_);\-0_)"/>
  </numFmts>
  <fonts count="18" x14ac:knownFonts="1">
    <font>
      <sz val="10"/>
      <color theme="1" tint="0.14996795556505021"/>
      <name val="Franklin Gothic Medium"/>
      <family val="2"/>
      <scheme val="minor"/>
    </font>
    <font>
      <b/>
      <sz val="11"/>
      <color theme="4" tint="-0.249977111117893"/>
      <name val="Franklin Gothic Medium"/>
      <family val="2"/>
      <scheme val="minor"/>
    </font>
    <font>
      <sz val="10"/>
      <color theme="1" tint="0.14999847407452621"/>
      <name val="Franklin Gothic Medium"/>
      <family val="2"/>
      <scheme val="minor"/>
    </font>
    <font>
      <sz val="9"/>
      <color theme="1" tint="0.14999847407452621"/>
      <name val="Franklin Gothic Medium"/>
      <family val="2"/>
      <scheme val="minor"/>
    </font>
    <font>
      <b/>
      <sz val="12"/>
      <color theme="1" tint="0.14999847407452621"/>
      <name val="Franklin Gothic Medium"/>
      <family val="2"/>
      <scheme val="minor"/>
    </font>
    <font>
      <b/>
      <sz val="28"/>
      <color theme="4"/>
      <name val="Franklin Gothic Medium"/>
      <family val="2"/>
      <scheme val="major"/>
    </font>
    <font>
      <b/>
      <sz val="12"/>
      <color theme="1" tint="0.14999847407452621"/>
      <name val="Franklin Gothic Medium"/>
      <family val="2"/>
      <scheme val="major"/>
    </font>
    <font>
      <sz val="18"/>
      <color theme="1" tint="0.14996795556505021"/>
      <name val="Franklin Gothic Medium"/>
      <family val="2"/>
      <scheme val="major"/>
    </font>
    <font>
      <sz val="11"/>
      <color theme="1" tint="0.14975432599871821"/>
      <name val="Franklin Gothic Medium"/>
      <family val="2"/>
      <scheme val="major"/>
    </font>
    <font>
      <sz val="12"/>
      <color theme="3"/>
      <name val="Franklin Gothic Medium"/>
      <family val="2"/>
      <scheme val="major"/>
    </font>
    <font>
      <sz val="11"/>
      <color theme="1" tint="0.14993743705557422"/>
      <name val="Franklin Gothic Medium"/>
      <family val="2"/>
      <scheme val="major"/>
    </font>
    <font>
      <b/>
      <sz val="28"/>
      <color theme="5"/>
      <name val="Franklin Gothic Medium"/>
      <family val="2"/>
      <scheme val="major"/>
    </font>
    <font>
      <sz val="11"/>
      <color theme="5"/>
      <name val="Franklin Gothic Medium"/>
      <family val="2"/>
      <scheme val="major"/>
    </font>
    <font>
      <sz val="10"/>
      <color theme="5"/>
      <name val="Franklin Gothic Medium"/>
      <family val="2"/>
      <scheme val="minor"/>
    </font>
    <font>
      <b/>
      <sz val="11"/>
      <color theme="5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1"/>
      <color theme="1"/>
      <name val="Franklin Gothic Medium"/>
      <family val="2"/>
      <scheme val="major"/>
    </font>
    <font>
      <b/>
      <sz val="10"/>
      <color theme="5"/>
      <name val="Franklin Gothic Medium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theme="1" tint="0.14996795556505021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6" fontId="2" fillId="3" borderId="10" applyFont="0" applyAlignment="0">
      <alignment vertical="center"/>
    </xf>
    <xf numFmtId="164" fontId="7" fillId="0" borderId="2">
      <alignment horizontal="right" vertical="center" wrapText="1" indent="1"/>
    </xf>
  </cellStyleXfs>
  <cellXfs count="60">
    <xf numFmtId="0" fontId="0" fillId="0" borderId="0" xfId="0">
      <alignment vertical="center"/>
    </xf>
    <xf numFmtId="3" fontId="0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3" fontId="2" fillId="0" borderId="0" xfId="0" applyNumberFormat="1" applyFont="1" applyFill="1" applyBorder="1" applyAlignment="1">
      <alignment horizontal="right" wrapText="1" indent="1"/>
    </xf>
    <xf numFmtId="165" fontId="3" fillId="0" borderId="0" xfId="0" applyNumberFormat="1" applyFont="1" applyFill="1" applyBorder="1" applyAlignment="1">
      <alignment horizontal="right" wrapText="1" indent="1"/>
    </xf>
    <xf numFmtId="3" fontId="3" fillId="0" borderId="0" xfId="0" applyNumberFormat="1" applyFont="1" applyFill="1" applyBorder="1" applyAlignment="1">
      <alignment horizontal="right" wrapText="1" inden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/>
    </xf>
    <xf numFmtId="166" fontId="0" fillId="0" borderId="0" xfId="0" applyNumberFormat="1">
      <alignment vertical="center"/>
    </xf>
    <xf numFmtId="166" fontId="0" fillId="0" borderId="0" xfId="0" applyNumberFormat="1" applyFont="1" applyFill="1" applyBorder="1">
      <alignment vertical="center"/>
    </xf>
    <xf numFmtId="0" fontId="0" fillId="0" borderId="0" xfId="0" applyFont="1" applyFill="1" applyBorder="1" applyAlignment="1"/>
    <xf numFmtId="0" fontId="0" fillId="0" borderId="0" xfId="0" applyAlignment="1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3" fontId="3" fillId="0" borderId="2" xfId="0" applyNumberFormat="1" applyFont="1" applyFill="1" applyBorder="1" applyAlignment="1">
      <alignment horizontal="right" wrapText="1" indent="1"/>
    </xf>
    <xf numFmtId="3" fontId="4" fillId="0" borderId="2" xfId="0" applyNumberFormat="1" applyFont="1" applyFill="1" applyBorder="1" applyAlignment="1">
      <alignment horizontal="right" vertical="center" wrapText="1" indent="1"/>
    </xf>
    <xf numFmtId="3" fontId="2" fillId="0" borderId="3" xfId="0" applyNumberFormat="1" applyFont="1" applyFill="1" applyBorder="1" applyAlignment="1">
      <alignment horizontal="right" wrapText="1" inden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>
      <alignment vertical="center"/>
    </xf>
    <xf numFmtId="164" fontId="6" fillId="2" borderId="7" xfId="0" applyNumberFormat="1" applyFont="1" applyFill="1" applyBorder="1" applyAlignment="1">
      <alignment horizontal="right" vertical="center" wrapText="1" indent="1"/>
    </xf>
    <xf numFmtId="165" fontId="3" fillId="2" borderId="7" xfId="0" applyNumberFormat="1" applyFont="1" applyFill="1" applyBorder="1" applyAlignment="1">
      <alignment horizontal="right" wrapText="1" indent="1"/>
    </xf>
    <xf numFmtId="165" fontId="3" fillId="2" borderId="6" xfId="0" applyNumberFormat="1" applyFont="1" applyFill="1" applyBorder="1" applyAlignment="1">
      <alignment horizontal="right" wrapText="1" indent="1"/>
    </xf>
    <xf numFmtId="166" fontId="2" fillId="2" borderId="7" xfId="0" applyNumberFormat="1" applyFont="1" applyFill="1" applyBorder="1" applyAlignment="1">
      <alignment horizontal="right"/>
    </xf>
    <xf numFmtId="166" fontId="0" fillId="2" borderId="6" xfId="0" applyNumberFormat="1" applyFill="1" applyBorder="1">
      <alignment vertical="center"/>
    </xf>
    <xf numFmtId="166" fontId="2" fillId="2" borderId="8" xfId="0" applyNumberFormat="1" applyFont="1" applyFill="1" applyBorder="1" applyAlignment="1">
      <alignment vertical="center"/>
    </xf>
    <xf numFmtId="3" fontId="0" fillId="2" borderId="6" xfId="0" applyNumberFormat="1" applyFont="1" applyFill="1" applyBorder="1">
      <alignment vertical="center"/>
    </xf>
    <xf numFmtId="166" fontId="0" fillId="2" borderId="6" xfId="0" applyNumberFormat="1" applyFill="1" applyBorder="1" applyAlignment="1">
      <alignment vertical="center"/>
    </xf>
    <xf numFmtId="166" fontId="0" fillId="2" borderId="6" xfId="0" applyNumberFormat="1" applyFont="1" applyFill="1" applyBorder="1">
      <alignment vertical="center"/>
    </xf>
    <xf numFmtId="166" fontId="0" fillId="2" borderId="6" xfId="0" applyNumberFormat="1" applyFont="1" applyFill="1" applyBorder="1" applyAlignment="1">
      <alignment vertical="center"/>
    </xf>
    <xf numFmtId="0" fontId="0" fillId="2" borderId="9" xfId="0" applyFill="1" applyBorder="1">
      <alignment vertical="center"/>
    </xf>
    <xf numFmtId="0" fontId="1" fillId="0" borderId="11" xfId="0" applyFont="1" applyFill="1" applyBorder="1" applyAlignment="1"/>
    <xf numFmtId="0" fontId="1" fillId="0" borderId="10" xfId="0" applyFont="1" applyFill="1" applyBorder="1">
      <alignment vertical="center"/>
    </xf>
    <xf numFmtId="165" fontId="2" fillId="0" borderId="3" xfId="0" applyNumberFormat="1" applyFont="1" applyFill="1" applyBorder="1" applyAlignment="1">
      <alignment horizontal="right" wrapText="1" indent="1"/>
    </xf>
    <xf numFmtId="166" fontId="2" fillId="0" borderId="10" xfId="0" applyNumberFormat="1" applyFont="1" applyFill="1" applyBorder="1" applyAlignment="1">
      <alignment horizontal="right" vertical="center"/>
    </xf>
    <xf numFmtId="164" fontId="7" fillId="0" borderId="2" xfId="6">
      <alignment horizontal="right" vertical="center" wrapText="1" indent="1"/>
    </xf>
    <xf numFmtId="166" fontId="0" fillId="0" borderId="0" xfId="0" applyNumberFormat="1" applyAlignment="1">
      <alignment horizontal="right" vertical="center"/>
    </xf>
    <xf numFmtId="166" fontId="0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166" fontId="0" fillId="5" borderId="0" xfId="0" applyNumberFormat="1" applyFill="1">
      <alignment vertical="center"/>
    </xf>
    <xf numFmtId="166" fontId="0" fillId="5" borderId="0" xfId="0" applyNumberFormat="1" applyFont="1" applyFill="1" applyBorder="1" applyAlignment="1">
      <alignment vertical="center"/>
    </xf>
    <xf numFmtId="166" fontId="2" fillId="6" borderId="10" xfId="5" applyFont="1" applyFill="1" applyAlignment="1">
      <alignment vertical="center"/>
    </xf>
    <xf numFmtId="166" fontId="2" fillId="6" borderId="10" xfId="5" applyFont="1" applyFill="1" applyBorder="1" applyAlignment="1">
      <alignment vertical="center"/>
    </xf>
    <xf numFmtId="0" fontId="0" fillId="2" borderId="10" xfId="0" applyFill="1" applyBorder="1">
      <alignment vertical="center"/>
    </xf>
    <xf numFmtId="166" fontId="13" fillId="0" borderId="0" xfId="0" applyNumberFormat="1" applyFont="1" applyAlignment="1">
      <alignment horizontal="left" vertical="center" indent="1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left"/>
    </xf>
    <xf numFmtId="166" fontId="14" fillId="0" borderId="11" xfId="2" applyNumberFormat="1" applyFont="1" applyFill="1" applyBorder="1" applyAlignment="1">
      <alignment horizontal="left" vertical="center"/>
    </xf>
    <xf numFmtId="0" fontId="15" fillId="0" borderId="0" xfId="2" applyFont="1"/>
    <xf numFmtId="0" fontId="11" fillId="0" borderId="1" xfId="1" applyFont="1" applyBorder="1"/>
    <xf numFmtId="0" fontId="13" fillId="0" borderId="0" xfId="0" applyFont="1">
      <alignment vertical="center"/>
    </xf>
    <xf numFmtId="14" fontId="13" fillId="0" borderId="0" xfId="0" applyNumberFormat="1" applyFont="1" applyBorder="1" applyAlignment="1">
      <alignment horizontal="left" vertical="center" indent="1"/>
    </xf>
    <xf numFmtId="166" fontId="13" fillId="5" borderId="0" xfId="0" applyNumberFormat="1" applyFont="1" applyFill="1" applyAlignment="1">
      <alignment horizontal="left" vertical="center" indent="1"/>
    </xf>
    <xf numFmtId="0" fontId="13" fillId="0" borderId="0" xfId="0" applyFont="1" applyFill="1" applyBorder="1" applyAlignment="1">
      <alignment horizontal="left" vertical="center" indent="1"/>
    </xf>
    <xf numFmtId="0" fontId="12" fillId="0" borderId="0" xfId="2" applyFont="1" applyAlignment="1">
      <alignment horizontal="left"/>
    </xf>
    <xf numFmtId="166" fontId="16" fillId="6" borderId="11" xfId="2" applyNumberFormat="1" applyFont="1" applyFill="1" applyBorder="1" applyAlignment="1">
      <alignment horizontal="left" vertical="center"/>
    </xf>
    <xf numFmtId="0" fontId="17" fillId="5" borderId="0" xfId="0" applyFont="1" applyFill="1" applyBorder="1" applyAlignment="1">
      <alignment horizontal="left" vertical="center" indent="1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Month" xfId="6" xr:uid="{00000000-0005-0000-0000-000001000000}"/>
    <cellStyle name="Normal" xfId="0" builtinId="0" customBuiltin="1"/>
    <cellStyle name="Title" xfId="1" builtinId="15" customBuiltin="1"/>
    <cellStyle name="Totals" xfId="5" xr:uid="{00000000-0005-0000-0000-000006000000}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/>
        <condense/>
        <extend/>
        <outline/>
        <shadow/>
        <u val="none"/>
        <vertAlign val="baseline"/>
        <sz val="10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6" formatCode="0_);\-0_)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66" formatCode="0_);\-0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numFmt numFmtId="166" formatCode="0_);\-0_)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numFmt numFmtId="166" formatCode="0_);\-0_)"/>
      <fill>
        <patternFill patternType="solid">
          <fgColor indexed="64"/>
          <bgColor theme="5" tint="0.59999389629810485"/>
        </patternFill>
      </fill>
      <alignment horizontal="left" vertical="center" textRotation="0" wrapText="0" indent="1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</dxf>
    <dxf>
      <numFmt numFmtId="166" formatCode="0_);\-0_)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numFmt numFmtId="166" formatCode="0_);\-0_)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numFmt numFmtId="166" formatCode="0_);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5"/>
        <name val="Franklin Gothic Medium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0"/>
        <color theme="1" tint="0.14996795556505021"/>
        <name val="Franklin Gothic Medium"/>
        <scheme val="minor"/>
      </font>
      <numFmt numFmtId="166" formatCode="0_);\-0_)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6" formatCode="0_);\-0_)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ill>
        <patternFill patternType="none">
          <bgColor auto="1"/>
        </patternFill>
      </fill>
      <border>
        <vertical/>
        <horizontal/>
      </border>
    </dxf>
    <dxf>
      <font>
        <color theme="1" tint="0.14996795556505021"/>
      </font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thin">
          <color theme="0" tint="-0.34998626667073579"/>
        </top>
        <bottom style="dotted">
          <color theme="0" tint="-0.34998626667073579"/>
        </bottom>
        <vertical/>
        <horizontal/>
      </border>
    </dxf>
    <dxf>
      <font>
        <b val="0"/>
        <i val="0"/>
        <color theme="1" tint="0.34998626667073579"/>
      </font>
    </dxf>
    <dxf>
      <font>
        <b val="0"/>
        <i val="0"/>
        <color theme="1" tint="0.14990691854609822"/>
      </font>
      <fill>
        <patternFill patternType="solid">
          <bgColor theme="4" tint="0.79998168889431442"/>
        </patternFill>
      </fill>
      <border>
        <top/>
        <bottom style="medium">
          <color theme="4" tint="0.39994506668294322"/>
        </bottom>
      </border>
    </dxf>
    <dxf>
      <font>
        <b val="0"/>
        <i val="0"/>
        <color theme="1" tint="0.14990691854609822"/>
      </font>
    </dxf>
    <dxf>
      <font>
        <color theme="1" tint="0.499984740745262"/>
      </font>
      <border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1" defaultTableStyle="Cash Receipts" defaultPivotStyle="PivotStyleLight16">
    <tableStyle name="Cash Receipts" pivot="0" count="7" xr9:uid="{00000000-0011-0000-FFFF-FFFF00000000}">
      <tableStyleElement type="wholeTable" dxfId="119"/>
      <tableStyleElement type="headerRow" dxfId="118"/>
      <tableStyleElement type="totalRow" dxfId="117"/>
      <tableStyleElement type="firstColumn" dxfId="116"/>
      <tableStyleElement type="lastColumn" dxfId="115"/>
      <tableStyleElement type="firstTotalCell" dxfId="114"/>
      <tableStyleElement type="lastTotalCell" dxfId="1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cibosdeefectivo" displayName="Recibosdeefectivo" ref="B9:S12" headerRowCount="0" totalsRowCount="1">
  <tableColumns count="18">
    <tableColumn id="1" xr3:uid="{00000000-0010-0000-0000-000001000000}" name="Items" totalsRowLabel="Total" headerRowDxfId="112" dataDxfId="104" totalsRowDxfId="87"/>
    <tableColumn id="17" xr3:uid="{00000000-0010-0000-0000-000011000000}" name="Column2" headerRowDxfId="111" dataDxfId="103" totalsRowDxfId="86"/>
    <tableColumn id="2" xr3:uid="{00000000-0010-0000-0000-000002000000}" name="Period 0" totalsRowFunction="sum" dataDxfId="102" totalsRowDxfId="85"/>
    <tableColumn id="3" xr3:uid="{00000000-0010-0000-0000-000003000000}" name="Period 1" totalsRowFunction="sum" dataDxfId="92" totalsRowDxfId="84"/>
    <tableColumn id="4" xr3:uid="{00000000-0010-0000-0000-000004000000}" name="Period 2" totalsRowFunction="sum" dataDxfId="101" totalsRowDxfId="83"/>
    <tableColumn id="5" xr3:uid="{00000000-0010-0000-0000-000005000000}" name="Period 3" totalsRowFunction="sum" dataDxfId="91" totalsRowDxfId="82"/>
    <tableColumn id="6" xr3:uid="{00000000-0010-0000-0000-000006000000}" name="Period 4" totalsRowFunction="sum" dataDxfId="90" totalsRowDxfId="81"/>
    <tableColumn id="7" xr3:uid="{00000000-0010-0000-0000-000007000000}" name="Period 5" totalsRowFunction="sum" dataDxfId="100" totalsRowDxfId="80"/>
    <tableColumn id="8" xr3:uid="{00000000-0010-0000-0000-000008000000}" name="Period 6" totalsRowFunction="sum" dataDxfId="89" totalsRowDxfId="79"/>
    <tableColumn id="9" xr3:uid="{00000000-0010-0000-0000-000009000000}" name="Period 7" totalsRowFunction="sum" dataDxfId="88" totalsRowDxfId="78"/>
    <tableColumn id="10" xr3:uid="{00000000-0010-0000-0000-00000A000000}" name="Period 8" totalsRowFunction="sum" dataDxfId="99" totalsRowDxfId="77"/>
    <tableColumn id="11" xr3:uid="{00000000-0010-0000-0000-00000B000000}" name="Period 9" totalsRowFunction="sum" dataDxfId="98" totalsRowDxfId="76"/>
    <tableColumn id="12" xr3:uid="{00000000-0010-0000-0000-00000C000000}" name="Period 10" totalsRowFunction="sum" dataDxfId="97" totalsRowDxfId="75"/>
    <tableColumn id="13" xr3:uid="{00000000-0010-0000-0000-00000D000000}" name="Period 11" totalsRowFunction="sum" dataDxfId="96" totalsRowDxfId="74"/>
    <tableColumn id="14" xr3:uid="{00000000-0010-0000-0000-00000E000000}" name="Period 12" totalsRowFunction="sum" dataDxfId="95" totalsRowDxfId="73"/>
    <tableColumn id="18" xr3:uid="{00000000-0010-0000-0000-000012000000}" name="Column3" dataDxfId="94" totalsRowDxfId="72"/>
    <tableColumn id="15" xr3:uid="{00000000-0010-0000-0000-00000F000000}" name="Total" totalsRowFunction="sum" dataDxfId="93" totalsRowDxfId="71">
      <calculatedColumnFormula>SUM(Recibosdeefectivo[[#This Row],[Period 0]:[Period 12]])</calculatedColumnFormula>
    </tableColumn>
    <tableColumn id="16" xr3:uid="{00000000-0010-0000-0000-000010000000}" name="Column1" totalsRowDxfId="70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Cash Receipts" altTextSummary="Cash receipts for 12 months starting with the first month of the fiscal year along with a calculated grand tota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fectivopagado" displayName="Efectivopagado" ref="B16:S25" headerRowCount="0" totalsRowCount="1">
  <tableColumns count="18">
    <tableColumn id="1" xr3:uid="{00000000-0010-0000-0100-000001000000}" name="Items" totalsRowLabel="Total" headerRowDxfId="53" dataDxfId="52" totalsRowDxfId="54"/>
    <tableColumn id="17" xr3:uid="{00000000-0010-0000-0100-000011000000}" name="Column2" headerRowDxfId="50" dataDxfId="49" totalsRowDxfId="51"/>
    <tableColumn id="2" xr3:uid="{00000000-0010-0000-0100-000002000000}" name="Period 0" totalsRowFunction="sum" dataDxfId="47" totalsRowDxfId="48"/>
    <tableColumn id="3" xr3:uid="{00000000-0010-0000-0100-000003000000}" name="Period 1" totalsRowFunction="sum" dataDxfId="45" totalsRowDxfId="46"/>
    <tableColumn id="4" xr3:uid="{00000000-0010-0000-0100-000004000000}" name="Period 2" totalsRowFunction="sum" dataDxfId="43" totalsRowDxfId="44"/>
    <tableColumn id="5" xr3:uid="{00000000-0010-0000-0100-000005000000}" name="Period 3" totalsRowFunction="sum" dataDxfId="41" totalsRowDxfId="42"/>
    <tableColumn id="6" xr3:uid="{00000000-0010-0000-0100-000006000000}" name="Period 4" totalsRowFunction="sum" dataDxfId="39" totalsRowDxfId="40"/>
    <tableColumn id="7" xr3:uid="{00000000-0010-0000-0100-000007000000}" name="Period 5" totalsRowFunction="sum" dataDxfId="37" totalsRowDxfId="38"/>
    <tableColumn id="8" xr3:uid="{00000000-0010-0000-0100-000008000000}" name="Period 6" totalsRowFunction="sum" dataDxfId="35" totalsRowDxfId="36"/>
    <tableColumn id="9" xr3:uid="{00000000-0010-0000-0100-000009000000}" name="Period 7" totalsRowFunction="sum" dataDxfId="33" totalsRowDxfId="34"/>
    <tableColumn id="10" xr3:uid="{00000000-0010-0000-0100-00000A000000}" name="Period 8" totalsRowFunction="sum" dataDxfId="31" totalsRowDxfId="32"/>
    <tableColumn id="11" xr3:uid="{00000000-0010-0000-0100-00000B000000}" name="Period 9" totalsRowFunction="sum" dataDxfId="29" totalsRowDxfId="30"/>
    <tableColumn id="12" xr3:uid="{00000000-0010-0000-0100-00000C000000}" name="Period 10" totalsRowFunction="sum" dataDxfId="27" totalsRowDxfId="28"/>
    <tableColumn id="13" xr3:uid="{00000000-0010-0000-0100-00000D000000}" name="Period 11" totalsRowFunction="sum" dataDxfId="25" totalsRowDxfId="26"/>
    <tableColumn id="14" xr3:uid="{00000000-0010-0000-0100-00000E000000}" name="Period 12" totalsRowFunction="sum" dataDxfId="23" totalsRowDxfId="24"/>
    <tableColumn id="18" xr3:uid="{00000000-0010-0000-0100-000012000000}" name="Column3" dataDxfId="21" totalsRowDxfId="22"/>
    <tableColumn id="15" xr3:uid="{00000000-0010-0000-0100-00000F000000}" name="Total" totalsRowFunction="sum" dataDxfId="19" totalsRowDxfId="20">
      <calculatedColumnFormula>SUM(Efectivopagado[[#This Row],[Period 0]:[Period 12]])</calculatedColumnFormula>
    </tableColumn>
    <tableColumn id="16" xr3:uid="{00000000-0010-0000-0100-000010000000}" name="Column1" totalsRowDxfId="18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Cash Paid Out" altTextSummary="Cash payouts for 12 months starting with the first month of the fiscal year along with a calculated grand total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fectivopagado2" displayName="Efectivopagado2" ref="B28:S31" headerRowCount="0" totalsRowCount="1">
  <tableColumns count="18">
    <tableColumn id="1" xr3:uid="{00000000-0010-0000-0200-000001000000}" name="Items" totalsRowLabel="Total" headerRowDxfId="110" dataDxfId="105" totalsRowDxfId="17"/>
    <tableColumn id="17" xr3:uid="{00000000-0010-0000-0200-000011000000}" name="Column2" headerRowDxfId="109" dataDxfId="108" totalsRowDxfId="16"/>
    <tableColumn id="2" xr3:uid="{00000000-0010-0000-0200-000002000000}" name="Period 0" totalsRowFunction="sum" dataDxfId="107" totalsRowDxfId="15"/>
    <tableColumn id="3" xr3:uid="{00000000-0010-0000-0200-000003000000}" name="Period 1" totalsRowFunction="sum" dataDxfId="69" totalsRowDxfId="14"/>
    <tableColumn id="4" xr3:uid="{00000000-0010-0000-0200-000004000000}" name="Period 2" totalsRowFunction="sum" dataDxfId="68" totalsRowDxfId="13"/>
    <tableColumn id="5" xr3:uid="{00000000-0010-0000-0200-000005000000}" name="Period 3" totalsRowFunction="sum" dataDxfId="67" totalsRowDxfId="12"/>
    <tableColumn id="6" xr3:uid="{00000000-0010-0000-0200-000006000000}" name="Period 4" totalsRowFunction="sum" dataDxfId="66" totalsRowDxfId="11"/>
    <tableColumn id="7" xr3:uid="{00000000-0010-0000-0200-000007000000}" name="Period 5" totalsRowFunction="sum" dataDxfId="65" totalsRowDxfId="10"/>
    <tableColumn id="8" xr3:uid="{00000000-0010-0000-0200-000008000000}" name="Period 6" totalsRowFunction="sum" dataDxfId="64" totalsRowDxfId="9"/>
    <tableColumn id="9" xr3:uid="{00000000-0010-0000-0200-000009000000}" name="Period 7" totalsRowFunction="sum" dataDxfId="63" totalsRowDxfId="8"/>
    <tableColumn id="10" xr3:uid="{00000000-0010-0000-0200-00000A000000}" name="Period 8" totalsRowFunction="sum" dataDxfId="62" totalsRowDxfId="7"/>
    <tableColumn id="11" xr3:uid="{00000000-0010-0000-0200-00000B000000}" name="Period 9" totalsRowFunction="sum" dataDxfId="61" totalsRowDxfId="6"/>
    <tableColumn id="12" xr3:uid="{00000000-0010-0000-0200-00000C000000}" name="Period 10" totalsRowFunction="sum" dataDxfId="60" totalsRowDxfId="5"/>
    <tableColumn id="13" xr3:uid="{00000000-0010-0000-0200-00000D000000}" name="Period 11" totalsRowFunction="sum" dataDxfId="59" totalsRowDxfId="4"/>
    <tableColumn id="14" xr3:uid="{00000000-0010-0000-0200-00000E000000}" name="Period 12" totalsRowFunction="sum" dataDxfId="58" totalsRowDxfId="3"/>
    <tableColumn id="18" xr3:uid="{00000000-0010-0000-0200-000012000000}" name="Column3" dataDxfId="106" totalsRowDxfId="2"/>
    <tableColumn id="15" xr3:uid="{00000000-0010-0000-0200-00000F000000}" name="Total" totalsRowFunction="sum" totalsRowDxfId="1">
      <calculatedColumnFormula>SUM(Efectivopagado2[[#This Row],[Period 0]:[Period 12]])</calculatedColumnFormula>
    </tableColumn>
    <tableColumn id="16" xr3:uid="{00000000-0010-0000-0200-000010000000}" name="Column1" totalsRowDxfId="0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Cash Paid Out (Non P&amp;L)" altTextSummary="Cash receipts (non P&amp;L) for 12 months starting with the first month of the fiscal year along with a calculated grand total."/>
    </ext>
  </extLst>
</table>
</file>

<file path=xl/theme/theme1.xml><?xml version="1.0" encoding="utf-8"?>
<a:theme xmlns:a="http://schemas.openxmlformats.org/drawingml/2006/main" name="Office Theme">
  <a:themeElements>
    <a:clrScheme name="Cash Flow Statement">
      <a:dk1>
        <a:sysClr val="windowText" lastClr="000000"/>
      </a:dk1>
      <a:lt1>
        <a:sysClr val="window" lastClr="FFFFFF"/>
      </a:lt1>
      <a:dk2>
        <a:srgbClr val="313F55"/>
      </a:dk2>
      <a:lt2>
        <a:srgbClr val="F2F2F2"/>
      </a:lt2>
      <a:accent1>
        <a:srgbClr val="308DA2"/>
      </a:accent1>
      <a:accent2>
        <a:srgbClr val="EB7A20"/>
      </a:accent2>
      <a:accent3>
        <a:srgbClr val="009D00"/>
      </a:accent3>
      <a:accent4>
        <a:srgbClr val="9D4CA4"/>
      </a:accent4>
      <a:accent5>
        <a:srgbClr val="FFC000"/>
      </a:accent5>
      <a:accent6>
        <a:srgbClr val="DC3220"/>
      </a:accent6>
      <a:hlink>
        <a:srgbClr val="1AA2B5"/>
      </a:hlink>
      <a:folHlink>
        <a:srgbClr val="9D4CA4"/>
      </a:folHlink>
    </a:clrScheme>
    <a:fontScheme name="Cash Flow Statemen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W34"/>
  <sheetViews>
    <sheetView showGridLines="0" tabSelected="1" zoomScaleNormal="100" workbookViewId="0">
      <pane ySplit="4" topLeftCell="A12" activePane="bottomLeft" state="frozen"/>
      <selection pane="bottomLeft" activeCell="S34" sqref="A1:S34"/>
    </sheetView>
  </sheetViews>
  <sheetFormatPr defaultColWidth="9" defaultRowHeight="17.25" customHeight="1" x14ac:dyDescent="0.3"/>
  <cols>
    <col min="1" max="1" width="2.19921875" customWidth="1"/>
    <col min="2" max="2" width="34.69921875" style="53" customWidth="1"/>
    <col min="3" max="3" width="2.8984375" customWidth="1"/>
    <col min="4" max="4" width="9.3984375" customWidth="1"/>
    <col min="5" max="16" width="9.59765625" customWidth="1"/>
    <col min="17" max="17" width="2.8984375" customWidth="1"/>
  </cols>
  <sheetData>
    <row r="1" spans="1:23" ht="42" customHeight="1" thickBot="1" x14ac:dyDescent="0.55000000000000004">
      <c r="B1" s="52" t="s">
        <v>15</v>
      </c>
      <c r="C1" s="6"/>
      <c r="D1" s="6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3" ht="22.5" customHeight="1" thickTop="1" x14ac:dyDescent="0.3">
      <c r="Q2" s="31"/>
    </row>
    <row r="3" spans="1:23" ht="25.5" customHeight="1" x14ac:dyDescent="0.4">
      <c r="B3" s="51" t="s">
        <v>11</v>
      </c>
      <c r="D3" s="14" t="s">
        <v>14</v>
      </c>
      <c r="E3" s="36" t="str">
        <f>UPPER(TEXT(FechaDeInicioelañoFiscal,"mmm"))</f>
        <v>NOV</v>
      </c>
      <c r="F3" s="36" t="str">
        <f>UPPER(TEXT(EOMONTH(FechaDeInicioelañoFiscal,1),"mmm"))</f>
        <v>DEC</v>
      </c>
      <c r="G3" s="36" t="str">
        <f>UPPER(TEXT(EOMONTH(FechaDeInicioelañoFiscal,2),"mmm"))</f>
        <v>JAN</v>
      </c>
      <c r="H3" s="36" t="str">
        <f>UPPER(TEXT(EOMONTH(FechaDeInicioelañoFiscal,3),"mmm"))</f>
        <v>FEB</v>
      </c>
      <c r="I3" s="36" t="str">
        <f>UPPER(TEXT(EOMONTH(FechaDeInicioelañoFiscal,4),"mmm"))</f>
        <v>MAR</v>
      </c>
      <c r="J3" s="36" t="str">
        <f>UPPER(TEXT(EOMONTH(FechaDeInicioelañoFiscal,5),"mmm"))</f>
        <v>APR</v>
      </c>
      <c r="K3" s="36" t="str">
        <f>UPPER(TEXT(EOMONTH(FechaDeInicioelañoFiscal,6),"mmm"))</f>
        <v>MAY</v>
      </c>
      <c r="L3" s="36" t="str">
        <f>UPPER(TEXT(EOMONTH(FechaDeInicioelañoFiscal,7),"mmm"))</f>
        <v>JUN</v>
      </c>
      <c r="M3" s="36" t="str">
        <f>UPPER(TEXT(EOMONTH(FechaDeInicioelañoFiscal,8),"mmm"))</f>
        <v>JUL</v>
      </c>
      <c r="N3" s="36" t="str">
        <f>UPPER(TEXT(EOMONTH(FechaDeInicioelañoFiscal,9),"mmm"))</f>
        <v>AUG</v>
      </c>
      <c r="O3" s="36" t="str">
        <f>UPPER(TEXT(EOMONTH(FechaDeInicioelañoFiscal,10),"mmm"))</f>
        <v>SEP</v>
      </c>
      <c r="P3" s="36" t="str">
        <f>UPPER(TEXT(EOMONTH(FechaDeInicioelañoFiscal,11),"mmm"))</f>
        <v>OCT</v>
      </c>
      <c r="Q3" s="21"/>
      <c r="R3" s="15" t="s">
        <v>9</v>
      </c>
      <c r="S3" s="2"/>
    </row>
    <row r="4" spans="1:23" ht="12.75" customHeight="1" thickBot="1" x14ac:dyDescent="0.35">
      <c r="B4" s="54">
        <v>44165</v>
      </c>
      <c r="D4" s="16" t="s">
        <v>12</v>
      </c>
      <c r="E4" s="34">
        <f>FechaDeInicioelañoFiscal</f>
        <v>44165</v>
      </c>
      <c r="F4" s="34">
        <f t="shared" ref="F4" si="0">EOMONTH(E4,0)+DAY(FechaDeInicioelañoFiscal)</f>
        <v>44195</v>
      </c>
      <c r="G4" s="34">
        <f t="shared" ref="G4" si="1">EOMONTH(F4,0)+DAY(FechaDeInicioelañoFiscal)</f>
        <v>44226</v>
      </c>
      <c r="H4" s="34">
        <f t="shared" ref="H4" si="2">EOMONTH(G4,0)+DAY(FechaDeInicioelañoFiscal)</f>
        <v>44257</v>
      </c>
      <c r="I4" s="34">
        <f t="shared" ref="I4" si="3">EOMONTH(H4,0)+DAY(FechaDeInicioelañoFiscal)</f>
        <v>44316</v>
      </c>
      <c r="J4" s="34">
        <f t="shared" ref="J4" si="4">EOMONTH(I4,0)+DAY(FechaDeInicioelañoFiscal)</f>
        <v>44346</v>
      </c>
      <c r="K4" s="34">
        <f t="shared" ref="K4" si="5">EOMONTH(J4,0)+DAY(FechaDeInicioelañoFiscal)</f>
        <v>44377</v>
      </c>
      <c r="L4" s="34">
        <f t="shared" ref="L4" si="6">EOMONTH(K4,0)+DAY(FechaDeInicioelañoFiscal)</f>
        <v>44407</v>
      </c>
      <c r="M4" s="34">
        <f t="shared" ref="M4" si="7">EOMONTH(L4,0)+DAY(FechaDeInicioelañoFiscal)</f>
        <v>44438</v>
      </c>
      <c r="N4" s="34">
        <f t="shared" ref="N4" si="8">EOMONTH(M4,0)+DAY(FechaDeInicioelañoFiscal)</f>
        <v>44469</v>
      </c>
      <c r="O4" s="34">
        <f t="shared" ref="O4" si="9">EOMONTH(N4,0)+DAY(FechaDeInicioelañoFiscal)</f>
        <v>44499</v>
      </c>
      <c r="P4" s="34">
        <f t="shared" ref="P4" si="10">EOMONTH(O4,0)+DAY(FechaDeInicioelañoFiscal)</f>
        <v>44530</v>
      </c>
      <c r="Q4" s="22"/>
      <c r="R4" s="14" t="s">
        <v>13</v>
      </c>
      <c r="S4" s="2"/>
    </row>
    <row r="5" spans="1:23" ht="17.25" customHeight="1" thickTop="1" x14ac:dyDescent="0.3">
      <c r="B5" s="54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3"/>
      <c r="R5" s="5"/>
      <c r="S5" s="2"/>
    </row>
    <row r="6" spans="1:23" ht="17.25" customHeight="1" thickBot="1" x14ac:dyDescent="0.35">
      <c r="B6" s="50" t="s">
        <v>0</v>
      </c>
      <c r="D6" s="35">
        <v>100000</v>
      </c>
      <c r="E6" s="35">
        <f>D34</f>
        <v>259192</v>
      </c>
      <c r="F6" s="35">
        <f>E34</f>
        <v>223688</v>
      </c>
      <c r="G6" s="35">
        <f>F34</f>
        <v>205934</v>
      </c>
      <c r="H6" s="35">
        <f>G34</f>
        <v>176203</v>
      </c>
      <c r="I6" s="35">
        <f>H34</f>
        <v>157622</v>
      </c>
      <c r="J6" s="35">
        <f>I34</f>
        <v>134866</v>
      </c>
      <c r="K6" s="35">
        <f>J34</f>
        <v>109222</v>
      </c>
      <c r="L6" s="35">
        <f>K34</f>
        <v>93102</v>
      </c>
      <c r="M6" s="35">
        <f>L34</f>
        <v>172478</v>
      </c>
      <c r="N6" s="35">
        <f>M34</f>
        <v>138998</v>
      </c>
      <c r="O6" s="35">
        <f>N34</f>
        <v>117051</v>
      </c>
      <c r="P6" s="35">
        <f>O34</f>
        <v>83098</v>
      </c>
      <c r="Q6" s="24"/>
      <c r="R6" s="35">
        <f>P6</f>
        <v>83098</v>
      </c>
      <c r="S6" s="33"/>
    </row>
    <row r="7" spans="1:23" ht="17.25" customHeight="1" x14ac:dyDescent="0.3">
      <c r="Q7" s="19"/>
    </row>
    <row r="8" spans="1:23" ht="17.25" customHeight="1" x14ac:dyDescent="0.3">
      <c r="B8" s="48" t="s">
        <v>25</v>
      </c>
      <c r="Q8" s="19"/>
    </row>
    <row r="9" spans="1:23" ht="17.25" customHeight="1" x14ac:dyDescent="0.3">
      <c r="B9" s="47" t="s">
        <v>16</v>
      </c>
      <c r="C9" s="19"/>
      <c r="D9" s="37">
        <v>800</v>
      </c>
      <c r="E9" s="37">
        <v>1200</v>
      </c>
      <c r="F9" s="37">
        <v>9000</v>
      </c>
      <c r="G9" s="37">
        <v>800</v>
      </c>
      <c r="H9" s="37">
        <v>11200</v>
      </c>
      <c r="I9" s="37">
        <v>8000</v>
      </c>
      <c r="J9" s="37">
        <v>9000</v>
      </c>
      <c r="K9" s="37">
        <v>10000</v>
      </c>
      <c r="L9" s="37">
        <v>98700</v>
      </c>
      <c r="M9" s="37">
        <v>1000</v>
      </c>
      <c r="N9" s="37">
        <v>8999</v>
      </c>
      <c r="O9" s="37">
        <v>10000</v>
      </c>
      <c r="P9" s="37">
        <v>8000</v>
      </c>
      <c r="Q9" s="25"/>
      <c r="R9" s="8">
        <f>SUM(Recibosdeefectivo[[#This Row],[Period 0]:[Period 12]])</f>
        <v>176699</v>
      </c>
    </row>
    <row r="10" spans="1:23" ht="17.25" customHeight="1" x14ac:dyDescent="0.3">
      <c r="B10" s="47" t="s">
        <v>1</v>
      </c>
      <c r="C10" s="19"/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25"/>
      <c r="R10" s="8">
        <f>SUM(Recibosdeefectivo[[#This Row],[Period 0]:[Period 12]])</f>
        <v>0</v>
      </c>
    </row>
    <row r="11" spans="1:23" ht="17.25" customHeight="1" x14ac:dyDescent="0.3">
      <c r="B11" s="47" t="s">
        <v>2</v>
      </c>
      <c r="C11" s="20"/>
      <c r="D11" s="37">
        <v>200000</v>
      </c>
      <c r="E11" s="37">
        <v>12000</v>
      </c>
      <c r="F11" s="37">
        <v>12000</v>
      </c>
      <c r="G11" s="37">
        <v>12000</v>
      </c>
      <c r="H11" s="37">
        <v>12000</v>
      </c>
      <c r="I11" s="37">
        <v>10000</v>
      </c>
      <c r="J11" s="37">
        <v>10000</v>
      </c>
      <c r="K11" s="37">
        <v>10000</v>
      </c>
      <c r="L11" s="37">
        <v>20000</v>
      </c>
      <c r="M11" s="37">
        <v>10000</v>
      </c>
      <c r="N11" s="37">
        <v>10000</v>
      </c>
      <c r="O11" s="37">
        <v>1000</v>
      </c>
      <c r="P11" s="37">
        <v>0</v>
      </c>
      <c r="Q11" s="25"/>
      <c r="R11" s="8">
        <f>SUM(Recibosdeefectivo[[#This Row],[Period 0]:[Period 12]])</f>
        <v>319000</v>
      </c>
    </row>
    <row r="12" spans="1:23" s="41" customFormat="1" ht="17.25" customHeight="1" thickBot="1" x14ac:dyDescent="0.35">
      <c r="A12" s="17"/>
      <c r="B12" s="55" t="s">
        <v>9</v>
      </c>
      <c r="C12" s="18"/>
      <c r="D12" s="42">
        <f>SUBTOTAL(109,Recibosdeefectivo[Period 0])</f>
        <v>200800</v>
      </c>
      <c r="E12" s="42">
        <f>SUBTOTAL(109,Recibosdeefectivo[Period 1])</f>
        <v>13200</v>
      </c>
      <c r="F12" s="42">
        <f>SUBTOTAL(109,Recibosdeefectivo[Period 2])</f>
        <v>21000</v>
      </c>
      <c r="G12" s="42">
        <f>SUBTOTAL(109,Recibosdeefectivo[Period 3])</f>
        <v>12800</v>
      </c>
      <c r="H12" s="42">
        <f>SUBTOTAL(109,Recibosdeefectivo[Period 4])</f>
        <v>23200</v>
      </c>
      <c r="I12" s="42">
        <f>SUBTOTAL(109,Recibosdeefectivo[Period 5])</f>
        <v>18000</v>
      </c>
      <c r="J12" s="42">
        <f>SUBTOTAL(109,Recibosdeefectivo[Period 6])</f>
        <v>19000</v>
      </c>
      <c r="K12" s="42">
        <f>SUBTOTAL(109,Recibosdeefectivo[Period 7])</f>
        <v>20000</v>
      </c>
      <c r="L12" s="42">
        <f>SUBTOTAL(109,Recibosdeefectivo[Period 8])</f>
        <v>118700</v>
      </c>
      <c r="M12" s="42">
        <f>SUBTOTAL(109,Recibosdeefectivo[Period 9])</f>
        <v>11000</v>
      </c>
      <c r="N12" s="42">
        <f>SUBTOTAL(109,Recibosdeefectivo[Period 10])</f>
        <v>18999</v>
      </c>
      <c r="O12" s="42">
        <f>SUBTOTAL(109,Recibosdeefectivo[Period 11])</f>
        <v>11000</v>
      </c>
      <c r="P12" s="42">
        <f>SUBTOTAL(109,Recibosdeefectivo[Period 12])</f>
        <v>8000</v>
      </c>
      <c r="Q12" s="25"/>
      <c r="R12" s="42">
        <f>SUBTOTAL(109,Recibosdeefectivo[Total])</f>
        <v>495699</v>
      </c>
      <c r="S12" s="17"/>
      <c r="T12" s="17"/>
      <c r="U12" s="17"/>
      <c r="V12" s="17"/>
      <c r="W12" s="17"/>
    </row>
    <row r="13" spans="1:23" ht="17.25" customHeight="1" thickTop="1" thickBot="1" x14ac:dyDescent="0.35">
      <c r="B13" s="58" t="s">
        <v>3</v>
      </c>
      <c r="C13" s="17"/>
      <c r="D13" s="44">
        <f>D6+SUM(Recibosdeefectivo[Period 0])</f>
        <v>300800</v>
      </c>
      <c r="E13" s="44">
        <f>E6+SUM(Recibosdeefectivo[Period 1])</f>
        <v>272392</v>
      </c>
      <c r="F13" s="44">
        <f>F6+SUM(Recibosdeefectivo[Period 2])</f>
        <v>244688</v>
      </c>
      <c r="G13" s="44">
        <f>G6+SUM(Recibosdeefectivo[Period 3])</f>
        <v>218734</v>
      </c>
      <c r="H13" s="44">
        <f>H6+SUM(Recibosdeefectivo[Period 4])</f>
        <v>199403</v>
      </c>
      <c r="I13" s="44">
        <f>I6+SUM(Recibosdeefectivo[Period 5])</f>
        <v>175622</v>
      </c>
      <c r="J13" s="44">
        <f>J6+SUM(Recibosdeefectivo[Period 6])</f>
        <v>153866</v>
      </c>
      <c r="K13" s="44">
        <f>K6+SUM(Recibosdeefectivo[Period 7])</f>
        <v>129222</v>
      </c>
      <c r="L13" s="44">
        <f>L6+SUM(Recibosdeefectivo[Period 8])</f>
        <v>211802</v>
      </c>
      <c r="M13" s="44">
        <f>M6+SUM(Recibosdeefectivo[Period 9])</f>
        <v>183478</v>
      </c>
      <c r="N13" s="44">
        <f>N6+SUM(Recibosdeefectivo[Period 10])</f>
        <v>157997</v>
      </c>
      <c r="O13" s="44">
        <f>O6+SUM(Recibosdeefectivo[Period 11])</f>
        <v>128051</v>
      </c>
      <c r="P13" s="44">
        <f>P6+SUM(Recibosdeefectivo[Period 12])</f>
        <v>91098</v>
      </c>
      <c r="Q13" s="26"/>
      <c r="R13" s="44">
        <f>R6+SUM(Recibosdeefectivo[Total])</f>
        <v>578797</v>
      </c>
      <c r="S13" s="46"/>
    </row>
    <row r="14" spans="1:23" ht="17.25" customHeight="1" x14ac:dyDescent="0.3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23" ht="17.25" customHeight="1" x14ac:dyDescent="0.35">
      <c r="B15" s="49" t="s">
        <v>24</v>
      </c>
      <c r="C15" s="19"/>
      <c r="Q15" s="19"/>
    </row>
    <row r="16" spans="1:23" ht="17.25" customHeight="1" x14ac:dyDescent="0.3">
      <c r="B16" s="56" t="s">
        <v>18</v>
      </c>
      <c r="C16" s="19"/>
      <c r="D16" s="38">
        <v>0</v>
      </c>
      <c r="E16" s="38">
        <v>12000</v>
      </c>
      <c r="F16" s="38">
        <v>4800</v>
      </c>
      <c r="G16" s="38">
        <v>5400</v>
      </c>
      <c r="H16" s="38">
        <v>9000</v>
      </c>
      <c r="I16" s="38">
        <v>7500</v>
      </c>
      <c r="J16" s="38">
        <v>11400</v>
      </c>
      <c r="K16" s="38">
        <v>3000</v>
      </c>
      <c r="L16" s="38">
        <v>5400</v>
      </c>
      <c r="M16" s="38">
        <v>9000</v>
      </c>
      <c r="N16" s="38">
        <v>7500</v>
      </c>
      <c r="O16" s="38">
        <v>11400</v>
      </c>
      <c r="P16" s="38">
        <v>5400</v>
      </c>
      <c r="Q16" s="27"/>
      <c r="R16" s="9">
        <f>SUM(Efectivopagado[[#This Row],[Period 0]:[Period 12]])</f>
        <v>91800</v>
      </c>
      <c r="S16" s="1"/>
    </row>
    <row r="17" spans="2:19" ht="17.25" customHeight="1" x14ac:dyDescent="0.3">
      <c r="B17" s="56" t="s">
        <v>17</v>
      </c>
      <c r="C17" s="19"/>
      <c r="D17" s="38">
        <v>200</v>
      </c>
      <c r="E17" s="38">
        <v>200</v>
      </c>
      <c r="F17" s="38">
        <v>200</v>
      </c>
      <c r="G17" s="38">
        <v>200</v>
      </c>
      <c r="H17" s="38">
        <v>200</v>
      </c>
      <c r="I17" s="38">
        <v>200</v>
      </c>
      <c r="J17" s="38">
        <v>200</v>
      </c>
      <c r="K17" s="38">
        <v>200</v>
      </c>
      <c r="L17" s="38">
        <v>200</v>
      </c>
      <c r="M17" s="38">
        <v>200</v>
      </c>
      <c r="N17" s="38">
        <v>200</v>
      </c>
      <c r="O17" s="38">
        <v>200</v>
      </c>
      <c r="P17" s="38">
        <v>200</v>
      </c>
      <c r="Q17" s="27"/>
      <c r="R17" s="9">
        <f>SUM(Efectivopagado[[#This Row],[Period 0]:[Period 12]])</f>
        <v>2600</v>
      </c>
      <c r="S17" s="1"/>
    </row>
    <row r="18" spans="2:19" ht="17.25" customHeight="1" x14ac:dyDescent="0.3">
      <c r="B18" s="56" t="s">
        <v>23</v>
      </c>
      <c r="C18" s="19"/>
      <c r="D18" s="38">
        <v>12000</v>
      </c>
      <c r="E18" s="38">
        <v>12000</v>
      </c>
      <c r="F18" s="38">
        <v>12000</v>
      </c>
      <c r="G18" s="38">
        <v>12000</v>
      </c>
      <c r="H18" s="38">
        <v>12000</v>
      </c>
      <c r="I18" s="38">
        <v>12000</v>
      </c>
      <c r="J18" s="38">
        <v>12000</v>
      </c>
      <c r="K18" s="38">
        <v>12000</v>
      </c>
      <c r="L18" s="38">
        <v>12000</v>
      </c>
      <c r="M18" s="38">
        <v>12000</v>
      </c>
      <c r="N18" s="38">
        <v>12000</v>
      </c>
      <c r="O18" s="38">
        <v>12000</v>
      </c>
      <c r="P18" s="38">
        <v>12000</v>
      </c>
      <c r="Q18" s="27"/>
      <c r="R18" s="9">
        <f>SUM(Efectivopagado[[#This Row],[Period 0]:[Period 12]])</f>
        <v>156000</v>
      </c>
      <c r="S18" s="1"/>
    </row>
    <row r="19" spans="2:19" ht="17.25" customHeight="1" x14ac:dyDescent="0.3">
      <c r="B19" s="56" t="s">
        <v>5</v>
      </c>
      <c r="C19" s="19"/>
      <c r="D19" s="38">
        <v>500</v>
      </c>
      <c r="E19" s="38">
        <v>700</v>
      </c>
      <c r="F19" s="38">
        <v>475</v>
      </c>
      <c r="G19" s="38">
        <v>600</v>
      </c>
      <c r="H19" s="38">
        <v>656</v>
      </c>
      <c r="I19" s="38">
        <v>800</v>
      </c>
      <c r="J19" s="38">
        <v>520</v>
      </c>
      <c r="K19" s="38">
        <v>500</v>
      </c>
      <c r="L19" s="38">
        <v>600</v>
      </c>
      <c r="M19" s="38">
        <v>700</v>
      </c>
      <c r="N19" s="38">
        <v>900</v>
      </c>
      <c r="O19" s="38">
        <v>760</v>
      </c>
      <c r="P19" s="38">
        <v>600</v>
      </c>
      <c r="Q19" s="27"/>
      <c r="R19" s="9">
        <f>SUM(Efectivopagado[[#This Row],[Period 0]:[Period 12]])</f>
        <v>8311</v>
      </c>
      <c r="S19" s="1"/>
    </row>
    <row r="20" spans="2:19" ht="17.25" customHeight="1" x14ac:dyDescent="0.3">
      <c r="B20" s="56" t="s">
        <v>4</v>
      </c>
      <c r="C20" s="19"/>
      <c r="D20" s="38">
        <v>1000</v>
      </c>
      <c r="E20" s="38">
        <v>1000</v>
      </c>
      <c r="F20" s="38">
        <v>1000</v>
      </c>
      <c r="G20" s="38">
        <v>1000</v>
      </c>
      <c r="H20" s="38">
        <v>1000</v>
      </c>
      <c r="I20" s="38">
        <v>1000</v>
      </c>
      <c r="J20" s="38">
        <v>1000</v>
      </c>
      <c r="K20" s="38">
        <v>1000</v>
      </c>
      <c r="L20" s="38">
        <v>1000</v>
      </c>
      <c r="M20" s="38">
        <v>1000</v>
      </c>
      <c r="N20" s="38">
        <v>1000</v>
      </c>
      <c r="O20" s="38">
        <v>1000</v>
      </c>
      <c r="P20" s="38">
        <v>1000</v>
      </c>
      <c r="Q20" s="27"/>
      <c r="R20" s="9">
        <f>SUM(Efectivopagado[[#This Row],[Period 0]:[Period 12]])</f>
        <v>13000</v>
      </c>
      <c r="S20" s="1"/>
    </row>
    <row r="21" spans="2:19" ht="17.25" customHeight="1" x14ac:dyDescent="0.3">
      <c r="B21" s="56" t="s">
        <v>19</v>
      </c>
      <c r="C21" s="19"/>
      <c r="D21" s="38">
        <v>0</v>
      </c>
      <c r="E21" s="38">
        <v>3000</v>
      </c>
      <c r="F21" s="38">
        <v>320</v>
      </c>
      <c r="G21" s="38">
        <v>360</v>
      </c>
      <c r="H21" s="38">
        <v>60</v>
      </c>
      <c r="I21" s="38">
        <v>500</v>
      </c>
      <c r="J21" s="38">
        <v>760</v>
      </c>
      <c r="K21" s="38">
        <v>200</v>
      </c>
      <c r="L21" s="38">
        <v>132</v>
      </c>
      <c r="M21" s="38">
        <v>60</v>
      </c>
      <c r="N21" s="38">
        <v>500</v>
      </c>
      <c r="O21" s="38">
        <v>760</v>
      </c>
      <c r="P21" s="38">
        <v>200</v>
      </c>
      <c r="Q21" s="27"/>
      <c r="R21" s="9">
        <f>SUM(Efectivopagado[[#This Row],[Period 0]:[Period 12]])</f>
        <v>6852</v>
      </c>
      <c r="S21" s="1"/>
    </row>
    <row r="22" spans="2:19" ht="17.25" customHeight="1" x14ac:dyDescent="0.3">
      <c r="B22" s="56" t="s">
        <v>6</v>
      </c>
      <c r="C22" s="19"/>
      <c r="D22" s="38">
        <v>242</v>
      </c>
      <c r="E22" s="38">
        <v>138</v>
      </c>
      <c r="F22" s="38">
        <v>93</v>
      </c>
      <c r="G22" s="38">
        <v>305</v>
      </c>
      <c r="H22" s="38">
        <v>199</v>
      </c>
      <c r="I22" s="38">
        <v>90</v>
      </c>
      <c r="J22" s="38">
        <v>98</v>
      </c>
      <c r="K22" s="38">
        <v>554</v>
      </c>
      <c r="L22" s="38">
        <v>326</v>
      </c>
      <c r="M22" s="38">
        <v>554</v>
      </c>
      <c r="N22" s="38">
        <v>180</v>
      </c>
      <c r="O22" s="38">
        <v>167</v>
      </c>
      <c r="P22" s="38">
        <v>147</v>
      </c>
      <c r="Q22" s="27"/>
      <c r="R22" s="9">
        <f>SUM(Efectivopagado[[#This Row],[Period 0]:[Period 12]])</f>
        <v>3093</v>
      </c>
      <c r="S22" s="1"/>
    </row>
    <row r="23" spans="2:19" ht="17.25" customHeight="1" x14ac:dyDescent="0.3">
      <c r="B23" s="56" t="s">
        <v>21</v>
      </c>
      <c r="C23" s="19"/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27"/>
      <c r="R23" s="9">
        <f>SUM(Efectivopagado[[#This Row],[Period 0]:[Period 12]])</f>
        <v>0</v>
      </c>
      <c r="S23" s="1"/>
    </row>
    <row r="24" spans="2:19" ht="17.25" customHeight="1" x14ac:dyDescent="0.3">
      <c r="B24" s="56" t="s">
        <v>20</v>
      </c>
      <c r="C24" s="19"/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27"/>
      <c r="R24" s="9">
        <f>SUM(Efectivopagado[[#This Row],[Period 0]:[Period 12]])</f>
        <v>0</v>
      </c>
      <c r="S24" s="1"/>
    </row>
    <row r="25" spans="2:19" ht="17.25" customHeight="1" x14ac:dyDescent="0.3">
      <c r="B25" s="59" t="s">
        <v>9</v>
      </c>
      <c r="C25" s="19"/>
      <c r="D25" s="43">
        <f>SUBTOTAL(109,Efectivopagado[Period 0])</f>
        <v>13942</v>
      </c>
      <c r="E25" s="43">
        <f>SUBTOTAL(109,Efectivopagado[Period 1])</f>
        <v>29038</v>
      </c>
      <c r="F25" s="43">
        <f>SUBTOTAL(109,Efectivopagado[Period 2])</f>
        <v>18888</v>
      </c>
      <c r="G25" s="43">
        <f>SUBTOTAL(109,Efectivopagado[Period 3])</f>
        <v>19865</v>
      </c>
      <c r="H25" s="43">
        <f>SUBTOTAL(109,Efectivopagado[Period 4])</f>
        <v>23115</v>
      </c>
      <c r="I25" s="43">
        <f>SUBTOTAL(109,Efectivopagado[Period 5])</f>
        <v>22090</v>
      </c>
      <c r="J25" s="43">
        <f>SUBTOTAL(109,Efectivopagado[Period 6])</f>
        <v>25978</v>
      </c>
      <c r="K25" s="43">
        <f>SUBTOTAL(109,Efectivopagado[Period 7])</f>
        <v>17454</v>
      </c>
      <c r="L25" s="43">
        <f>SUBTOTAL(109,Efectivopagado[Period 8])</f>
        <v>19658</v>
      </c>
      <c r="M25" s="43">
        <f>SUBTOTAL(109,Efectivopagado[Period 9])</f>
        <v>23514</v>
      </c>
      <c r="N25" s="43">
        <f>SUBTOTAL(109,Efectivopagado[Period 10])</f>
        <v>22280</v>
      </c>
      <c r="O25" s="43">
        <f>SUBTOTAL(109,Efectivopagado[Period 11])</f>
        <v>26287</v>
      </c>
      <c r="P25" s="43">
        <f>SUBTOTAL(109,Efectivopagado[Period 12])</f>
        <v>19547</v>
      </c>
      <c r="Q25" s="28"/>
      <c r="R25" s="43">
        <f>SUBTOTAL(109,Efectivopagado[Total])</f>
        <v>281656</v>
      </c>
      <c r="S25" s="12"/>
    </row>
    <row r="26" spans="2:19" ht="17.25" customHeight="1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2:19" s="13" customFormat="1" ht="17.25" customHeight="1" x14ac:dyDescent="0.35">
      <c r="B27" s="57" t="s">
        <v>26</v>
      </c>
      <c r="C27" s="17"/>
      <c r="D27"/>
      <c r="E27"/>
      <c r="F27"/>
      <c r="G27"/>
      <c r="H27"/>
      <c r="I27"/>
      <c r="J27"/>
      <c r="K27"/>
      <c r="L27"/>
      <c r="M27"/>
      <c r="N27"/>
      <c r="O27"/>
      <c r="P27"/>
      <c r="Q27" s="19"/>
      <c r="R27"/>
      <c r="S27"/>
    </row>
    <row r="28" spans="2:19" ht="17.25" customHeight="1" x14ac:dyDescent="0.3">
      <c r="B28" s="56" t="s">
        <v>7</v>
      </c>
      <c r="C28" s="19"/>
      <c r="D28" s="38">
        <v>16666</v>
      </c>
      <c r="E28" s="38">
        <v>16666</v>
      </c>
      <c r="F28" s="38">
        <v>16666</v>
      </c>
      <c r="G28" s="38">
        <v>16666</v>
      </c>
      <c r="H28" s="38">
        <v>16666</v>
      </c>
      <c r="I28" s="38">
        <v>16666</v>
      </c>
      <c r="J28" s="38">
        <v>16666</v>
      </c>
      <c r="K28" s="38">
        <v>16666</v>
      </c>
      <c r="L28" s="38">
        <v>16666</v>
      </c>
      <c r="M28" s="38">
        <v>16666</v>
      </c>
      <c r="N28" s="38">
        <v>16666</v>
      </c>
      <c r="O28" s="38">
        <v>16666</v>
      </c>
      <c r="P28" s="38">
        <v>16666</v>
      </c>
      <c r="Q28" s="29"/>
      <c r="R28" s="9">
        <f>SUM(Efectivopagado2[[#This Row],[Period 0]:[Period 12]])</f>
        <v>216658</v>
      </c>
      <c r="S28" s="1"/>
    </row>
    <row r="29" spans="2:19" ht="17.25" customHeight="1" x14ac:dyDescent="0.3">
      <c r="B29" s="56" t="s">
        <v>22</v>
      </c>
      <c r="C29" s="19"/>
      <c r="D29" s="38">
        <v>2000</v>
      </c>
      <c r="E29" s="38">
        <v>2000</v>
      </c>
      <c r="F29" s="38">
        <v>2000</v>
      </c>
      <c r="G29" s="38">
        <v>2000</v>
      </c>
      <c r="H29" s="38">
        <v>2000</v>
      </c>
      <c r="I29" s="38">
        <v>2000</v>
      </c>
      <c r="J29" s="38">
        <v>2000</v>
      </c>
      <c r="K29" s="38">
        <v>2000</v>
      </c>
      <c r="L29" s="38">
        <v>2000</v>
      </c>
      <c r="M29" s="38">
        <v>2000</v>
      </c>
      <c r="N29" s="38">
        <v>2000</v>
      </c>
      <c r="O29" s="38">
        <v>2000</v>
      </c>
      <c r="P29" s="38">
        <v>2000</v>
      </c>
      <c r="Q29" s="29"/>
      <c r="R29" s="9">
        <f>SUM(Efectivopagado2[[#This Row],[Period 0]:[Period 12]])</f>
        <v>26000</v>
      </c>
      <c r="S29" s="1"/>
    </row>
    <row r="30" spans="2:19" ht="17.25" customHeight="1" x14ac:dyDescent="0.3">
      <c r="B30" s="56" t="s">
        <v>27</v>
      </c>
      <c r="C30" s="19"/>
      <c r="D30" s="38">
        <v>9000</v>
      </c>
      <c r="E30" s="38">
        <v>1000</v>
      </c>
      <c r="F30" s="38">
        <v>1200</v>
      </c>
      <c r="G30" s="38">
        <v>4000</v>
      </c>
      <c r="H30" s="38">
        <v>0</v>
      </c>
      <c r="I30" s="38">
        <v>0</v>
      </c>
      <c r="J30" s="38">
        <v>0</v>
      </c>
      <c r="K30" s="38">
        <v>0</v>
      </c>
      <c r="L30" s="38">
        <v>1000</v>
      </c>
      <c r="M30" s="38">
        <v>2300</v>
      </c>
      <c r="N30" s="38">
        <v>0</v>
      </c>
      <c r="O30" s="38">
        <v>0</v>
      </c>
      <c r="P30" s="38">
        <v>0</v>
      </c>
      <c r="Q30" s="29"/>
      <c r="R30" s="9">
        <f>SUM(Efectivopagado2[[#This Row],[Period 0]:[Period 12]])</f>
        <v>18500</v>
      </c>
      <c r="S30" s="1"/>
    </row>
    <row r="31" spans="2:19" ht="17.25" customHeight="1" x14ac:dyDescent="0.3">
      <c r="B31" s="59" t="s">
        <v>9</v>
      </c>
      <c r="C31" s="19"/>
      <c r="D31" s="43">
        <f>SUBTOTAL(109,Efectivopagado2[Period 0])</f>
        <v>27666</v>
      </c>
      <c r="E31" s="43">
        <f>SUBTOTAL(109,Efectivopagado2[Period 1])</f>
        <v>19666</v>
      </c>
      <c r="F31" s="43">
        <f>SUBTOTAL(109,Efectivopagado2[Period 2])</f>
        <v>19866</v>
      </c>
      <c r="G31" s="43">
        <f>SUBTOTAL(109,Efectivopagado2[Period 3])</f>
        <v>22666</v>
      </c>
      <c r="H31" s="43">
        <f>SUBTOTAL(109,Efectivopagado2[Period 4])</f>
        <v>18666</v>
      </c>
      <c r="I31" s="43">
        <f>SUBTOTAL(109,Efectivopagado2[Period 5])</f>
        <v>18666</v>
      </c>
      <c r="J31" s="43">
        <f>SUBTOTAL(109,Efectivopagado2[Period 6])</f>
        <v>18666</v>
      </c>
      <c r="K31" s="43">
        <f>SUBTOTAL(109,Efectivopagado2[Period 7])</f>
        <v>18666</v>
      </c>
      <c r="L31" s="43">
        <f>SUBTOTAL(109,Efectivopagado2[Period 8])</f>
        <v>19666</v>
      </c>
      <c r="M31" s="43">
        <f>SUBTOTAL(109,Efectivopagado2[Period 9])</f>
        <v>20966</v>
      </c>
      <c r="N31" s="43">
        <f>SUBTOTAL(109,Efectivopagado2[Period 10])</f>
        <v>18666</v>
      </c>
      <c r="O31" s="43">
        <f>SUBTOTAL(109,Efectivopagado2[Period 11])</f>
        <v>18666</v>
      </c>
      <c r="P31" s="43">
        <f>SUBTOTAL(109,Efectivopagado2[Period 12])</f>
        <v>18666</v>
      </c>
      <c r="Q31" s="30"/>
      <c r="R31" s="43">
        <f>SUBTOTAL(109,Efectivopagado2[Total])</f>
        <v>261158</v>
      </c>
      <c r="S31" s="10"/>
    </row>
    <row r="32" spans="2:19" ht="17.25" customHeight="1" thickBot="1" x14ac:dyDescent="0.4">
      <c r="B32" s="58" t="s">
        <v>10</v>
      </c>
      <c r="C32" s="17"/>
      <c r="D32" s="44">
        <f>SUM(Efectivopagado[Period 0],Efectivopagado2[Period 0])</f>
        <v>41608</v>
      </c>
      <c r="E32" s="44">
        <f>SUM(Efectivopagado[Period 1],Efectivopagado2[Period 1])</f>
        <v>48704</v>
      </c>
      <c r="F32" s="44">
        <f>SUM(Efectivopagado[Period 2],Efectivopagado2[Period 2])</f>
        <v>38754</v>
      </c>
      <c r="G32" s="44">
        <f>SUM(Efectivopagado[Period 3],Efectivopagado2[Period 3])</f>
        <v>42531</v>
      </c>
      <c r="H32" s="44">
        <f>SUM(Efectivopagado[Period 4],Efectivopagado2[Period 4])</f>
        <v>41781</v>
      </c>
      <c r="I32" s="44">
        <f>SUM(Efectivopagado[Period 5],Efectivopagado2[Period 5])</f>
        <v>40756</v>
      </c>
      <c r="J32" s="44">
        <f>SUM(Efectivopagado[Period 6],Efectivopagado2[Period 6])</f>
        <v>44644</v>
      </c>
      <c r="K32" s="44">
        <f>SUM(Efectivopagado[Period 7],Efectivopagado2[Period 7])</f>
        <v>36120</v>
      </c>
      <c r="L32" s="44">
        <f>SUM(Efectivopagado[Period 8],Efectivopagado2[Period 8])</f>
        <v>39324</v>
      </c>
      <c r="M32" s="44">
        <f>SUM(Efectivopagado[Period 9],Efectivopagado2[Period 9])</f>
        <v>44480</v>
      </c>
      <c r="N32" s="44">
        <f>SUM(Efectivopagado[Period 10],Efectivopagado2[Period 10])</f>
        <v>40946</v>
      </c>
      <c r="O32" s="44">
        <f>SUM(Efectivopagado[Period 11],Efectivopagado2[Period 11])</f>
        <v>44953</v>
      </c>
      <c r="P32" s="45">
        <f>SUM(Efectivopagado[Period 12],Efectivopagado2[Period 12])</f>
        <v>38213</v>
      </c>
      <c r="Q32" s="17"/>
      <c r="R32" s="44">
        <f>SUM(Efectivopagado[Total],Efectivopagado2[Total])</f>
        <v>542814</v>
      </c>
      <c r="S32" s="32"/>
    </row>
    <row r="33" spans="2:19" s="11" customFormat="1" ht="17.25" customHeight="1" x14ac:dyDescent="0.3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2:19" ht="17.25" customHeight="1" thickBot="1" x14ac:dyDescent="0.4">
      <c r="B34" s="58" t="s">
        <v>8</v>
      </c>
      <c r="C34" s="17"/>
      <c r="D34" s="44">
        <f>D13-D32</f>
        <v>259192</v>
      </c>
      <c r="E34" s="44">
        <f>E13-E32</f>
        <v>223688</v>
      </c>
      <c r="F34" s="44">
        <f>F13-F32</f>
        <v>205934</v>
      </c>
      <c r="G34" s="44">
        <f>G13-G32</f>
        <v>176203</v>
      </c>
      <c r="H34" s="44">
        <f>H13-H32</f>
        <v>157622</v>
      </c>
      <c r="I34" s="44">
        <f>I13-I32</f>
        <v>134866</v>
      </c>
      <c r="J34" s="44">
        <f>J13-J32</f>
        <v>109222</v>
      </c>
      <c r="K34" s="44">
        <f>K13-K32</f>
        <v>93102</v>
      </c>
      <c r="L34" s="44">
        <f>L13-L32</f>
        <v>172478</v>
      </c>
      <c r="M34" s="44">
        <f>M13-M32</f>
        <v>138998</v>
      </c>
      <c r="N34" s="44">
        <f>N13-N32</f>
        <v>117051</v>
      </c>
      <c r="O34" s="44">
        <f>O13-O32</f>
        <v>83098</v>
      </c>
      <c r="P34" s="45">
        <f>P13-P32</f>
        <v>52885</v>
      </c>
      <c r="Q34" s="17"/>
      <c r="R34" s="44">
        <f>R13-R32</f>
        <v>35983</v>
      </c>
      <c r="S34" s="32"/>
    </row>
  </sheetData>
  <mergeCells count="3">
    <mergeCell ref="B14:S14"/>
    <mergeCell ref="B26:S26"/>
    <mergeCell ref="B33:S33"/>
  </mergeCells>
  <conditionalFormatting sqref="E6:P6">
    <cfRule type="expression" dxfId="57" priority="3">
      <formula>E6&lt;0</formula>
    </cfRule>
  </conditionalFormatting>
  <conditionalFormatting sqref="E34:P34">
    <cfRule type="expression" dxfId="56" priority="2">
      <formula>E34&lt;0</formula>
    </cfRule>
  </conditionalFormatting>
  <conditionalFormatting sqref="E13:P13">
    <cfRule type="expression" dxfId="55" priority="1">
      <formula>E13&lt;0</formula>
    </cfRule>
  </conditionalFormatting>
  <printOptions horizontalCentered="1" verticalCentered="1"/>
  <pageMargins left="0.5" right="0.5" top="0.5" bottom="0.5" header="0.3" footer="0.3"/>
  <pageSetup scale="62" orientation="landscape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2A825BFE-E693-4238-8389-5BCCFE76FDD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E6:R6</xm:sqref>
        </x14:conditionalFormatting>
        <x14:conditionalFormatting xmlns:xm="http://schemas.microsoft.com/office/excel/2006/main">
          <x14:cfRule type="iconSet" priority="10" id="{3C1E0335-68B6-4E32-9520-0CC0127E0E6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D13:R13</xm:sqref>
        </x14:conditionalFormatting>
        <x14:conditionalFormatting xmlns:xm="http://schemas.microsoft.com/office/excel/2006/main">
          <x14:cfRule type="iconSet" priority="11" id="{46DB4F99-6858-4D3F-B689-77C99193522A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D34:P34 R34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000-000000000000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'Balance del flujo de caja'!D34:P34</xm:f>
              <xm:sqref>S34</xm:sqref>
            </x14:sparkline>
            <x14:sparkline>
              <xm:f>'Balance del flujo de caja'!D13:P13</xm:f>
              <xm:sqref>S13</xm:sqref>
            </x14:sparkline>
            <x14:sparkline>
              <xm:f>'Balance del flujo de caja'!D31:P31</xm:f>
              <xm:sqref>S31</xm:sqref>
            </x14:sparkline>
            <x14:sparkline>
              <xm:f>'Balance del flujo de caja'!D32:P32</xm:f>
              <xm:sqref>S32</xm:sqref>
            </x14:sparkline>
            <x14:sparkline>
              <xm:f>'Balance del flujo de caja'!D25:P25</xm:f>
              <xm:sqref>S25</xm:sqref>
            </x14:sparkline>
            <x14:sparkline>
              <xm:f>'Balance del flujo de caja'!D6:P6</xm:f>
              <xm:sqref>S6</xm:sqref>
            </x14:sparkline>
            <x14:sparkline>
              <xm:f>'Balance del flujo de caja'!D12:P12</xm:f>
              <xm:sqref>S12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2958f784-0ef9-4616-b22d-512a8cad1f0d" xsi:nil="true"/>
    <AssetExpire xmlns="2958f784-0ef9-4616-b22d-512a8cad1f0d">2029-01-01T08:00:00+00:00</AssetExpire>
    <CampaignTagsTaxHTField0 xmlns="2958f784-0ef9-4616-b22d-512a8cad1f0d">
      <Terms xmlns="http://schemas.microsoft.com/office/infopath/2007/PartnerControls"/>
    </CampaignTagsTaxHTField0>
    <IntlLangReviewDate xmlns="2958f784-0ef9-4616-b22d-512a8cad1f0d" xsi:nil="true"/>
    <TPFriendlyName xmlns="2958f784-0ef9-4616-b22d-512a8cad1f0d" xsi:nil="true"/>
    <IntlLangReview xmlns="2958f784-0ef9-4616-b22d-512a8cad1f0d">false</IntlLangReview>
    <LocLastLocAttemptVersionLookup xmlns="2958f784-0ef9-4616-b22d-512a8cad1f0d">848662</LocLastLocAttemptVersionLookup>
    <PolicheckWords xmlns="2958f784-0ef9-4616-b22d-512a8cad1f0d" xsi:nil="true"/>
    <SubmitterId xmlns="2958f784-0ef9-4616-b22d-512a8cad1f0d" xsi:nil="true"/>
    <AcquiredFrom xmlns="2958f784-0ef9-4616-b22d-512a8cad1f0d">Internal MS</AcquiredFrom>
    <EditorialStatus xmlns="2958f784-0ef9-4616-b22d-512a8cad1f0d">Complete</EditorialStatus>
    <Markets xmlns="2958f784-0ef9-4616-b22d-512a8cad1f0d"/>
    <OriginAsset xmlns="2958f784-0ef9-4616-b22d-512a8cad1f0d" xsi:nil="true"/>
    <AssetStart xmlns="2958f784-0ef9-4616-b22d-512a8cad1f0d">2012-07-27T02:37:00+00:00</AssetStart>
    <FriendlyTitle xmlns="2958f784-0ef9-4616-b22d-512a8cad1f0d" xsi:nil="true"/>
    <MarketSpecific xmlns="2958f784-0ef9-4616-b22d-512a8cad1f0d">false</MarketSpecific>
    <TPNamespace xmlns="2958f784-0ef9-4616-b22d-512a8cad1f0d" xsi:nil="true"/>
    <PublishStatusLookup xmlns="2958f784-0ef9-4616-b22d-512a8cad1f0d">
      <Value>671707</Value>
    </PublishStatusLookup>
    <APAuthor xmlns="2958f784-0ef9-4616-b22d-512a8cad1f0d">
      <UserInfo>
        <DisplayName>REDMOND\v-sa</DisplayName>
        <AccountId>2467</AccountId>
        <AccountType/>
      </UserInfo>
    </APAuthor>
    <TPCommandLine xmlns="2958f784-0ef9-4616-b22d-512a8cad1f0d" xsi:nil="true"/>
    <IntlLangReviewer xmlns="2958f784-0ef9-4616-b22d-512a8cad1f0d" xsi:nil="true"/>
    <OpenTemplate xmlns="2958f784-0ef9-4616-b22d-512a8cad1f0d">true</OpenTemplate>
    <CSXSubmissionDate xmlns="2958f784-0ef9-4616-b22d-512a8cad1f0d" xsi:nil="true"/>
    <TaxCatchAll xmlns="2958f784-0ef9-4616-b22d-512a8cad1f0d"/>
    <Manager xmlns="2958f784-0ef9-4616-b22d-512a8cad1f0d" xsi:nil="true"/>
    <NumericId xmlns="2958f784-0ef9-4616-b22d-512a8cad1f0d" xsi:nil="true"/>
    <ParentAssetId xmlns="2958f784-0ef9-4616-b22d-512a8cad1f0d" xsi:nil="true"/>
    <OriginalSourceMarket xmlns="2958f784-0ef9-4616-b22d-512a8cad1f0d">english</OriginalSourceMarket>
    <ApprovalStatus xmlns="2958f784-0ef9-4616-b22d-512a8cad1f0d">InProgress</ApprovalStatus>
    <TPComponent xmlns="2958f784-0ef9-4616-b22d-512a8cad1f0d" xsi:nil="true"/>
    <EditorialTags xmlns="2958f784-0ef9-4616-b22d-512a8cad1f0d" xsi:nil="true"/>
    <TPExecutable xmlns="2958f784-0ef9-4616-b22d-512a8cad1f0d" xsi:nil="true"/>
    <TPLaunchHelpLink xmlns="2958f784-0ef9-4616-b22d-512a8cad1f0d" xsi:nil="true"/>
    <LocComments xmlns="2958f784-0ef9-4616-b22d-512a8cad1f0d" xsi:nil="true"/>
    <LocRecommendedHandoff xmlns="2958f784-0ef9-4616-b22d-512a8cad1f0d" xsi:nil="true"/>
    <SourceTitle xmlns="2958f784-0ef9-4616-b22d-512a8cad1f0d" xsi:nil="true"/>
    <CSXUpdate xmlns="2958f784-0ef9-4616-b22d-512a8cad1f0d">false</CSXUpdate>
    <IntlLocPriority xmlns="2958f784-0ef9-4616-b22d-512a8cad1f0d" xsi:nil="true"/>
    <UAProjectedTotalWords xmlns="2958f784-0ef9-4616-b22d-512a8cad1f0d" xsi:nil="true"/>
    <AssetType xmlns="2958f784-0ef9-4616-b22d-512a8cad1f0d">TP</AssetType>
    <MachineTranslated xmlns="2958f784-0ef9-4616-b22d-512a8cad1f0d">false</MachineTranslated>
    <OutputCachingOn xmlns="2958f784-0ef9-4616-b22d-512a8cad1f0d">false</OutputCachingOn>
    <TemplateStatus xmlns="2958f784-0ef9-4616-b22d-512a8cad1f0d">Complete</TemplateStatus>
    <IsSearchable xmlns="2958f784-0ef9-4616-b22d-512a8cad1f0d">true</IsSearchable>
    <ContentItem xmlns="2958f784-0ef9-4616-b22d-512a8cad1f0d" xsi:nil="true"/>
    <HandoffToMSDN xmlns="2958f784-0ef9-4616-b22d-512a8cad1f0d" xsi:nil="true"/>
    <ShowIn xmlns="2958f784-0ef9-4616-b22d-512a8cad1f0d">Show everywhere</ShowIn>
    <ThumbnailAssetId xmlns="2958f784-0ef9-4616-b22d-512a8cad1f0d" xsi:nil="true"/>
    <UALocComments xmlns="2958f784-0ef9-4616-b22d-512a8cad1f0d" xsi:nil="true"/>
    <UALocRecommendation xmlns="2958f784-0ef9-4616-b22d-512a8cad1f0d">Localize</UALocRecommendation>
    <LastModifiedDateTime xmlns="2958f784-0ef9-4616-b22d-512a8cad1f0d" xsi:nil="true"/>
    <LegacyData xmlns="2958f784-0ef9-4616-b22d-512a8cad1f0d" xsi:nil="true"/>
    <LocManualTestRequired xmlns="2958f784-0ef9-4616-b22d-512a8cad1f0d">false</LocManualTestRequired>
    <LocMarketGroupTiers2 xmlns="2958f784-0ef9-4616-b22d-512a8cad1f0d" xsi:nil="true"/>
    <ClipArtFilename xmlns="2958f784-0ef9-4616-b22d-512a8cad1f0d" xsi:nil="true"/>
    <TPApplication xmlns="2958f784-0ef9-4616-b22d-512a8cad1f0d" xsi:nil="true"/>
    <CSXHash xmlns="2958f784-0ef9-4616-b22d-512a8cad1f0d" xsi:nil="true"/>
    <DirectSourceMarket xmlns="2958f784-0ef9-4616-b22d-512a8cad1f0d">english</DirectSourceMarket>
    <PrimaryImageGen xmlns="2958f784-0ef9-4616-b22d-512a8cad1f0d">true</PrimaryImageGen>
    <PlannedPubDate xmlns="2958f784-0ef9-4616-b22d-512a8cad1f0d" xsi:nil="true"/>
    <CSXSubmissionMarket xmlns="2958f784-0ef9-4616-b22d-512a8cad1f0d" xsi:nil="true"/>
    <Downloads xmlns="2958f784-0ef9-4616-b22d-512a8cad1f0d">0</Downloads>
    <ArtSampleDocs xmlns="2958f784-0ef9-4616-b22d-512a8cad1f0d" xsi:nil="true"/>
    <TrustLevel xmlns="2958f784-0ef9-4616-b22d-512a8cad1f0d">1 Microsoft Managed Content</TrustLevel>
    <BlockPublish xmlns="2958f784-0ef9-4616-b22d-512a8cad1f0d">false</BlockPublish>
    <TPLaunchHelpLinkType xmlns="2958f784-0ef9-4616-b22d-512a8cad1f0d">Template</TPLaunchHelpLinkType>
    <LocalizationTagsTaxHTField0 xmlns="2958f784-0ef9-4616-b22d-512a8cad1f0d">
      <Terms xmlns="http://schemas.microsoft.com/office/infopath/2007/PartnerControls"/>
    </LocalizationTagsTaxHTField0>
    <BusinessGroup xmlns="2958f784-0ef9-4616-b22d-512a8cad1f0d" xsi:nil="true"/>
    <Providers xmlns="2958f784-0ef9-4616-b22d-512a8cad1f0d" xsi:nil="true"/>
    <TemplateTemplateType xmlns="2958f784-0ef9-4616-b22d-512a8cad1f0d">Excel 2007 Default</TemplateTemplateType>
    <TimesCloned xmlns="2958f784-0ef9-4616-b22d-512a8cad1f0d" xsi:nil="true"/>
    <TPAppVersion xmlns="2958f784-0ef9-4616-b22d-512a8cad1f0d" xsi:nil="true"/>
    <VoteCount xmlns="2958f784-0ef9-4616-b22d-512a8cad1f0d" xsi:nil="true"/>
    <AverageRating xmlns="2958f784-0ef9-4616-b22d-512a8cad1f0d" xsi:nil="true"/>
    <FeatureTagsTaxHTField0 xmlns="2958f784-0ef9-4616-b22d-512a8cad1f0d">
      <Terms xmlns="http://schemas.microsoft.com/office/infopath/2007/PartnerControls"/>
    </FeatureTagsTaxHTField0>
    <Provider xmlns="2958f784-0ef9-4616-b22d-512a8cad1f0d" xsi:nil="true"/>
    <UACurrentWords xmlns="2958f784-0ef9-4616-b22d-512a8cad1f0d" xsi:nil="true"/>
    <AssetId xmlns="2958f784-0ef9-4616-b22d-512a8cad1f0d">TP103107636</AssetId>
    <TPClientViewer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TPInstallLocation xmlns="2958f784-0ef9-4616-b22d-512a8cad1f0d" xsi:nil="true"/>
    <OOCacheId xmlns="2958f784-0ef9-4616-b22d-512a8cad1f0d" xsi:nil="true"/>
    <IsDeleted xmlns="2958f784-0ef9-4616-b22d-512a8cad1f0d">false</IsDeleted>
    <PublishTargets xmlns="2958f784-0ef9-4616-b22d-512a8cad1f0d">OfficeOnlineVNext</PublishTargets>
    <ApprovalLog xmlns="2958f784-0ef9-4616-b22d-512a8cad1f0d" xsi:nil="true"/>
    <BugNumber xmlns="2958f784-0ef9-4616-b22d-512a8cad1f0d" xsi:nil="true"/>
    <CrawlForDependencies xmlns="2958f784-0ef9-4616-b22d-512a8cad1f0d">false</CrawlForDependencies>
    <InternalTagsTaxHTField0 xmlns="2958f784-0ef9-4616-b22d-512a8cad1f0d">
      <Terms xmlns="http://schemas.microsoft.com/office/infopath/2007/PartnerControls"/>
    </InternalTagsTaxHTField0>
    <LastHandOff xmlns="2958f784-0ef9-4616-b22d-512a8cad1f0d" xsi:nil="true"/>
    <Milestone xmlns="2958f784-0ef9-4616-b22d-512a8cad1f0d" xsi:nil="true"/>
    <OriginalRelease xmlns="2958f784-0ef9-4616-b22d-512a8cad1f0d">15</OriginalRelease>
    <RecommendationsModifier xmlns="2958f784-0ef9-4616-b22d-512a8cad1f0d" xsi:nil="true"/>
    <ScenarioTagsTaxHTField0 xmlns="2958f784-0ef9-4616-b22d-512a8cad1f0d">
      <Terms xmlns="http://schemas.microsoft.com/office/infopath/2007/PartnerControls"/>
    </ScenarioTagsTaxHTField0>
    <UANotes xmlns="2958f784-0ef9-4616-b22d-512a8cad1f0d" xsi:nil="true"/>
    <Description0 xmlns="fb5acd76-e9f3-4601-9d69-91f53ab96ae6" xsi:nil="true"/>
    <Component xmlns="fb5acd76-e9f3-4601-9d69-91f53ab96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E0B03-3C0B-4CFD-B845-625A9F95FDA1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484A6592-B3DF-4E49-A978-FDD19C943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9ABB9-C4A9-4552-94A3-8ADEE5C7B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 del flujo de caja</vt:lpstr>
      <vt:lpstr>FechaDeInicioelañoFiscal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2012-07-26T18:07:35Z</dcterms:created>
  <dcterms:modified xsi:type="dcterms:W3CDTF">2020-12-01T02:14:28Z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