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16131111\Downloads\Tung CV github\DIC\HW3\"/>
    </mc:Choice>
  </mc:AlternateContent>
  <xr:revisionPtr revIDLastSave="0" documentId="13_ncr:1_{2E436745-EF12-4E4F-926A-9E8797D120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de" sheetId="1" r:id="rId1"/>
    <sheet name="P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2" i="2" l="1"/>
  <c r="N112" i="2" s="1"/>
  <c r="L112" i="2"/>
  <c r="K112" i="2"/>
  <c r="J112" i="2"/>
  <c r="M111" i="2"/>
  <c r="N111" i="2" s="1"/>
  <c r="L111" i="2"/>
  <c r="K111" i="2"/>
  <c r="J111" i="2"/>
  <c r="M110" i="2"/>
  <c r="N110" i="2" s="1"/>
  <c r="G101" i="1" s="1"/>
  <c r="H101" i="1" s="1"/>
  <c r="K110" i="2"/>
  <c r="J110" i="2"/>
  <c r="L110" i="2" s="1"/>
  <c r="M109" i="2"/>
  <c r="N109" i="2" s="1"/>
  <c r="G90" i="1" s="1"/>
  <c r="H90" i="1" s="1"/>
  <c r="K109" i="2"/>
  <c r="L109" i="2" s="1"/>
  <c r="J109" i="2"/>
  <c r="M108" i="2"/>
  <c r="N108" i="2" s="1"/>
  <c r="G75" i="1" s="1"/>
  <c r="H75" i="1" s="1"/>
  <c r="K108" i="2"/>
  <c r="J108" i="2"/>
  <c r="L108" i="2" s="1"/>
  <c r="M107" i="2"/>
  <c r="N107" i="2" s="1"/>
  <c r="G102" i="1" s="1"/>
  <c r="H102" i="1" s="1"/>
  <c r="K107" i="2"/>
  <c r="J107" i="2"/>
  <c r="L107" i="2" s="1"/>
  <c r="N106" i="2"/>
  <c r="M106" i="2"/>
  <c r="K106" i="2"/>
  <c r="L106" i="2" s="1"/>
  <c r="J106" i="2"/>
  <c r="M105" i="2"/>
  <c r="N105" i="2" s="1"/>
  <c r="K105" i="2"/>
  <c r="L105" i="2" s="1"/>
  <c r="J105" i="2"/>
  <c r="M104" i="2"/>
  <c r="N104" i="2" s="1"/>
  <c r="L104" i="2"/>
  <c r="K104" i="2"/>
  <c r="J104" i="2"/>
  <c r="M103" i="2"/>
  <c r="N103" i="2" s="1"/>
  <c r="M102" i="2"/>
  <c r="N102" i="2" s="1"/>
  <c r="G27" i="1" s="1"/>
  <c r="H27" i="1" s="1"/>
  <c r="K102" i="2"/>
  <c r="L102" i="2" s="1"/>
  <c r="J102" i="2"/>
  <c r="M101" i="2"/>
  <c r="N101" i="2" s="1"/>
  <c r="G60" i="1" s="1"/>
  <c r="H60" i="1" s="1"/>
  <c r="L101" i="2"/>
  <c r="K101" i="2"/>
  <c r="J101" i="2"/>
  <c r="M100" i="2"/>
  <c r="N100" i="2" s="1"/>
  <c r="G43" i="1" s="1"/>
  <c r="H43" i="1" s="1"/>
  <c r="K100" i="2"/>
  <c r="J100" i="2"/>
  <c r="L100" i="2" s="1"/>
  <c r="M99" i="2"/>
  <c r="N99" i="2" s="1"/>
  <c r="G89" i="1" s="1"/>
  <c r="H89" i="1" s="1"/>
  <c r="K99" i="2"/>
  <c r="J99" i="2"/>
  <c r="L99" i="2" s="1"/>
  <c r="M98" i="2"/>
  <c r="N98" i="2" s="1"/>
  <c r="G91" i="1" s="1"/>
  <c r="H91" i="1" s="1"/>
  <c r="K98" i="2"/>
  <c r="L98" i="2" s="1"/>
  <c r="J98" i="2"/>
  <c r="N97" i="2"/>
  <c r="M97" i="2"/>
  <c r="L97" i="2"/>
  <c r="K97" i="2"/>
  <c r="J97" i="2"/>
  <c r="M96" i="2"/>
  <c r="N96" i="2" s="1"/>
  <c r="G98" i="1" s="1"/>
  <c r="H98" i="1" s="1"/>
  <c r="L96" i="2"/>
  <c r="K96" i="2"/>
  <c r="J96" i="2"/>
  <c r="M95" i="2"/>
  <c r="N95" i="2" s="1"/>
  <c r="G9" i="1" s="1"/>
  <c r="H9" i="1" s="1"/>
  <c r="L95" i="2"/>
  <c r="K95" i="2"/>
  <c r="J95" i="2"/>
  <c r="M94" i="2"/>
  <c r="N94" i="2" s="1"/>
  <c r="G16" i="1" s="1"/>
  <c r="H16" i="1" s="1"/>
  <c r="K94" i="2"/>
  <c r="J94" i="2"/>
  <c r="L94" i="2" s="1"/>
  <c r="M93" i="2"/>
  <c r="N93" i="2" s="1"/>
  <c r="G17" i="1" s="1"/>
  <c r="H17" i="1" s="1"/>
  <c r="K93" i="2"/>
  <c r="J93" i="2"/>
  <c r="L93" i="2" s="1"/>
  <c r="M92" i="2"/>
  <c r="N92" i="2" s="1"/>
  <c r="G92" i="1" s="1"/>
  <c r="H92" i="1" s="1"/>
  <c r="K92" i="2"/>
  <c r="J92" i="2"/>
  <c r="L92" i="2" s="1"/>
  <c r="M91" i="2"/>
  <c r="N91" i="2" s="1"/>
  <c r="G10" i="1" s="1"/>
  <c r="H10" i="1" s="1"/>
  <c r="K91" i="2"/>
  <c r="J91" i="2"/>
  <c r="L91" i="2" s="1"/>
  <c r="M90" i="2"/>
  <c r="N90" i="2" s="1"/>
  <c r="K90" i="2"/>
  <c r="L90" i="2" s="1"/>
  <c r="J90" i="2"/>
  <c r="M89" i="2"/>
  <c r="N89" i="2" s="1"/>
  <c r="G15" i="1" s="1"/>
  <c r="H15" i="1" s="1"/>
  <c r="K89" i="2"/>
  <c r="L89" i="2" s="1"/>
  <c r="J89" i="2"/>
  <c r="M88" i="2"/>
  <c r="N88" i="2" s="1"/>
  <c r="G33" i="1" s="1"/>
  <c r="H33" i="1" s="1"/>
  <c r="K88" i="2"/>
  <c r="L88" i="2" s="1"/>
  <c r="J88" i="2"/>
  <c r="M87" i="2"/>
  <c r="N87" i="2" s="1"/>
  <c r="G7" i="1" s="1"/>
  <c r="H7" i="1" s="1"/>
  <c r="K87" i="2"/>
  <c r="J87" i="2"/>
  <c r="L87" i="2" s="1"/>
  <c r="M86" i="2"/>
  <c r="N86" i="2" s="1"/>
  <c r="G31" i="1" s="1"/>
  <c r="H31" i="1" s="1"/>
  <c r="K86" i="2"/>
  <c r="L86" i="2" s="1"/>
  <c r="J86" i="2"/>
  <c r="M85" i="2"/>
  <c r="N85" i="2" s="1"/>
  <c r="G40" i="1" s="1"/>
  <c r="H40" i="1" s="1"/>
  <c r="L85" i="2"/>
  <c r="K85" i="2"/>
  <c r="J85" i="2"/>
  <c r="M84" i="2"/>
  <c r="N84" i="2" s="1"/>
  <c r="G8" i="1" s="1"/>
  <c r="H8" i="1" s="1"/>
  <c r="L84" i="2"/>
  <c r="K84" i="2"/>
  <c r="J84" i="2"/>
  <c r="M83" i="2"/>
  <c r="N83" i="2" s="1"/>
  <c r="L83" i="2"/>
  <c r="K83" i="2"/>
  <c r="J83" i="2"/>
  <c r="M82" i="2"/>
  <c r="N82" i="2" s="1"/>
  <c r="G69" i="1" s="1"/>
  <c r="H69" i="1" s="1"/>
  <c r="K82" i="2"/>
  <c r="J82" i="2"/>
  <c r="L82" i="2" s="1"/>
  <c r="M81" i="2"/>
  <c r="N81" i="2" s="1"/>
  <c r="G28" i="1" s="1"/>
  <c r="H28" i="1" s="1"/>
  <c r="L81" i="2"/>
  <c r="K81" i="2"/>
  <c r="J81" i="2"/>
  <c r="M80" i="2"/>
  <c r="N80" i="2" s="1"/>
  <c r="G25" i="1" s="1"/>
  <c r="H25" i="1" s="1"/>
  <c r="L80" i="2"/>
  <c r="K80" i="2"/>
  <c r="J80" i="2"/>
  <c r="M79" i="2"/>
  <c r="N79" i="2" s="1"/>
  <c r="G50" i="1" s="1"/>
  <c r="H50" i="1" s="1"/>
  <c r="K79" i="2"/>
  <c r="J79" i="2"/>
  <c r="L79" i="2" s="1"/>
  <c r="M78" i="2"/>
  <c r="N78" i="2" s="1"/>
  <c r="K78" i="2"/>
  <c r="J78" i="2"/>
  <c r="L78" i="2" s="1"/>
  <c r="M77" i="2"/>
  <c r="N77" i="2" s="1"/>
  <c r="G72" i="1" s="1"/>
  <c r="H72" i="1" s="1"/>
  <c r="K77" i="2"/>
  <c r="L77" i="2" s="1"/>
  <c r="J77" i="2"/>
  <c r="M76" i="2"/>
  <c r="N76" i="2" s="1"/>
  <c r="K76" i="2"/>
  <c r="L76" i="2" s="1"/>
  <c r="J76" i="2"/>
  <c r="M75" i="2"/>
  <c r="N75" i="2" s="1"/>
  <c r="G47" i="1" s="1"/>
  <c r="H47" i="1" s="1"/>
  <c r="K75" i="2"/>
  <c r="J75" i="2"/>
  <c r="L75" i="2" s="1"/>
  <c r="M74" i="2"/>
  <c r="N74" i="2" s="1"/>
  <c r="G45" i="1" s="1"/>
  <c r="H45" i="1" s="1"/>
  <c r="K74" i="2"/>
  <c r="L74" i="2" s="1"/>
  <c r="J74" i="2"/>
  <c r="M73" i="2"/>
  <c r="N73" i="2" s="1"/>
  <c r="G19" i="1" s="1"/>
  <c r="H19" i="1" s="1"/>
  <c r="L73" i="2"/>
  <c r="K73" i="2"/>
  <c r="J73" i="2"/>
  <c r="M72" i="2"/>
  <c r="N72" i="2" s="1"/>
  <c r="L72" i="2"/>
  <c r="K72" i="2"/>
  <c r="J72" i="2"/>
  <c r="M71" i="2"/>
  <c r="N71" i="2" s="1"/>
  <c r="G49" i="1" s="1"/>
  <c r="H49" i="1" s="1"/>
  <c r="L71" i="2"/>
  <c r="K71" i="2"/>
  <c r="J71" i="2"/>
  <c r="M70" i="2"/>
  <c r="N70" i="2" s="1"/>
  <c r="K70" i="2"/>
  <c r="J70" i="2"/>
  <c r="L70" i="2" s="1"/>
  <c r="M69" i="2"/>
  <c r="N69" i="2" s="1"/>
  <c r="G55" i="1" s="1"/>
  <c r="H55" i="1" s="1"/>
  <c r="L69" i="2"/>
  <c r="K69" i="2"/>
  <c r="J69" i="2"/>
  <c r="M68" i="2"/>
  <c r="N68" i="2" s="1"/>
  <c r="G81" i="1" s="1"/>
  <c r="H81" i="1" s="1"/>
  <c r="L68" i="2"/>
  <c r="K68" i="2"/>
  <c r="J68" i="2"/>
  <c r="M67" i="2"/>
  <c r="N67" i="2" s="1"/>
  <c r="G79" i="1" s="1"/>
  <c r="H79" i="1" s="1"/>
  <c r="K67" i="2"/>
  <c r="J67" i="2"/>
  <c r="L67" i="2" s="1"/>
  <c r="M66" i="2"/>
  <c r="N66" i="2" s="1"/>
  <c r="G35" i="1" s="1"/>
  <c r="H35" i="1" s="1"/>
  <c r="K66" i="2"/>
  <c r="J66" i="2"/>
  <c r="L66" i="2" s="1"/>
  <c r="M65" i="2"/>
  <c r="N65" i="2" s="1"/>
  <c r="G44" i="1" s="1"/>
  <c r="H44" i="1" s="1"/>
  <c r="K65" i="2"/>
  <c r="L65" i="2" s="1"/>
  <c r="J65" i="2"/>
  <c r="M64" i="2"/>
  <c r="N64" i="2" s="1"/>
  <c r="G12" i="1" s="1"/>
  <c r="H12" i="1" s="1"/>
  <c r="K64" i="2"/>
  <c r="L64" i="2" s="1"/>
  <c r="J64" i="2"/>
  <c r="M63" i="2"/>
  <c r="N63" i="2" s="1"/>
  <c r="G32" i="1" s="1"/>
  <c r="H32" i="1" s="1"/>
  <c r="K63" i="2"/>
  <c r="J63" i="2"/>
  <c r="L63" i="2" s="1"/>
  <c r="M62" i="2"/>
  <c r="N62" i="2" s="1"/>
  <c r="G38" i="1" s="1"/>
  <c r="H38" i="1" s="1"/>
  <c r="K62" i="2"/>
  <c r="L62" i="2" s="1"/>
  <c r="J62" i="2"/>
  <c r="M61" i="2"/>
  <c r="N61" i="2" s="1"/>
  <c r="G13" i="1" s="1"/>
  <c r="H13" i="1" s="1"/>
  <c r="K61" i="2"/>
  <c r="L61" i="2" s="1"/>
  <c r="J61" i="2"/>
  <c r="M60" i="2"/>
  <c r="N60" i="2" s="1"/>
  <c r="G62" i="1" s="1"/>
  <c r="H62" i="1" s="1"/>
  <c r="L60" i="2"/>
  <c r="K60" i="2"/>
  <c r="J60" i="2"/>
  <c r="M59" i="2"/>
  <c r="N59" i="2" s="1"/>
  <c r="G30" i="1" s="1"/>
  <c r="H30" i="1" s="1"/>
  <c r="L59" i="2"/>
  <c r="K59" i="2"/>
  <c r="J59" i="2"/>
  <c r="M58" i="2"/>
  <c r="N58" i="2" s="1"/>
  <c r="G52" i="1" s="1"/>
  <c r="H52" i="1" s="1"/>
  <c r="K58" i="2"/>
  <c r="J58" i="2"/>
  <c r="L58" i="2" s="1"/>
  <c r="M57" i="2"/>
  <c r="N57" i="2" s="1"/>
  <c r="G83" i="1" s="1"/>
  <c r="H83" i="1" s="1"/>
  <c r="L57" i="2"/>
  <c r="K57" i="2"/>
  <c r="J57" i="2"/>
  <c r="M56" i="2"/>
  <c r="N56" i="2" s="1"/>
  <c r="G93" i="1" s="1"/>
  <c r="H93" i="1" s="1"/>
  <c r="L56" i="2"/>
  <c r="K56" i="2"/>
  <c r="J56" i="2"/>
  <c r="M55" i="2"/>
  <c r="N55" i="2" s="1"/>
  <c r="M54" i="2"/>
  <c r="N54" i="2" s="1"/>
  <c r="G73" i="1" s="1"/>
  <c r="H73" i="1" s="1"/>
  <c r="L54" i="2"/>
  <c r="K54" i="2"/>
  <c r="J54" i="2"/>
  <c r="M53" i="2"/>
  <c r="N53" i="2" s="1"/>
  <c r="G77" i="1" s="1"/>
  <c r="H77" i="1" s="1"/>
  <c r="L53" i="2"/>
  <c r="K53" i="2"/>
  <c r="J53" i="2"/>
  <c r="M52" i="2"/>
  <c r="N52" i="2" s="1"/>
  <c r="G34" i="1" s="1"/>
  <c r="H34" i="1" s="1"/>
  <c r="K52" i="2"/>
  <c r="J52" i="2"/>
  <c r="L52" i="2" s="1"/>
  <c r="M51" i="2"/>
  <c r="N51" i="2" s="1"/>
  <c r="G41" i="1" s="1"/>
  <c r="H41" i="1" s="1"/>
  <c r="K51" i="2"/>
  <c r="J51" i="2"/>
  <c r="L51" i="2" s="1"/>
  <c r="M50" i="2"/>
  <c r="N50" i="2" s="1"/>
  <c r="G46" i="1" s="1"/>
  <c r="H46" i="1" s="1"/>
  <c r="K50" i="2"/>
  <c r="L50" i="2" s="1"/>
  <c r="J50" i="2"/>
  <c r="M49" i="2"/>
  <c r="N49" i="2" s="1"/>
  <c r="G5" i="1" s="1"/>
  <c r="H5" i="1" s="1"/>
  <c r="K49" i="2"/>
  <c r="L49" i="2" s="1"/>
  <c r="J49" i="2"/>
  <c r="M48" i="2"/>
  <c r="N48" i="2" s="1"/>
  <c r="G18" i="1" s="1"/>
  <c r="H18" i="1" s="1"/>
  <c r="K48" i="2"/>
  <c r="J48" i="2"/>
  <c r="L48" i="2" s="1"/>
  <c r="M47" i="2"/>
  <c r="N47" i="2" s="1"/>
  <c r="G80" i="1" s="1"/>
  <c r="H80" i="1" s="1"/>
  <c r="K47" i="2"/>
  <c r="L47" i="2" s="1"/>
  <c r="J47" i="2"/>
  <c r="M46" i="2"/>
  <c r="N46" i="2" s="1"/>
  <c r="G82" i="1" s="1"/>
  <c r="H82" i="1" s="1"/>
  <c r="K46" i="2"/>
  <c r="L46" i="2" s="1"/>
  <c r="J46" i="2"/>
  <c r="M45" i="2"/>
  <c r="N45" i="2" s="1"/>
  <c r="G74" i="1" s="1"/>
  <c r="H74" i="1" s="1"/>
  <c r="L45" i="2"/>
  <c r="K45" i="2"/>
  <c r="J45" i="2"/>
  <c r="M44" i="2"/>
  <c r="N44" i="2" s="1"/>
  <c r="G42" i="1" s="1"/>
  <c r="H42" i="1" s="1"/>
  <c r="L44" i="2"/>
  <c r="K44" i="2"/>
  <c r="J44" i="2"/>
  <c r="M43" i="2"/>
  <c r="N43" i="2" s="1"/>
  <c r="G96" i="1" s="1"/>
  <c r="H96" i="1" s="1"/>
  <c r="K43" i="2"/>
  <c r="J43" i="2"/>
  <c r="L43" i="2" s="1"/>
  <c r="M42" i="2"/>
  <c r="N42" i="2" s="1"/>
  <c r="G2" i="1" s="1"/>
  <c r="H2" i="1" s="1"/>
  <c r="L42" i="2"/>
  <c r="K42" i="2"/>
  <c r="J42" i="2"/>
  <c r="M41" i="2"/>
  <c r="N41" i="2" s="1"/>
  <c r="G64" i="1" s="1"/>
  <c r="H64" i="1" s="1"/>
  <c r="L41" i="2"/>
  <c r="K41" i="2"/>
  <c r="J41" i="2"/>
  <c r="M40" i="2"/>
  <c r="N40" i="2" s="1"/>
  <c r="G6" i="1" s="1"/>
  <c r="H6" i="1" s="1"/>
  <c r="K40" i="2"/>
  <c r="J40" i="2"/>
  <c r="L40" i="2" s="1"/>
  <c r="M39" i="2"/>
  <c r="N39" i="2" s="1"/>
  <c r="K39" i="2"/>
  <c r="J39" i="2"/>
  <c r="L39" i="2" s="1"/>
  <c r="M38" i="2"/>
  <c r="N38" i="2" s="1"/>
  <c r="G84" i="1" s="1"/>
  <c r="H84" i="1" s="1"/>
  <c r="K38" i="2"/>
  <c r="L38" i="2" s="1"/>
  <c r="J38" i="2"/>
  <c r="M37" i="2"/>
  <c r="N37" i="2" s="1"/>
  <c r="G63" i="1" s="1"/>
  <c r="H63" i="1" s="1"/>
  <c r="K37" i="2"/>
  <c r="L37" i="2" s="1"/>
  <c r="J37" i="2"/>
  <c r="M36" i="2"/>
  <c r="N36" i="2" s="1"/>
  <c r="G14" i="1" s="1"/>
  <c r="H14" i="1" s="1"/>
  <c r="K36" i="2"/>
  <c r="J36" i="2"/>
  <c r="L36" i="2" s="1"/>
  <c r="M35" i="2"/>
  <c r="N35" i="2" s="1"/>
  <c r="G48" i="1" s="1"/>
  <c r="H48" i="1" s="1"/>
  <c r="K35" i="2"/>
  <c r="J35" i="2"/>
  <c r="L35" i="2" s="1"/>
  <c r="M34" i="2"/>
  <c r="N34" i="2" s="1"/>
  <c r="G26" i="1" s="1"/>
  <c r="H26" i="1" s="1"/>
  <c r="K34" i="2"/>
  <c r="L34" i="2" s="1"/>
  <c r="J34" i="2"/>
  <c r="M33" i="2"/>
  <c r="N33" i="2" s="1"/>
  <c r="G29" i="1" s="1"/>
  <c r="H29" i="1" s="1"/>
  <c r="L33" i="2"/>
  <c r="K33" i="2"/>
  <c r="J33" i="2"/>
  <c r="M32" i="2"/>
  <c r="N32" i="2" s="1"/>
  <c r="L32" i="2"/>
  <c r="K32" i="2"/>
  <c r="J32" i="2"/>
  <c r="M31" i="2"/>
  <c r="N31" i="2" s="1"/>
  <c r="G70" i="1" s="1"/>
  <c r="H70" i="1" s="1"/>
  <c r="K31" i="2"/>
  <c r="J31" i="2"/>
  <c r="L31" i="2" s="1"/>
  <c r="M30" i="2"/>
  <c r="N30" i="2" s="1"/>
  <c r="G57" i="1" s="1"/>
  <c r="H57" i="1" s="1"/>
  <c r="L30" i="2"/>
  <c r="K30" i="2"/>
  <c r="J30" i="2"/>
  <c r="M29" i="2"/>
  <c r="N29" i="2" s="1"/>
  <c r="G65" i="1" s="1"/>
  <c r="H65" i="1" s="1"/>
  <c r="L29" i="2"/>
  <c r="K29" i="2"/>
  <c r="J29" i="2"/>
  <c r="M28" i="2"/>
  <c r="N28" i="2" s="1"/>
  <c r="G53" i="1" s="1"/>
  <c r="H53" i="1" s="1"/>
  <c r="K28" i="2"/>
  <c r="J28" i="2"/>
  <c r="L28" i="2" s="1"/>
  <c r="M27" i="2"/>
  <c r="N27" i="2" s="1"/>
  <c r="G39" i="1" s="1"/>
  <c r="H39" i="1" s="1"/>
  <c r="K27" i="2"/>
  <c r="J27" i="2"/>
  <c r="L27" i="2" s="1"/>
  <c r="M26" i="2"/>
  <c r="N26" i="2" s="1"/>
  <c r="G23" i="1" s="1"/>
  <c r="H23" i="1" s="1"/>
  <c r="K26" i="2"/>
  <c r="L26" i="2" s="1"/>
  <c r="J26" i="2"/>
  <c r="M25" i="2"/>
  <c r="N25" i="2" s="1"/>
  <c r="G3" i="1" s="1"/>
  <c r="H3" i="1" s="1"/>
  <c r="K25" i="2"/>
  <c r="L25" i="2" s="1"/>
  <c r="J25" i="2"/>
  <c r="M24" i="2"/>
  <c r="N24" i="2" s="1"/>
  <c r="G11" i="1" s="1"/>
  <c r="H11" i="1" s="1"/>
  <c r="K24" i="2"/>
  <c r="J24" i="2"/>
  <c r="L24" i="2" s="1"/>
  <c r="M23" i="2"/>
  <c r="N23" i="2" s="1"/>
  <c r="G88" i="1" s="1"/>
  <c r="H88" i="1" s="1"/>
  <c r="K23" i="2"/>
  <c r="J23" i="2"/>
  <c r="L23" i="2" s="1"/>
  <c r="M22" i="2"/>
  <c r="N22" i="2" s="1"/>
  <c r="G4" i="1" s="1"/>
  <c r="H4" i="1" s="1"/>
  <c r="K22" i="2"/>
  <c r="L22" i="2" s="1"/>
  <c r="J22" i="2"/>
  <c r="M21" i="2"/>
  <c r="N21" i="2" s="1"/>
  <c r="G20" i="1" s="1"/>
  <c r="H20" i="1" s="1"/>
  <c r="L21" i="2"/>
  <c r="K21" i="2"/>
  <c r="J21" i="2"/>
  <c r="N20" i="2"/>
  <c r="M20" i="2"/>
  <c r="L20" i="2"/>
  <c r="K20" i="2"/>
  <c r="J20" i="2"/>
  <c r="M19" i="2"/>
  <c r="N19" i="2" s="1"/>
  <c r="G58" i="1" s="1"/>
  <c r="H58" i="1" s="1"/>
  <c r="K19" i="2"/>
  <c r="J19" i="2"/>
  <c r="L19" i="2" s="1"/>
  <c r="M18" i="2"/>
  <c r="N18" i="2" s="1"/>
  <c r="G22" i="1" s="1"/>
  <c r="H22" i="1" s="1"/>
  <c r="L18" i="2"/>
  <c r="K18" i="2"/>
  <c r="J18" i="2"/>
  <c r="M17" i="2"/>
  <c r="N17" i="2" s="1"/>
  <c r="G51" i="1" s="1"/>
  <c r="H51" i="1" s="1"/>
  <c r="L17" i="2"/>
  <c r="K17" i="2"/>
  <c r="J17" i="2"/>
  <c r="M16" i="2"/>
  <c r="N16" i="2" s="1"/>
  <c r="G76" i="1" s="1"/>
  <c r="H76" i="1" s="1"/>
  <c r="K16" i="2"/>
  <c r="J16" i="2"/>
  <c r="L16" i="2" s="1"/>
  <c r="M15" i="2"/>
  <c r="N15" i="2" s="1"/>
  <c r="G86" i="1" s="1"/>
  <c r="H86" i="1" s="1"/>
  <c r="K15" i="2"/>
  <c r="J15" i="2"/>
  <c r="L15" i="2" s="1"/>
  <c r="M14" i="2"/>
  <c r="N14" i="2" s="1"/>
  <c r="G37" i="1" s="1"/>
  <c r="H37" i="1" s="1"/>
  <c r="K14" i="2"/>
  <c r="L14" i="2" s="1"/>
  <c r="J14" i="2"/>
  <c r="M13" i="2"/>
  <c r="N13" i="2" s="1"/>
  <c r="G54" i="1" s="1"/>
  <c r="H54" i="1" s="1"/>
  <c r="K13" i="2"/>
  <c r="L13" i="2" s="1"/>
  <c r="J13" i="2"/>
  <c r="M12" i="2"/>
  <c r="N12" i="2" s="1"/>
  <c r="G71" i="1" s="1"/>
  <c r="H71" i="1" s="1"/>
  <c r="K12" i="2"/>
  <c r="J12" i="2"/>
  <c r="L12" i="2" s="1"/>
  <c r="M11" i="2"/>
  <c r="N11" i="2" s="1"/>
  <c r="G67" i="1" s="1"/>
  <c r="H67" i="1" s="1"/>
  <c r="K11" i="2"/>
  <c r="J11" i="2"/>
  <c r="L11" i="2" s="1"/>
  <c r="N10" i="2"/>
  <c r="G61" i="1" s="1"/>
  <c r="H61" i="1" s="1"/>
  <c r="M10" i="2"/>
  <c r="K10" i="2"/>
  <c r="L10" i="2" s="1"/>
  <c r="J10" i="2"/>
  <c r="M9" i="2"/>
  <c r="N9" i="2" s="1"/>
  <c r="G36" i="1" s="1"/>
  <c r="H36" i="1" s="1"/>
  <c r="L9" i="2"/>
  <c r="K9" i="2"/>
  <c r="J9" i="2"/>
  <c r="M8" i="2"/>
  <c r="N8" i="2" s="1"/>
  <c r="G21" i="1" s="1"/>
  <c r="H21" i="1" s="1"/>
  <c r="L8" i="2"/>
  <c r="K8" i="2"/>
  <c r="J8" i="2"/>
  <c r="N7" i="2"/>
  <c r="M7" i="2"/>
  <c r="K7" i="2"/>
  <c r="J7" i="2"/>
  <c r="L7" i="2" s="1"/>
  <c r="M6" i="2"/>
  <c r="N6" i="2" s="1"/>
  <c r="G68" i="1" s="1"/>
  <c r="H68" i="1" s="1"/>
  <c r="L6" i="2"/>
  <c r="K6" i="2"/>
  <c r="J6" i="2"/>
  <c r="M5" i="2"/>
  <c r="N5" i="2" s="1"/>
  <c r="G56" i="1" s="1"/>
  <c r="H56" i="1" s="1"/>
  <c r="L5" i="2"/>
  <c r="K5" i="2"/>
  <c r="J5" i="2"/>
  <c r="M4" i="2"/>
  <c r="N4" i="2" s="1"/>
  <c r="G78" i="1" s="1"/>
  <c r="H78" i="1" s="1"/>
  <c r="K4" i="2"/>
  <c r="J4" i="2"/>
  <c r="L4" i="2" s="1"/>
  <c r="M3" i="2"/>
  <c r="N3" i="2" s="1"/>
  <c r="G59" i="1" s="1"/>
  <c r="H59" i="1" s="1"/>
  <c r="K3" i="2"/>
  <c r="J3" i="2"/>
  <c r="L3" i="2" s="1"/>
  <c r="M2" i="2"/>
  <c r="N2" i="2" s="1"/>
  <c r="G85" i="1" s="1"/>
  <c r="H85" i="1" s="1"/>
  <c r="K2" i="2"/>
  <c r="L2" i="2" s="1"/>
  <c r="J2" i="2"/>
  <c r="H100" i="1"/>
  <c r="H104" i="1"/>
  <c r="H110" i="1"/>
  <c r="H105" i="1"/>
  <c r="H103" i="1"/>
  <c r="H108" i="1"/>
  <c r="G24" i="1"/>
  <c r="H24" i="1" s="1"/>
  <c r="G87" i="1"/>
  <c r="H87" i="1" s="1"/>
  <c r="H99" i="1"/>
  <c r="H97" i="1"/>
  <c r="H107" i="1"/>
  <c r="H95" i="1"/>
  <c r="H109" i="1"/>
  <c r="H94" i="1"/>
  <c r="G66" i="1"/>
  <c r="H66" i="1" s="1"/>
  <c r="H106" i="1"/>
  <c r="H111" i="1"/>
</calcChain>
</file>

<file path=xl/sharedStrings.xml><?xml version="1.0" encoding="utf-8"?>
<sst xmlns="http://schemas.openxmlformats.org/spreadsheetml/2006/main" count="378" uniqueCount="254">
  <si>
    <t>完整名稱</t>
  </si>
  <si>
    <t>學號</t>
  </si>
  <si>
    <t>Functional P1</t>
  </si>
  <si>
    <t>Functional P2</t>
  </si>
  <si>
    <t>Gate-lavel P1</t>
  </si>
  <si>
    <t>Gate-lavel P2</t>
  </si>
  <si>
    <t>PA score</t>
  </si>
  <si>
    <t>sum</t>
  </si>
  <si>
    <t>備註</t>
  </si>
  <si>
    <t>score</t>
  </si>
  <si>
    <t>周暘烜</t>
  </si>
  <si>
    <t>P76134919</t>
  </si>
  <si>
    <t>不能合</t>
  </si>
  <si>
    <t>陳彥廷</t>
  </si>
  <si>
    <t>NN6131037</t>
  </si>
  <si>
    <t>Gate-lavel不會過</t>
  </si>
  <si>
    <t>簡劭宸</t>
  </si>
  <si>
    <t>P76131424</t>
  </si>
  <si>
    <t>廖奕凱</t>
  </si>
  <si>
    <t>P76131149</t>
  </si>
  <si>
    <t>胡旻鈞</t>
  </si>
  <si>
    <t>P76131563</t>
  </si>
  <si>
    <t>王奕婕</t>
  </si>
  <si>
    <t>P76131076</t>
  </si>
  <si>
    <t>龔祐萱</t>
  </si>
  <si>
    <t>P76134723</t>
  </si>
  <si>
    <t>張光猛</t>
  </si>
  <si>
    <t>P76135038</t>
  </si>
  <si>
    <t>羅映婷</t>
  </si>
  <si>
    <t>P76144786</t>
  </si>
  <si>
    <t>李昆翰</t>
  </si>
  <si>
    <t>P76134341</t>
  </si>
  <si>
    <t>補交</t>
  </si>
  <si>
    <t>歐陽恩哲</t>
  </si>
  <si>
    <t>P76131597</t>
  </si>
  <si>
    <t>RLT</t>
  </si>
  <si>
    <t>謝廷昇</t>
  </si>
  <si>
    <t>P76131539</t>
  </si>
  <si>
    <t>徐崇智</t>
  </si>
  <si>
    <t>P76131385</t>
  </si>
  <si>
    <t>闕士揚</t>
  </si>
  <si>
    <t>Q36144234</t>
  </si>
  <si>
    <t>林育丞</t>
  </si>
  <si>
    <t>NE6131071</t>
  </si>
  <si>
    <t>陳柏宏</t>
  </si>
  <si>
    <t>C14094071</t>
  </si>
  <si>
    <t>廖柏愷</t>
  </si>
  <si>
    <t>P76131343</t>
  </si>
  <si>
    <t>李懿宸</t>
  </si>
  <si>
    <t>P76131351</t>
  </si>
  <si>
    <t>吳又成</t>
  </si>
  <si>
    <t>P76134367</t>
  </si>
  <si>
    <t>邱家浩</t>
  </si>
  <si>
    <t>P76131482</t>
  </si>
  <si>
    <t>林奕㚬</t>
  </si>
  <si>
    <t>P76134642</t>
  </si>
  <si>
    <t>邱韋霖</t>
  </si>
  <si>
    <t>M26131024</t>
  </si>
  <si>
    <t>張耕齊</t>
  </si>
  <si>
    <t>P76131694</t>
  </si>
  <si>
    <t>方騏為</t>
  </si>
  <si>
    <t>F74102250</t>
  </si>
  <si>
    <t>楊鈞智</t>
  </si>
  <si>
    <t>F74101092</t>
  </si>
  <si>
    <t>陳冠言</t>
  </si>
  <si>
    <t>P76134082</t>
  </si>
  <si>
    <t>林彥華</t>
  </si>
  <si>
    <t>P76131238</t>
  </si>
  <si>
    <t>王華昀</t>
  </si>
  <si>
    <t>N26134308</t>
  </si>
  <si>
    <t>黃啟桓</t>
  </si>
  <si>
    <t>P76134927</t>
  </si>
  <si>
    <t>張暐俊</t>
  </si>
  <si>
    <t>F74101254</t>
  </si>
  <si>
    <t>楊騰漢</t>
  </si>
  <si>
    <t>E94116203</t>
  </si>
  <si>
    <t>劉威佑</t>
  </si>
  <si>
    <t>P76134024</t>
  </si>
  <si>
    <t>陳榮昶</t>
  </si>
  <si>
    <t>NN6131045</t>
  </si>
  <si>
    <t>吳柏泓</t>
  </si>
  <si>
    <t>P76131490</t>
  </si>
  <si>
    <t>章劉軒瑋</t>
  </si>
  <si>
    <t>P76131254</t>
  </si>
  <si>
    <t>原本有交但又補交</t>
  </si>
  <si>
    <t>王齊碩</t>
  </si>
  <si>
    <t>P76134171</t>
  </si>
  <si>
    <t>張庭瑄</t>
  </si>
  <si>
    <t>E64102096</t>
  </si>
  <si>
    <t>林浚騰</t>
  </si>
  <si>
    <t>P78134012</t>
  </si>
  <si>
    <t>FFT(1).v</t>
  </si>
  <si>
    <t>傅士通</t>
  </si>
  <si>
    <t>P76134197</t>
  </si>
  <si>
    <t>李杰</t>
  </si>
  <si>
    <t>M16121124</t>
  </si>
  <si>
    <t>施宣迪</t>
  </si>
  <si>
    <t>P76131466</t>
  </si>
  <si>
    <t>蕭合亭</t>
  </si>
  <si>
    <t>P76134773</t>
  </si>
  <si>
    <t>侯冠廷</t>
  </si>
  <si>
    <t>NN6134051</t>
  </si>
  <si>
    <t>廖啓恩</t>
  </si>
  <si>
    <t>P76131131</t>
  </si>
  <si>
    <t>涂棋鈞</t>
  </si>
  <si>
    <t>P76131173</t>
  </si>
  <si>
    <t>盧子晴</t>
  </si>
  <si>
    <t>P76121568</t>
  </si>
  <si>
    <t>蔡元珽</t>
  </si>
  <si>
    <t>NQ6121096</t>
  </si>
  <si>
    <t>林佩蓉</t>
  </si>
  <si>
    <t>M56134028</t>
  </si>
  <si>
    <t>陳柏愷</t>
  </si>
  <si>
    <t>P76131610</t>
  </si>
  <si>
    <t>賴威達</t>
  </si>
  <si>
    <t>P76134668</t>
  </si>
  <si>
    <t>吳承昊</t>
  </si>
  <si>
    <t>P76131262</t>
  </si>
  <si>
    <t>方榮彬</t>
  </si>
  <si>
    <t>NE6134087</t>
  </si>
  <si>
    <t>孫雨彤</t>
  </si>
  <si>
    <t>Q56134089</t>
  </si>
  <si>
    <t>游家達</t>
  </si>
  <si>
    <t>M16131014</t>
  </si>
  <si>
    <t>鄭煦霖</t>
  </si>
  <si>
    <t>P76131571</t>
  </si>
  <si>
    <t>劉益祥</t>
  </si>
  <si>
    <t>P76131084</t>
  </si>
  <si>
    <t>施柏安</t>
  </si>
  <si>
    <t>M16131072</t>
  </si>
  <si>
    <t>沒照資料夾分</t>
  </si>
  <si>
    <t>高彣凱</t>
  </si>
  <si>
    <t>Q16134073</t>
  </si>
  <si>
    <t>林子齊</t>
  </si>
  <si>
    <t>F74124024</t>
  </si>
  <si>
    <t>龎懋翔</t>
  </si>
  <si>
    <t>P76134650</t>
  </si>
  <si>
    <t>黃俊瑋</t>
  </si>
  <si>
    <t>Q16131059</t>
  </si>
  <si>
    <t>張祐麒</t>
  </si>
  <si>
    <t>N26131041</t>
  </si>
  <si>
    <t>劉俊廷</t>
  </si>
  <si>
    <t>P76131660</t>
  </si>
  <si>
    <t>劉秉威</t>
  </si>
  <si>
    <t>P76134896</t>
  </si>
  <si>
    <t>曾立呈</t>
  </si>
  <si>
    <t>E94121038</t>
  </si>
  <si>
    <t>蘇翊荃</t>
  </si>
  <si>
    <t>P76144320</t>
  </si>
  <si>
    <t>柳嘉祐</t>
  </si>
  <si>
    <t>P76131505</t>
  </si>
  <si>
    <t>葉秉澄</t>
  </si>
  <si>
    <t>M16131129</t>
  </si>
  <si>
    <t>蔡炘晏</t>
  </si>
  <si>
    <t>P76131042</t>
  </si>
  <si>
    <t>資料夾名字錯誤</t>
  </si>
  <si>
    <t>李浩維</t>
  </si>
  <si>
    <t>F14114043</t>
  </si>
  <si>
    <t>王彥智</t>
  </si>
  <si>
    <t>P76131212</t>
  </si>
  <si>
    <t>曹丞佑</t>
  </si>
  <si>
    <t>M16131103</t>
  </si>
  <si>
    <t>蘇祐蓁</t>
  </si>
  <si>
    <t>NE6131021</t>
  </si>
  <si>
    <t>李聿晨</t>
  </si>
  <si>
    <t>P76131068</t>
  </si>
  <si>
    <t>丁琪</t>
  </si>
  <si>
    <t>P76134294</t>
  </si>
  <si>
    <t>黃品翔</t>
  </si>
  <si>
    <t>P76131377</t>
  </si>
  <si>
    <t>林昱成</t>
  </si>
  <si>
    <t>E94116237</t>
  </si>
  <si>
    <t>陳煒勛</t>
  </si>
  <si>
    <t>P76144817</t>
  </si>
  <si>
    <t>蔡尚融</t>
  </si>
  <si>
    <t>Q16134251</t>
  </si>
  <si>
    <t>阮德光</t>
  </si>
  <si>
    <t>M26137062</t>
  </si>
  <si>
    <t>徐健翔</t>
  </si>
  <si>
    <t>P76131686</t>
  </si>
  <si>
    <t>郭晏竹</t>
  </si>
  <si>
    <t>N26134324</t>
  </si>
  <si>
    <t>呂霈芳</t>
  </si>
  <si>
    <t>P76134278</t>
  </si>
  <si>
    <t>傅信豪</t>
  </si>
  <si>
    <t>NE6121084</t>
  </si>
  <si>
    <t>何婕妤</t>
  </si>
  <si>
    <t>XX1132006</t>
  </si>
  <si>
    <t>吳翰宇</t>
  </si>
  <si>
    <t>F74106092</t>
  </si>
  <si>
    <t>陳忠孝</t>
  </si>
  <si>
    <t>M26147041</t>
  </si>
  <si>
    <t>李柏寬</t>
  </si>
  <si>
    <t>M16131064</t>
  </si>
  <si>
    <t>吳仲倫</t>
  </si>
  <si>
    <t>P76131270</t>
  </si>
  <si>
    <t>顏麒祐</t>
  </si>
  <si>
    <t>F74116364</t>
  </si>
  <si>
    <t>張百鴻</t>
  </si>
  <si>
    <t>AN4116039</t>
  </si>
  <si>
    <t>蘇凡誠</t>
  </si>
  <si>
    <t>E94116148</t>
  </si>
  <si>
    <t>郭昱辰</t>
  </si>
  <si>
    <t>P76134236</t>
  </si>
  <si>
    <t>簡紹軒</t>
  </si>
  <si>
    <t>P76131474</t>
  </si>
  <si>
    <t>王彥珽</t>
  </si>
  <si>
    <t>P76131416</t>
  </si>
  <si>
    <t>章元豪</t>
  </si>
  <si>
    <t>N26132314</t>
  </si>
  <si>
    <t>童品綸</t>
  </si>
  <si>
    <t>M16131111</t>
  </si>
  <si>
    <t>蔡奇佑</t>
  </si>
  <si>
    <t>NN6134069</t>
  </si>
  <si>
    <t>陳廷睿</t>
  </si>
  <si>
    <t>F74101034</t>
  </si>
  <si>
    <t>洪伯翰</t>
  </si>
  <si>
    <t>M16134135</t>
  </si>
  <si>
    <t>楊柏方</t>
  </si>
  <si>
    <t>F74102323</t>
  </si>
  <si>
    <t>陳柏全</t>
  </si>
  <si>
    <t>M16134088</t>
  </si>
  <si>
    <t>吳士彬</t>
  </si>
  <si>
    <t>M16134062</t>
  </si>
  <si>
    <t>文詩涵</t>
  </si>
  <si>
    <t>N26131198</t>
  </si>
  <si>
    <t>洪翊豪</t>
  </si>
  <si>
    <t>F74111275</t>
  </si>
  <si>
    <t>黃祈緯</t>
  </si>
  <si>
    <t>P76131050</t>
  </si>
  <si>
    <t>曹為廷</t>
  </si>
  <si>
    <t>P76131589</t>
  </si>
  <si>
    <t>牛俊傑</t>
  </si>
  <si>
    <t>NM6144038</t>
  </si>
  <si>
    <t>鄭少揚</t>
  </si>
  <si>
    <t>P76134139</t>
  </si>
  <si>
    <t>方士榮</t>
  </si>
  <si>
    <t>M16131098</t>
  </si>
  <si>
    <t>Student ID</t>
  </si>
  <si>
    <t>Total logic elements</t>
  </si>
  <si>
    <t>Total registers</t>
  </si>
  <si>
    <t>Total memory bits</t>
  </si>
  <si>
    <t>Embedded mult</t>
  </si>
  <si>
    <t>clock width</t>
  </si>
  <si>
    <t>cycle count</t>
  </si>
  <si>
    <t>P1</t>
  </si>
  <si>
    <t>P2</t>
  </si>
  <si>
    <t>AREA</t>
  </si>
  <si>
    <t>Timing</t>
  </si>
  <si>
    <t>PA</t>
  </si>
  <si>
    <t>Rank</t>
  </si>
  <si>
    <t>不會過</t>
  </si>
  <si>
    <t>不能和</t>
  </si>
  <si>
    <t>ne6131071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</si>
</sst>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rgb="FF000000"/>
      <name val="新細明體"/>
      <family val="1"/>
      <charset val="136"/>
    </font>
    <font>
      <sz val="12"/>
      <color theme="1"/>
      <name val="Arial"/>
      <scheme val="minor"/>
    </font>
    <font>
      <sz val="12"/>
      <color theme="1"/>
      <name val="Arial"/>
    </font>
    <font>
      <sz val="11"/>
      <color rgb="FF000000"/>
      <name val="新細明體"/>
      <family val="1"/>
      <charset val="136"/>
    </font>
    <font>
      <sz val="10"/>
      <color theme="1"/>
      <name val="Arial"/>
      <scheme val="minor"/>
    </font>
    <font>
      <sz val="12"/>
      <color rgb="FF000000"/>
      <name val="Times"/>
      <family val="1"/>
    </font>
    <font>
      <sz val="12"/>
      <color theme="1"/>
      <name val="Times"/>
      <family val="1"/>
    </font>
    <font>
      <sz val="9"/>
      <name val="Arial"/>
      <family val="3"/>
      <charset val="136"/>
      <scheme val="minor"/>
    </font>
    <font>
      <sz val="12"/>
      <color rgb="FFFF0000"/>
      <name val="新細明體"/>
      <family val="1"/>
      <charset val="136"/>
    </font>
    <font>
      <sz val="12"/>
      <color rgb="FFFF0000"/>
      <name val="Times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7"/>
  <sheetViews>
    <sheetView tabSelected="1" workbookViewId="0">
      <selection activeCell="J4" sqref="J4"/>
    </sheetView>
  </sheetViews>
  <sheetFormatPr defaultColWidth="12.5546875" defaultRowHeight="15.75" customHeight="1" x14ac:dyDescent="0.25"/>
  <cols>
    <col min="2" max="2" width="18" customWidth="1"/>
    <col min="3" max="3" width="23.44140625" customWidth="1"/>
    <col min="4" max="4" width="25.44140625" customWidth="1"/>
    <col min="5" max="5" width="20.33203125" customWidth="1"/>
    <col min="6" max="6" width="21.109375" customWidth="1"/>
    <col min="7" max="7" width="15.5546875" customWidth="1"/>
    <col min="9" max="9" width="22.5546875" customWidth="1"/>
  </cols>
  <sheetData>
    <row r="1" spans="1:26" ht="15.75" customHeight="1" x14ac:dyDescent="0.3">
      <c r="A1" s="1" t="s">
        <v>0</v>
      </c>
      <c r="B1" s="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2" t="s">
        <v>8</v>
      </c>
      <c r="J1" s="12" t="s">
        <v>9</v>
      </c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1" t="s">
        <v>212</v>
      </c>
      <c r="B2" s="11" t="s">
        <v>213</v>
      </c>
      <c r="C2" s="12">
        <v>20</v>
      </c>
      <c r="D2" s="12">
        <v>20</v>
      </c>
      <c r="E2" s="11">
        <v>20</v>
      </c>
      <c r="F2" s="12">
        <v>20</v>
      </c>
      <c r="G2" s="12">
        <f ca="1">VLOOKUP(B2,PA!$A$2:$N$110,14,FALSE)</f>
        <v>20</v>
      </c>
      <c r="H2" s="12">
        <f ca="1">SUM(C2:G2)</f>
        <v>100</v>
      </c>
      <c r="I2" s="2"/>
      <c r="J2" s="12">
        <v>100</v>
      </c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1" t="s">
        <v>220</v>
      </c>
      <c r="B3" s="11" t="s">
        <v>221</v>
      </c>
      <c r="C3" s="12">
        <v>20</v>
      </c>
      <c r="D3" s="12">
        <v>20</v>
      </c>
      <c r="E3" s="11">
        <v>20</v>
      </c>
      <c r="F3" s="12">
        <v>20</v>
      </c>
      <c r="G3" s="12">
        <f ca="1">VLOOKUP(B3,PA!$A$2:$N$110,14,FALSE)</f>
        <v>19.8</v>
      </c>
      <c r="H3" s="12">
        <f ca="1">SUM(C3:G3)</f>
        <v>99.8</v>
      </c>
      <c r="I3" s="2"/>
      <c r="J3" s="12">
        <v>99.8</v>
      </c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15" t="s">
        <v>210</v>
      </c>
      <c r="B4" s="11" t="s">
        <v>211</v>
      </c>
      <c r="C4" s="12">
        <v>20</v>
      </c>
      <c r="D4" s="12">
        <v>20</v>
      </c>
      <c r="E4" s="11">
        <v>20</v>
      </c>
      <c r="F4" s="12">
        <v>20</v>
      </c>
      <c r="G4" s="12">
        <f ca="1">VLOOKUP(B4,PA!$A$2:$N$110,14,FALSE)</f>
        <v>19.600000000000001</v>
      </c>
      <c r="H4" s="12">
        <f ca="1">SUM(C4:G4)</f>
        <v>99.6</v>
      </c>
      <c r="I4" s="2"/>
      <c r="J4" s="16">
        <v>99.6</v>
      </c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1" t="s">
        <v>126</v>
      </c>
      <c r="B5" s="11" t="s">
        <v>127</v>
      </c>
      <c r="C5" s="12">
        <v>20</v>
      </c>
      <c r="D5" s="12">
        <v>20</v>
      </c>
      <c r="E5" s="11">
        <v>20</v>
      </c>
      <c r="F5" s="11">
        <v>20</v>
      </c>
      <c r="G5" s="12">
        <f ca="1">VLOOKUP(B5,PA!$A$2:$N$110,14,FALSE)</f>
        <v>19.399999999999999</v>
      </c>
      <c r="H5" s="12">
        <f ca="1">SUM(C5:G5)</f>
        <v>99.4</v>
      </c>
      <c r="I5" s="2"/>
      <c r="J5" s="12">
        <v>99.4</v>
      </c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1" t="s">
        <v>78</v>
      </c>
      <c r="B6" s="11" t="s">
        <v>79</v>
      </c>
      <c r="C6" s="12">
        <v>20</v>
      </c>
      <c r="D6" s="12">
        <v>20</v>
      </c>
      <c r="E6" s="11">
        <v>20</v>
      </c>
      <c r="F6" s="11">
        <v>20</v>
      </c>
      <c r="G6" s="12">
        <f ca="1">VLOOKUP(B6,PA!$A$2:$N$110,14,FALSE)</f>
        <v>19.2</v>
      </c>
      <c r="H6" s="12">
        <f ca="1">SUM(C6:G6)</f>
        <v>99.2</v>
      </c>
      <c r="I6" s="2"/>
      <c r="J6" s="12">
        <v>99.2</v>
      </c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1" t="s">
        <v>24</v>
      </c>
      <c r="B7" s="11" t="s">
        <v>25</v>
      </c>
      <c r="C7" s="12">
        <v>20</v>
      </c>
      <c r="D7" s="12">
        <v>20</v>
      </c>
      <c r="E7" s="11">
        <v>20</v>
      </c>
      <c r="F7" s="11">
        <v>20</v>
      </c>
      <c r="G7" s="12">
        <f ca="1">VLOOKUP(B7,PA!$A$2:$N$110,14,FALSE)</f>
        <v>19</v>
      </c>
      <c r="H7" s="12">
        <f ca="1">SUM(C7:G7)</f>
        <v>99</v>
      </c>
      <c r="I7" s="2"/>
      <c r="J7" s="12">
        <v>99</v>
      </c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1" t="s">
        <v>54</v>
      </c>
      <c r="B8" s="11" t="s">
        <v>55</v>
      </c>
      <c r="C8" s="12">
        <v>20</v>
      </c>
      <c r="D8" s="12">
        <v>20</v>
      </c>
      <c r="E8" s="11">
        <v>20</v>
      </c>
      <c r="F8" s="11">
        <v>20</v>
      </c>
      <c r="G8" s="12">
        <f ca="1">VLOOKUP(B8,PA!$A$2:$N$110,14,FALSE)</f>
        <v>18.8</v>
      </c>
      <c r="H8" s="12">
        <f ca="1">SUM(C8:G8)</f>
        <v>98.8</v>
      </c>
      <c r="I8" s="2"/>
      <c r="J8" s="12">
        <v>98.8</v>
      </c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1" t="s">
        <v>172</v>
      </c>
      <c r="B9" s="11" t="s">
        <v>173</v>
      </c>
      <c r="C9" s="12">
        <v>20</v>
      </c>
      <c r="D9" s="12">
        <v>20</v>
      </c>
      <c r="E9" s="11">
        <v>20</v>
      </c>
      <c r="F9" s="11">
        <v>20</v>
      </c>
      <c r="G9" s="12">
        <f ca="1">VLOOKUP(B9,PA!$A$2:$N$110,14,FALSE)</f>
        <v>18.600000000000001</v>
      </c>
      <c r="H9" s="12">
        <f ca="1">SUM(C9:G9)</f>
        <v>98.6</v>
      </c>
      <c r="I9" s="2"/>
      <c r="J9" s="12">
        <v>98.6</v>
      </c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1" t="s">
        <v>70</v>
      </c>
      <c r="B10" s="11" t="s">
        <v>71</v>
      </c>
      <c r="C10" s="12">
        <v>20</v>
      </c>
      <c r="D10" s="12">
        <v>20</v>
      </c>
      <c r="E10" s="11">
        <v>20</v>
      </c>
      <c r="F10" s="11">
        <v>20</v>
      </c>
      <c r="G10" s="12">
        <f ca="1">VLOOKUP(B10,PA!$A$2:$N$110,14,FALSE)</f>
        <v>18.399999999999999</v>
      </c>
      <c r="H10" s="12">
        <f ca="1">SUM(C10:G10)</f>
        <v>98.4</v>
      </c>
      <c r="I10" s="2"/>
      <c r="J10" s="12">
        <v>98.4</v>
      </c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1" t="s">
        <v>222</v>
      </c>
      <c r="B11" s="11" t="s">
        <v>223</v>
      </c>
      <c r="C11" s="12">
        <v>20</v>
      </c>
      <c r="D11" s="12">
        <v>20</v>
      </c>
      <c r="E11" s="11">
        <v>20</v>
      </c>
      <c r="F11" s="12">
        <v>20</v>
      </c>
      <c r="G11" s="12">
        <f ca="1">VLOOKUP(B11,PA!$A$2:$N$110,14,FALSE)</f>
        <v>18.2</v>
      </c>
      <c r="H11" s="12">
        <f ca="1">SUM(C11:G11)</f>
        <v>98.2</v>
      </c>
      <c r="I11" s="2"/>
      <c r="J11" s="12">
        <v>98.2</v>
      </c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1" t="s">
        <v>204</v>
      </c>
      <c r="B12" s="11" t="s">
        <v>205</v>
      </c>
      <c r="C12" s="12">
        <v>20</v>
      </c>
      <c r="D12" s="12">
        <v>20</v>
      </c>
      <c r="E12" s="11">
        <v>20</v>
      </c>
      <c r="F12" s="12">
        <v>20</v>
      </c>
      <c r="G12" s="12">
        <f ca="1">VLOOKUP(B12,PA!$A$2:$N$110,14,FALSE)</f>
        <v>18</v>
      </c>
      <c r="H12" s="12">
        <f ca="1">SUM(C12:G12)</f>
        <v>98</v>
      </c>
      <c r="I12" s="2"/>
      <c r="J12" s="12">
        <v>98</v>
      </c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1" t="s">
        <v>206</v>
      </c>
      <c r="B13" s="11" t="s">
        <v>207</v>
      </c>
      <c r="C13" s="12">
        <v>20</v>
      </c>
      <c r="D13" s="12">
        <v>20</v>
      </c>
      <c r="E13" s="11">
        <v>20</v>
      </c>
      <c r="F13" s="12">
        <v>20</v>
      </c>
      <c r="G13" s="12">
        <f ca="1">VLOOKUP(B13,PA!$A$2:$N$110,14,FALSE)</f>
        <v>17.8</v>
      </c>
      <c r="H13" s="12">
        <f ca="1">SUM(C13:G13)</f>
        <v>97.8</v>
      </c>
      <c r="I13" s="2"/>
      <c r="J13" s="12">
        <v>97.8</v>
      </c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1" t="s">
        <v>184</v>
      </c>
      <c r="B14" s="11" t="s">
        <v>185</v>
      </c>
      <c r="C14" s="12">
        <v>20</v>
      </c>
      <c r="D14" s="12">
        <v>20</v>
      </c>
      <c r="E14" s="11">
        <v>20</v>
      </c>
      <c r="F14" s="11">
        <v>20</v>
      </c>
      <c r="G14" s="12">
        <f ca="1">VLOOKUP(B14,PA!$A$2:$N$110,14,FALSE)</f>
        <v>17.600000000000001</v>
      </c>
      <c r="H14" s="12">
        <f ca="1">SUM(C14:G14)</f>
        <v>97.6</v>
      </c>
      <c r="I14" s="2"/>
      <c r="J14" s="12">
        <v>97.6</v>
      </c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1" t="s">
        <v>143</v>
      </c>
      <c r="B15" s="11" t="s">
        <v>144</v>
      </c>
      <c r="C15" s="12">
        <v>20</v>
      </c>
      <c r="D15" s="12">
        <v>20</v>
      </c>
      <c r="E15" s="11">
        <v>20</v>
      </c>
      <c r="F15" s="11">
        <v>20</v>
      </c>
      <c r="G15" s="12">
        <f ca="1">VLOOKUP(B15,PA!$A$2:$N$110,14,FALSE)</f>
        <v>17.399999999999999</v>
      </c>
      <c r="H15" s="12">
        <f ca="1">SUM(C15:G15)</f>
        <v>97.4</v>
      </c>
      <c r="I15" s="2"/>
      <c r="J15" s="12">
        <v>97.4</v>
      </c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1" t="s">
        <v>28</v>
      </c>
      <c r="B16" s="11" t="s">
        <v>29</v>
      </c>
      <c r="C16" s="12">
        <v>20</v>
      </c>
      <c r="D16" s="12">
        <v>20</v>
      </c>
      <c r="E16" s="11">
        <v>20</v>
      </c>
      <c r="F16" s="11">
        <v>20</v>
      </c>
      <c r="G16" s="12">
        <f ca="1">VLOOKUP(B16,PA!$A$2:$N$110,14,FALSE)</f>
        <v>17.2</v>
      </c>
      <c r="H16" s="12">
        <f ca="1">SUM(C16:G16)</f>
        <v>97.2</v>
      </c>
      <c r="I16" s="2"/>
      <c r="J16" s="12">
        <v>97.2</v>
      </c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1" t="s">
        <v>147</v>
      </c>
      <c r="B17" s="11" t="s">
        <v>148</v>
      </c>
      <c r="C17" s="12">
        <v>20</v>
      </c>
      <c r="D17" s="12">
        <v>20</v>
      </c>
      <c r="E17" s="11">
        <v>20</v>
      </c>
      <c r="F17" s="11">
        <v>20</v>
      </c>
      <c r="G17" s="12">
        <f ca="1">VLOOKUP(B17,PA!$A$2:$N$110,14,FALSE)</f>
        <v>17</v>
      </c>
      <c r="H17" s="12">
        <f ca="1">SUM(C17:G17)</f>
        <v>97</v>
      </c>
      <c r="I17" s="2"/>
      <c r="J17" s="12">
        <v>97</v>
      </c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1" t="s">
        <v>22</v>
      </c>
      <c r="B18" s="11" t="s">
        <v>23</v>
      </c>
      <c r="C18" s="12">
        <v>20</v>
      </c>
      <c r="D18" s="12">
        <v>20</v>
      </c>
      <c r="E18" s="11">
        <v>20</v>
      </c>
      <c r="F18" s="11">
        <v>20</v>
      </c>
      <c r="G18" s="12">
        <f ca="1">VLOOKUP(B18,PA!$A$2:$N$110,14,FALSE)</f>
        <v>16.8</v>
      </c>
      <c r="H18" s="12">
        <f ca="1">SUM(C18:G18)</f>
        <v>96.8</v>
      </c>
      <c r="I18" s="2"/>
      <c r="J18" s="12">
        <v>96.8</v>
      </c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1" t="s">
        <v>141</v>
      </c>
      <c r="B19" s="11" t="s">
        <v>142</v>
      </c>
      <c r="C19" s="12">
        <v>20</v>
      </c>
      <c r="D19" s="12">
        <v>20</v>
      </c>
      <c r="E19" s="11">
        <v>20</v>
      </c>
      <c r="F19" s="11">
        <v>20</v>
      </c>
      <c r="G19" s="12">
        <f ca="1">VLOOKUP(B19,PA!$A$2:$N$110,14,FALSE)</f>
        <v>16.600000000000001</v>
      </c>
      <c r="H19" s="12">
        <f ca="1">SUM(C19:G19)</f>
        <v>96.6</v>
      </c>
      <c r="I19" s="2"/>
      <c r="J19" s="12">
        <v>96.6</v>
      </c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1" t="s">
        <v>160</v>
      </c>
      <c r="B20" s="11" t="s">
        <v>161</v>
      </c>
      <c r="C20" s="12">
        <v>20</v>
      </c>
      <c r="D20" s="12">
        <v>20</v>
      </c>
      <c r="E20" s="11">
        <v>20</v>
      </c>
      <c r="F20" s="11">
        <v>20</v>
      </c>
      <c r="G20" s="12">
        <f ca="1">VLOOKUP(B20,PA!$A$2:$N$110,14,FALSE)</f>
        <v>16.399999999999999</v>
      </c>
      <c r="H20" s="12">
        <f ca="1">SUM(C20:G20)</f>
        <v>96.4</v>
      </c>
      <c r="I20" s="2"/>
      <c r="J20" s="12">
        <v>96.4</v>
      </c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1" t="s">
        <v>145</v>
      </c>
      <c r="B21" s="11" t="s">
        <v>146</v>
      </c>
      <c r="C21" s="12">
        <v>20</v>
      </c>
      <c r="D21" s="12">
        <v>20</v>
      </c>
      <c r="E21" s="11">
        <v>20</v>
      </c>
      <c r="F21" s="11">
        <v>20</v>
      </c>
      <c r="G21" s="12">
        <f ca="1">VLOOKUP(B21,PA!$A$2:$N$110,14,FALSE)</f>
        <v>16.2</v>
      </c>
      <c r="H21" s="12">
        <f ca="1">SUM(C21:G21)</f>
        <v>96.2</v>
      </c>
      <c r="I21" s="2"/>
      <c r="J21" s="12">
        <v>96.2</v>
      </c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1" t="s">
        <v>122</v>
      </c>
      <c r="B22" s="11" t="s">
        <v>123</v>
      </c>
      <c r="C22" s="12">
        <v>20</v>
      </c>
      <c r="D22" s="12">
        <v>20</v>
      </c>
      <c r="E22" s="11">
        <v>20</v>
      </c>
      <c r="F22" s="11">
        <v>20</v>
      </c>
      <c r="G22" s="12">
        <f ca="1">VLOOKUP(B22,PA!$A$2:$N$110,14,FALSE)</f>
        <v>16</v>
      </c>
      <c r="H22" s="12">
        <f ca="1">SUM(C22:G22)</f>
        <v>96</v>
      </c>
      <c r="I22" s="2"/>
      <c r="J22" s="12">
        <v>96</v>
      </c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1" t="s">
        <v>216</v>
      </c>
      <c r="B23" s="11" t="s">
        <v>217</v>
      </c>
      <c r="C23" s="12">
        <v>20</v>
      </c>
      <c r="D23" s="12">
        <v>20</v>
      </c>
      <c r="E23" s="11">
        <v>20</v>
      </c>
      <c r="F23" s="12">
        <v>20</v>
      </c>
      <c r="G23" s="12">
        <f ca="1">VLOOKUP(B23,PA!$A$2:$N$110,14,FALSE)</f>
        <v>15.8</v>
      </c>
      <c r="H23" s="12">
        <f ca="1">SUM(C23:G23)</f>
        <v>95.8</v>
      </c>
      <c r="I23" s="2"/>
      <c r="J23" s="12">
        <v>95.8</v>
      </c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1" t="s">
        <v>170</v>
      </c>
      <c r="B24" s="11" t="s">
        <v>171</v>
      </c>
      <c r="C24" s="12">
        <v>20</v>
      </c>
      <c r="D24" s="12">
        <v>20</v>
      </c>
      <c r="E24" s="11">
        <v>20</v>
      </c>
      <c r="F24" s="11">
        <v>20</v>
      </c>
      <c r="G24" s="12">
        <f ca="1">VLOOKUP(B24,PA!$A$2:$N$110,14,FALSE)</f>
        <v>15.6</v>
      </c>
      <c r="H24" s="12">
        <f ca="1">SUM(C24:G24)</f>
        <v>95.6</v>
      </c>
      <c r="I24" s="2"/>
      <c r="J24" s="12">
        <v>95.6</v>
      </c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1" t="s">
        <v>202</v>
      </c>
      <c r="B25" s="11" t="s">
        <v>203</v>
      </c>
      <c r="C25" s="12">
        <v>20</v>
      </c>
      <c r="D25" s="12">
        <v>20</v>
      </c>
      <c r="E25" s="11">
        <v>20</v>
      </c>
      <c r="F25" s="12">
        <v>20</v>
      </c>
      <c r="G25" s="12">
        <f ca="1">VLOOKUP(B25,PA!$A$2:$N$110,14,FALSE)</f>
        <v>15.4</v>
      </c>
      <c r="H25" s="12">
        <f ca="1">SUM(C25:G25)</f>
        <v>95.4</v>
      </c>
      <c r="I25" s="2"/>
      <c r="J25" s="12">
        <v>95.4</v>
      </c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1" t="s">
        <v>68</v>
      </c>
      <c r="B26" s="11" t="s">
        <v>69</v>
      </c>
      <c r="C26" s="12">
        <v>20</v>
      </c>
      <c r="D26" s="12">
        <v>20</v>
      </c>
      <c r="E26" s="11">
        <v>20</v>
      </c>
      <c r="F26" s="11">
        <v>20</v>
      </c>
      <c r="G26" s="12">
        <f ca="1">VLOOKUP(B26,PA!$A$2:$N$110,14,FALSE)</f>
        <v>15.2</v>
      </c>
      <c r="H26" s="12">
        <f ca="1">SUM(C26:G26)</f>
        <v>95.2</v>
      </c>
      <c r="I26" s="2"/>
      <c r="J26" s="12">
        <v>95.2</v>
      </c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1" t="s">
        <v>186</v>
      </c>
      <c r="B27" s="11" t="s">
        <v>187</v>
      </c>
      <c r="C27" s="12">
        <v>20</v>
      </c>
      <c r="D27" s="12">
        <v>20</v>
      </c>
      <c r="E27" s="11">
        <v>20</v>
      </c>
      <c r="F27" s="11">
        <v>20</v>
      </c>
      <c r="G27" s="12">
        <f ca="1">VLOOKUP(B27,PA!$A$2:$N$110,14,FALSE)</f>
        <v>15</v>
      </c>
      <c r="H27" s="12">
        <f ca="1">SUM(C27:G27)</f>
        <v>95</v>
      </c>
      <c r="I27" s="2"/>
      <c r="J27" s="12">
        <v>95</v>
      </c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1" t="s">
        <v>182</v>
      </c>
      <c r="B28" s="11" t="s">
        <v>183</v>
      </c>
      <c r="C28" s="12">
        <v>20</v>
      </c>
      <c r="D28" s="12">
        <v>20</v>
      </c>
      <c r="E28" s="11">
        <v>20</v>
      </c>
      <c r="F28" s="11">
        <v>20</v>
      </c>
      <c r="G28" s="12">
        <f ca="1">VLOOKUP(B28,PA!$A$2:$N$110,14,FALSE)</f>
        <v>14.8</v>
      </c>
      <c r="H28" s="12">
        <f ca="1">SUM(C28:G28)</f>
        <v>94.8</v>
      </c>
      <c r="I28" s="2"/>
      <c r="J28" s="12">
        <v>94.8</v>
      </c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1" t="s">
        <v>208</v>
      </c>
      <c r="B29" s="11" t="s">
        <v>209</v>
      </c>
      <c r="C29" s="12">
        <v>20</v>
      </c>
      <c r="D29" s="12">
        <v>20</v>
      </c>
      <c r="E29" s="11">
        <v>20</v>
      </c>
      <c r="F29" s="12">
        <v>20</v>
      </c>
      <c r="G29" s="12">
        <f ca="1">VLOOKUP(B29,PA!$A$2:$N$110,14,FALSE)</f>
        <v>14.4</v>
      </c>
      <c r="H29" s="12">
        <f ca="1">SUM(C29:G29)</f>
        <v>94.4</v>
      </c>
      <c r="I29" s="2"/>
      <c r="J29" s="12">
        <v>94.4</v>
      </c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1" t="s">
        <v>48</v>
      </c>
      <c r="B30" s="11" t="s">
        <v>49</v>
      </c>
      <c r="C30" s="12">
        <v>20</v>
      </c>
      <c r="D30" s="12">
        <v>20</v>
      </c>
      <c r="E30" s="11">
        <v>20</v>
      </c>
      <c r="F30" s="11">
        <v>20</v>
      </c>
      <c r="G30" s="12">
        <f ca="1">VLOOKUP(B30,PA!$A$2:$N$110,14,FALSE)</f>
        <v>14.2</v>
      </c>
      <c r="H30" s="12">
        <f ca="1">SUM(C30:G30)</f>
        <v>94.2</v>
      </c>
      <c r="I30" s="2"/>
      <c r="J30" s="12">
        <v>94.2</v>
      </c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1" t="s">
        <v>114</v>
      </c>
      <c r="B31" s="11" t="s">
        <v>115</v>
      </c>
      <c r="C31" s="12">
        <v>20</v>
      </c>
      <c r="D31" s="12">
        <v>20</v>
      </c>
      <c r="E31" s="11">
        <v>20</v>
      </c>
      <c r="F31" s="11">
        <v>20</v>
      </c>
      <c r="G31" s="12">
        <f ca="1">VLOOKUP(B31,PA!$A$2:$N$110,14,FALSE)</f>
        <v>14</v>
      </c>
      <c r="H31" s="12">
        <f ca="1">SUM(C31:G31)</f>
        <v>94</v>
      </c>
      <c r="I31" s="2"/>
      <c r="J31" s="12">
        <v>94</v>
      </c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1" t="s">
        <v>96</v>
      </c>
      <c r="B32" s="11" t="s">
        <v>97</v>
      </c>
      <c r="C32" s="12">
        <v>20</v>
      </c>
      <c r="D32" s="12">
        <v>20</v>
      </c>
      <c r="E32" s="11">
        <v>20</v>
      </c>
      <c r="F32" s="11">
        <v>20</v>
      </c>
      <c r="G32" s="12">
        <f ca="1">VLOOKUP(B32,PA!$A$2:$N$110,14,FALSE)</f>
        <v>13.8</v>
      </c>
      <c r="H32" s="12">
        <f ca="1">SUM(C32:G32)</f>
        <v>93.8</v>
      </c>
      <c r="I32" s="2"/>
      <c r="J32" s="12">
        <v>93.8</v>
      </c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1" t="s">
        <v>98</v>
      </c>
      <c r="B33" s="11" t="s">
        <v>99</v>
      </c>
      <c r="C33" s="12">
        <v>20</v>
      </c>
      <c r="D33" s="12">
        <v>20</v>
      </c>
      <c r="E33" s="11">
        <v>20</v>
      </c>
      <c r="F33" s="11">
        <v>20</v>
      </c>
      <c r="G33" s="12">
        <f ca="1">VLOOKUP(B33,PA!$A$2:$N$110,14,FALSE)</f>
        <v>13.6</v>
      </c>
      <c r="H33" s="12">
        <f ca="1">SUM(C33:G33)</f>
        <v>93.6</v>
      </c>
      <c r="I33" s="2"/>
      <c r="J33" s="12">
        <v>93.6</v>
      </c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1" t="s">
        <v>104</v>
      </c>
      <c r="B34" s="11" t="s">
        <v>105</v>
      </c>
      <c r="C34" s="12">
        <v>20</v>
      </c>
      <c r="D34" s="12">
        <v>20</v>
      </c>
      <c r="E34" s="11">
        <v>20</v>
      </c>
      <c r="F34" s="11">
        <v>20</v>
      </c>
      <c r="G34" s="12">
        <f ca="1">VLOOKUP(B34,PA!$A$2:$N$110,14,FALSE)</f>
        <v>13.4</v>
      </c>
      <c r="H34" s="12">
        <f ca="1">SUM(C34:G34)</f>
        <v>93.4</v>
      </c>
      <c r="I34" s="2"/>
      <c r="J34" s="12">
        <v>93.4</v>
      </c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1" t="s">
        <v>80</v>
      </c>
      <c r="B35" s="11" t="s">
        <v>81</v>
      </c>
      <c r="C35" s="12">
        <v>20</v>
      </c>
      <c r="D35" s="12">
        <v>20</v>
      </c>
      <c r="E35" s="11">
        <v>20</v>
      </c>
      <c r="F35" s="11">
        <v>20</v>
      </c>
      <c r="G35" s="12">
        <f ca="1">VLOOKUP(B35,PA!$A$2:$N$110,14,FALSE)</f>
        <v>13.2</v>
      </c>
      <c r="H35" s="12">
        <f ca="1">SUM(C35:G35)</f>
        <v>93.2</v>
      </c>
      <c r="I35" s="2"/>
      <c r="J35" s="12">
        <v>93.2</v>
      </c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1" t="s">
        <v>156</v>
      </c>
      <c r="B36" s="11" t="s">
        <v>157</v>
      </c>
      <c r="C36" s="12">
        <v>20</v>
      </c>
      <c r="D36" s="12">
        <v>20</v>
      </c>
      <c r="E36" s="11">
        <v>20</v>
      </c>
      <c r="F36" s="11">
        <v>20</v>
      </c>
      <c r="G36" s="12">
        <f ca="1">VLOOKUP(B36,PA!$A$2:$N$110,14,FALSE)</f>
        <v>13</v>
      </c>
      <c r="H36" s="12">
        <f ca="1">SUM(C36:G36)</f>
        <v>93</v>
      </c>
      <c r="I36" s="2"/>
      <c r="J36" s="12">
        <v>93</v>
      </c>
      <c r="K36" s="1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1" t="s">
        <v>188</v>
      </c>
      <c r="B37" s="11" t="s">
        <v>189</v>
      </c>
      <c r="C37" s="12">
        <v>20</v>
      </c>
      <c r="D37" s="12">
        <v>20</v>
      </c>
      <c r="E37" s="11">
        <v>20</v>
      </c>
      <c r="F37" s="11">
        <v>20</v>
      </c>
      <c r="G37" s="12">
        <f ca="1">VLOOKUP(B37,PA!$A$2:$N$110,14,FALSE)</f>
        <v>12.8</v>
      </c>
      <c r="H37" s="12">
        <f ca="1">SUM(C37:G37)</f>
        <v>92.8</v>
      </c>
      <c r="I37" s="2"/>
      <c r="J37" s="12">
        <v>92.8</v>
      </c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2" x14ac:dyDescent="0.3">
      <c r="A38" s="1" t="s">
        <v>16</v>
      </c>
      <c r="B38" s="11" t="s">
        <v>17</v>
      </c>
      <c r="C38" s="12">
        <v>20</v>
      </c>
      <c r="D38" s="12">
        <v>20</v>
      </c>
      <c r="E38" s="11">
        <v>20</v>
      </c>
      <c r="F38" s="11">
        <v>20</v>
      </c>
      <c r="G38" s="12">
        <f ca="1">VLOOKUP(B38,PA!$A$2:$N$110,14,FALSE)</f>
        <v>12.6</v>
      </c>
      <c r="H38" s="12">
        <f ca="1">SUM(C38:G38)</f>
        <v>92.6</v>
      </c>
      <c r="I38" s="2"/>
      <c r="J38" s="12">
        <v>92.6</v>
      </c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2" x14ac:dyDescent="0.3">
      <c r="A39" s="1" t="s">
        <v>56</v>
      </c>
      <c r="B39" s="11" t="s">
        <v>57</v>
      </c>
      <c r="C39" s="12">
        <v>20</v>
      </c>
      <c r="D39" s="12">
        <v>20</v>
      </c>
      <c r="E39" s="11">
        <v>20</v>
      </c>
      <c r="F39" s="11">
        <v>20</v>
      </c>
      <c r="G39" s="12">
        <f ca="1">VLOOKUP(B39,PA!$A$2:$N$110,14,FALSE)</f>
        <v>12.4</v>
      </c>
      <c r="H39" s="12">
        <f ca="1">SUM(C39:G39)</f>
        <v>92.4</v>
      </c>
      <c r="I39" s="2"/>
      <c r="J39" s="12">
        <v>92.4</v>
      </c>
      <c r="K39" s="1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2" x14ac:dyDescent="0.3">
      <c r="A40" s="1" t="s">
        <v>135</v>
      </c>
      <c r="B40" s="11" t="s">
        <v>136</v>
      </c>
      <c r="C40" s="12">
        <v>20</v>
      </c>
      <c r="D40" s="12">
        <v>20</v>
      </c>
      <c r="E40" s="11">
        <v>20</v>
      </c>
      <c r="F40" s="11">
        <v>20</v>
      </c>
      <c r="G40" s="12">
        <f ca="1">VLOOKUP(B40,PA!$A$2:$N$110,14,FALSE)</f>
        <v>12.2</v>
      </c>
      <c r="H40" s="12">
        <f ca="1">SUM(C40:G40)</f>
        <v>92.2</v>
      </c>
      <c r="I40" s="2"/>
      <c r="J40" s="12">
        <v>92.2</v>
      </c>
      <c r="K40" s="1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2" x14ac:dyDescent="0.3">
      <c r="A41" s="1" t="s">
        <v>18</v>
      </c>
      <c r="B41" s="11" t="s">
        <v>19</v>
      </c>
      <c r="C41" s="12">
        <v>20</v>
      </c>
      <c r="D41" s="12">
        <v>20</v>
      </c>
      <c r="E41" s="11">
        <v>20</v>
      </c>
      <c r="F41" s="11">
        <v>20</v>
      </c>
      <c r="G41" s="12">
        <f ca="1">VLOOKUP(B41,PA!$A$2:$N$110,14,FALSE)</f>
        <v>12</v>
      </c>
      <c r="H41" s="12">
        <f ca="1">SUM(C41:G41)</f>
        <v>92</v>
      </c>
      <c r="I41" s="2"/>
      <c r="J41" s="12">
        <v>92</v>
      </c>
      <c r="K41" s="1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2" x14ac:dyDescent="0.3">
      <c r="A42" s="1" t="s">
        <v>106</v>
      </c>
      <c r="B42" s="11" t="s">
        <v>107</v>
      </c>
      <c r="C42" s="12">
        <v>20</v>
      </c>
      <c r="D42" s="12">
        <v>20</v>
      </c>
      <c r="E42" s="11">
        <v>20</v>
      </c>
      <c r="F42" s="11">
        <v>20</v>
      </c>
      <c r="G42" s="12">
        <f ca="1">VLOOKUP(B42,PA!$A$2:$N$110,14,FALSE)</f>
        <v>11.8</v>
      </c>
      <c r="H42" s="12">
        <f ca="1">SUM(C42:G42)</f>
        <v>91.8</v>
      </c>
      <c r="I42" s="2"/>
      <c r="J42" s="12">
        <v>91.8</v>
      </c>
      <c r="K42" s="1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2" x14ac:dyDescent="0.3">
      <c r="A43" s="1" t="s">
        <v>40</v>
      </c>
      <c r="B43" s="11" t="s">
        <v>41</v>
      </c>
      <c r="C43" s="12">
        <v>20</v>
      </c>
      <c r="D43" s="12">
        <v>20</v>
      </c>
      <c r="E43" s="11">
        <v>20</v>
      </c>
      <c r="F43" s="11">
        <v>20</v>
      </c>
      <c r="G43" s="12">
        <f ca="1">VLOOKUP(B43,PA!$A$2:$N$110,14,FALSE)</f>
        <v>11.6</v>
      </c>
      <c r="H43" s="12">
        <f ca="1">SUM(C43:G43)</f>
        <v>91.6</v>
      </c>
      <c r="I43" s="2"/>
      <c r="J43" s="12">
        <v>91.6</v>
      </c>
      <c r="K43" s="1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2" x14ac:dyDescent="0.3">
      <c r="A44" s="1" t="s">
        <v>52</v>
      </c>
      <c r="B44" s="11" t="s">
        <v>53</v>
      </c>
      <c r="C44" s="12">
        <v>20</v>
      </c>
      <c r="D44" s="12">
        <v>20</v>
      </c>
      <c r="E44" s="11">
        <v>20</v>
      </c>
      <c r="F44" s="11">
        <v>20</v>
      </c>
      <c r="G44" s="12">
        <f ca="1">VLOOKUP(B44,PA!$A$2:$N$110,14,FALSE)</f>
        <v>11</v>
      </c>
      <c r="H44" s="12">
        <f ca="1">SUM(C44:G44)</f>
        <v>91</v>
      </c>
      <c r="I44" s="2"/>
      <c r="J44" s="12">
        <v>91</v>
      </c>
      <c r="K44" s="1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2" x14ac:dyDescent="0.3">
      <c r="A45" s="1" t="s">
        <v>178</v>
      </c>
      <c r="B45" s="11" t="s">
        <v>179</v>
      </c>
      <c r="C45" s="12">
        <v>20</v>
      </c>
      <c r="D45" s="12">
        <v>20</v>
      </c>
      <c r="E45" s="11">
        <v>20</v>
      </c>
      <c r="F45" s="11">
        <v>20</v>
      </c>
      <c r="G45" s="12">
        <f ca="1">VLOOKUP(B45,PA!$A$2:$N$110,14,FALSE)</f>
        <v>10.8</v>
      </c>
      <c r="H45" s="12">
        <f ca="1">SUM(C45:G45)</f>
        <v>90.8</v>
      </c>
      <c r="I45" s="2"/>
      <c r="J45" s="12">
        <v>90.8</v>
      </c>
      <c r="K45" s="1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2" x14ac:dyDescent="0.3">
      <c r="A46" s="1" t="s">
        <v>102</v>
      </c>
      <c r="B46" s="11" t="s">
        <v>103</v>
      </c>
      <c r="C46" s="11">
        <v>20</v>
      </c>
      <c r="D46" s="11">
        <v>20</v>
      </c>
      <c r="E46" s="11">
        <v>20</v>
      </c>
      <c r="F46" s="11">
        <v>20</v>
      </c>
      <c r="G46" s="12">
        <f ca="1">VLOOKUP(B46,PA!$A$2:$N$110,14,FALSE)</f>
        <v>10.6</v>
      </c>
      <c r="H46" s="12">
        <f ca="1">SUM(C46:G46)</f>
        <v>90.6</v>
      </c>
      <c r="I46" s="2"/>
      <c r="J46" s="12">
        <v>90.6</v>
      </c>
      <c r="K46" s="1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2" x14ac:dyDescent="0.3">
      <c r="A47" s="1" t="s">
        <v>58</v>
      </c>
      <c r="B47" s="11" t="s">
        <v>59</v>
      </c>
      <c r="C47" s="12">
        <v>20</v>
      </c>
      <c r="D47" s="12">
        <v>20</v>
      </c>
      <c r="E47" s="11">
        <v>20</v>
      </c>
      <c r="F47" s="11">
        <v>20</v>
      </c>
      <c r="G47" s="12">
        <f ca="1">VLOOKUP(B47,PA!$A$2:$N$110,14,FALSE)</f>
        <v>10.4</v>
      </c>
      <c r="H47" s="12">
        <f ca="1">SUM(C47:G47)</f>
        <v>90.4</v>
      </c>
      <c r="I47" s="2"/>
      <c r="J47" s="12">
        <v>90.4</v>
      </c>
      <c r="K47" s="1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2" x14ac:dyDescent="0.3">
      <c r="A48" s="1" t="s">
        <v>180</v>
      </c>
      <c r="B48" s="11" t="s">
        <v>181</v>
      </c>
      <c r="C48" s="12">
        <v>20</v>
      </c>
      <c r="D48" s="12">
        <v>20</v>
      </c>
      <c r="E48" s="11">
        <v>20</v>
      </c>
      <c r="F48" s="11">
        <v>20</v>
      </c>
      <c r="G48" s="12">
        <f ca="1">VLOOKUP(B48,PA!$A$2:$N$110,14,FALSE)</f>
        <v>9.8000000000000007</v>
      </c>
      <c r="H48" s="12">
        <f ca="1">SUM(C48:G48)</f>
        <v>89.8</v>
      </c>
      <c r="I48" s="2"/>
      <c r="J48" s="12">
        <v>89.8</v>
      </c>
      <c r="K48" s="1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2" x14ac:dyDescent="0.3">
      <c r="A49" s="1" t="s">
        <v>33</v>
      </c>
      <c r="B49" s="11" t="s">
        <v>34</v>
      </c>
      <c r="C49" s="12">
        <v>20</v>
      </c>
      <c r="D49" s="12">
        <v>20</v>
      </c>
      <c r="E49" s="11">
        <v>20</v>
      </c>
      <c r="F49" s="11">
        <v>20</v>
      </c>
      <c r="G49" s="12">
        <f ca="1">VLOOKUP(B49,PA!$A$2:$N$110,14,FALSE)</f>
        <v>14.6</v>
      </c>
      <c r="H49" s="12">
        <f ca="1">SUM(C49:G49)</f>
        <v>94.6</v>
      </c>
      <c r="I49" s="2" t="s">
        <v>35</v>
      </c>
      <c r="J49" s="12">
        <v>89.6</v>
      </c>
      <c r="K49" s="1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2" x14ac:dyDescent="0.3">
      <c r="A50" s="1" t="s">
        <v>92</v>
      </c>
      <c r="B50" s="11" t="s">
        <v>93</v>
      </c>
      <c r="C50" s="12">
        <v>20</v>
      </c>
      <c r="D50" s="12">
        <v>20</v>
      </c>
      <c r="E50" s="11">
        <v>20</v>
      </c>
      <c r="F50" s="11">
        <v>20</v>
      </c>
      <c r="G50" s="12">
        <f ca="1">VLOOKUP(B50,PA!$A$2:$N$110,14,FALSE)</f>
        <v>9.6</v>
      </c>
      <c r="H50" s="12">
        <f ca="1">SUM(C50:G50)</f>
        <v>89.6</v>
      </c>
      <c r="I50" s="2"/>
      <c r="J50" s="12">
        <v>89.6</v>
      </c>
      <c r="K50" s="1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2" x14ac:dyDescent="0.3">
      <c r="A51" s="1" t="s">
        <v>94</v>
      </c>
      <c r="B51" s="11" t="s">
        <v>95</v>
      </c>
      <c r="C51" s="12">
        <v>20</v>
      </c>
      <c r="D51" s="12">
        <v>20</v>
      </c>
      <c r="E51" s="11">
        <v>20</v>
      </c>
      <c r="F51" s="11">
        <v>20</v>
      </c>
      <c r="G51" s="12">
        <f ca="1">VLOOKUP(B51,PA!$A$2:$N$110,14,FALSE)</f>
        <v>9.4</v>
      </c>
      <c r="H51" s="12">
        <f ca="1">SUM(C51:G51)</f>
        <v>89.4</v>
      </c>
      <c r="I51" s="2"/>
      <c r="J51" s="12">
        <v>89.4</v>
      </c>
      <c r="K51" s="1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2" x14ac:dyDescent="0.3">
      <c r="A52" s="1" t="s">
        <v>46</v>
      </c>
      <c r="B52" s="11" t="s">
        <v>47</v>
      </c>
      <c r="C52" s="12">
        <v>20</v>
      </c>
      <c r="D52" s="12">
        <v>20</v>
      </c>
      <c r="E52" s="11">
        <v>20</v>
      </c>
      <c r="F52" s="11">
        <v>20</v>
      </c>
      <c r="G52" s="12">
        <f ca="1">VLOOKUP(B52,PA!$A$2:$N$110,14,FALSE)</f>
        <v>9.1999999999999993</v>
      </c>
      <c r="H52" s="12">
        <f ca="1">SUM(C52:G52)</f>
        <v>89.2</v>
      </c>
      <c r="I52" s="2"/>
      <c r="J52" s="12">
        <v>89.2</v>
      </c>
      <c r="K52" s="1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2" x14ac:dyDescent="0.3">
      <c r="A53" s="1" t="s">
        <v>176</v>
      </c>
      <c r="B53" s="11" t="s">
        <v>177</v>
      </c>
      <c r="C53" s="12">
        <v>20</v>
      </c>
      <c r="D53" s="12">
        <v>20</v>
      </c>
      <c r="E53" s="11">
        <v>20</v>
      </c>
      <c r="F53" s="11">
        <v>20</v>
      </c>
      <c r="G53" s="12">
        <f ca="1">VLOOKUP(B53,PA!$A$2:$N$110,14,FALSE)</f>
        <v>9</v>
      </c>
      <c r="H53" s="12">
        <f ca="1">SUM(C53:G53)</f>
        <v>89</v>
      </c>
      <c r="I53" s="2"/>
      <c r="J53" s="12">
        <v>89</v>
      </c>
      <c r="K53" s="1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2" x14ac:dyDescent="0.3">
      <c r="A54" s="1" t="s">
        <v>218</v>
      </c>
      <c r="B54" s="11" t="s">
        <v>219</v>
      </c>
      <c r="C54" s="12">
        <v>20</v>
      </c>
      <c r="D54" s="12">
        <v>20</v>
      </c>
      <c r="E54" s="11">
        <v>20</v>
      </c>
      <c r="F54" s="12">
        <v>20</v>
      </c>
      <c r="G54" s="12">
        <f ca="1">VLOOKUP(B54,PA!$A$2:$N$110,14,FALSE)</f>
        <v>8.8000000000000007</v>
      </c>
      <c r="H54" s="12">
        <f ca="1">SUM(C54:G54)</f>
        <v>88.8</v>
      </c>
      <c r="I54" s="2"/>
      <c r="J54" s="12">
        <v>88.8</v>
      </c>
      <c r="K54" s="1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2" x14ac:dyDescent="0.3">
      <c r="A55" s="1" t="s">
        <v>124</v>
      </c>
      <c r="B55" s="11" t="s">
        <v>125</v>
      </c>
      <c r="C55" s="12">
        <v>20</v>
      </c>
      <c r="D55" s="12">
        <v>20</v>
      </c>
      <c r="E55" s="11">
        <v>20</v>
      </c>
      <c r="F55" s="11">
        <v>20</v>
      </c>
      <c r="G55" s="12">
        <f ca="1">VLOOKUP(B55,PA!$A$2:$N$110,14,FALSE)</f>
        <v>8.6</v>
      </c>
      <c r="H55" s="12">
        <f ca="1">SUM(C55:G55)</f>
        <v>88.6</v>
      </c>
      <c r="I55" s="2"/>
      <c r="J55" s="12">
        <v>88.6</v>
      </c>
      <c r="K55" s="1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2" x14ac:dyDescent="0.3">
      <c r="A56" s="1" t="s">
        <v>200</v>
      </c>
      <c r="B56" s="11" t="s">
        <v>201</v>
      </c>
      <c r="C56" s="12">
        <v>20</v>
      </c>
      <c r="D56" s="12">
        <v>20</v>
      </c>
      <c r="E56" s="11">
        <v>20</v>
      </c>
      <c r="F56" s="12">
        <v>20</v>
      </c>
      <c r="G56" s="12">
        <f ca="1">VLOOKUP(B56,PA!$A$2:$N$110,14,FALSE)</f>
        <v>8.4</v>
      </c>
      <c r="H56" s="12">
        <f ca="1">SUM(C56:G56)</f>
        <v>88.4</v>
      </c>
      <c r="I56" s="2"/>
      <c r="J56" s="12">
        <v>88.4</v>
      </c>
      <c r="K56" s="1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2" x14ac:dyDescent="0.3">
      <c r="A57" s="1" t="s">
        <v>110</v>
      </c>
      <c r="B57" s="11" t="s">
        <v>111</v>
      </c>
      <c r="C57" s="12">
        <v>20</v>
      </c>
      <c r="D57" s="12">
        <v>20</v>
      </c>
      <c r="E57" s="11">
        <v>20</v>
      </c>
      <c r="F57" s="11">
        <v>20</v>
      </c>
      <c r="G57" s="12">
        <f ca="1">VLOOKUP(B57,PA!$A$2:$N$110,14,FALSE)</f>
        <v>8.1999999999999993</v>
      </c>
      <c r="H57" s="12">
        <f ca="1">SUM(C57:G57)</f>
        <v>88.2</v>
      </c>
      <c r="I57" s="2"/>
      <c r="J57" s="12">
        <v>88.2</v>
      </c>
      <c r="K57" s="1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2" x14ac:dyDescent="0.3">
      <c r="A58" s="1" t="s">
        <v>192</v>
      </c>
      <c r="B58" s="11" t="s">
        <v>193</v>
      </c>
      <c r="C58" s="12">
        <v>20</v>
      </c>
      <c r="D58" s="12">
        <v>20</v>
      </c>
      <c r="E58" s="11">
        <v>20</v>
      </c>
      <c r="F58" s="11">
        <v>20</v>
      </c>
      <c r="G58" s="12">
        <f ca="1">VLOOKUP(B58,PA!$A$2:$N$110,14,FALSE)</f>
        <v>8</v>
      </c>
      <c r="H58" s="12">
        <f ca="1">SUM(C58:G58)</f>
        <v>88</v>
      </c>
      <c r="I58" s="2"/>
      <c r="J58" s="12">
        <v>88</v>
      </c>
      <c r="K58" s="1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2" x14ac:dyDescent="0.3">
      <c r="A59" s="1" t="s">
        <v>44</v>
      </c>
      <c r="B59" s="11" t="s">
        <v>45</v>
      </c>
      <c r="C59" s="12">
        <v>20</v>
      </c>
      <c r="D59" s="12">
        <v>20</v>
      </c>
      <c r="E59" s="11">
        <v>20</v>
      </c>
      <c r="F59" s="11">
        <v>20</v>
      </c>
      <c r="G59" s="12">
        <f ca="1">VLOOKUP(B59,PA!$A$2:$N$110,14,FALSE)</f>
        <v>7.8</v>
      </c>
      <c r="H59" s="12">
        <f ca="1">SUM(C59:G59)</f>
        <v>87.8</v>
      </c>
      <c r="I59" s="2"/>
      <c r="J59" s="12">
        <v>87.8</v>
      </c>
      <c r="K59" s="1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2" x14ac:dyDescent="0.3">
      <c r="A60" s="1" t="s">
        <v>120</v>
      </c>
      <c r="B60" s="11" t="s">
        <v>121</v>
      </c>
      <c r="C60" s="12">
        <v>20</v>
      </c>
      <c r="D60" s="12">
        <v>20</v>
      </c>
      <c r="E60" s="11">
        <v>20</v>
      </c>
      <c r="F60" s="11">
        <v>20</v>
      </c>
      <c r="G60" s="12">
        <f ca="1">VLOOKUP(B60,PA!$A$2:$N$110,14,FALSE)</f>
        <v>7.6</v>
      </c>
      <c r="H60" s="12">
        <f ca="1">SUM(C60:G60)</f>
        <v>87.6</v>
      </c>
      <c r="I60" s="2"/>
      <c r="J60" s="12">
        <v>87.6</v>
      </c>
      <c r="K60" s="1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2" x14ac:dyDescent="0.3">
      <c r="A61" s="1" t="s">
        <v>214</v>
      </c>
      <c r="B61" s="11" t="s">
        <v>215</v>
      </c>
      <c r="C61" s="12">
        <v>20</v>
      </c>
      <c r="D61" s="12">
        <v>20</v>
      </c>
      <c r="E61" s="11">
        <v>20</v>
      </c>
      <c r="F61" s="12">
        <v>20</v>
      </c>
      <c r="G61" s="12">
        <f ca="1">VLOOKUP(B61,PA!$A$2:$N$110,14,FALSE)</f>
        <v>7.4</v>
      </c>
      <c r="H61" s="12">
        <f ca="1">SUM(C61:G61)</f>
        <v>87.4</v>
      </c>
      <c r="I61" s="2"/>
      <c r="J61" s="12">
        <v>87.4</v>
      </c>
      <c r="K61" s="1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2" x14ac:dyDescent="0.3">
      <c r="A62" s="1" t="s">
        <v>168</v>
      </c>
      <c r="B62" s="11" t="s">
        <v>169</v>
      </c>
      <c r="C62" s="12">
        <v>20</v>
      </c>
      <c r="D62" s="12">
        <v>20</v>
      </c>
      <c r="E62" s="11">
        <v>20</v>
      </c>
      <c r="F62" s="11">
        <v>20</v>
      </c>
      <c r="G62" s="12">
        <f ca="1">VLOOKUP(B62,PA!$A$2:$N$110,14,FALSE)</f>
        <v>7.2</v>
      </c>
      <c r="H62" s="12">
        <f ca="1">SUM(C62:G62)</f>
        <v>87.2</v>
      </c>
      <c r="I62" s="2"/>
      <c r="J62" s="12">
        <v>87.2</v>
      </c>
      <c r="K62" s="1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2" x14ac:dyDescent="0.3">
      <c r="A63" s="1" t="s">
        <v>162</v>
      </c>
      <c r="B63" s="11" t="s">
        <v>163</v>
      </c>
      <c r="C63" s="12">
        <v>20</v>
      </c>
      <c r="D63" s="12">
        <v>20</v>
      </c>
      <c r="E63" s="11">
        <v>20</v>
      </c>
      <c r="F63" s="11">
        <v>20</v>
      </c>
      <c r="G63" s="12">
        <f ca="1">VLOOKUP(B63,PA!$A$2:$N$110,14,FALSE)</f>
        <v>7</v>
      </c>
      <c r="H63" s="12">
        <f ca="1">SUM(C63:G63)</f>
        <v>87</v>
      </c>
      <c r="I63" s="2"/>
      <c r="J63" s="12">
        <v>87</v>
      </c>
      <c r="K63" s="1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2" x14ac:dyDescent="0.3">
      <c r="A64" s="1" t="s">
        <v>100</v>
      </c>
      <c r="B64" s="11" t="s">
        <v>101</v>
      </c>
      <c r="C64" s="12">
        <v>20</v>
      </c>
      <c r="D64" s="12">
        <v>20</v>
      </c>
      <c r="E64" s="11">
        <v>20</v>
      </c>
      <c r="F64" s="11">
        <v>20</v>
      </c>
      <c r="G64" s="12">
        <f ca="1">VLOOKUP(B64,PA!$A$2:$N$110,14,FALSE)</f>
        <v>6.8</v>
      </c>
      <c r="H64" s="12">
        <f ca="1">SUM(C64:G64)</f>
        <v>86.8</v>
      </c>
      <c r="I64" s="2"/>
      <c r="J64" s="12">
        <v>86.8</v>
      </c>
      <c r="K64" s="1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2" x14ac:dyDescent="0.3">
      <c r="A65" s="1" t="s">
        <v>190</v>
      </c>
      <c r="B65" s="11" t="s">
        <v>191</v>
      </c>
      <c r="C65" s="12">
        <v>20</v>
      </c>
      <c r="D65" s="12">
        <v>20</v>
      </c>
      <c r="E65" s="11">
        <v>20</v>
      </c>
      <c r="F65" s="11">
        <v>20</v>
      </c>
      <c r="G65" s="12">
        <f ca="1">VLOOKUP(B65,PA!$A$2:$N$110,14,FALSE)</f>
        <v>6.6</v>
      </c>
      <c r="H65" s="12">
        <f ca="1">SUM(C65:G65)</f>
        <v>86.6</v>
      </c>
      <c r="I65" s="2"/>
      <c r="J65" s="12">
        <v>86.6</v>
      </c>
      <c r="K65" s="1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2" x14ac:dyDescent="0.3">
      <c r="A66" s="1" t="s">
        <v>42</v>
      </c>
      <c r="B66" s="11" t="s">
        <v>43</v>
      </c>
      <c r="C66" s="12">
        <v>20</v>
      </c>
      <c r="D66" s="12">
        <v>20</v>
      </c>
      <c r="E66" s="11">
        <v>20</v>
      </c>
      <c r="F66" s="11">
        <v>20</v>
      </c>
      <c r="G66" s="12">
        <f ca="1">VLOOKUP(B66,PA!$A$2:$N$110,14,FALSE)</f>
        <v>11.4</v>
      </c>
      <c r="H66" s="12">
        <f ca="1">SUM(C66:G66)</f>
        <v>91.4</v>
      </c>
      <c r="I66" s="2" t="s">
        <v>32</v>
      </c>
      <c r="J66" s="12">
        <v>86.4</v>
      </c>
      <c r="K66" s="1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2" x14ac:dyDescent="0.3">
      <c r="A67" s="1" t="s">
        <v>62</v>
      </c>
      <c r="B67" s="11" t="s">
        <v>63</v>
      </c>
      <c r="C67" s="12">
        <v>20</v>
      </c>
      <c r="D67" s="12">
        <v>20</v>
      </c>
      <c r="E67" s="11">
        <v>20</v>
      </c>
      <c r="F67" s="11">
        <v>20</v>
      </c>
      <c r="G67" s="12">
        <f ca="1">VLOOKUP(B67,PA!$A$2:$N$110,14,FALSE)</f>
        <v>6.4</v>
      </c>
      <c r="H67" s="12">
        <f ca="1">SUM(C67:G67)</f>
        <v>86.4</v>
      </c>
      <c r="I67" s="2"/>
      <c r="J67" s="12">
        <v>86.4</v>
      </c>
      <c r="K67" s="1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2" x14ac:dyDescent="0.3">
      <c r="A68" s="1" t="s">
        <v>74</v>
      </c>
      <c r="B68" s="11" t="s">
        <v>75</v>
      </c>
      <c r="C68" s="12">
        <v>20</v>
      </c>
      <c r="D68" s="12">
        <v>20</v>
      </c>
      <c r="E68" s="11">
        <v>20</v>
      </c>
      <c r="F68" s="11">
        <v>20</v>
      </c>
      <c r="G68" s="12">
        <f ca="1">VLOOKUP(B68,PA!$A$2:$N$110,14,FALSE)</f>
        <v>6.2</v>
      </c>
      <c r="H68" s="12">
        <f ca="1">SUM(C68:G68)</f>
        <v>86.2</v>
      </c>
      <c r="I68" s="2"/>
      <c r="J68" s="12">
        <v>86.2</v>
      </c>
      <c r="K68" s="1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2" x14ac:dyDescent="0.3">
      <c r="A69" s="1" t="s">
        <v>166</v>
      </c>
      <c r="B69" s="11" t="s">
        <v>167</v>
      </c>
      <c r="C69" s="12">
        <v>20</v>
      </c>
      <c r="D69" s="12">
        <v>20</v>
      </c>
      <c r="E69" s="11">
        <v>20</v>
      </c>
      <c r="F69" s="11">
        <v>20</v>
      </c>
      <c r="G69" s="12">
        <f ca="1">VLOOKUP(B69,PA!$A$2:$N$110,14,FALSE)</f>
        <v>6</v>
      </c>
      <c r="H69" s="12">
        <f ca="1">SUM(C69:G69)</f>
        <v>86</v>
      </c>
      <c r="I69" s="2"/>
      <c r="J69" s="12">
        <v>86</v>
      </c>
      <c r="K69" s="1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2" x14ac:dyDescent="0.3">
      <c r="A70" s="1" t="s">
        <v>139</v>
      </c>
      <c r="B70" s="11" t="s">
        <v>140</v>
      </c>
      <c r="C70" s="12">
        <v>20</v>
      </c>
      <c r="D70" s="12">
        <v>20</v>
      </c>
      <c r="E70" s="11">
        <v>20</v>
      </c>
      <c r="F70" s="11">
        <v>20</v>
      </c>
      <c r="G70" s="12">
        <f ca="1">VLOOKUP(B70,PA!$A$2:$N$110,14,FALSE)</f>
        <v>5.8</v>
      </c>
      <c r="H70" s="12">
        <f ca="1">SUM(C70:G70)</f>
        <v>85.8</v>
      </c>
      <c r="I70" s="2"/>
      <c r="J70" s="12">
        <v>85.8</v>
      </c>
      <c r="K70" s="1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2" x14ac:dyDescent="0.3">
      <c r="A71" s="1" t="s">
        <v>72</v>
      </c>
      <c r="B71" s="11" t="s">
        <v>73</v>
      </c>
      <c r="C71" s="12">
        <v>20</v>
      </c>
      <c r="D71" s="12">
        <v>20</v>
      </c>
      <c r="E71" s="11">
        <v>20</v>
      </c>
      <c r="F71" s="11">
        <v>20</v>
      </c>
      <c r="G71" s="12">
        <f ca="1">VLOOKUP(B71,PA!$A$2:$N$110,14,FALSE)</f>
        <v>5.6</v>
      </c>
      <c r="H71" s="12">
        <f ca="1">SUM(C71:G71)</f>
        <v>85.6</v>
      </c>
      <c r="I71" s="2"/>
      <c r="J71" s="12">
        <v>85.6</v>
      </c>
      <c r="K71" s="1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2" x14ac:dyDescent="0.3">
      <c r="A72" s="1" t="s">
        <v>64</v>
      </c>
      <c r="B72" s="11" t="s">
        <v>65</v>
      </c>
      <c r="C72" s="12">
        <v>20</v>
      </c>
      <c r="D72" s="12">
        <v>20</v>
      </c>
      <c r="E72" s="11">
        <v>20</v>
      </c>
      <c r="F72" s="11">
        <v>20</v>
      </c>
      <c r="G72" s="12">
        <f ca="1">VLOOKUP(B72,PA!$A$2:$N$110,14,FALSE)</f>
        <v>5.4</v>
      </c>
      <c r="H72" s="12">
        <f ca="1">SUM(C72:G72)</f>
        <v>85.4</v>
      </c>
      <c r="I72" s="2"/>
      <c r="J72" s="12">
        <v>85.4</v>
      </c>
      <c r="K72" s="1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2" x14ac:dyDescent="0.3">
      <c r="A73" s="1" t="s">
        <v>66</v>
      </c>
      <c r="B73" s="11" t="s">
        <v>67</v>
      </c>
      <c r="C73" s="12">
        <v>20</v>
      </c>
      <c r="D73" s="12">
        <v>20</v>
      </c>
      <c r="E73" s="11">
        <v>20</v>
      </c>
      <c r="F73" s="11">
        <v>20</v>
      </c>
      <c r="G73" s="12">
        <f ca="1">VLOOKUP(B73,PA!$A$2:$N$110,14,FALSE)</f>
        <v>5.2</v>
      </c>
      <c r="H73" s="12">
        <f ca="1">SUM(C73:G73)</f>
        <v>85.2</v>
      </c>
      <c r="I73" s="2"/>
      <c r="J73" s="12">
        <v>85.2</v>
      </c>
      <c r="K73" s="1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2" x14ac:dyDescent="0.3">
      <c r="A74" s="1" t="s">
        <v>153</v>
      </c>
      <c r="B74" s="11" t="s">
        <v>154</v>
      </c>
      <c r="C74" s="12">
        <v>20</v>
      </c>
      <c r="D74" s="12">
        <v>20</v>
      </c>
      <c r="E74" s="11">
        <v>20</v>
      </c>
      <c r="F74" s="11">
        <v>20</v>
      </c>
      <c r="G74" s="12">
        <f ca="1">VLOOKUP(B74,PA!$A$2:$N$110,14,FALSE)</f>
        <v>10.199999999999999</v>
      </c>
      <c r="H74" s="12">
        <f ca="1">SUM(C74:G74)</f>
        <v>90.2</v>
      </c>
      <c r="I74" s="2" t="s">
        <v>155</v>
      </c>
      <c r="J74" s="12">
        <v>85.2</v>
      </c>
      <c r="K74" s="1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2" x14ac:dyDescent="0.3">
      <c r="A75" s="1" t="s">
        <v>38</v>
      </c>
      <c r="B75" s="11" t="s">
        <v>39</v>
      </c>
      <c r="C75" s="12">
        <v>20</v>
      </c>
      <c r="D75" s="12">
        <v>20</v>
      </c>
      <c r="E75" s="11">
        <v>20</v>
      </c>
      <c r="F75" s="11">
        <v>20</v>
      </c>
      <c r="G75" s="12">
        <f ca="1">VLOOKUP(B75,PA!$A$2:$N$110,14,FALSE)</f>
        <v>10</v>
      </c>
      <c r="H75" s="12">
        <f ca="1">SUM(C75:G75)</f>
        <v>90</v>
      </c>
      <c r="I75" s="2" t="s">
        <v>32</v>
      </c>
      <c r="J75" s="12">
        <v>85</v>
      </c>
      <c r="K75" s="1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2" x14ac:dyDescent="0.3">
      <c r="A76" s="1" t="s">
        <v>133</v>
      </c>
      <c r="B76" s="11" t="s">
        <v>134</v>
      </c>
      <c r="C76" s="12">
        <v>20</v>
      </c>
      <c r="D76" s="12">
        <v>20</v>
      </c>
      <c r="E76" s="11">
        <v>20</v>
      </c>
      <c r="F76" s="11">
        <v>20</v>
      </c>
      <c r="G76" s="12">
        <f ca="1">VLOOKUP(B76,PA!$A$2:$N$110,14,FALSE)</f>
        <v>5</v>
      </c>
      <c r="H76" s="12">
        <f ca="1">SUM(C76:G76)</f>
        <v>85</v>
      </c>
      <c r="I76" s="2"/>
      <c r="J76" s="12">
        <v>85</v>
      </c>
      <c r="K76" s="1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2" x14ac:dyDescent="0.3">
      <c r="A77" s="1" t="s">
        <v>158</v>
      </c>
      <c r="B77" s="11" t="s">
        <v>159</v>
      </c>
      <c r="C77" s="12">
        <v>20</v>
      </c>
      <c r="D77" s="12">
        <v>20</v>
      </c>
      <c r="E77" s="11">
        <v>20</v>
      </c>
      <c r="F77" s="11">
        <v>20</v>
      </c>
      <c r="G77" s="12">
        <f ca="1">VLOOKUP(B77,PA!$A$2:$N$110,14,FALSE)</f>
        <v>4.8</v>
      </c>
      <c r="H77" s="12">
        <f ca="1">SUM(C77:G77)</f>
        <v>84.8</v>
      </c>
      <c r="I77" s="2"/>
      <c r="J77" s="12">
        <v>84.8</v>
      </c>
      <c r="K77" s="1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2" x14ac:dyDescent="0.3">
      <c r="A78" s="1" t="s">
        <v>87</v>
      </c>
      <c r="B78" s="11" t="s">
        <v>88</v>
      </c>
      <c r="C78" s="12">
        <v>20</v>
      </c>
      <c r="D78" s="12">
        <v>20</v>
      </c>
      <c r="E78" s="11">
        <v>20</v>
      </c>
      <c r="F78" s="11">
        <v>20</v>
      </c>
      <c r="G78" s="12">
        <f ca="1">VLOOKUP(B78,PA!$A$2:$N$110,14,FALSE)</f>
        <v>4.5999999999999996</v>
      </c>
      <c r="H78" s="12">
        <f ca="1">SUM(C78:G78)</f>
        <v>84.6</v>
      </c>
      <c r="I78" s="2"/>
      <c r="J78" s="12">
        <v>84.6</v>
      </c>
      <c r="K78" s="1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2" x14ac:dyDescent="0.3">
      <c r="A79" s="1" t="s">
        <v>149</v>
      </c>
      <c r="B79" s="11" t="s">
        <v>150</v>
      </c>
      <c r="C79" s="12">
        <v>20</v>
      </c>
      <c r="D79" s="12">
        <v>20</v>
      </c>
      <c r="E79" s="11">
        <v>20</v>
      </c>
      <c r="F79" s="11">
        <v>20</v>
      </c>
      <c r="G79" s="12">
        <f ca="1">VLOOKUP(B79,PA!$A$2:$N$110,14,FALSE)</f>
        <v>4.4000000000000004</v>
      </c>
      <c r="H79" s="12">
        <f ca="1">SUM(C79:G79)</f>
        <v>84.4</v>
      </c>
      <c r="I79" s="2"/>
      <c r="J79" s="12">
        <v>84.4</v>
      </c>
      <c r="K79" s="1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2" x14ac:dyDescent="0.3">
      <c r="A80" s="1" t="s">
        <v>164</v>
      </c>
      <c r="B80" s="11" t="s">
        <v>165</v>
      </c>
      <c r="C80" s="12">
        <v>20</v>
      </c>
      <c r="D80" s="12">
        <v>20</v>
      </c>
      <c r="E80" s="11">
        <v>20</v>
      </c>
      <c r="F80" s="11">
        <v>20</v>
      </c>
      <c r="G80" s="12">
        <f ca="1">VLOOKUP(B80,PA!$A$2:$N$110,14,FALSE)</f>
        <v>4</v>
      </c>
      <c r="H80" s="12">
        <f ca="1">SUM(C80:G80)</f>
        <v>84</v>
      </c>
      <c r="I80" s="2"/>
      <c r="J80" s="12">
        <v>84</v>
      </c>
      <c r="K80" s="1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2" x14ac:dyDescent="0.3">
      <c r="A81" s="1" t="s">
        <v>20</v>
      </c>
      <c r="B81" s="11" t="s">
        <v>21</v>
      </c>
      <c r="C81" s="12">
        <v>20</v>
      </c>
      <c r="D81" s="12">
        <v>20</v>
      </c>
      <c r="E81" s="11">
        <v>20</v>
      </c>
      <c r="F81" s="11">
        <v>20</v>
      </c>
      <c r="G81" s="12">
        <f ca="1">VLOOKUP(B81,PA!$A$2:$N$110,14,FALSE)</f>
        <v>3.6</v>
      </c>
      <c r="H81" s="12">
        <f ca="1">SUM(C81:G81)</f>
        <v>83.6</v>
      </c>
      <c r="I81" s="2"/>
      <c r="J81" s="12">
        <v>83.6</v>
      </c>
      <c r="K81" s="1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2" x14ac:dyDescent="0.3">
      <c r="A82" s="1" t="s">
        <v>228</v>
      </c>
      <c r="B82" s="11" t="s">
        <v>229</v>
      </c>
      <c r="C82" s="11">
        <v>20</v>
      </c>
      <c r="D82" s="12">
        <v>20</v>
      </c>
      <c r="E82" s="11">
        <v>20</v>
      </c>
      <c r="F82" s="12">
        <v>20</v>
      </c>
      <c r="G82" s="12">
        <f ca="1">VLOOKUP(B82,PA!$A$2:$N$110,14,FALSE)</f>
        <v>3.4</v>
      </c>
      <c r="H82" s="12">
        <f ca="1">SUM(C82:G82)</f>
        <v>83.4</v>
      </c>
      <c r="I82" s="2"/>
      <c r="J82" s="12">
        <v>83.4</v>
      </c>
      <c r="K82" s="1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2" x14ac:dyDescent="0.3">
      <c r="A83" s="1" t="s">
        <v>194</v>
      </c>
      <c r="B83" s="11" t="s">
        <v>195</v>
      </c>
      <c r="C83" s="12">
        <v>20</v>
      </c>
      <c r="D83" s="12">
        <v>20</v>
      </c>
      <c r="E83" s="11">
        <v>20</v>
      </c>
      <c r="F83" s="11">
        <v>20</v>
      </c>
      <c r="G83" s="12">
        <f ca="1">VLOOKUP(B83,PA!$A$2:$N$110,14,FALSE)</f>
        <v>3</v>
      </c>
      <c r="H83" s="12">
        <f ca="1">SUM(C83:G83)</f>
        <v>83</v>
      </c>
      <c r="I83" s="2"/>
      <c r="J83" s="12">
        <v>83</v>
      </c>
      <c r="K83" s="1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2" x14ac:dyDescent="0.3">
      <c r="A84" s="1" t="s">
        <v>118</v>
      </c>
      <c r="B84" s="11" t="s">
        <v>119</v>
      </c>
      <c r="C84" s="12">
        <v>20</v>
      </c>
      <c r="D84" s="12">
        <v>20</v>
      </c>
      <c r="E84" s="11">
        <v>20</v>
      </c>
      <c r="F84" s="11">
        <v>20</v>
      </c>
      <c r="G84" s="12">
        <f ca="1">VLOOKUP(B84,PA!$A$2:$N$110,14,FALSE)</f>
        <v>2.8</v>
      </c>
      <c r="H84" s="12">
        <f ca="1">SUM(C84:G84)</f>
        <v>82.8</v>
      </c>
      <c r="I84" s="2"/>
      <c r="J84" s="12">
        <v>82.8</v>
      </c>
      <c r="K84" s="1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2" x14ac:dyDescent="0.3">
      <c r="A85" s="1" t="s">
        <v>198</v>
      </c>
      <c r="B85" s="11" t="s">
        <v>199</v>
      </c>
      <c r="C85" s="12">
        <v>20</v>
      </c>
      <c r="D85" s="12">
        <v>20</v>
      </c>
      <c r="E85" s="11">
        <v>20</v>
      </c>
      <c r="F85" s="11">
        <v>20</v>
      </c>
      <c r="G85" s="12">
        <f ca="1">VLOOKUP(B85,PA!$A$2:$N$110,14,FALSE)</f>
        <v>2.2000000000000002</v>
      </c>
      <c r="H85" s="12">
        <f ca="1">SUM(C85:G85)</f>
        <v>82.2</v>
      </c>
      <c r="I85" s="2"/>
      <c r="J85" s="12">
        <v>82.2</v>
      </c>
      <c r="K85" s="1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2" x14ac:dyDescent="0.3">
      <c r="A86" s="1" t="s">
        <v>196</v>
      </c>
      <c r="B86" s="11" t="s">
        <v>197</v>
      </c>
      <c r="C86" s="12">
        <v>20</v>
      </c>
      <c r="D86" s="12">
        <v>20</v>
      </c>
      <c r="E86" s="11">
        <v>20</v>
      </c>
      <c r="F86" s="11">
        <v>20</v>
      </c>
      <c r="G86" s="12">
        <f ca="1">VLOOKUP(B86,PA!$A$2:$N$110,14,FALSE)</f>
        <v>2</v>
      </c>
      <c r="H86" s="12">
        <f ca="1">SUM(C86:G86)</f>
        <v>82</v>
      </c>
      <c r="I86" s="2"/>
      <c r="J86" s="12">
        <v>82</v>
      </c>
      <c r="K86" s="1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2" x14ac:dyDescent="0.3">
      <c r="A87" s="1" t="s">
        <v>137</v>
      </c>
      <c r="B87" s="11" t="s">
        <v>138</v>
      </c>
      <c r="C87" s="12">
        <v>20</v>
      </c>
      <c r="D87" s="12">
        <v>20</v>
      </c>
      <c r="E87" s="11">
        <v>20</v>
      </c>
      <c r="F87" s="11">
        <v>20</v>
      </c>
      <c r="G87" s="12">
        <f ca="1">VLOOKUP(B87,PA!$A$2:$N$110,14,FALSE)</f>
        <v>2</v>
      </c>
      <c r="H87" s="12">
        <f ca="1">SUM(C87:G87)</f>
        <v>82</v>
      </c>
      <c r="I87" s="2"/>
      <c r="J87" s="12">
        <v>81.8</v>
      </c>
      <c r="K87" s="1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2" x14ac:dyDescent="0.3">
      <c r="A88" s="1" t="s">
        <v>151</v>
      </c>
      <c r="B88" s="11" t="s">
        <v>152</v>
      </c>
      <c r="C88" s="12">
        <v>20</v>
      </c>
      <c r="D88" s="12">
        <v>20</v>
      </c>
      <c r="E88" s="11">
        <v>20</v>
      </c>
      <c r="F88" s="11">
        <v>20</v>
      </c>
      <c r="G88" s="12">
        <f ca="1">VLOOKUP(B88,PA!$A$2:$N$110,14,FALSE)</f>
        <v>2</v>
      </c>
      <c r="H88" s="12">
        <f ca="1">SUM(C88:G88)</f>
        <v>82</v>
      </c>
      <c r="I88" s="2"/>
      <c r="J88" s="12">
        <v>81.599999999999994</v>
      </c>
      <c r="K88" s="1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2" x14ac:dyDescent="0.3">
      <c r="A89" s="1" t="s">
        <v>174</v>
      </c>
      <c r="B89" s="11" t="s">
        <v>175</v>
      </c>
      <c r="C89" s="12">
        <v>20</v>
      </c>
      <c r="D89" s="12">
        <v>20</v>
      </c>
      <c r="E89" s="11">
        <v>20</v>
      </c>
      <c r="F89" s="11">
        <v>20</v>
      </c>
      <c r="G89" s="12">
        <f ca="1">VLOOKUP(B89,PA!$A$2:$N$110,14,FALSE)</f>
        <v>2</v>
      </c>
      <c r="H89" s="12">
        <f ca="1">SUM(C89:G89)</f>
        <v>82</v>
      </c>
      <c r="I89" s="2"/>
      <c r="J89" s="12">
        <v>81.400000000000006</v>
      </c>
      <c r="K89" s="1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2" x14ac:dyDescent="0.3">
      <c r="A90" s="1" t="s">
        <v>36</v>
      </c>
      <c r="B90" s="11" t="s">
        <v>37</v>
      </c>
      <c r="C90" s="12">
        <v>20</v>
      </c>
      <c r="D90" s="12">
        <v>20</v>
      </c>
      <c r="E90" s="11">
        <v>20</v>
      </c>
      <c r="F90" s="11">
        <v>20</v>
      </c>
      <c r="G90" s="12">
        <f ca="1">VLOOKUP(B90,PA!$A$2:$N$110,14,FALSE)</f>
        <v>11.2</v>
      </c>
      <c r="H90" s="12">
        <f ca="1">SUM(C90:G90)</f>
        <v>91.2</v>
      </c>
      <c r="I90" s="2" t="s">
        <v>32</v>
      </c>
      <c r="J90" s="12">
        <v>81.2</v>
      </c>
      <c r="K90" s="1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2" x14ac:dyDescent="0.3">
      <c r="A91" s="1" t="s">
        <v>131</v>
      </c>
      <c r="B91" s="11" t="s">
        <v>132</v>
      </c>
      <c r="C91" s="12">
        <v>20</v>
      </c>
      <c r="D91" s="12">
        <v>20</v>
      </c>
      <c r="E91" s="11">
        <v>20</v>
      </c>
      <c r="F91" s="11">
        <v>20</v>
      </c>
      <c r="G91" s="12">
        <f ca="1">VLOOKUP(B91,PA!$A$2:$N$110,14,FALSE)</f>
        <v>2</v>
      </c>
      <c r="H91" s="12">
        <f ca="1">SUM(C91:G91)</f>
        <v>82</v>
      </c>
      <c r="I91" s="2"/>
      <c r="J91" s="12">
        <v>81.2</v>
      </c>
      <c r="K91" s="1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2" x14ac:dyDescent="0.3">
      <c r="A92" s="1" t="s">
        <v>26</v>
      </c>
      <c r="B92" s="11" t="s">
        <v>27</v>
      </c>
      <c r="C92" s="12">
        <v>20</v>
      </c>
      <c r="D92" s="12">
        <v>20</v>
      </c>
      <c r="E92" s="11">
        <v>20</v>
      </c>
      <c r="F92" s="11">
        <v>20</v>
      </c>
      <c r="G92" s="12">
        <f ca="1">VLOOKUP(B92,PA!$A$2:$N$110,14,FALSE)</f>
        <v>2</v>
      </c>
      <c r="H92" s="12">
        <f ca="1">SUM(C92:G92)</f>
        <v>82</v>
      </c>
      <c r="I92" s="2"/>
      <c r="J92" s="12">
        <v>81</v>
      </c>
      <c r="K92" s="1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2" x14ac:dyDescent="0.3">
      <c r="A93" s="1" t="s">
        <v>116</v>
      </c>
      <c r="B93" s="11" t="s">
        <v>117</v>
      </c>
      <c r="C93" s="11">
        <v>20</v>
      </c>
      <c r="D93" s="11">
        <v>20</v>
      </c>
      <c r="E93" s="11">
        <v>20</v>
      </c>
      <c r="F93" s="11">
        <v>20</v>
      </c>
      <c r="G93" s="12">
        <f ca="1">VLOOKUP(B93,PA!$A$2:$N$110,14,FALSE)</f>
        <v>2</v>
      </c>
      <c r="H93" s="12">
        <f ca="1">SUM(C93:G93)</f>
        <v>82</v>
      </c>
      <c r="I93" s="2"/>
      <c r="J93" s="12">
        <v>80.8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2" x14ac:dyDescent="0.3">
      <c r="A94" s="1" t="s">
        <v>50</v>
      </c>
      <c r="B94" s="11" t="s">
        <v>51</v>
      </c>
      <c r="C94" s="12">
        <v>20</v>
      </c>
      <c r="D94" s="12">
        <v>20</v>
      </c>
      <c r="E94" s="11">
        <v>20</v>
      </c>
      <c r="F94" s="11">
        <v>20</v>
      </c>
      <c r="G94" s="12">
        <v>0</v>
      </c>
      <c r="H94" s="12">
        <f>SUM(C94:G94)</f>
        <v>80</v>
      </c>
      <c r="I94" s="2"/>
      <c r="J94" s="12">
        <v>80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2" x14ac:dyDescent="0.3">
      <c r="A95" s="1" t="s">
        <v>76</v>
      </c>
      <c r="B95" s="11" t="s">
        <v>77</v>
      </c>
      <c r="C95" s="12">
        <v>20</v>
      </c>
      <c r="D95" s="12">
        <v>20</v>
      </c>
      <c r="E95" s="11">
        <v>20</v>
      </c>
      <c r="F95" s="11">
        <v>20</v>
      </c>
      <c r="G95" s="12">
        <v>0</v>
      </c>
      <c r="H95" s="12">
        <f>SUM(C95:G95)</f>
        <v>80</v>
      </c>
      <c r="I95" s="2"/>
      <c r="J95" s="12">
        <v>80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2" x14ac:dyDescent="0.3">
      <c r="A96" s="1" t="s">
        <v>108</v>
      </c>
      <c r="B96" s="11" t="s">
        <v>109</v>
      </c>
      <c r="C96" s="12">
        <v>20</v>
      </c>
      <c r="D96" s="12">
        <v>20</v>
      </c>
      <c r="E96" s="11">
        <v>20</v>
      </c>
      <c r="F96" s="11">
        <v>20</v>
      </c>
      <c r="G96" s="12">
        <f ca="1">VLOOKUP(B96,PA!$A$2:$N$110,14,FALSE)</f>
        <v>2</v>
      </c>
      <c r="H96" s="12">
        <f ca="1">SUM(C96:G96)</f>
        <v>82</v>
      </c>
      <c r="I96" s="2"/>
      <c r="J96" s="12">
        <v>80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2" x14ac:dyDescent="0.3">
      <c r="A97" s="1" t="s">
        <v>112</v>
      </c>
      <c r="B97" s="11" t="s">
        <v>113</v>
      </c>
      <c r="C97" s="11">
        <v>20</v>
      </c>
      <c r="D97" s="11">
        <v>20</v>
      </c>
      <c r="E97" s="11">
        <v>20</v>
      </c>
      <c r="F97" s="11">
        <v>20</v>
      </c>
      <c r="G97" s="12">
        <v>0</v>
      </c>
      <c r="H97" s="12">
        <f>SUM(C97:G97)</f>
        <v>80</v>
      </c>
      <c r="I97" s="2"/>
      <c r="J97" s="12">
        <v>80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2" x14ac:dyDescent="0.3">
      <c r="A98" s="1" t="s">
        <v>89</v>
      </c>
      <c r="B98" s="11" t="s">
        <v>90</v>
      </c>
      <c r="C98" s="12">
        <v>20</v>
      </c>
      <c r="D98" s="12">
        <v>20</v>
      </c>
      <c r="E98" s="11">
        <v>20</v>
      </c>
      <c r="F98" s="11">
        <v>20</v>
      </c>
      <c r="G98" s="12">
        <f ca="1">VLOOKUP(B98,PA!$A$2:$N$110,14,FALSE)</f>
        <v>2</v>
      </c>
      <c r="H98" s="12">
        <f ca="1">SUM(C98:G98)</f>
        <v>82</v>
      </c>
      <c r="I98" s="2" t="s">
        <v>91</v>
      </c>
      <c r="J98" s="12">
        <v>77.400000000000006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2" x14ac:dyDescent="0.3">
      <c r="A99" s="1" t="s">
        <v>128</v>
      </c>
      <c r="B99" s="11" t="s">
        <v>129</v>
      </c>
      <c r="C99" s="12">
        <v>20</v>
      </c>
      <c r="D99" s="12">
        <v>20</v>
      </c>
      <c r="E99" s="11">
        <v>20</v>
      </c>
      <c r="F99" s="11">
        <v>20</v>
      </c>
      <c r="G99" s="12">
        <v>0</v>
      </c>
      <c r="H99" s="12">
        <f>SUM(C99:G99)</f>
        <v>80</v>
      </c>
      <c r="I99" s="2" t="s">
        <v>130</v>
      </c>
      <c r="J99" s="12">
        <v>75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6" x14ac:dyDescent="0.3">
      <c r="A100" s="14" t="s">
        <v>236</v>
      </c>
      <c r="B100" s="12" t="s">
        <v>237</v>
      </c>
      <c r="C100" s="12">
        <v>20</v>
      </c>
      <c r="D100" s="12">
        <v>20</v>
      </c>
      <c r="E100" s="12">
        <v>20</v>
      </c>
      <c r="F100" s="12">
        <v>20</v>
      </c>
      <c r="G100" s="12">
        <v>0</v>
      </c>
      <c r="H100" s="12">
        <f>SUM(C100:G100)</f>
        <v>80</v>
      </c>
      <c r="I100" s="2" t="s">
        <v>32</v>
      </c>
      <c r="J100" s="12">
        <v>75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2" x14ac:dyDescent="0.3">
      <c r="A101" s="1" t="s">
        <v>30</v>
      </c>
      <c r="B101" s="11" t="s">
        <v>31</v>
      </c>
      <c r="C101" s="12">
        <v>20</v>
      </c>
      <c r="D101" s="12">
        <v>20</v>
      </c>
      <c r="E101" s="11">
        <v>20</v>
      </c>
      <c r="F101" s="11">
        <v>20</v>
      </c>
      <c r="G101" s="12">
        <f ca="1">VLOOKUP(B101,PA!$A$2:$N$110,14,FALSE)</f>
        <v>3.2</v>
      </c>
      <c r="H101" s="12">
        <f ca="1">SUM(C101:G101)</f>
        <v>83.2</v>
      </c>
      <c r="I101" s="2" t="s">
        <v>32</v>
      </c>
      <c r="J101" s="12">
        <v>73.2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2" x14ac:dyDescent="0.3">
      <c r="A102" s="1" t="s">
        <v>82</v>
      </c>
      <c r="B102" s="11" t="s">
        <v>83</v>
      </c>
      <c r="C102" s="12">
        <v>20</v>
      </c>
      <c r="D102" s="12">
        <v>20</v>
      </c>
      <c r="E102" s="11">
        <v>20</v>
      </c>
      <c r="F102" s="11">
        <v>20</v>
      </c>
      <c r="G102" s="12">
        <f ca="1">VLOOKUP(B102,PA!$A$2:$N$110,14,FALSE)</f>
        <v>2.4</v>
      </c>
      <c r="H102" s="12">
        <f ca="1">SUM(C102:G102)</f>
        <v>82.4</v>
      </c>
      <c r="I102" s="2" t="s">
        <v>84</v>
      </c>
      <c r="J102" s="12">
        <v>72.400000000000006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2" x14ac:dyDescent="0.3">
      <c r="A103" s="1" t="s">
        <v>226</v>
      </c>
      <c r="B103" s="11" t="s">
        <v>227</v>
      </c>
      <c r="C103" s="12">
        <v>20</v>
      </c>
      <c r="D103" s="12">
        <v>20</v>
      </c>
      <c r="E103" s="11">
        <v>20</v>
      </c>
      <c r="F103" s="12">
        <v>20</v>
      </c>
      <c r="G103" s="12">
        <v>0</v>
      </c>
      <c r="H103" s="12">
        <f>SUM(C103:G103)</f>
        <v>80</v>
      </c>
      <c r="I103" s="2" t="s">
        <v>32</v>
      </c>
      <c r="J103" s="12">
        <v>70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6" x14ac:dyDescent="0.3">
      <c r="A104" s="2" t="s">
        <v>234</v>
      </c>
      <c r="B104" s="12" t="s">
        <v>235</v>
      </c>
      <c r="C104" s="12">
        <v>20</v>
      </c>
      <c r="D104" s="12">
        <v>20</v>
      </c>
      <c r="E104" s="12">
        <v>20</v>
      </c>
      <c r="F104" s="12">
        <v>20</v>
      </c>
      <c r="G104" s="12">
        <v>7.8</v>
      </c>
      <c r="H104" s="12">
        <f>SUM(C104:G104)</f>
        <v>87.8</v>
      </c>
      <c r="I104" s="2" t="s">
        <v>32</v>
      </c>
      <c r="J104" s="12">
        <v>67.8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2" x14ac:dyDescent="0.3">
      <c r="A105" s="13" t="s">
        <v>230</v>
      </c>
      <c r="B105" s="11" t="s">
        <v>231</v>
      </c>
      <c r="C105" s="12">
        <v>20</v>
      </c>
      <c r="D105" s="12">
        <v>20</v>
      </c>
      <c r="E105" s="12">
        <v>20</v>
      </c>
      <c r="F105" s="12">
        <v>20</v>
      </c>
      <c r="G105" s="12">
        <v>17.399999999999999</v>
      </c>
      <c r="H105" s="12">
        <f>SUM(C105:G105)</f>
        <v>97.4</v>
      </c>
      <c r="I105" s="2" t="s">
        <v>32</v>
      </c>
      <c r="J105" s="12">
        <v>57.4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2" x14ac:dyDescent="0.3">
      <c r="A106" s="1" t="s">
        <v>13</v>
      </c>
      <c r="B106" s="11" t="s">
        <v>14</v>
      </c>
      <c r="C106" s="12">
        <v>20</v>
      </c>
      <c r="D106" s="12">
        <v>20</v>
      </c>
      <c r="E106" s="11">
        <v>0</v>
      </c>
      <c r="F106" s="11">
        <v>0</v>
      </c>
      <c r="G106" s="12">
        <v>0</v>
      </c>
      <c r="H106" s="12">
        <f>SUM(C106:G106)</f>
        <v>40</v>
      </c>
      <c r="I106" s="1" t="s">
        <v>15</v>
      </c>
      <c r="J106" s="12">
        <v>40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2" x14ac:dyDescent="0.3">
      <c r="A107" s="1" t="s">
        <v>85</v>
      </c>
      <c r="B107" s="11" t="s">
        <v>86</v>
      </c>
      <c r="C107" s="12">
        <v>20</v>
      </c>
      <c r="D107" s="12">
        <v>20</v>
      </c>
      <c r="E107" s="11">
        <v>0</v>
      </c>
      <c r="F107" s="11">
        <v>0</v>
      </c>
      <c r="G107" s="12">
        <v>0</v>
      </c>
      <c r="H107" s="12">
        <f>SUM(C107:G107)</f>
        <v>40</v>
      </c>
      <c r="I107" s="2"/>
      <c r="J107" s="12">
        <v>40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2" x14ac:dyDescent="0.3">
      <c r="A108" s="1" t="s">
        <v>224</v>
      </c>
      <c r="B108" s="11" t="s">
        <v>225</v>
      </c>
      <c r="C108" s="12">
        <v>20</v>
      </c>
      <c r="D108" s="12">
        <v>20</v>
      </c>
      <c r="E108" s="12">
        <v>0</v>
      </c>
      <c r="F108" s="12">
        <v>0</v>
      </c>
      <c r="G108" s="12">
        <v>0</v>
      </c>
      <c r="H108" s="12">
        <f>SUM(C108:G108)</f>
        <v>40</v>
      </c>
      <c r="I108" s="1" t="s">
        <v>15</v>
      </c>
      <c r="J108" s="12">
        <v>40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2" x14ac:dyDescent="0.3">
      <c r="A109" s="1" t="s">
        <v>60</v>
      </c>
      <c r="B109" s="11" t="s">
        <v>61</v>
      </c>
      <c r="C109" s="12">
        <v>20</v>
      </c>
      <c r="D109" s="12">
        <v>20</v>
      </c>
      <c r="E109" s="11">
        <v>0</v>
      </c>
      <c r="F109" s="11">
        <v>0</v>
      </c>
      <c r="G109" s="12">
        <v>0</v>
      </c>
      <c r="H109" s="12">
        <f>SUM(C109:G109)</f>
        <v>40</v>
      </c>
      <c r="I109" s="2" t="s">
        <v>32</v>
      </c>
      <c r="J109" s="12">
        <v>25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6" x14ac:dyDescent="0.3">
      <c r="A110" s="2" t="s">
        <v>232</v>
      </c>
      <c r="B110" s="12" t="s">
        <v>233</v>
      </c>
      <c r="C110" s="12">
        <v>20</v>
      </c>
      <c r="D110" s="12">
        <v>20</v>
      </c>
      <c r="E110" s="12">
        <v>0</v>
      </c>
      <c r="F110" s="12">
        <v>0</v>
      </c>
      <c r="G110" s="12">
        <v>0</v>
      </c>
      <c r="H110" s="12">
        <f>SUM(C110:G110)</f>
        <v>40</v>
      </c>
      <c r="I110" s="2" t="s">
        <v>32</v>
      </c>
      <c r="J110" s="12">
        <v>25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2" x14ac:dyDescent="0.3">
      <c r="A111" s="1" t="s">
        <v>10</v>
      </c>
      <c r="B111" s="11" t="s">
        <v>11</v>
      </c>
      <c r="C111" s="12">
        <v>0</v>
      </c>
      <c r="D111" s="12">
        <v>0</v>
      </c>
      <c r="E111" s="11">
        <v>0</v>
      </c>
      <c r="F111" s="11">
        <v>0</v>
      </c>
      <c r="G111" s="12">
        <v>0</v>
      </c>
      <c r="H111" s="12">
        <f>SUM(C111:G111)</f>
        <v>0</v>
      </c>
      <c r="I111" s="1" t="s">
        <v>12</v>
      </c>
      <c r="J111" s="12">
        <v>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5">
      <c r="A112" s="2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5">
      <c r="A113" s="2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5">
      <c r="A114" s="2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5">
      <c r="A115" s="2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5">
      <c r="A116" s="2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5">
      <c r="A117" s="2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5">
      <c r="A118" s="2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5">
      <c r="A119" s="2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5">
      <c r="A120" s="2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5">
      <c r="A121" s="2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5">
      <c r="A122" s="2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5">
      <c r="A123" s="2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5">
      <c r="A124" s="2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5">
      <c r="A125" s="2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5">
      <c r="A126" s="2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5">
      <c r="A127" s="2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5">
      <c r="A128" s="2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5">
      <c r="A129" s="2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5">
      <c r="A130" s="2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5">
      <c r="A131" s="2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5">
      <c r="A132" s="2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5">
      <c r="A133" s="2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5">
      <c r="A134" s="2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5">
      <c r="A135" s="2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5">
      <c r="A136" s="2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5">
      <c r="A137" s="2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5">
      <c r="A138" s="2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5">
      <c r="A139" s="2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5">
      <c r="A140" s="2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5">
      <c r="A141" s="2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5">
      <c r="A142" s="2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5">
      <c r="A143" s="2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5">
      <c r="A144" s="2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5">
      <c r="A145" s="2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5">
      <c r="A146" s="2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5">
      <c r="A147" s="2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5">
      <c r="A148" s="2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5">
      <c r="A149" s="2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5">
      <c r="A150" s="2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5">
      <c r="A151" s="2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5">
      <c r="A152" s="2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5">
      <c r="A153" s="2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5">
      <c r="A154" s="2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5">
      <c r="A155" s="2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5">
      <c r="A156" s="2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5">
      <c r="A157" s="2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5">
      <c r="A158" s="2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5">
      <c r="A159" s="2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5">
      <c r="A160" s="2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5">
      <c r="A161" s="2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5">
      <c r="A162" s="2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5">
      <c r="A163" s="2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5">
      <c r="A164" s="2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5">
      <c r="A165" s="2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5">
      <c r="A166" s="2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5">
      <c r="A167" s="2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5">
      <c r="A168" s="2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5">
      <c r="A169" s="2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5">
      <c r="A170" s="2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5">
      <c r="A171" s="2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5">
      <c r="A172" s="2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5">
      <c r="A173" s="2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5">
      <c r="A174" s="2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5">
      <c r="A175" s="2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5">
      <c r="A176" s="2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5">
      <c r="A177" s="2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5">
      <c r="A178" s="2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5">
      <c r="A179" s="2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5">
      <c r="A180" s="2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5">
      <c r="A181" s="2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5">
      <c r="A182" s="2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5">
      <c r="A183" s="2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5">
      <c r="A184" s="2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5">
      <c r="A185" s="2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5">
      <c r="A186" s="2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5">
      <c r="A187" s="2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5">
      <c r="A188" s="2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5">
      <c r="A189" s="2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5">
      <c r="A190" s="2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5">
      <c r="A191" s="2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5">
      <c r="A192" s="2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5">
      <c r="A193" s="2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5">
      <c r="A194" s="2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5">
      <c r="A195" s="2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5">
      <c r="A196" s="2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5">
      <c r="A197" s="2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5">
      <c r="A198" s="2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5">
      <c r="A199" s="2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5">
      <c r="A200" s="2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5">
      <c r="A201" s="2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5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5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5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5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5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5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5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5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5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5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5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5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5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5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5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5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5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5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5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5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5">
      <c r="A222" s="2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5">
      <c r="A223" s="2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5">
      <c r="A224" s="2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2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2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2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2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2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5">
      <c r="A230" s="2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2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2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2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2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5">
      <c r="A235" s="2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5">
      <c r="A236" s="2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5">
      <c r="A237" s="2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5">
      <c r="A238" s="2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5">
      <c r="A239" s="2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5">
      <c r="A240" s="2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5">
      <c r="A241" s="2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5">
      <c r="A242" s="2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5">
      <c r="A243" s="2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5">
      <c r="A244" s="2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5">
      <c r="A245" s="2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5">
      <c r="A246" s="2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5">
      <c r="A247" s="2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5">
      <c r="A248" s="2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5">
      <c r="A249" s="2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5">
      <c r="A250" s="2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5">
      <c r="A251" s="2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5">
      <c r="A252" s="2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5">
      <c r="A253" s="2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5">
      <c r="A254" s="2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5">
      <c r="A255" s="2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5">
      <c r="A256" s="2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5">
      <c r="A257" s="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5">
      <c r="A258" s="2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5">
      <c r="A259" s="2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5">
      <c r="A260" s="2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5">
      <c r="A261" s="2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5">
      <c r="A262" s="2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5">
      <c r="A263" s="2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5">
      <c r="A264" s="2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5">
      <c r="A265" s="2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5">
      <c r="A266" s="2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5">
      <c r="A267" s="2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5">
      <c r="A268" s="2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5">
      <c r="A269" s="2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5">
      <c r="A270" s="2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5">
      <c r="A271" s="2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5">
      <c r="A272" s="2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5">
      <c r="A273" s="2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5">
      <c r="A274" s="2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5">
      <c r="A275" s="2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5">
      <c r="A276" s="2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5">
      <c r="A277" s="2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5">
      <c r="A278" s="2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5">
      <c r="A279" s="2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5">
      <c r="A280" s="2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5">
      <c r="A281" s="2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5">
      <c r="A282" s="2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5">
      <c r="A283" s="2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5">
      <c r="A284" s="2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5">
      <c r="A285" s="2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5">
      <c r="A286" s="2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5">
      <c r="A287" s="2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5">
      <c r="A288" s="2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5">
      <c r="A289" s="2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5">
      <c r="A290" s="2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5">
      <c r="A291" s="2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5">
      <c r="A292" s="2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5">
      <c r="A293" s="2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5">
      <c r="A294" s="2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5">
      <c r="A295" s="2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5">
      <c r="A296" s="2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5">
      <c r="A297" s="2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5">
      <c r="A298" s="2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5">
      <c r="A299" s="2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5">
      <c r="A300" s="2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5">
      <c r="A301" s="2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5">
      <c r="A302" s="2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5">
      <c r="A303" s="2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5">
      <c r="A304" s="2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5">
      <c r="A305" s="2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5">
      <c r="A306" s="2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5">
      <c r="A307" s="2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5">
      <c r="A308" s="2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5">
      <c r="A309" s="2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5">
      <c r="A310" s="2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5">
      <c r="A311" s="2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5">
      <c r="A312" s="2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5">
      <c r="A313" s="2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5">
      <c r="A314" s="2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5">
      <c r="A315" s="2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5">
      <c r="A316" s="2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5">
      <c r="A317" s="2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5">
      <c r="A318" s="2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5">
      <c r="A319" s="2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5">
      <c r="A320" s="2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5">
      <c r="A321" s="2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5">
      <c r="A322" s="2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5">
      <c r="A323" s="2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5">
      <c r="A324" s="2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5">
      <c r="A325" s="2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5">
      <c r="A326" s="2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5">
      <c r="A327" s="2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5">
      <c r="A328" s="2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5">
      <c r="A329" s="2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5">
      <c r="A330" s="2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5">
      <c r="A331" s="2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5">
      <c r="A332" s="2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5">
      <c r="A333" s="2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5">
      <c r="A334" s="2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5">
      <c r="A335" s="2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5">
      <c r="A336" s="2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5">
      <c r="A337" s="2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5">
      <c r="A338" s="2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5">
      <c r="A339" s="2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5">
      <c r="A340" s="2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5">
      <c r="A341" s="2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5">
      <c r="A342" s="2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5">
      <c r="A343" s="2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5">
      <c r="A344" s="2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5">
      <c r="A345" s="2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5">
      <c r="A346" s="2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5">
      <c r="A347" s="2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5">
      <c r="A348" s="2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5">
      <c r="A349" s="2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5">
      <c r="A350" s="2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5">
      <c r="A351" s="2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5">
      <c r="A352" s="2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5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5">
      <c r="A354" s="2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5">
      <c r="A355" s="2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5">
      <c r="A356" s="2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5">
      <c r="A357" s="2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5">
      <c r="A358" s="2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5">
      <c r="A359" s="2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5">
      <c r="A360" s="2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5">
      <c r="A361" s="2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5">
      <c r="A362" s="2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5">
      <c r="A363" s="2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5">
      <c r="A364" s="2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5">
      <c r="A365" s="2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5">
      <c r="A366" s="2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5">
      <c r="A367" s="2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5">
      <c r="A368" s="2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5">
      <c r="A369" s="2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5">
      <c r="A370" s="2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5">
      <c r="A371" s="2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5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5">
      <c r="A373" s="2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5">
      <c r="A374" s="2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5">
      <c r="A375" s="2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5">
      <c r="A376" s="2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5">
      <c r="A377" s="2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5">
      <c r="A378" s="2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5">
      <c r="A379" s="2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5">
      <c r="A380" s="2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5">
      <c r="A381" s="2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5">
      <c r="A382" s="2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5">
      <c r="A383" s="2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5">
      <c r="A384" s="2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5">
      <c r="A385" s="2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5">
      <c r="A386" s="2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5">
      <c r="A387" s="2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5">
      <c r="A388" s="2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5">
      <c r="A389" s="2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5">
      <c r="A390" s="2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5">
      <c r="A391" s="2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5">
      <c r="A392" s="2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5">
      <c r="A393" s="2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5">
      <c r="A394" s="2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5">
      <c r="A395" s="2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5">
      <c r="A396" s="2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5">
      <c r="A397" s="2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5">
      <c r="A398" s="2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5">
      <c r="A399" s="2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5">
      <c r="A400" s="2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5">
      <c r="A401" s="2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5">
      <c r="A402" s="2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5">
      <c r="A403" s="2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5">
      <c r="A404" s="2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5">
      <c r="A405" s="2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5">
      <c r="A406" s="2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5">
      <c r="A407" s="2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5">
      <c r="A408" s="2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5">
      <c r="A409" s="2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5">
      <c r="A410" s="2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5">
      <c r="A411" s="2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5">
      <c r="A412" s="2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5">
      <c r="A413" s="2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5">
      <c r="A414" s="2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5">
      <c r="A415" s="2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5">
      <c r="A416" s="2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5">
      <c r="A417" s="2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5">
      <c r="A418" s="2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5">
      <c r="A419" s="2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5">
      <c r="A420" s="2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5">
      <c r="A421" s="2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5">
      <c r="A422" s="2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5">
      <c r="A423" s="2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5">
      <c r="A424" s="2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5">
      <c r="A425" s="2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5">
      <c r="A426" s="2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5">
      <c r="A427" s="2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5">
      <c r="A428" s="2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5">
      <c r="A429" s="2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5">
      <c r="A430" s="2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5">
      <c r="A431" s="2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5">
      <c r="A432" s="2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5">
      <c r="A433" s="2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5">
      <c r="A434" s="2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5">
      <c r="A435" s="2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5">
      <c r="A436" s="2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5">
      <c r="A437" s="2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5">
      <c r="A438" s="2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5">
      <c r="A439" s="2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5">
      <c r="A440" s="2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5">
      <c r="A441" s="2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5">
      <c r="A442" s="2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5">
      <c r="A443" s="2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5">
      <c r="A444" s="2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5">
      <c r="A445" s="2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5">
      <c r="A446" s="2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5">
      <c r="A447" s="2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5">
      <c r="A448" s="2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5">
      <c r="A449" s="2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5">
      <c r="A450" s="2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5">
      <c r="A451" s="2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5">
      <c r="A452" s="2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5">
      <c r="A453" s="2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5">
      <c r="A454" s="2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5">
      <c r="A455" s="2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5">
      <c r="A456" s="2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5">
      <c r="A457" s="2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5">
      <c r="A458" s="2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5">
      <c r="A459" s="2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5">
      <c r="A460" s="2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5">
      <c r="A461" s="2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5">
      <c r="A462" s="2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5">
      <c r="A463" s="2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5">
      <c r="A464" s="2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5">
      <c r="A465" s="2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5">
      <c r="A466" s="2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5">
      <c r="A467" s="2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5">
      <c r="A468" s="2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5">
      <c r="A469" s="2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5">
      <c r="A470" s="2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5">
      <c r="A471" s="2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5">
      <c r="A472" s="2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5">
      <c r="A473" s="2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5">
      <c r="A474" s="2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5">
      <c r="A475" s="2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5">
      <c r="A476" s="2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5">
      <c r="A477" s="2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5">
      <c r="A478" s="2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5">
      <c r="A479" s="2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5">
      <c r="A480" s="2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5">
      <c r="A481" s="2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5">
      <c r="A482" s="2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5">
      <c r="A483" s="2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5">
      <c r="A484" s="2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5">
      <c r="A485" s="2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5">
      <c r="A486" s="2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5">
      <c r="A487" s="2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5">
      <c r="A488" s="2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5">
      <c r="A489" s="2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5">
      <c r="A490" s="2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5">
      <c r="A491" s="2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5">
      <c r="A492" s="2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5">
      <c r="A493" s="2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5">
      <c r="A494" s="2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5">
      <c r="A495" s="2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5">
      <c r="A496" s="2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5">
      <c r="A497" s="2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5">
      <c r="A498" s="2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5">
      <c r="A499" s="2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5">
      <c r="A500" s="2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5">
      <c r="A501" s="2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5">
      <c r="A502" s="2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5">
      <c r="A503" s="2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5">
      <c r="A504" s="2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5">
      <c r="A505" s="2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5">
      <c r="A506" s="2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5">
      <c r="A507" s="2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5">
      <c r="A508" s="2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5">
      <c r="A509" s="2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5">
      <c r="A510" s="2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5">
      <c r="A511" s="2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5">
      <c r="A512" s="2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5">
      <c r="A513" s="2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5">
      <c r="A514" s="2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5">
      <c r="A515" s="2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5">
      <c r="A516" s="2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5">
      <c r="A517" s="2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5">
      <c r="A518" s="2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5">
      <c r="A519" s="2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5">
      <c r="A520" s="2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5">
      <c r="A521" s="2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5">
      <c r="A522" s="2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5">
      <c r="A523" s="2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5">
      <c r="A524" s="2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5">
      <c r="A525" s="2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5">
      <c r="A526" s="2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5">
      <c r="A527" s="2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5">
      <c r="A528" s="2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5">
      <c r="A529" s="2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5">
      <c r="A530" s="2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5">
      <c r="A531" s="2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5">
      <c r="A532" s="2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5">
      <c r="A533" s="2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5">
      <c r="A534" s="2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5">
      <c r="A535" s="2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5">
      <c r="A536" s="2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5">
      <c r="A537" s="2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5">
      <c r="A538" s="2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5">
      <c r="A539" s="2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5">
      <c r="A540" s="2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5">
      <c r="A541" s="2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5">
      <c r="A542" s="2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5">
      <c r="A543" s="2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5">
      <c r="A544" s="2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5">
      <c r="A545" s="2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5">
      <c r="A546" s="2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5">
      <c r="A547" s="2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5">
      <c r="A548" s="2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5">
      <c r="A549" s="2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5">
      <c r="A550" s="2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5">
      <c r="A551" s="2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5">
      <c r="A552" s="2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5">
      <c r="A553" s="2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5">
      <c r="A554" s="2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5">
      <c r="A555" s="2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5">
      <c r="A556" s="2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5">
      <c r="A557" s="2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5">
      <c r="A558" s="2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5">
      <c r="A559" s="2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5">
      <c r="A560" s="2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5">
      <c r="A561" s="2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5">
      <c r="A562" s="2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5">
      <c r="A563" s="2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5">
      <c r="A564" s="2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5">
      <c r="A565" s="2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5">
      <c r="A566" s="2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5">
      <c r="A567" s="2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5">
      <c r="A568" s="2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5">
      <c r="A569" s="2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5">
      <c r="A570" s="2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5">
      <c r="A571" s="2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5">
      <c r="A572" s="2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5">
      <c r="A573" s="2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5">
      <c r="A574" s="2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5">
      <c r="A575" s="2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5">
      <c r="A576" s="2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5">
      <c r="A577" s="2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5">
      <c r="A578" s="2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5">
      <c r="A579" s="2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5">
      <c r="A580" s="2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5">
      <c r="A581" s="2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5">
      <c r="A582" s="2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5">
      <c r="A583" s="2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5">
      <c r="A584" s="2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5">
      <c r="A585" s="2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5">
      <c r="A586" s="2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5">
      <c r="A587" s="2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5">
      <c r="A588" s="2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5">
      <c r="A589" s="2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5">
      <c r="A590" s="2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5">
      <c r="A591" s="2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5">
      <c r="A592" s="2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5">
      <c r="A593" s="2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5">
      <c r="A594" s="2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5">
      <c r="A595" s="2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5">
      <c r="A596" s="2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5">
      <c r="A597" s="2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5">
      <c r="A598" s="2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5">
      <c r="A599" s="2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5">
      <c r="A600" s="2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5">
      <c r="A601" s="2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5">
      <c r="A602" s="2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5">
      <c r="A603" s="2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5">
      <c r="A604" s="2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5">
      <c r="A605" s="2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5">
      <c r="A606" s="2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5">
      <c r="A607" s="2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5">
      <c r="A608" s="2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5">
      <c r="A609" s="2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5">
      <c r="A610" s="2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5">
      <c r="A611" s="2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5">
      <c r="A612" s="2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5">
      <c r="A613" s="2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5">
      <c r="A614" s="2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5">
      <c r="A615" s="2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5">
      <c r="A616" s="2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5">
      <c r="A617" s="2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5">
      <c r="A618" s="2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5">
      <c r="A619" s="2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5">
      <c r="A620" s="2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5">
      <c r="A621" s="2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5">
      <c r="A622" s="2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5">
      <c r="A623" s="2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5">
      <c r="A624" s="2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5">
      <c r="A625" s="2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5">
      <c r="A626" s="2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5">
      <c r="A627" s="2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5">
      <c r="A628" s="2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5">
      <c r="A629" s="2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5">
      <c r="A630" s="2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5">
      <c r="A631" s="2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5">
      <c r="A632" s="2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5">
      <c r="A633" s="2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5">
      <c r="A634" s="2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5">
      <c r="A635" s="2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5">
      <c r="A636" s="2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5">
      <c r="A637" s="2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5">
      <c r="A638" s="2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5">
      <c r="A639" s="2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5">
      <c r="A640" s="2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5">
      <c r="A641" s="2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5">
      <c r="A642" s="2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5">
      <c r="A643" s="2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5">
      <c r="A644" s="2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5">
      <c r="A645" s="2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5">
      <c r="A646" s="2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5">
      <c r="A647" s="2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5">
      <c r="A648" s="2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5">
      <c r="A649" s="2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5">
      <c r="A650" s="2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5">
      <c r="A651" s="2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5">
      <c r="A652" s="2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5">
      <c r="A653" s="2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5">
      <c r="A654" s="2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5">
      <c r="A655" s="2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5">
      <c r="A656" s="2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5">
      <c r="A657" s="2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5">
      <c r="A658" s="2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5">
      <c r="A659" s="2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5">
      <c r="A660" s="2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5">
      <c r="A661" s="2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5">
      <c r="A662" s="2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5">
      <c r="A663" s="2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5">
      <c r="A664" s="2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5">
      <c r="A665" s="2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5">
      <c r="A666" s="2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5">
      <c r="A667" s="2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5">
      <c r="A668" s="2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5">
      <c r="A669" s="2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5">
      <c r="A670" s="2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5">
      <c r="A671" s="2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5">
      <c r="A672" s="2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5">
      <c r="A673" s="2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5">
      <c r="A674" s="2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5">
      <c r="A675" s="2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5">
      <c r="A676" s="2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5">
      <c r="A677" s="2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5">
      <c r="A678" s="2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5">
      <c r="A679" s="2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5">
      <c r="A680" s="2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5">
      <c r="A681" s="2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5">
      <c r="A682" s="2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5">
      <c r="A683" s="2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5">
      <c r="A684" s="2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5">
      <c r="A685" s="2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5">
      <c r="A686" s="2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5">
      <c r="A687" s="2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5">
      <c r="A688" s="2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5">
      <c r="A689" s="2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5">
      <c r="A690" s="2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5">
      <c r="A691" s="2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5">
      <c r="A692" s="2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5">
      <c r="A693" s="2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5">
      <c r="A694" s="2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5">
      <c r="A695" s="2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5">
      <c r="A696" s="2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5">
      <c r="A697" s="2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5">
      <c r="A698" s="2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5">
      <c r="A699" s="2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5">
      <c r="A700" s="2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5">
      <c r="A701" s="2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5">
      <c r="A702" s="2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5">
      <c r="A703" s="2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5">
      <c r="A704" s="2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5">
      <c r="A705" s="2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5">
      <c r="A706" s="2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5">
      <c r="A707" s="2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5">
      <c r="A708" s="2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5">
      <c r="A709" s="2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5">
      <c r="A710" s="2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5">
      <c r="A711" s="2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5">
      <c r="A712" s="2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5">
      <c r="A713" s="2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5">
      <c r="A714" s="2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5">
      <c r="A715" s="2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5">
      <c r="A716" s="2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5">
      <c r="A717" s="2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5">
      <c r="A718" s="2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5">
      <c r="A719" s="2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5">
      <c r="A720" s="2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5">
      <c r="A721" s="2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5">
      <c r="A722" s="2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5">
      <c r="A723" s="2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5">
      <c r="A724" s="2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5">
      <c r="A725" s="2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5">
      <c r="A726" s="2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5">
      <c r="A727" s="2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5">
      <c r="A728" s="2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5">
      <c r="A729" s="2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5">
      <c r="A730" s="2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5">
      <c r="A731" s="2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5">
      <c r="A732" s="2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5">
      <c r="A733" s="2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5">
      <c r="A734" s="2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5">
      <c r="A735" s="2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5">
      <c r="A736" s="2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5">
      <c r="A737" s="2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5">
      <c r="A738" s="2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5">
      <c r="A739" s="2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5">
      <c r="A740" s="2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5">
      <c r="A741" s="2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5">
      <c r="A742" s="2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5">
      <c r="A743" s="2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5">
      <c r="A744" s="2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5">
      <c r="A745" s="2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5">
      <c r="A746" s="2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5">
      <c r="A747" s="2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5">
      <c r="A748" s="2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5">
      <c r="A749" s="2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5">
      <c r="A750" s="2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5">
      <c r="A751" s="2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5">
      <c r="A752" s="2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5">
      <c r="A753" s="2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5">
      <c r="A754" s="2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5">
      <c r="A755" s="2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5">
      <c r="A756" s="2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5">
      <c r="A757" s="2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5">
      <c r="A758" s="2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5">
      <c r="A759" s="2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5">
      <c r="A760" s="2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5">
      <c r="A761" s="2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5">
      <c r="A762" s="2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5">
      <c r="A763" s="2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5">
      <c r="A764" s="2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5">
      <c r="A765" s="2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5">
      <c r="A766" s="2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5">
      <c r="A767" s="2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5">
      <c r="A768" s="2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5">
      <c r="A769" s="2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5">
      <c r="A770" s="2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5">
      <c r="A771" s="2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5">
      <c r="A772" s="2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5">
      <c r="A773" s="2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5">
      <c r="A774" s="2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5">
      <c r="A775" s="2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5">
      <c r="A776" s="2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5">
      <c r="A777" s="2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5">
      <c r="A778" s="2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5">
      <c r="A779" s="2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5">
      <c r="A780" s="2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5">
      <c r="A781" s="2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5">
      <c r="A782" s="2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5">
      <c r="A783" s="2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5">
      <c r="A784" s="2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5">
      <c r="A785" s="2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5">
      <c r="A786" s="2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5">
      <c r="A787" s="2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5">
      <c r="A788" s="2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5">
      <c r="A789" s="2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5">
      <c r="A790" s="2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5">
      <c r="A791" s="2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5">
      <c r="A792" s="2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5">
      <c r="A793" s="2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5">
      <c r="A794" s="2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5">
      <c r="A795" s="2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5">
      <c r="A796" s="2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5">
      <c r="A797" s="2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5">
      <c r="A798" s="2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5">
      <c r="A799" s="2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5">
      <c r="A800" s="2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5">
      <c r="A801" s="2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5">
      <c r="A802" s="2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5">
      <c r="A803" s="2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5">
      <c r="A804" s="2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5">
      <c r="A805" s="2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5">
      <c r="A806" s="2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5">
      <c r="A807" s="2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5">
      <c r="A808" s="2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5">
      <c r="A809" s="2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5">
      <c r="A810" s="2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5">
      <c r="A811" s="2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5">
      <c r="A812" s="2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5">
      <c r="A813" s="2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5">
      <c r="A814" s="2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5">
      <c r="A815" s="2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5">
      <c r="A816" s="2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5">
      <c r="A817" s="2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5">
      <c r="A818" s="2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5">
      <c r="A819" s="2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5">
      <c r="A820" s="2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5">
      <c r="A821" s="2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5">
      <c r="A822" s="2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5">
      <c r="A823" s="2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5">
      <c r="A824" s="2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5">
      <c r="A825" s="2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5">
      <c r="A826" s="2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5">
      <c r="A827" s="2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5">
      <c r="A828" s="2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5">
      <c r="A829" s="2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5">
      <c r="A830" s="2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5">
      <c r="A831" s="2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5">
      <c r="A832" s="2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5">
      <c r="A833" s="2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5">
      <c r="A834" s="2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5">
      <c r="A835" s="2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5">
      <c r="A836" s="2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5">
      <c r="A837" s="2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5">
      <c r="A838" s="2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5">
      <c r="A839" s="2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5">
      <c r="A840" s="2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5">
      <c r="A841" s="2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5">
      <c r="A842" s="2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5">
      <c r="A843" s="2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5">
      <c r="A844" s="2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5">
      <c r="A845" s="2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5">
      <c r="A846" s="2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5">
      <c r="A847" s="2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5">
      <c r="A848" s="2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5">
      <c r="A849" s="2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5">
      <c r="A850" s="2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5">
      <c r="A851" s="2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5">
      <c r="A852" s="2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5">
      <c r="A853" s="2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5">
      <c r="A854" s="2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5">
      <c r="A855" s="2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5">
      <c r="A856" s="2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5">
      <c r="A857" s="2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5">
      <c r="A858" s="2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5">
      <c r="A859" s="2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5">
      <c r="A860" s="2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5">
      <c r="A861" s="2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5">
      <c r="A862" s="2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5">
      <c r="A863" s="2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5">
      <c r="A864" s="2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5">
      <c r="A865" s="2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5">
      <c r="A866" s="2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5">
      <c r="A867" s="2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5">
      <c r="A868" s="2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5">
      <c r="A869" s="2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5">
      <c r="A870" s="2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5">
      <c r="A871" s="2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5">
      <c r="A872" s="2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5">
      <c r="A873" s="2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5">
      <c r="A874" s="2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5">
      <c r="A875" s="2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5">
      <c r="A876" s="2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5">
      <c r="A877" s="2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5">
      <c r="A878" s="2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5">
      <c r="A879" s="2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5">
      <c r="A880" s="2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5">
      <c r="A881" s="2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5">
      <c r="A882" s="2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5">
      <c r="A883" s="2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5">
      <c r="A884" s="2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5">
      <c r="A885" s="2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5">
      <c r="A886" s="2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5">
      <c r="A887" s="2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5">
      <c r="A888" s="2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5">
      <c r="A889" s="2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5">
      <c r="A890" s="2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5">
      <c r="A891" s="2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5">
      <c r="A892" s="2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5">
      <c r="A893" s="2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5">
      <c r="A894" s="2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5">
      <c r="A895" s="2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5">
      <c r="A896" s="2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5">
      <c r="A897" s="2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5">
      <c r="A898" s="2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5">
      <c r="A899" s="2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5">
      <c r="A900" s="2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5">
      <c r="A901" s="2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5">
      <c r="A902" s="2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5">
      <c r="A903" s="2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5">
      <c r="A904" s="2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5">
      <c r="A905" s="2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5">
      <c r="A906" s="2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5">
      <c r="A907" s="2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5">
      <c r="A908" s="2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5">
      <c r="A909" s="2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5">
      <c r="A910" s="2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5">
      <c r="A911" s="2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5">
      <c r="A912" s="2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5">
      <c r="A913" s="2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5">
      <c r="A914" s="2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5">
      <c r="A915" s="2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5">
      <c r="A916" s="2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5">
      <c r="A917" s="2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5">
      <c r="A918" s="2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5">
      <c r="A919" s="2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5">
      <c r="A920" s="2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5">
      <c r="A921" s="2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5">
      <c r="A922" s="2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5">
      <c r="A923" s="2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5">
      <c r="A924" s="2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5">
      <c r="A925" s="2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5">
      <c r="A926" s="2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5">
      <c r="A927" s="2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5">
      <c r="A928" s="2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5">
      <c r="A929" s="2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5">
      <c r="A930" s="2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5">
      <c r="A931" s="2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5">
      <c r="A932" s="2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5">
      <c r="A933" s="2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5">
      <c r="A934" s="2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5">
      <c r="A935" s="2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5">
      <c r="A936" s="2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5">
      <c r="A937" s="2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5">
      <c r="A938" s="2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5">
      <c r="A939" s="2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5">
      <c r="A940" s="2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5">
      <c r="A941" s="2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5">
      <c r="A942" s="2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5">
      <c r="A943" s="2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5">
      <c r="A944" s="2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5">
      <c r="A945" s="2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5">
      <c r="A946" s="2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5">
      <c r="A947" s="2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5">
      <c r="A948" s="2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5">
      <c r="A949" s="2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5">
      <c r="A950" s="2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5">
      <c r="A951" s="2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5">
      <c r="A952" s="2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5">
      <c r="A953" s="2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5">
      <c r="A954" s="2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5">
      <c r="A955" s="2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5">
      <c r="A956" s="2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5">
      <c r="A957" s="2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5">
      <c r="A958" s="2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5">
      <c r="A959" s="2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5">
      <c r="A960" s="2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5">
      <c r="A961" s="2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5">
      <c r="A962" s="2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5">
      <c r="A963" s="2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5">
      <c r="A964" s="2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5">
      <c r="A965" s="2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5">
      <c r="A966" s="2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5">
      <c r="A967" s="2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5">
      <c r="A968" s="2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5">
      <c r="A969" s="2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5">
      <c r="A970" s="2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5">
      <c r="A971" s="2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5">
      <c r="A972" s="2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5">
      <c r="A973" s="2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5">
      <c r="A974" s="2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5">
      <c r="A975" s="2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5">
      <c r="A976" s="2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5">
      <c r="A977" s="2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</sheetData>
  <sortState xmlns:xlrd2="http://schemas.microsoft.com/office/spreadsheetml/2017/richdata2" ref="A2:J977">
    <sortCondition descending="1" ref="J1:J977"/>
  </sortState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31"/>
  <sheetViews>
    <sheetView workbookViewId="0"/>
  </sheetViews>
  <sheetFormatPr defaultColWidth="12.5546875" defaultRowHeight="15.75" customHeight="1" x14ac:dyDescent="0.25"/>
  <cols>
    <col min="2" max="2" width="24" customWidth="1"/>
    <col min="3" max="3" width="16.5546875" customWidth="1"/>
    <col min="4" max="4" width="19" customWidth="1"/>
    <col min="5" max="5" width="17.6640625" customWidth="1"/>
  </cols>
  <sheetData>
    <row r="1" spans="1:14" ht="15.75" customHeight="1" x14ac:dyDescent="0.3">
      <c r="A1" s="4" t="s">
        <v>238</v>
      </c>
      <c r="B1" s="1" t="s">
        <v>239</v>
      </c>
      <c r="C1" s="2" t="s">
        <v>240</v>
      </c>
      <c r="D1" s="2" t="s">
        <v>241</v>
      </c>
      <c r="E1" s="2" t="s">
        <v>242</v>
      </c>
      <c r="F1" s="5" t="s">
        <v>243</v>
      </c>
      <c r="G1" s="5" t="s">
        <v>244</v>
      </c>
      <c r="H1" s="6" t="s">
        <v>245</v>
      </c>
      <c r="I1" s="6" t="s">
        <v>246</v>
      </c>
      <c r="J1" s="6" t="s">
        <v>247</v>
      </c>
      <c r="K1" s="6" t="s">
        <v>248</v>
      </c>
      <c r="L1" s="6" t="s">
        <v>249</v>
      </c>
      <c r="M1" s="6" t="s">
        <v>250</v>
      </c>
      <c r="N1" s="6" t="s">
        <v>6</v>
      </c>
    </row>
    <row r="2" spans="1:14" ht="15.75" customHeight="1" x14ac:dyDescent="0.3">
      <c r="A2" s="4" t="s">
        <v>199</v>
      </c>
      <c r="B2" s="7">
        <v>18320</v>
      </c>
      <c r="C2" s="5">
        <v>7667</v>
      </c>
      <c r="D2" s="5">
        <v>0</v>
      </c>
      <c r="E2" s="5">
        <v>48</v>
      </c>
      <c r="F2" s="5">
        <v>18</v>
      </c>
      <c r="G2" s="5">
        <v>1067</v>
      </c>
      <c r="H2" s="6">
        <v>20</v>
      </c>
      <c r="I2" s="6">
        <v>20</v>
      </c>
      <c r="J2" s="6">
        <f t="shared" ref="J2:J54" si="0">B2+C2+D2+E2*9</f>
        <v>26419</v>
      </c>
      <c r="K2" s="6">
        <f t="shared" ref="K2:K54" si="1">F2*G2</f>
        <v>19206</v>
      </c>
      <c r="L2" s="6">
        <f t="shared" ref="L2:L54" si="2">J2*K2</f>
        <v>507403314</v>
      </c>
      <c r="M2" s="6">
        <f ca="1">IFERROR(__xludf.DUMMYFUNCTION("IF(OR(L2=0, F2&gt;30), """", RANK.EQ(L2, FILTER(L$2:L$110, (L$2:L$110&lt;&gt;0)*(F2&lt;=30)), 1))
"),90)</f>
        <v>90</v>
      </c>
      <c r="N2" s="6">
        <f t="shared" ref="N2:N112" ca="1" si="3">MAX(2, ROUND(20-0.2*(M2-1),2))</f>
        <v>2.2000000000000002</v>
      </c>
    </row>
    <row r="3" spans="1:14" ht="15.75" customHeight="1" x14ac:dyDescent="0.3">
      <c r="A3" s="4" t="s">
        <v>45</v>
      </c>
      <c r="B3" s="7">
        <v>7251</v>
      </c>
      <c r="C3" s="5">
        <v>1550</v>
      </c>
      <c r="D3" s="5">
        <v>0</v>
      </c>
      <c r="E3" s="5">
        <v>120</v>
      </c>
      <c r="F3" s="5">
        <v>20</v>
      </c>
      <c r="G3" s="6">
        <v>1034</v>
      </c>
      <c r="H3" s="6">
        <v>20</v>
      </c>
      <c r="I3" s="6">
        <v>20</v>
      </c>
      <c r="J3" s="6">
        <f t="shared" si="0"/>
        <v>9881</v>
      </c>
      <c r="K3" s="6">
        <f t="shared" si="1"/>
        <v>20680</v>
      </c>
      <c r="L3" s="6">
        <f t="shared" si="2"/>
        <v>204339080</v>
      </c>
      <c r="M3" s="6">
        <f ca="1">IFERROR(__xludf.DUMMYFUNCTION("IF(OR(L3=0, F3&gt;30), """", RANK.EQ(L3, FILTER(L$2:L$110, (L$2:L$110&lt;&gt;0)*(F3&lt;=30)), 1))
"),62)</f>
        <v>62</v>
      </c>
      <c r="N3" s="6">
        <f t="shared" ca="1" si="3"/>
        <v>7.8</v>
      </c>
    </row>
    <row r="4" spans="1:14" ht="15.75" customHeight="1" x14ac:dyDescent="0.3">
      <c r="A4" s="4" t="s">
        <v>88</v>
      </c>
      <c r="B4" s="7">
        <v>6935</v>
      </c>
      <c r="C4" s="5">
        <v>1555</v>
      </c>
      <c r="D4" s="5">
        <v>0</v>
      </c>
      <c r="E4" s="5">
        <v>120</v>
      </c>
      <c r="F4" s="5">
        <v>30</v>
      </c>
      <c r="G4" s="6">
        <v>1036</v>
      </c>
      <c r="H4" s="6">
        <v>20</v>
      </c>
      <c r="I4" s="6">
        <v>20</v>
      </c>
      <c r="J4" s="6">
        <f t="shared" si="0"/>
        <v>9570</v>
      </c>
      <c r="K4" s="6">
        <f t="shared" si="1"/>
        <v>31080</v>
      </c>
      <c r="L4" s="6">
        <f t="shared" si="2"/>
        <v>297435600</v>
      </c>
      <c r="M4" s="6">
        <f ca="1">IFERROR(__xludf.DUMMYFUNCTION("IF(OR(L4=0, F4&gt;30), """", RANK.EQ(L4, FILTER(L$2:L$110, (L$2:L$110&lt;&gt;0)*(F4&lt;=30)), 1))
"),78)</f>
        <v>78</v>
      </c>
      <c r="N4" s="6">
        <f t="shared" ca="1" si="3"/>
        <v>4.5999999999999996</v>
      </c>
    </row>
    <row r="5" spans="1:14" ht="15.75" customHeight="1" x14ac:dyDescent="0.3">
      <c r="A5" s="4" t="s">
        <v>201</v>
      </c>
      <c r="B5" s="7">
        <v>7985</v>
      </c>
      <c r="C5" s="6">
        <v>1110</v>
      </c>
      <c r="D5" s="6">
        <v>0</v>
      </c>
      <c r="E5" s="6">
        <v>100</v>
      </c>
      <c r="F5" s="6">
        <v>18</v>
      </c>
      <c r="G5" s="6">
        <v>1034</v>
      </c>
      <c r="H5" s="6">
        <v>20</v>
      </c>
      <c r="I5" s="6">
        <v>20</v>
      </c>
      <c r="J5" s="6">
        <f t="shared" si="0"/>
        <v>9995</v>
      </c>
      <c r="K5" s="6">
        <f t="shared" si="1"/>
        <v>18612</v>
      </c>
      <c r="L5" s="6">
        <f t="shared" si="2"/>
        <v>186026940</v>
      </c>
      <c r="M5" s="6">
        <f ca="1">IFERROR(__xludf.DUMMYFUNCTION("IF(OR(L5=0, F5&gt;30), """", RANK.EQ(L5, FILTER(L$2:L$110, (L$2:L$110&lt;&gt;0)*(F5&lt;=30)), 1))
"),59)</f>
        <v>59</v>
      </c>
      <c r="N5" s="6">
        <f t="shared" ca="1" si="3"/>
        <v>8.4</v>
      </c>
    </row>
    <row r="6" spans="1:14" ht="15.75" customHeight="1" x14ac:dyDescent="0.3">
      <c r="A6" s="4" t="s">
        <v>75</v>
      </c>
      <c r="B6" s="7">
        <v>9604</v>
      </c>
      <c r="C6" s="6">
        <v>1057</v>
      </c>
      <c r="D6" s="6">
        <v>0</v>
      </c>
      <c r="E6" s="6">
        <v>308</v>
      </c>
      <c r="F6" s="6">
        <v>20</v>
      </c>
      <c r="G6" s="6">
        <v>1035</v>
      </c>
      <c r="H6" s="6">
        <v>20</v>
      </c>
      <c r="I6" s="6">
        <v>20</v>
      </c>
      <c r="J6" s="6">
        <f t="shared" si="0"/>
        <v>13433</v>
      </c>
      <c r="K6" s="6">
        <f t="shared" si="1"/>
        <v>20700</v>
      </c>
      <c r="L6" s="6">
        <f t="shared" si="2"/>
        <v>278063100</v>
      </c>
      <c r="M6" s="6">
        <f ca="1">IFERROR(__xludf.DUMMYFUNCTION("IF(OR(L6=0, F6&gt;30), """", RANK.EQ(L6, FILTER(L$2:L$110, (L$2:L$110&lt;&gt;0)*(F6&lt;=30)), 1))
"),70)</f>
        <v>70</v>
      </c>
      <c r="N6" s="6">
        <f t="shared" ca="1" si="3"/>
        <v>6.2</v>
      </c>
    </row>
    <row r="7" spans="1:14" ht="15.75" customHeight="1" x14ac:dyDescent="0.3">
      <c r="A7" s="4" t="s">
        <v>171</v>
      </c>
      <c r="B7" s="7">
        <v>3446</v>
      </c>
      <c r="C7" s="6">
        <v>1233</v>
      </c>
      <c r="D7" s="6">
        <v>0</v>
      </c>
      <c r="E7" s="6">
        <v>32</v>
      </c>
      <c r="F7" s="6">
        <v>20</v>
      </c>
      <c r="G7" s="6">
        <v>1047</v>
      </c>
      <c r="H7" s="6">
        <v>20</v>
      </c>
      <c r="I7" s="6">
        <v>20</v>
      </c>
      <c r="J7" s="6">
        <f t="shared" si="0"/>
        <v>4967</v>
      </c>
      <c r="K7" s="6">
        <f t="shared" si="1"/>
        <v>20940</v>
      </c>
      <c r="L7" s="6">
        <f t="shared" si="2"/>
        <v>104008980</v>
      </c>
      <c r="M7" s="6">
        <f ca="1">IFERROR(__xludf.DUMMYFUNCTION("IF(OR(L7=0, F7&gt;30), """", RANK.EQ(L7, FILTER(L$2:L$110, (L$2:L$110&lt;&gt;0)*(F7&lt;=30)), 1))
"),23)</f>
        <v>23</v>
      </c>
      <c r="N7" s="6">
        <f t="shared" ca="1" si="3"/>
        <v>15.6</v>
      </c>
    </row>
    <row r="8" spans="1:14" ht="15.75" customHeight="1" x14ac:dyDescent="0.3">
      <c r="A8" s="4" t="s">
        <v>146</v>
      </c>
      <c r="B8" s="7">
        <v>4366</v>
      </c>
      <c r="C8" s="6">
        <v>920</v>
      </c>
      <c r="D8" s="6">
        <v>0</v>
      </c>
      <c r="E8" s="6">
        <v>152</v>
      </c>
      <c r="F8" s="6">
        <v>14</v>
      </c>
      <c r="G8" s="6">
        <v>1035</v>
      </c>
      <c r="H8" s="6">
        <v>20</v>
      </c>
      <c r="I8" s="6">
        <v>20</v>
      </c>
      <c r="J8" s="6">
        <f t="shared" si="0"/>
        <v>6654</v>
      </c>
      <c r="K8" s="6">
        <f t="shared" si="1"/>
        <v>14490</v>
      </c>
      <c r="L8" s="6">
        <f t="shared" si="2"/>
        <v>96416460</v>
      </c>
      <c r="M8" s="6">
        <f ca="1">IFERROR(__xludf.DUMMYFUNCTION("IF(OR(L8=0, F8&gt;30), """", RANK.EQ(L8, FILTER(L$2:L$110, (L$2:L$110&lt;&gt;0)*(F8&lt;=30)), 1))
"),20)</f>
        <v>20</v>
      </c>
      <c r="N8" s="6">
        <f t="shared" ca="1" si="3"/>
        <v>16.2</v>
      </c>
    </row>
    <row r="9" spans="1:14" ht="15.75" customHeight="1" x14ac:dyDescent="0.3">
      <c r="A9" s="4" t="s">
        <v>157</v>
      </c>
      <c r="B9" s="7">
        <v>4406</v>
      </c>
      <c r="C9" s="6">
        <v>2705</v>
      </c>
      <c r="D9" s="6">
        <v>0</v>
      </c>
      <c r="E9" s="6">
        <v>62</v>
      </c>
      <c r="F9" s="6">
        <v>16</v>
      </c>
      <c r="G9" s="6">
        <v>1034</v>
      </c>
      <c r="H9" s="6">
        <v>20</v>
      </c>
      <c r="I9" s="6">
        <v>20</v>
      </c>
      <c r="J9" s="6">
        <f t="shared" si="0"/>
        <v>7669</v>
      </c>
      <c r="K9" s="6">
        <f t="shared" si="1"/>
        <v>16544</v>
      </c>
      <c r="L9" s="6">
        <f t="shared" si="2"/>
        <v>126875936</v>
      </c>
      <c r="M9" s="6">
        <f ca="1">IFERROR(__xludf.DUMMYFUNCTION("IF(OR(L9=0, F9&gt;30), """", RANK.EQ(L9, FILTER(L$2:L$110, (L$2:L$110&lt;&gt;0)*(F9&lt;=30)), 1))
"),36)</f>
        <v>36</v>
      </c>
      <c r="N9" s="6">
        <f t="shared" ca="1" si="3"/>
        <v>13</v>
      </c>
    </row>
    <row r="10" spans="1:14" ht="15.75" customHeight="1" x14ac:dyDescent="0.3">
      <c r="A10" s="4" t="s">
        <v>215</v>
      </c>
      <c r="B10" s="7">
        <v>5479</v>
      </c>
      <c r="C10" s="6">
        <v>1310</v>
      </c>
      <c r="D10" s="6">
        <v>0</v>
      </c>
      <c r="E10" s="6">
        <v>120</v>
      </c>
      <c r="F10" s="6">
        <v>26</v>
      </c>
      <c r="G10" s="6">
        <v>1034</v>
      </c>
      <c r="H10" s="6">
        <v>20</v>
      </c>
      <c r="I10" s="6">
        <v>20</v>
      </c>
      <c r="J10" s="6">
        <f t="shared" si="0"/>
        <v>7869</v>
      </c>
      <c r="K10" s="6">
        <f t="shared" si="1"/>
        <v>26884</v>
      </c>
      <c r="L10" s="6">
        <f t="shared" si="2"/>
        <v>211550196</v>
      </c>
      <c r="M10" s="6">
        <f ca="1">IFERROR(__xludf.DUMMYFUNCTION("IF(OR(L10=0, F10&gt;30), """", RANK.EQ(L10, FILTER(L$2:L$110, (L$2:L$110&lt;&gt;0)*(F10&lt;=30)), 1))
"),64)</f>
        <v>64</v>
      </c>
      <c r="N10" s="6">
        <f t="shared" ca="1" si="3"/>
        <v>7.4</v>
      </c>
    </row>
    <row r="11" spans="1:14" ht="15.75" customHeight="1" x14ac:dyDescent="0.3">
      <c r="A11" s="4" t="s">
        <v>63</v>
      </c>
      <c r="B11" s="7">
        <v>9981</v>
      </c>
      <c r="C11" s="6">
        <v>2582</v>
      </c>
      <c r="D11" s="6">
        <v>0</v>
      </c>
      <c r="E11" s="6">
        <v>136</v>
      </c>
      <c r="F11" s="6">
        <v>18</v>
      </c>
      <c r="G11" s="6">
        <v>1040</v>
      </c>
      <c r="H11" s="6">
        <v>20</v>
      </c>
      <c r="I11" s="6">
        <v>20</v>
      </c>
      <c r="J11" s="6">
        <f t="shared" si="0"/>
        <v>13787</v>
      </c>
      <c r="K11" s="6">
        <f t="shared" si="1"/>
        <v>18720</v>
      </c>
      <c r="L11" s="6">
        <f t="shared" si="2"/>
        <v>258092640</v>
      </c>
      <c r="M11" s="6">
        <f ca="1">IFERROR(__xludf.DUMMYFUNCTION("IF(OR(L11=0, F11&gt;30), """", RANK.EQ(L11, FILTER(L$2:L$110, (L$2:L$110&lt;&gt;0)*(F11&lt;=30)), 1))
"),69)</f>
        <v>69</v>
      </c>
      <c r="N11" s="6">
        <f t="shared" ca="1" si="3"/>
        <v>6.4</v>
      </c>
    </row>
    <row r="12" spans="1:14" ht="15.75" customHeight="1" x14ac:dyDescent="0.3">
      <c r="A12" s="4" t="s">
        <v>73</v>
      </c>
      <c r="B12" s="7">
        <v>5636</v>
      </c>
      <c r="C12" s="6">
        <v>2336</v>
      </c>
      <c r="D12" s="6">
        <v>0</v>
      </c>
      <c r="E12" s="6">
        <v>120</v>
      </c>
      <c r="F12" s="6">
        <v>30</v>
      </c>
      <c r="G12" s="6">
        <v>1036</v>
      </c>
      <c r="H12" s="6">
        <v>20</v>
      </c>
      <c r="I12" s="6">
        <v>20</v>
      </c>
      <c r="J12" s="6">
        <f t="shared" si="0"/>
        <v>9052</v>
      </c>
      <c r="K12" s="6">
        <f t="shared" si="1"/>
        <v>31080</v>
      </c>
      <c r="L12" s="6">
        <f t="shared" si="2"/>
        <v>281336160</v>
      </c>
      <c r="M12" s="6">
        <f ca="1">IFERROR(__xludf.DUMMYFUNCTION("IF(OR(L12=0, F12&gt;30), """", RANK.EQ(L12, FILTER(L$2:L$110, (L$2:L$110&lt;&gt;0)*(F12&lt;=30)), 1))
"),73)</f>
        <v>73</v>
      </c>
      <c r="N12" s="6">
        <f t="shared" ca="1" si="3"/>
        <v>5.6</v>
      </c>
    </row>
    <row r="13" spans="1:14" ht="15.75" customHeight="1" x14ac:dyDescent="0.3">
      <c r="A13" s="4" t="s">
        <v>219</v>
      </c>
      <c r="B13" s="7">
        <v>7998</v>
      </c>
      <c r="C13" s="6">
        <v>5812</v>
      </c>
      <c r="D13" s="6">
        <v>0</v>
      </c>
      <c r="E13" s="6">
        <v>32</v>
      </c>
      <c r="F13" s="6">
        <v>12</v>
      </c>
      <c r="G13" s="6">
        <v>1079</v>
      </c>
      <c r="H13" s="6">
        <v>20</v>
      </c>
      <c r="I13" s="6">
        <v>20</v>
      </c>
      <c r="J13" s="6">
        <f t="shared" si="0"/>
        <v>14098</v>
      </c>
      <c r="K13" s="6">
        <f t="shared" si="1"/>
        <v>12948</v>
      </c>
      <c r="L13" s="6">
        <f t="shared" si="2"/>
        <v>182540904</v>
      </c>
      <c r="M13" s="6">
        <f ca="1">IFERROR(__xludf.DUMMYFUNCTION("IF(OR(L13=0, F13&gt;30), """", RANK.EQ(L13, FILTER(L$2:L$110, (L$2:L$110&lt;&gt;0)*(F13&lt;=30)), 1))
"),57)</f>
        <v>57</v>
      </c>
      <c r="N13" s="6">
        <f t="shared" ca="1" si="3"/>
        <v>8.8000000000000007</v>
      </c>
    </row>
    <row r="14" spans="1:14" ht="15.75" customHeight="1" x14ac:dyDescent="0.3">
      <c r="A14" s="4" t="s">
        <v>189</v>
      </c>
      <c r="B14" s="7">
        <v>5070</v>
      </c>
      <c r="C14" s="6">
        <v>1568</v>
      </c>
      <c r="D14" s="6">
        <v>0</v>
      </c>
      <c r="E14" s="6">
        <v>120</v>
      </c>
      <c r="F14" s="6">
        <v>16</v>
      </c>
      <c r="G14" s="6">
        <v>1035</v>
      </c>
      <c r="H14" s="6">
        <v>20</v>
      </c>
      <c r="I14" s="6">
        <v>20</v>
      </c>
      <c r="J14" s="6">
        <f t="shared" si="0"/>
        <v>7718</v>
      </c>
      <c r="K14" s="6">
        <f t="shared" si="1"/>
        <v>16560</v>
      </c>
      <c r="L14" s="6">
        <f t="shared" si="2"/>
        <v>127810080</v>
      </c>
      <c r="M14" s="6">
        <f ca="1">IFERROR(__xludf.DUMMYFUNCTION("IF(OR(L14=0, F14&gt;30), """", RANK.EQ(L14, FILTER(L$2:L$110, (L$2:L$110&lt;&gt;0)*(F14&lt;=30)), 1))
"),37)</f>
        <v>37</v>
      </c>
      <c r="N14" s="6">
        <f t="shared" ca="1" si="3"/>
        <v>12.8</v>
      </c>
    </row>
    <row r="15" spans="1:14" ht="15.75" customHeight="1" x14ac:dyDescent="0.3">
      <c r="A15" s="4" t="s">
        <v>197</v>
      </c>
      <c r="B15" s="7">
        <v>23791</v>
      </c>
      <c r="C15" s="6">
        <v>9556</v>
      </c>
      <c r="D15" s="6">
        <v>0</v>
      </c>
      <c r="E15" s="6">
        <v>64</v>
      </c>
      <c r="F15" s="6">
        <v>16</v>
      </c>
      <c r="G15" s="6">
        <v>1067</v>
      </c>
      <c r="H15" s="6">
        <v>20</v>
      </c>
      <c r="I15" s="6">
        <v>20</v>
      </c>
      <c r="J15" s="6">
        <f t="shared" si="0"/>
        <v>33923</v>
      </c>
      <c r="K15" s="6">
        <f t="shared" si="1"/>
        <v>17072</v>
      </c>
      <c r="L15" s="6">
        <f t="shared" si="2"/>
        <v>579133456</v>
      </c>
      <c r="M15" s="6">
        <f ca="1">IFERROR(__xludf.DUMMYFUNCTION("IF(OR(L15=0, F15&gt;30), """", RANK.EQ(L15, FILTER(L$2:L$110, (L$2:L$110&lt;&gt;0)*(F15&lt;=30)), 1))
"),91)</f>
        <v>91</v>
      </c>
      <c r="N15" s="6">
        <f t="shared" ca="1" si="3"/>
        <v>2</v>
      </c>
    </row>
    <row r="16" spans="1:14" ht="15.75" customHeight="1" x14ac:dyDescent="0.3">
      <c r="A16" s="4" t="s">
        <v>134</v>
      </c>
      <c r="B16" s="7">
        <v>8483</v>
      </c>
      <c r="C16" s="6">
        <v>828</v>
      </c>
      <c r="D16" s="6">
        <v>0</v>
      </c>
      <c r="E16" s="6">
        <v>0</v>
      </c>
      <c r="F16" s="6">
        <v>30</v>
      </c>
      <c r="G16" s="6">
        <v>1032</v>
      </c>
      <c r="H16" s="6">
        <v>20</v>
      </c>
      <c r="I16" s="6">
        <v>20</v>
      </c>
      <c r="J16" s="6">
        <f t="shared" si="0"/>
        <v>9311</v>
      </c>
      <c r="K16" s="6">
        <f t="shared" si="1"/>
        <v>30960</v>
      </c>
      <c r="L16" s="6">
        <f t="shared" si="2"/>
        <v>288268560</v>
      </c>
      <c r="M16" s="6">
        <f ca="1">IFERROR(__xludf.DUMMYFUNCTION("IF(OR(L16=0, F16&gt;30), """", RANK.EQ(L16, FILTER(L$2:L$110, (L$2:L$110&lt;&gt;0)*(F16&lt;=30)), 1))
"),76)</f>
        <v>76</v>
      </c>
      <c r="N16" s="6">
        <f t="shared" ca="1" si="3"/>
        <v>5</v>
      </c>
    </row>
    <row r="17" spans="1:14" ht="15.75" customHeight="1" x14ac:dyDescent="0.3">
      <c r="A17" s="4" t="s">
        <v>95</v>
      </c>
      <c r="B17" s="7">
        <v>6855</v>
      </c>
      <c r="C17" s="6">
        <v>1809</v>
      </c>
      <c r="D17" s="6">
        <v>0</v>
      </c>
      <c r="E17" s="6">
        <v>60</v>
      </c>
      <c r="F17" s="6">
        <v>18</v>
      </c>
      <c r="G17" s="6">
        <v>1038</v>
      </c>
      <c r="H17" s="6">
        <v>20</v>
      </c>
      <c r="I17" s="6">
        <v>20</v>
      </c>
      <c r="J17" s="6">
        <f t="shared" si="0"/>
        <v>9204</v>
      </c>
      <c r="K17" s="6">
        <f t="shared" si="1"/>
        <v>18684</v>
      </c>
      <c r="L17" s="6">
        <f t="shared" si="2"/>
        <v>171967536</v>
      </c>
      <c r="M17" s="6">
        <f ca="1">IFERROR(__xludf.DUMMYFUNCTION("IF(OR(L17=0, F17&gt;30), """", RANK.EQ(L17, FILTER(L$2:L$110, (L$2:L$110&lt;&gt;0)*(F17&lt;=30)), 1))
"),54)</f>
        <v>54</v>
      </c>
      <c r="N17" s="6">
        <f t="shared" ca="1" si="3"/>
        <v>9.4</v>
      </c>
    </row>
    <row r="18" spans="1:14" ht="15.75" customHeight="1" x14ac:dyDescent="0.3">
      <c r="A18" s="4" t="s">
        <v>123</v>
      </c>
      <c r="B18" s="7">
        <v>3567</v>
      </c>
      <c r="C18" s="6">
        <v>2967</v>
      </c>
      <c r="D18" s="6">
        <v>0</v>
      </c>
      <c r="E18" s="6">
        <v>40</v>
      </c>
      <c r="F18" s="6">
        <v>13.5</v>
      </c>
      <c r="G18" s="6">
        <v>1044</v>
      </c>
      <c r="H18" s="6">
        <v>20</v>
      </c>
      <c r="I18" s="6">
        <v>20</v>
      </c>
      <c r="J18" s="6">
        <f t="shared" si="0"/>
        <v>6894</v>
      </c>
      <c r="K18" s="6">
        <f t="shared" si="1"/>
        <v>14094</v>
      </c>
      <c r="L18" s="6">
        <f t="shared" si="2"/>
        <v>97164036</v>
      </c>
      <c r="M18" s="6">
        <f ca="1">IFERROR(__xludf.DUMMYFUNCTION("IF(OR(L18=0, F18&gt;30), """", RANK.EQ(L18, FILTER(L$2:L$110, (L$2:L$110&lt;&gt;0)*(F18&lt;=30)), 1))
"),21)</f>
        <v>21</v>
      </c>
      <c r="N18" s="6">
        <f t="shared" ca="1" si="3"/>
        <v>16</v>
      </c>
    </row>
    <row r="19" spans="1:14" ht="15.75" customHeight="1" x14ac:dyDescent="0.3">
      <c r="A19" s="4" t="s">
        <v>193</v>
      </c>
      <c r="B19" s="7">
        <v>6119</v>
      </c>
      <c r="C19" s="6">
        <v>3704</v>
      </c>
      <c r="D19" s="6">
        <v>0</v>
      </c>
      <c r="E19" s="6">
        <v>68</v>
      </c>
      <c r="F19" s="6">
        <v>18</v>
      </c>
      <c r="G19" s="6">
        <v>1042</v>
      </c>
      <c r="H19" s="6">
        <v>20</v>
      </c>
      <c r="I19" s="6">
        <v>20</v>
      </c>
      <c r="J19" s="6">
        <f t="shared" si="0"/>
        <v>10435</v>
      </c>
      <c r="K19" s="6">
        <f t="shared" si="1"/>
        <v>18756</v>
      </c>
      <c r="L19" s="6">
        <f t="shared" si="2"/>
        <v>195718860</v>
      </c>
      <c r="M19" s="6">
        <f ca="1">IFERROR(__xludf.DUMMYFUNCTION("IF(OR(L19=0, F19&gt;30), """", RANK.EQ(L19, FILTER(L$2:L$110, (L$2:L$110&lt;&gt;0)*(F19&lt;=30)), 1))
"),61)</f>
        <v>61</v>
      </c>
      <c r="N19" s="6">
        <f t="shared" ca="1" si="3"/>
        <v>8</v>
      </c>
    </row>
    <row r="20" spans="1:14" ht="15.75" customHeight="1" x14ac:dyDescent="0.3">
      <c r="A20" s="4" t="s">
        <v>129</v>
      </c>
      <c r="B20" s="7">
        <v>4963</v>
      </c>
      <c r="C20" s="6">
        <v>746</v>
      </c>
      <c r="D20" s="6">
        <v>0</v>
      </c>
      <c r="E20" s="6">
        <v>228</v>
      </c>
      <c r="F20" s="8">
        <v>50</v>
      </c>
      <c r="G20" s="6">
        <v>1031</v>
      </c>
      <c r="H20" s="6">
        <v>20</v>
      </c>
      <c r="I20" s="6">
        <v>20</v>
      </c>
      <c r="J20" s="6">
        <f t="shared" si="0"/>
        <v>7761</v>
      </c>
      <c r="K20" s="6">
        <f t="shared" si="1"/>
        <v>51550</v>
      </c>
      <c r="L20" s="6">
        <f t="shared" si="2"/>
        <v>400079550</v>
      </c>
      <c r="M20" s="6" t="str">
        <f ca="1">IFERROR(__xludf.DUMMYFUNCTION("IF(OR(L20=0, F20&gt;30), """", RANK.EQ(L20, FILTER(L$2:L$110, (L$2:L$110&lt;&gt;0)*(F20&lt;=30)), 1))
"),"")</f>
        <v/>
      </c>
      <c r="N20" s="6" t="e">
        <f t="shared" ca="1" si="3"/>
        <v>#VALUE!</v>
      </c>
    </row>
    <row r="21" spans="1:14" ht="15.75" customHeight="1" x14ac:dyDescent="0.3">
      <c r="A21" s="4" t="s">
        <v>161</v>
      </c>
      <c r="B21" s="7">
        <v>4348</v>
      </c>
      <c r="C21" s="6">
        <v>1907</v>
      </c>
      <c r="D21" s="6">
        <v>0</v>
      </c>
      <c r="E21" s="6">
        <v>32</v>
      </c>
      <c r="F21" s="6">
        <v>14</v>
      </c>
      <c r="G21" s="6">
        <v>1034</v>
      </c>
      <c r="H21" s="6">
        <v>20</v>
      </c>
      <c r="I21" s="6">
        <v>20</v>
      </c>
      <c r="J21" s="6">
        <f t="shared" si="0"/>
        <v>6543</v>
      </c>
      <c r="K21" s="6">
        <f t="shared" si="1"/>
        <v>14476</v>
      </c>
      <c r="L21" s="6">
        <f t="shared" si="2"/>
        <v>94716468</v>
      </c>
      <c r="M21" s="6">
        <f ca="1">IFERROR(__xludf.DUMMYFUNCTION("IF(OR(L21=0, F21&gt;30), """", RANK.EQ(L21, FILTER(L$2:L$110, (L$2:L$110&lt;&gt;0)*(F21&lt;=30)), 1))
"),19)</f>
        <v>19</v>
      </c>
      <c r="N21" s="6">
        <f t="shared" ca="1" si="3"/>
        <v>16.399999999999999</v>
      </c>
    </row>
    <row r="22" spans="1:14" ht="15.75" customHeight="1" x14ac:dyDescent="0.3">
      <c r="A22" s="4" t="s">
        <v>211</v>
      </c>
      <c r="B22" s="7">
        <v>1729</v>
      </c>
      <c r="C22" s="6">
        <v>966</v>
      </c>
      <c r="D22" s="6">
        <v>160</v>
      </c>
      <c r="E22" s="6">
        <v>8</v>
      </c>
      <c r="F22" s="6">
        <v>16</v>
      </c>
      <c r="G22" s="6">
        <v>1050</v>
      </c>
      <c r="H22" s="6">
        <v>20</v>
      </c>
      <c r="I22" s="6">
        <v>20</v>
      </c>
      <c r="J22" s="6">
        <f t="shared" si="0"/>
        <v>2927</v>
      </c>
      <c r="K22" s="6">
        <f t="shared" si="1"/>
        <v>16800</v>
      </c>
      <c r="L22" s="6">
        <f t="shared" si="2"/>
        <v>49173600</v>
      </c>
      <c r="M22" s="6">
        <f ca="1">IFERROR(__xludf.DUMMYFUNCTION("IF(OR(L22=0, F22&gt;30), """", RANK.EQ(L22, FILTER(L$2:L$110, (L$2:L$110&lt;&gt;0)*(F22&lt;=30)), 1))
"),3)</f>
        <v>3</v>
      </c>
      <c r="N22" s="6">
        <f t="shared" ca="1" si="3"/>
        <v>19.600000000000001</v>
      </c>
    </row>
    <row r="23" spans="1:14" ht="15.75" customHeight="1" x14ac:dyDescent="0.3">
      <c r="A23" s="4" t="s">
        <v>152</v>
      </c>
      <c r="B23" s="7">
        <v>26067</v>
      </c>
      <c r="C23" s="6">
        <v>17690</v>
      </c>
      <c r="D23" s="6">
        <v>0</v>
      </c>
      <c r="E23" s="6">
        <v>176</v>
      </c>
      <c r="F23" s="6">
        <v>24</v>
      </c>
      <c r="G23" s="6">
        <v>1035</v>
      </c>
      <c r="H23" s="6">
        <v>20</v>
      </c>
      <c r="I23" s="6">
        <v>20</v>
      </c>
      <c r="J23" s="6">
        <f t="shared" si="0"/>
        <v>45341</v>
      </c>
      <c r="K23" s="6">
        <f t="shared" si="1"/>
        <v>24840</v>
      </c>
      <c r="L23" s="6">
        <f t="shared" si="2"/>
        <v>1126270440</v>
      </c>
      <c r="M23" s="6">
        <f ca="1">IFERROR(__xludf.DUMMYFUNCTION("IF(OR(L23=0, F23&gt;30), """", RANK.EQ(L23, FILTER(L$2:L$110, (L$2:L$110&lt;&gt;0)*(F23&lt;=30)), 1))
"),93)</f>
        <v>93</v>
      </c>
      <c r="N23" s="6">
        <f t="shared" ca="1" si="3"/>
        <v>2</v>
      </c>
    </row>
    <row r="24" spans="1:14" ht="15.75" customHeight="1" x14ac:dyDescent="0.3">
      <c r="A24" s="4" t="s">
        <v>223</v>
      </c>
      <c r="B24" s="7">
        <v>2900</v>
      </c>
      <c r="C24" s="6">
        <v>2560</v>
      </c>
      <c r="D24" s="6">
        <v>0</v>
      </c>
      <c r="E24" s="6">
        <v>24</v>
      </c>
      <c r="F24" s="6">
        <v>11.5</v>
      </c>
      <c r="G24" s="6">
        <v>1057</v>
      </c>
      <c r="H24" s="6">
        <v>20</v>
      </c>
      <c r="I24" s="6">
        <v>20</v>
      </c>
      <c r="J24" s="6">
        <f t="shared" si="0"/>
        <v>5676</v>
      </c>
      <c r="K24" s="6">
        <f t="shared" si="1"/>
        <v>12155.5</v>
      </c>
      <c r="L24" s="6">
        <f t="shared" si="2"/>
        <v>68994618</v>
      </c>
      <c r="M24" s="6">
        <f ca="1">IFERROR(__xludf.DUMMYFUNCTION("IF(OR(L24=0, F24&gt;30), """", RANK.EQ(L24, FILTER(L$2:L$110, (L$2:L$110&lt;&gt;0)*(F24&lt;=30)), 1))
"),10)</f>
        <v>10</v>
      </c>
      <c r="N24" s="6">
        <f t="shared" ca="1" si="3"/>
        <v>18.2</v>
      </c>
    </row>
    <row r="25" spans="1:14" ht="15.75" customHeight="1" x14ac:dyDescent="0.3">
      <c r="A25" s="4" t="s">
        <v>221</v>
      </c>
      <c r="B25" s="7">
        <v>3059</v>
      </c>
      <c r="C25" s="6">
        <v>458</v>
      </c>
      <c r="D25" s="6">
        <v>0</v>
      </c>
      <c r="E25" s="6">
        <v>80</v>
      </c>
      <c r="F25" s="6">
        <v>8</v>
      </c>
      <c r="G25" s="6">
        <v>1036</v>
      </c>
      <c r="H25" s="6">
        <v>20</v>
      </c>
      <c r="I25" s="6">
        <v>20</v>
      </c>
      <c r="J25" s="6">
        <f t="shared" si="0"/>
        <v>4237</v>
      </c>
      <c r="K25" s="6">
        <f t="shared" si="1"/>
        <v>8288</v>
      </c>
      <c r="L25" s="6">
        <f t="shared" si="2"/>
        <v>35116256</v>
      </c>
      <c r="M25" s="6">
        <f ca="1">IFERROR(__xludf.DUMMYFUNCTION("IF(OR(L25=0, F25&gt;30), """", RANK.EQ(L25, FILTER(L$2:L$110, (L$2:L$110&lt;&gt;0)*(F25&lt;=30)), 1))
"),2)</f>
        <v>2</v>
      </c>
      <c r="N25" s="6">
        <f t="shared" ca="1" si="3"/>
        <v>19.8</v>
      </c>
    </row>
    <row r="26" spans="1:14" ht="15.75" customHeight="1" x14ac:dyDescent="0.3">
      <c r="A26" s="4" t="s">
        <v>217</v>
      </c>
      <c r="B26" s="7">
        <v>3879</v>
      </c>
      <c r="C26" s="6">
        <v>1988</v>
      </c>
      <c r="D26" s="6">
        <v>0</v>
      </c>
      <c r="E26" s="6">
        <v>20</v>
      </c>
      <c r="F26" s="6">
        <v>16</v>
      </c>
      <c r="G26" s="6">
        <v>1037</v>
      </c>
      <c r="H26" s="6">
        <v>20</v>
      </c>
      <c r="I26" s="6">
        <v>20</v>
      </c>
      <c r="J26" s="6">
        <f t="shared" si="0"/>
        <v>6047</v>
      </c>
      <c r="K26" s="6">
        <f t="shared" si="1"/>
        <v>16592</v>
      </c>
      <c r="L26" s="6">
        <f t="shared" si="2"/>
        <v>100331824</v>
      </c>
      <c r="M26" s="6">
        <f ca="1">IFERROR(__xludf.DUMMYFUNCTION("IF(OR(L26=0, F26&gt;30), """", RANK.EQ(L26, FILTER(L$2:L$110, (L$2:L$110&lt;&gt;0)*(F26&lt;=30)), 1))
"),22)</f>
        <v>22</v>
      </c>
      <c r="N26" s="6">
        <f t="shared" ca="1" si="3"/>
        <v>15.8</v>
      </c>
    </row>
    <row r="27" spans="1:14" ht="15.75" customHeight="1" x14ac:dyDescent="0.3">
      <c r="A27" s="4" t="s">
        <v>57</v>
      </c>
      <c r="B27" s="7">
        <v>4653</v>
      </c>
      <c r="C27" s="6">
        <v>1072</v>
      </c>
      <c r="D27" s="6">
        <v>0</v>
      </c>
      <c r="E27" s="6">
        <v>156</v>
      </c>
      <c r="F27" s="6">
        <v>17.5</v>
      </c>
      <c r="G27" s="6">
        <v>1039</v>
      </c>
      <c r="H27" s="6">
        <v>20</v>
      </c>
      <c r="I27" s="6">
        <v>20</v>
      </c>
      <c r="J27" s="6">
        <f t="shared" si="0"/>
        <v>7129</v>
      </c>
      <c r="K27" s="6">
        <f t="shared" si="1"/>
        <v>18182.5</v>
      </c>
      <c r="L27" s="6">
        <f t="shared" si="2"/>
        <v>129623042.5</v>
      </c>
      <c r="M27" s="6">
        <f ca="1">IFERROR(__xludf.DUMMYFUNCTION("IF(OR(L27=0, F27&gt;30), """", RANK.EQ(L27, FILTER(L$2:L$110, (L$2:L$110&lt;&gt;0)*(F27&lt;=30)), 1))
"),39)</f>
        <v>39</v>
      </c>
      <c r="N27" s="6">
        <f t="shared" ca="1" si="3"/>
        <v>12.4</v>
      </c>
    </row>
    <row r="28" spans="1:14" ht="15.75" customHeight="1" x14ac:dyDescent="0.3">
      <c r="A28" s="4" t="s">
        <v>177</v>
      </c>
      <c r="B28" s="7">
        <v>6030</v>
      </c>
      <c r="C28" s="6">
        <v>1293</v>
      </c>
      <c r="D28" s="6">
        <v>0</v>
      </c>
      <c r="E28" s="6">
        <v>120</v>
      </c>
      <c r="F28" s="6">
        <v>20</v>
      </c>
      <c r="G28" s="6">
        <v>1034</v>
      </c>
      <c r="H28" s="6">
        <v>20</v>
      </c>
      <c r="I28" s="6">
        <v>20</v>
      </c>
      <c r="J28" s="6">
        <f t="shared" si="0"/>
        <v>8403</v>
      </c>
      <c r="K28" s="6">
        <f t="shared" si="1"/>
        <v>20680</v>
      </c>
      <c r="L28" s="6">
        <f t="shared" si="2"/>
        <v>173774040</v>
      </c>
      <c r="M28" s="6">
        <f ca="1">IFERROR(__xludf.DUMMYFUNCTION("IF(OR(L28=0, F28&gt;30), """", RANK.EQ(L28, FILTER(L$2:L$110, (L$2:L$110&lt;&gt;0)*(F28&lt;=30)), 1))
"),56)</f>
        <v>56</v>
      </c>
      <c r="N28" s="6">
        <f t="shared" ca="1" si="3"/>
        <v>9</v>
      </c>
    </row>
    <row r="29" spans="1:14" ht="15.75" customHeight="1" x14ac:dyDescent="0.3">
      <c r="A29" s="4" t="s">
        <v>191</v>
      </c>
      <c r="B29" s="7">
        <v>8883</v>
      </c>
      <c r="C29" s="6">
        <v>1555</v>
      </c>
      <c r="D29" s="6">
        <v>0</v>
      </c>
      <c r="E29" s="6">
        <v>176</v>
      </c>
      <c r="F29" s="6">
        <v>20</v>
      </c>
      <c r="G29" s="6">
        <v>1034</v>
      </c>
      <c r="H29" s="6">
        <v>20</v>
      </c>
      <c r="I29" s="6">
        <v>20</v>
      </c>
      <c r="J29" s="6">
        <f t="shared" si="0"/>
        <v>12022</v>
      </c>
      <c r="K29" s="6">
        <f t="shared" si="1"/>
        <v>20680</v>
      </c>
      <c r="L29" s="6">
        <f t="shared" si="2"/>
        <v>248614960</v>
      </c>
      <c r="M29" s="6">
        <f ca="1">IFERROR(__xludf.DUMMYFUNCTION("IF(OR(L29=0, F29&gt;30), """", RANK.EQ(L29, FILTER(L$2:L$110, (L$2:L$110&lt;&gt;0)*(F29&lt;=30)), 1))
"),68)</f>
        <v>68</v>
      </c>
      <c r="N29" s="6">
        <f t="shared" ca="1" si="3"/>
        <v>6.6</v>
      </c>
    </row>
    <row r="30" spans="1:14" ht="15.75" customHeight="1" x14ac:dyDescent="0.3">
      <c r="A30" s="4" t="s">
        <v>111</v>
      </c>
      <c r="B30" s="7">
        <v>7868</v>
      </c>
      <c r="C30" s="6">
        <v>1246</v>
      </c>
      <c r="D30" s="6">
        <v>0</v>
      </c>
      <c r="E30" s="6">
        <v>116</v>
      </c>
      <c r="F30" s="6">
        <v>18</v>
      </c>
      <c r="G30" s="6">
        <v>1035</v>
      </c>
      <c r="H30" s="6">
        <v>20</v>
      </c>
      <c r="I30" s="6">
        <v>20</v>
      </c>
      <c r="J30" s="6">
        <f t="shared" si="0"/>
        <v>10158</v>
      </c>
      <c r="K30" s="6">
        <f t="shared" si="1"/>
        <v>18630</v>
      </c>
      <c r="L30" s="6">
        <f t="shared" si="2"/>
        <v>189243540</v>
      </c>
      <c r="M30" s="6">
        <f ca="1">IFERROR(__xludf.DUMMYFUNCTION("IF(OR(L30=0, F30&gt;30), """", RANK.EQ(L30, FILTER(L$2:L$110, (L$2:L$110&lt;&gt;0)*(F30&lt;=30)), 1))
"),60)</f>
        <v>60</v>
      </c>
      <c r="N30" s="6">
        <f t="shared" ca="1" si="3"/>
        <v>8.1999999999999993</v>
      </c>
    </row>
    <row r="31" spans="1:14" ht="15.75" customHeight="1" x14ac:dyDescent="0.3">
      <c r="A31" s="4" t="s">
        <v>140</v>
      </c>
      <c r="B31" s="7">
        <v>8634</v>
      </c>
      <c r="C31" s="6">
        <v>1688</v>
      </c>
      <c r="D31" s="6">
        <v>0</v>
      </c>
      <c r="E31" s="6">
        <v>60</v>
      </c>
      <c r="F31" s="6">
        <v>25</v>
      </c>
      <c r="G31" s="6">
        <v>1036</v>
      </c>
      <c r="H31" s="6">
        <v>20</v>
      </c>
      <c r="I31" s="6">
        <v>20</v>
      </c>
      <c r="J31" s="6">
        <f t="shared" si="0"/>
        <v>10862</v>
      </c>
      <c r="K31" s="6">
        <f t="shared" si="1"/>
        <v>25900</v>
      </c>
      <c r="L31" s="6">
        <f t="shared" si="2"/>
        <v>281325800</v>
      </c>
      <c r="M31" s="6">
        <f ca="1">IFERROR(__xludf.DUMMYFUNCTION("IF(OR(L31=0, F31&gt;30), """", RANK.EQ(L31, FILTER(L$2:L$110, (L$2:L$110&lt;&gt;0)*(F31&lt;=30)), 1))
"),72)</f>
        <v>72</v>
      </c>
      <c r="N31" s="6">
        <f t="shared" ca="1" si="3"/>
        <v>5.8</v>
      </c>
    </row>
    <row r="32" spans="1:14" ht="15.75" customHeight="1" x14ac:dyDescent="0.3">
      <c r="A32" s="4" t="s">
        <v>225</v>
      </c>
      <c r="B32" s="7">
        <v>3755</v>
      </c>
      <c r="C32" s="6">
        <v>458</v>
      </c>
      <c r="D32" s="6">
        <v>0</v>
      </c>
      <c r="E32" s="6">
        <v>84</v>
      </c>
      <c r="H32" s="6" t="s">
        <v>251</v>
      </c>
      <c r="I32" s="6" t="s">
        <v>251</v>
      </c>
      <c r="J32" s="6">
        <f t="shared" si="0"/>
        <v>4969</v>
      </c>
      <c r="K32" s="6">
        <f t="shared" si="1"/>
        <v>0</v>
      </c>
      <c r="L32" s="6">
        <f t="shared" si="2"/>
        <v>0</v>
      </c>
      <c r="M32" s="6" t="str">
        <f ca="1">IFERROR(__xludf.DUMMYFUNCTION("IF(OR(L32=0, F32&gt;30), """", RANK.EQ(L32, FILTER(L$2:L$110, (L$2:L$110&lt;&gt;0)*(F32&lt;=30)), 1))
"),"")</f>
        <v/>
      </c>
      <c r="N32" s="6" t="e">
        <f t="shared" ca="1" si="3"/>
        <v>#VALUE!</v>
      </c>
    </row>
    <row r="33" spans="1:14" ht="15.75" customHeight="1" x14ac:dyDescent="0.3">
      <c r="A33" s="4" t="s">
        <v>209</v>
      </c>
      <c r="B33" s="7">
        <v>5625</v>
      </c>
      <c r="C33" s="6">
        <v>1266</v>
      </c>
      <c r="D33" s="6">
        <v>0</v>
      </c>
      <c r="E33" s="6">
        <v>128</v>
      </c>
      <c r="F33" s="6">
        <v>14</v>
      </c>
      <c r="G33" s="6">
        <v>1045</v>
      </c>
      <c r="H33" s="6">
        <v>20</v>
      </c>
      <c r="I33" s="6">
        <v>20</v>
      </c>
      <c r="J33" s="6">
        <f t="shared" si="0"/>
        <v>8043</v>
      </c>
      <c r="K33" s="6">
        <f t="shared" si="1"/>
        <v>14630</v>
      </c>
      <c r="L33" s="6">
        <f t="shared" si="2"/>
        <v>117669090</v>
      </c>
      <c r="M33" s="6">
        <f ca="1">IFERROR(__xludf.DUMMYFUNCTION("IF(OR(L33=0, F33&gt;30), """", RANK.EQ(L33, FILTER(L$2:L$110, (L$2:L$110&lt;&gt;0)*(F33&lt;=30)), 1))
"),29)</f>
        <v>29</v>
      </c>
      <c r="N33" s="6">
        <f t="shared" ca="1" si="3"/>
        <v>14.4</v>
      </c>
    </row>
    <row r="34" spans="1:14" ht="15.75" customHeight="1" x14ac:dyDescent="0.3">
      <c r="A34" s="4" t="s">
        <v>69</v>
      </c>
      <c r="B34" s="7">
        <v>3396</v>
      </c>
      <c r="C34" s="6">
        <v>2239</v>
      </c>
      <c r="D34" s="6">
        <v>0</v>
      </c>
      <c r="E34" s="6">
        <v>80</v>
      </c>
      <c r="F34" s="6">
        <v>16</v>
      </c>
      <c r="G34" s="6">
        <v>1034</v>
      </c>
      <c r="H34" s="6">
        <v>20</v>
      </c>
      <c r="I34" s="6">
        <v>20</v>
      </c>
      <c r="J34" s="6">
        <f t="shared" si="0"/>
        <v>6355</v>
      </c>
      <c r="K34" s="6">
        <f t="shared" si="1"/>
        <v>16544</v>
      </c>
      <c r="L34" s="6">
        <f t="shared" si="2"/>
        <v>105137120</v>
      </c>
      <c r="M34" s="6">
        <f ca="1">IFERROR(__xludf.DUMMYFUNCTION("IF(OR(L34=0, F34&gt;30), """", RANK.EQ(L34, FILTER(L$2:L$110, (L$2:L$110&lt;&gt;0)*(F34&lt;=30)), 1))
"),25)</f>
        <v>25</v>
      </c>
      <c r="N34" s="6">
        <f t="shared" ca="1" si="3"/>
        <v>15.2</v>
      </c>
    </row>
    <row r="35" spans="1:14" ht="15.75" customHeight="1" x14ac:dyDescent="0.3">
      <c r="A35" s="4" t="s">
        <v>181</v>
      </c>
      <c r="B35" s="7">
        <v>4040</v>
      </c>
      <c r="C35" s="6">
        <v>521</v>
      </c>
      <c r="D35" s="6">
        <v>0</v>
      </c>
      <c r="E35" s="6">
        <v>80</v>
      </c>
      <c r="F35" s="6">
        <v>30</v>
      </c>
      <c r="G35" s="6">
        <v>1031</v>
      </c>
      <c r="H35" s="6">
        <v>20</v>
      </c>
      <c r="I35" s="6">
        <v>20</v>
      </c>
      <c r="J35" s="6">
        <f t="shared" si="0"/>
        <v>5281</v>
      </c>
      <c r="K35" s="6">
        <f t="shared" si="1"/>
        <v>30930</v>
      </c>
      <c r="L35" s="6">
        <f t="shared" si="2"/>
        <v>163341330</v>
      </c>
      <c r="M35" s="6">
        <f ca="1">IFERROR(__xludf.DUMMYFUNCTION("IF(OR(L35=0, F35&gt;30), """", RANK.EQ(L35, FILTER(L$2:L$110, (L$2:L$110&lt;&gt;0)*(F35&lt;=30)), 1))
"),52)</f>
        <v>52</v>
      </c>
      <c r="N35" s="6">
        <f t="shared" ca="1" si="3"/>
        <v>9.8000000000000007</v>
      </c>
    </row>
    <row r="36" spans="1:14" ht="15.75" customHeight="1" x14ac:dyDescent="0.3">
      <c r="A36" s="4" t="s">
        <v>185</v>
      </c>
      <c r="B36" s="7">
        <v>4006</v>
      </c>
      <c r="C36" s="6">
        <v>1300</v>
      </c>
      <c r="D36" s="6">
        <v>0</v>
      </c>
      <c r="E36" s="6">
        <v>84</v>
      </c>
      <c r="F36" s="6">
        <v>12</v>
      </c>
      <c r="G36" s="6">
        <v>1043</v>
      </c>
      <c r="H36" s="6">
        <v>20</v>
      </c>
      <c r="I36" s="6">
        <v>20</v>
      </c>
      <c r="J36" s="6">
        <f t="shared" si="0"/>
        <v>6062</v>
      </c>
      <c r="K36" s="6">
        <f t="shared" si="1"/>
        <v>12516</v>
      </c>
      <c r="L36" s="6">
        <f t="shared" si="2"/>
        <v>75871992</v>
      </c>
      <c r="M36" s="6">
        <f ca="1">IFERROR(__xludf.DUMMYFUNCTION("IF(OR(L36=0, F36&gt;30), """", RANK.EQ(L36, FILTER(L$2:L$110, (L$2:L$110&lt;&gt;0)*(F36&lt;=30)), 1))
"),13)</f>
        <v>13</v>
      </c>
      <c r="N36" s="6">
        <f t="shared" ca="1" si="3"/>
        <v>17.600000000000001</v>
      </c>
    </row>
    <row r="37" spans="1:14" ht="15.75" customHeight="1" x14ac:dyDescent="0.3">
      <c r="A37" s="4" t="s">
        <v>163</v>
      </c>
      <c r="B37" s="7">
        <v>10580</v>
      </c>
      <c r="C37" s="6">
        <v>3113</v>
      </c>
      <c r="D37" s="6">
        <v>0</v>
      </c>
      <c r="E37" s="6">
        <v>32</v>
      </c>
      <c r="F37" s="6">
        <v>16</v>
      </c>
      <c r="G37" s="6">
        <v>1044</v>
      </c>
      <c r="H37" s="6">
        <v>20</v>
      </c>
      <c r="I37" s="6">
        <v>20</v>
      </c>
      <c r="J37" s="6">
        <f t="shared" si="0"/>
        <v>13981</v>
      </c>
      <c r="K37" s="6">
        <f t="shared" si="1"/>
        <v>16704</v>
      </c>
      <c r="L37" s="6">
        <f t="shared" si="2"/>
        <v>233538624</v>
      </c>
      <c r="M37" s="6">
        <f ca="1">IFERROR(__xludf.DUMMYFUNCTION("IF(OR(L37=0, F37&gt;30), """", RANK.EQ(L37, FILTER(L$2:L$110, (L$2:L$110&lt;&gt;0)*(F37&lt;=30)), 1))
"),66)</f>
        <v>66</v>
      </c>
      <c r="N37" s="6">
        <f t="shared" ca="1" si="3"/>
        <v>7</v>
      </c>
    </row>
    <row r="38" spans="1:14" ht="16.2" x14ac:dyDescent="0.3">
      <c r="A38" s="4" t="s">
        <v>119</v>
      </c>
      <c r="B38" s="7">
        <v>7426</v>
      </c>
      <c r="C38" s="6">
        <v>6246</v>
      </c>
      <c r="D38" s="6">
        <v>0</v>
      </c>
      <c r="E38" s="6">
        <v>26</v>
      </c>
      <c r="F38" s="6">
        <v>30</v>
      </c>
      <c r="G38" s="6">
        <v>1095</v>
      </c>
      <c r="H38" s="6">
        <v>20</v>
      </c>
      <c r="I38" s="6">
        <v>20</v>
      </c>
      <c r="J38" s="6">
        <f t="shared" si="0"/>
        <v>13906</v>
      </c>
      <c r="K38" s="6">
        <f t="shared" si="1"/>
        <v>32850</v>
      </c>
      <c r="L38" s="6">
        <f t="shared" si="2"/>
        <v>456812100</v>
      </c>
      <c r="M38" s="6">
        <f ca="1">IFERROR(__xludf.DUMMYFUNCTION("IF(OR(L38=0, F38&gt;30), """", RANK.EQ(L38, FILTER(L$2:L$110, (L$2:L$110&lt;&gt;0)*(F38&lt;=30)), 1))
"),87)</f>
        <v>87</v>
      </c>
      <c r="N38" s="6">
        <f t="shared" ca="1" si="3"/>
        <v>2.8</v>
      </c>
    </row>
    <row r="39" spans="1:14" ht="16.2" x14ac:dyDescent="0.3">
      <c r="A39" s="4" t="s">
        <v>14</v>
      </c>
      <c r="B39" s="7">
        <v>9006</v>
      </c>
      <c r="C39" s="6">
        <v>527</v>
      </c>
      <c r="D39" s="6">
        <v>0</v>
      </c>
      <c r="E39" s="6">
        <v>208</v>
      </c>
      <c r="F39" s="6">
        <v>30</v>
      </c>
      <c r="H39" s="6" t="s">
        <v>251</v>
      </c>
      <c r="I39" s="6" t="s">
        <v>251</v>
      </c>
      <c r="J39" s="6">
        <f t="shared" si="0"/>
        <v>11405</v>
      </c>
      <c r="K39" s="6">
        <f t="shared" si="1"/>
        <v>0</v>
      </c>
      <c r="L39" s="6">
        <f t="shared" si="2"/>
        <v>0</v>
      </c>
      <c r="M39" s="6" t="str">
        <f ca="1">IFERROR(__xludf.DUMMYFUNCTION("IF(OR(L39=0, F39&gt;30), """", RANK.EQ(L39, FILTER(L$2:L$110, (L$2:L$110&lt;&gt;0)*(F39&lt;=30)), 1))
"),"")</f>
        <v/>
      </c>
      <c r="N39" s="6" t="e">
        <f t="shared" ca="1" si="3"/>
        <v>#VALUE!</v>
      </c>
    </row>
    <row r="40" spans="1:14" ht="16.2" x14ac:dyDescent="0.3">
      <c r="A40" s="4" t="s">
        <v>79</v>
      </c>
      <c r="B40" s="7">
        <v>2324</v>
      </c>
      <c r="C40" s="6">
        <v>1021</v>
      </c>
      <c r="D40" s="6">
        <v>0</v>
      </c>
      <c r="E40" s="6">
        <v>8</v>
      </c>
      <c r="F40" s="6">
        <v>16</v>
      </c>
      <c r="G40" s="6">
        <v>1044</v>
      </c>
      <c r="H40" s="6">
        <v>20</v>
      </c>
      <c r="I40" s="6">
        <v>20</v>
      </c>
      <c r="J40" s="6">
        <f t="shared" si="0"/>
        <v>3417</v>
      </c>
      <c r="K40" s="6">
        <f t="shared" si="1"/>
        <v>16704</v>
      </c>
      <c r="L40" s="6">
        <f t="shared" si="2"/>
        <v>57077568</v>
      </c>
      <c r="M40" s="6">
        <f ca="1">IFERROR(__xludf.DUMMYFUNCTION("IF(OR(L40=0, F40&gt;30), """", RANK.EQ(L40, FILTER(L$2:L$110, (L$2:L$110&lt;&gt;0)*(F40&lt;=30)), 1))
"),5)</f>
        <v>5</v>
      </c>
      <c r="N40" s="6">
        <f t="shared" ca="1" si="3"/>
        <v>19.2</v>
      </c>
    </row>
    <row r="41" spans="1:14" ht="16.2" x14ac:dyDescent="0.3">
      <c r="A41" s="4" t="s">
        <v>101</v>
      </c>
      <c r="B41" s="7">
        <v>5746</v>
      </c>
      <c r="C41" s="6">
        <v>2097</v>
      </c>
      <c r="D41" s="6">
        <v>0</v>
      </c>
      <c r="E41" s="6">
        <v>120</v>
      </c>
      <c r="F41" s="6">
        <v>26</v>
      </c>
      <c r="G41" s="6">
        <v>1035</v>
      </c>
      <c r="H41" s="6">
        <v>20</v>
      </c>
      <c r="I41" s="6">
        <v>20</v>
      </c>
      <c r="J41" s="6">
        <f t="shared" si="0"/>
        <v>8923</v>
      </c>
      <c r="K41" s="6">
        <f t="shared" si="1"/>
        <v>26910</v>
      </c>
      <c r="L41" s="6">
        <f t="shared" si="2"/>
        <v>240117930</v>
      </c>
      <c r="M41" s="6">
        <f ca="1">IFERROR(__xludf.DUMMYFUNCTION("IF(OR(L41=0, F41&gt;30), """", RANK.EQ(L41, FILTER(L$2:L$110, (L$2:L$110&lt;&gt;0)*(F41&lt;=30)), 1))
"),67)</f>
        <v>67</v>
      </c>
      <c r="N41" s="6">
        <f t="shared" ca="1" si="3"/>
        <v>6.8</v>
      </c>
    </row>
    <row r="42" spans="1:14" ht="16.2" x14ac:dyDescent="0.3">
      <c r="A42" s="4" t="s">
        <v>213</v>
      </c>
      <c r="B42" s="7">
        <v>3025</v>
      </c>
      <c r="C42" s="6">
        <v>526</v>
      </c>
      <c r="D42" s="6">
        <v>0</v>
      </c>
      <c r="E42" s="6">
        <v>40</v>
      </c>
      <c r="F42" s="6">
        <v>6.2</v>
      </c>
      <c r="G42" s="6">
        <v>1046</v>
      </c>
      <c r="H42" s="6">
        <v>20</v>
      </c>
      <c r="I42" s="6">
        <v>20</v>
      </c>
      <c r="J42" s="6">
        <f t="shared" si="0"/>
        <v>3911</v>
      </c>
      <c r="K42" s="6">
        <f t="shared" si="1"/>
        <v>6485.2</v>
      </c>
      <c r="L42" s="6">
        <f t="shared" si="2"/>
        <v>25363617.199999999</v>
      </c>
      <c r="M42" s="6">
        <f ca="1">IFERROR(__xludf.DUMMYFUNCTION("IF(OR(L42=0, F42&gt;30), """", RANK.EQ(L42, FILTER(L$2:L$110, (L$2:L$110&lt;&gt;0)*(F42&lt;=30)), 1))
"),1)</f>
        <v>1</v>
      </c>
      <c r="N42" s="6">
        <f t="shared" ca="1" si="3"/>
        <v>20</v>
      </c>
    </row>
    <row r="43" spans="1:14" ht="15" x14ac:dyDescent="0.3">
      <c r="A43" s="4" t="s">
        <v>109</v>
      </c>
      <c r="B43" s="6">
        <v>23263</v>
      </c>
      <c r="C43" s="6">
        <v>17698</v>
      </c>
      <c r="D43" s="6">
        <v>0</v>
      </c>
      <c r="E43" s="6">
        <v>16</v>
      </c>
      <c r="F43" s="6">
        <v>24</v>
      </c>
      <c r="G43" s="6">
        <v>2389</v>
      </c>
      <c r="H43" s="6">
        <v>20</v>
      </c>
      <c r="I43" s="6">
        <v>20</v>
      </c>
      <c r="J43" s="6">
        <f t="shared" si="0"/>
        <v>41105</v>
      </c>
      <c r="K43" s="6">
        <f t="shared" si="1"/>
        <v>57336</v>
      </c>
      <c r="L43" s="6">
        <f t="shared" si="2"/>
        <v>2356796280</v>
      </c>
      <c r="M43" s="6">
        <f ca="1">IFERROR(__xludf.DUMMYFUNCTION("IF(OR(L43=0, F43&gt;30), """", RANK.EQ(L43, FILTER(L$2:L$110, (L$2:L$110&lt;&gt;0)*(F43&lt;=30)), 1))
"),101)</f>
        <v>101</v>
      </c>
      <c r="N43" s="6">
        <f t="shared" ca="1" si="3"/>
        <v>2</v>
      </c>
    </row>
    <row r="44" spans="1:14" ht="16.2" x14ac:dyDescent="0.3">
      <c r="A44" s="4" t="s">
        <v>107</v>
      </c>
      <c r="B44" s="7">
        <v>5719</v>
      </c>
      <c r="C44" s="6">
        <v>1035</v>
      </c>
      <c r="D44" s="6">
        <v>0</v>
      </c>
      <c r="E44" s="6">
        <v>162</v>
      </c>
      <c r="F44" s="6">
        <v>16</v>
      </c>
      <c r="G44" s="6">
        <v>1035</v>
      </c>
      <c r="H44" s="6">
        <v>20</v>
      </c>
      <c r="I44" s="6">
        <v>20</v>
      </c>
      <c r="J44" s="6">
        <f t="shared" si="0"/>
        <v>8212</v>
      </c>
      <c r="K44" s="6">
        <f t="shared" si="1"/>
        <v>16560</v>
      </c>
      <c r="L44" s="6">
        <f t="shared" si="2"/>
        <v>135990720</v>
      </c>
      <c r="M44" s="6">
        <f ca="1">IFERROR(__xludf.DUMMYFUNCTION("IF(OR(L44=0, F44&gt;30), """", RANK.EQ(L44, FILTER(L$2:L$110, (L$2:L$110&lt;&gt;0)*(F44&lt;=30)), 1))
"),42)</f>
        <v>42</v>
      </c>
      <c r="N44" s="6">
        <f t="shared" ca="1" si="3"/>
        <v>11.8</v>
      </c>
    </row>
    <row r="45" spans="1:14" ht="16.2" x14ac:dyDescent="0.3">
      <c r="A45" s="4" t="s">
        <v>154</v>
      </c>
      <c r="B45" s="7">
        <v>3563</v>
      </c>
      <c r="C45" s="6">
        <v>1017</v>
      </c>
      <c r="D45" s="6">
        <v>0</v>
      </c>
      <c r="E45" s="6">
        <v>56</v>
      </c>
      <c r="F45" s="6">
        <v>30</v>
      </c>
      <c r="G45" s="6">
        <v>1035</v>
      </c>
      <c r="H45" s="6">
        <v>20</v>
      </c>
      <c r="I45" s="6">
        <v>20</v>
      </c>
      <c r="J45" s="6">
        <f t="shared" si="0"/>
        <v>5084</v>
      </c>
      <c r="K45" s="6">
        <f t="shared" si="1"/>
        <v>31050</v>
      </c>
      <c r="L45" s="6">
        <f t="shared" si="2"/>
        <v>157858200</v>
      </c>
      <c r="M45" s="6">
        <f ca="1">IFERROR(__xludf.DUMMYFUNCTION("IF(OR(L45=0, F45&gt;30), """", RANK.EQ(L45, FILTER(L$2:L$110, (L$2:L$110&lt;&gt;0)*(F45&lt;=30)), 1))
"),50)</f>
        <v>50</v>
      </c>
      <c r="N45" s="6">
        <f t="shared" ca="1" si="3"/>
        <v>10.199999999999999</v>
      </c>
    </row>
    <row r="46" spans="1:14" ht="16.2" x14ac:dyDescent="0.3">
      <c r="A46" s="4" t="s">
        <v>229</v>
      </c>
      <c r="B46" s="7">
        <v>15063</v>
      </c>
      <c r="C46" s="6">
        <v>1554</v>
      </c>
      <c r="D46" s="6">
        <v>0</v>
      </c>
      <c r="E46" s="6">
        <v>308</v>
      </c>
      <c r="F46" s="6">
        <v>20</v>
      </c>
      <c r="G46" s="6">
        <v>1037</v>
      </c>
      <c r="H46" s="6">
        <v>20</v>
      </c>
      <c r="I46" s="6">
        <v>20</v>
      </c>
      <c r="J46" s="6">
        <f t="shared" si="0"/>
        <v>19389</v>
      </c>
      <c r="K46" s="6">
        <f t="shared" si="1"/>
        <v>20740</v>
      </c>
      <c r="L46" s="6">
        <f t="shared" si="2"/>
        <v>402127860</v>
      </c>
      <c r="M46" s="6">
        <f ca="1">IFERROR(__xludf.DUMMYFUNCTION("IF(OR(L46=0, F46&gt;30), """", RANK.EQ(L46, FILTER(L$2:L$110, (L$2:L$110&lt;&gt;0)*(F46&lt;=30)), 1))
"),84)</f>
        <v>84</v>
      </c>
      <c r="N46" s="6">
        <f t="shared" ca="1" si="3"/>
        <v>3.4</v>
      </c>
    </row>
    <row r="47" spans="1:14" ht="16.2" x14ac:dyDescent="0.3">
      <c r="A47" s="4" t="s">
        <v>165</v>
      </c>
      <c r="B47" s="7">
        <v>8202</v>
      </c>
      <c r="C47" s="6">
        <v>2573</v>
      </c>
      <c r="D47" s="6">
        <v>0</v>
      </c>
      <c r="E47" s="6">
        <v>78</v>
      </c>
      <c r="F47" s="6">
        <v>30</v>
      </c>
      <c r="G47" s="6">
        <v>1035</v>
      </c>
      <c r="H47" s="6">
        <v>20</v>
      </c>
      <c r="I47" s="6">
        <v>20</v>
      </c>
      <c r="J47" s="6">
        <f t="shared" si="0"/>
        <v>11477</v>
      </c>
      <c r="K47" s="6">
        <f t="shared" si="1"/>
        <v>31050</v>
      </c>
      <c r="L47" s="6">
        <f t="shared" si="2"/>
        <v>356360850</v>
      </c>
      <c r="M47" s="6">
        <f ca="1">IFERROR(__xludf.DUMMYFUNCTION("IF(OR(L47=0, F47&gt;30), """", RANK.EQ(L47, FILTER(L$2:L$110, (L$2:L$110&lt;&gt;0)*(F47&lt;=30)), 1))
"),81)</f>
        <v>81</v>
      </c>
      <c r="N47" s="6">
        <f t="shared" ca="1" si="3"/>
        <v>4</v>
      </c>
    </row>
    <row r="48" spans="1:14" ht="16.2" x14ac:dyDescent="0.3">
      <c r="A48" s="4" t="s">
        <v>23</v>
      </c>
      <c r="B48" s="7">
        <v>3358</v>
      </c>
      <c r="C48" s="6">
        <v>1307</v>
      </c>
      <c r="D48" s="6">
        <v>0</v>
      </c>
      <c r="E48" s="6">
        <v>76</v>
      </c>
      <c r="F48" s="6">
        <v>16</v>
      </c>
      <c r="G48" s="6">
        <v>1036</v>
      </c>
      <c r="H48" s="6">
        <v>20</v>
      </c>
      <c r="I48" s="6">
        <v>20</v>
      </c>
      <c r="J48" s="6">
        <f t="shared" si="0"/>
        <v>5349</v>
      </c>
      <c r="K48" s="6">
        <f t="shared" si="1"/>
        <v>16576</v>
      </c>
      <c r="L48" s="6">
        <f t="shared" si="2"/>
        <v>88665024</v>
      </c>
      <c r="M48" s="6">
        <f ca="1">IFERROR(__xludf.DUMMYFUNCTION("IF(OR(L48=0, F48&gt;30), """", RANK.EQ(L48, FILTER(L$2:L$110, (L$2:L$110&lt;&gt;0)*(F48&lt;=30)), 1))
"),17)</f>
        <v>17</v>
      </c>
      <c r="N48" s="6">
        <f t="shared" ca="1" si="3"/>
        <v>16.8</v>
      </c>
    </row>
    <row r="49" spans="1:14" ht="16.2" x14ac:dyDescent="0.3">
      <c r="A49" s="4" t="s">
        <v>127</v>
      </c>
      <c r="B49" s="7">
        <v>1997</v>
      </c>
      <c r="C49" s="6">
        <v>765</v>
      </c>
      <c r="D49" s="6">
        <v>0</v>
      </c>
      <c r="E49" s="6">
        <v>16</v>
      </c>
      <c r="F49" s="6">
        <v>18</v>
      </c>
      <c r="G49" s="6">
        <v>1047</v>
      </c>
      <c r="H49" s="6">
        <v>20</v>
      </c>
      <c r="I49" s="6">
        <v>20</v>
      </c>
      <c r="J49" s="6">
        <f t="shared" si="0"/>
        <v>2906</v>
      </c>
      <c r="K49" s="6">
        <f t="shared" si="1"/>
        <v>18846</v>
      </c>
      <c r="L49" s="6">
        <f t="shared" si="2"/>
        <v>54766476</v>
      </c>
      <c r="M49" s="6">
        <f ca="1">IFERROR(__xludf.DUMMYFUNCTION("IF(OR(L49=0, F49&gt;30), """", RANK.EQ(L49, FILTER(L$2:L$110, (L$2:L$110&lt;&gt;0)*(F49&lt;=30)), 1))
"),4)</f>
        <v>4</v>
      </c>
      <c r="N49" s="6">
        <f t="shared" ca="1" si="3"/>
        <v>19.399999999999999</v>
      </c>
    </row>
    <row r="50" spans="1:14" ht="16.2" x14ac:dyDescent="0.3">
      <c r="A50" s="4" t="s">
        <v>103</v>
      </c>
      <c r="B50" s="7">
        <v>5598</v>
      </c>
      <c r="C50" s="6">
        <v>1259</v>
      </c>
      <c r="D50" s="6">
        <v>0</v>
      </c>
      <c r="E50" s="6">
        <v>128</v>
      </c>
      <c r="F50" s="6">
        <v>18</v>
      </c>
      <c r="G50" s="6">
        <v>1044</v>
      </c>
      <c r="H50" s="6">
        <v>20</v>
      </c>
      <c r="I50" s="6">
        <v>20</v>
      </c>
      <c r="J50" s="6">
        <f t="shared" si="0"/>
        <v>8009</v>
      </c>
      <c r="K50" s="6">
        <f t="shared" si="1"/>
        <v>18792</v>
      </c>
      <c r="L50" s="6">
        <f t="shared" si="2"/>
        <v>150505128</v>
      </c>
      <c r="M50" s="6">
        <f ca="1">IFERROR(__xludf.DUMMYFUNCTION("IF(OR(L50=0, F50&gt;30), """", RANK.EQ(L50, FILTER(L$2:L$110, (L$2:L$110&lt;&gt;0)*(F50&lt;=30)), 1))
"),48)</f>
        <v>48</v>
      </c>
      <c r="N50" s="6">
        <f t="shared" ca="1" si="3"/>
        <v>10.6</v>
      </c>
    </row>
    <row r="51" spans="1:14" ht="16.2" x14ac:dyDescent="0.3">
      <c r="A51" s="4" t="s">
        <v>19</v>
      </c>
      <c r="B51" s="7">
        <v>4638</v>
      </c>
      <c r="C51" s="6">
        <v>3175</v>
      </c>
      <c r="D51" s="6">
        <v>0</v>
      </c>
      <c r="E51" s="6">
        <v>168</v>
      </c>
      <c r="F51" s="6">
        <v>14</v>
      </c>
      <c r="G51" s="6">
        <v>1036</v>
      </c>
      <c r="H51" s="6">
        <v>20</v>
      </c>
      <c r="I51" s="6">
        <v>20</v>
      </c>
      <c r="J51" s="6">
        <f t="shared" si="0"/>
        <v>9325</v>
      </c>
      <c r="K51" s="6">
        <f t="shared" si="1"/>
        <v>14504</v>
      </c>
      <c r="L51" s="6">
        <f t="shared" si="2"/>
        <v>135249800</v>
      </c>
      <c r="M51" s="6">
        <f ca="1">IFERROR(__xludf.DUMMYFUNCTION("IF(OR(L51=0, F51&gt;30), """", RANK.EQ(L51, FILTER(L$2:L$110, (L$2:L$110&lt;&gt;0)*(F51&lt;=30)), 1))
"),41)</f>
        <v>41</v>
      </c>
      <c r="N51" s="6">
        <f t="shared" ca="1" si="3"/>
        <v>12</v>
      </c>
    </row>
    <row r="52" spans="1:14" ht="16.2" x14ac:dyDescent="0.3">
      <c r="A52" s="4" t="s">
        <v>105</v>
      </c>
      <c r="B52" s="7">
        <v>4700</v>
      </c>
      <c r="C52" s="6">
        <v>2521</v>
      </c>
      <c r="D52" s="6">
        <v>0</v>
      </c>
      <c r="E52" s="6">
        <v>36</v>
      </c>
      <c r="F52" s="6">
        <v>16</v>
      </c>
      <c r="G52" s="6">
        <v>1036</v>
      </c>
      <c r="H52" s="6">
        <v>20</v>
      </c>
      <c r="I52" s="6">
        <v>20</v>
      </c>
      <c r="J52" s="6">
        <f t="shared" si="0"/>
        <v>7545</v>
      </c>
      <c r="K52" s="6">
        <f t="shared" si="1"/>
        <v>16576</v>
      </c>
      <c r="L52" s="6">
        <f t="shared" si="2"/>
        <v>125065920</v>
      </c>
      <c r="M52" s="6">
        <f ca="1">IFERROR(__xludf.DUMMYFUNCTION("IF(OR(L52=0, F52&gt;30), """", RANK.EQ(L52, FILTER(L$2:L$110, (L$2:L$110&lt;&gt;0)*(F52&lt;=30)), 1))
"),34)</f>
        <v>34</v>
      </c>
      <c r="N52" s="6">
        <f t="shared" ca="1" si="3"/>
        <v>13.4</v>
      </c>
    </row>
    <row r="53" spans="1:14" ht="16.2" x14ac:dyDescent="0.3">
      <c r="A53" s="4" t="s">
        <v>159</v>
      </c>
      <c r="B53" s="7">
        <v>10580</v>
      </c>
      <c r="C53" s="6">
        <v>3113</v>
      </c>
      <c r="D53" s="6">
        <v>0</v>
      </c>
      <c r="E53" s="6">
        <v>32</v>
      </c>
      <c r="F53" s="6">
        <v>20</v>
      </c>
      <c r="G53" s="6">
        <v>1044</v>
      </c>
      <c r="H53" s="6">
        <v>20</v>
      </c>
      <c r="I53" s="6">
        <v>20</v>
      </c>
      <c r="J53" s="6">
        <f t="shared" si="0"/>
        <v>13981</v>
      </c>
      <c r="K53" s="6">
        <f t="shared" si="1"/>
        <v>20880</v>
      </c>
      <c r="L53" s="6">
        <f t="shared" si="2"/>
        <v>291923280</v>
      </c>
      <c r="M53" s="6">
        <f ca="1">IFERROR(__xludf.DUMMYFUNCTION("IF(OR(L53=0, F53&gt;30), """", RANK.EQ(L53, FILTER(L$2:L$110, (L$2:L$110&lt;&gt;0)*(F53&lt;=30)), 1))
"),77)</f>
        <v>77</v>
      </c>
      <c r="N53" s="6">
        <f t="shared" ca="1" si="3"/>
        <v>4.8</v>
      </c>
    </row>
    <row r="54" spans="1:14" ht="16.2" x14ac:dyDescent="0.3">
      <c r="A54" s="4" t="s">
        <v>67</v>
      </c>
      <c r="B54" s="7">
        <v>5504</v>
      </c>
      <c r="C54" s="6">
        <v>2713</v>
      </c>
      <c r="D54" s="6">
        <v>0</v>
      </c>
      <c r="E54" s="6">
        <v>102</v>
      </c>
      <c r="F54" s="6">
        <v>30</v>
      </c>
      <c r="G54" s="6">
        <v>1041</v>
      </c>
      <c r="H54" s="6">
        <v>20</v>
      </c>
      <c r="I54" s="6">
        <v>20</v>
      </c>
      <c r="J54" s="6">
        <f t="shared" si="0"/>
        <v>9135</v>
      </c>
      <c r="K54" s="6">
        <f t="shared" si="1"/>
        <v>31230</v>
      </c>
      <c r="L54" s="6">
        <f t="shared" si="2"/>
        <v>285286050</v>
      </c>
      <c r="M54" s="6">
        <f ca="1">IFERROR(__xludf.DUMMYFUNCTION("IF(OR(L54=0, F54&gt;30), """", RANK.EQ(L54, FILTER(L$2:L$110, (L$2:L$110&lt;&gt;0)*(F54&lt;=30)), 1))
"),75)</f>
        <v>75</v>
      </c>
      <c r="N54" s="6">
        <f t="shared" ca="1" si="3"/>
        <v>5.2</v>
      </c>
    </row>
    <row r="55" spans="1:14" ht="16.2" x14ac:dyDescent="0.3">
      <c r="A55" s="4"/>
      <c r="B55" s="7"/>
      <c r="M55" s="6" t="str">
        <f ca="1">IFERROR(__xludf.DUMMYFUNCTION("IF(OR(L55=0, F55&gt;30), """", RANK.EQ(L55, FILTER(L$2:L$110, (L$2:L$110&lt;&gt;0)*(F55&lt;=30)), 1))
"),"")</f>
        <v/>
      </c>
      <c r="N55" s="6" t="e">
        <f t="shared" ca="1" si="3"/>
        <v>#VALUE!</v>
      </c>
    </row>
    <row r="56" spans="1:14" ht="16.2" x14ac:dyDescent="0.3">
      <c r="A56" s="4" t="s">
        <v>117</v>
      </c>
      <c r="B56" s="7">
        <v>24039</v>
      </c>
      <c r="C56" s="6">
        <v>17821</v>
      </c>
      <c r="D56" s="6">
        <v>0</v>
      </c>
      <c r="E56" s="6">
        <v>76</v>
      </c>
      <c r="F56" s="6">
        <v>30</v>
      </c>
      <c r="G56" s="6">
        <v>1540</v>
      </c>
      <c r="H56" s="6">
        <v>20</v>
      </c>
      <c r="I56" s="6">
        <v>20</v>
      </c>
      <c r="J56" s="6">
        <f t="shared" ref="J56:J102" si="4">B56+C56+D56+E56*9</f>
        <v>42544</v>
      </c>
      <c r="K56" s="6">
        <f t="shared" ref="K56:K102" si="5">F56*G56</f>
        <v>46200</v>
      </c>
      <c r="L56" s="6">
        <f t="shared" ref="L56:L102" si="6">J56*K56</f>
        <v>1965532800</v>
      </c>
      <c r="M56" s="6">
        <f ca="1">IFERROR(__xludf.DUMMYFUNCTION("IF(OR(L56=0, F56&gt;30), """", RANK.EQ(L56, FILTER(L$2:L$110, (L$2:L$110&lt;&gt;0)*(F56&lt;=30)), 1))
"),97)</f>
        <v>97</v>
      </c>
      <c r="N56" s="6">
        <f t="shared" ca="1" si="3"/>
        <v>2</v>
      </c>
    </row>
    <row r="57" spans="1:14" ht="16.2" x14ac:dyDescent="0.3">
      <c r="A57" s="4" t="s">
        <v>195</v>
      </c>
      <c r="B57" s="7">
        <v>10482</v>
      </c>
      <c r="C57" s="6">
        <v>1313</v>
      </c>
      <c r="D57" s="6">
        <v>0</v>
      </c>
      <c r="E57" s="6">
        <v>308</v>
      </c>
      <c r="F57" s="6">
        <v>30</v>
      </c>
      <c r="G57" s="6">
        <v>1035</v>
      </c>
      <c r="H57" s="6">
        <v>20</v>
      </c>
      <c r="I57" s="6">
        <v>20</v>
      </c>
      <c r="J57" s="6">
        <f t="shared" si="4"/>
        <v>14567</v>
      </c>
      <c r="K57" s="6">
        <f t="shared" si="5"/>
        <v>31050</v>
      </c>
      <c r="L57" s="6">
        <f t="shared" si="6"/>
        <v>452305350</v>
      </c>
      <c r="M57" s="6">
        <f ca="1">IFERROR(__xludf.DUMMYFUNCTION("IF(OR(L57=0, F57&gt;30), """", RANK.EQ(L57, FILTER(L$2:L$110, (L$2:L$110&lt;&gt;0)*(F57&lt;=30)), 1))
"),86)</f>
        <v>86</v>
      </c>
      <c r="N57" s="6">
        <f t="shared" ca="1" si="3"/>
        <v>3</v>
      </c>
    </row>
    <row r="58" spans="1:14" ht="16.2" x14ac:dyDescent="0.3">
      <c r="A58" s="4" t="s">
        <v>47</v>
      </c>
      <c r="B58" s="7">
        <v>6019</v>
      </c>
      <c r="C58" s="6">
        <v>1683</v>
      </c>
      <c r="D58" s="6">
        <v>0</v>
      </c>
      <c r="E58" s="6">
        <v>74</v>
      </c>
      <c r="F58" s="6">
        <v>20</v>
      </c>
      <c r="G58" s="6">
        <v>1037</v>
      </c>
      <c r="H58" s="6">
        <v>20</v>
      </c>
      <c r="I58" s="6">
        <v>20</v>
      </c>
      <c r="J58" s="6">
        <f t="shared" si="4"/>
        <v>8368</v>
      </c>
      <c r="K58" s="6">
        <f t="shared" si="5"/>
        <v>20740</v>
      </c>
      <c r="L58" s="6">
        <f t="shared" si="6"/>
        <v>173552320</v>
      </c>
      <c r="M58" s="6">
        <f ca="1">IFERROR(__xludf.DUMMYFUNCTION("IF(OR(L58=0, F58&gt;30), """", RANK.EQ(L58, FILTER(L$2:L$110, (L$2:L$110&lt;&gt;0)*(F58&lt;=30)), 1))
"),55)</f>
        <v>55</v>
      </c>
      <c r="N58" s="6">
        <f t="shared" ca="1" si="3"/>
        <v>9.1999999999999993</v>
      </c>
    </row>
    <row r="59" spans="1:14" ht="16.2" x14ac:dyDescent="0.3">
      <c r="A59" s="4" t="s">
        <v>49</v>
      </c>
      <c r="B59" s="7">
        <v>4657</v>
      </c>
      <c r="C59" s="6">
        <v>1049</v>
      </c>
      <c r="D59" s="6">
        <v>0</v>
      </c>
      <c r="E59" s="6">
        <v>156</v>
      </c>
      <c r="F59" s="6">
        <v>16</v>
      </c>
      <c r="G59" s="6">
        <v>1040</v>
      </c>
      <c r="H59" s="6">
        <v>20</v>
      </c>
      <c r="I59" s="6">
        <v>20</v>
      </c>
      <c r="J59" s="6">
        <f t="shared" si="4"/>
        <v>7110</v>
      </c>
      <c r="K59" s="6">
        <f t="shared" si="5"/>
        <v>16640</v>
      </c>
      <c r="L59" s="6">
        <f t="shared" si="6"/>
        <v>118310400</v>
      </c>
      <c r="M59" s="6">
        <f ca="1">IFERROR(__xludf.DUMMYFUNCTION("IF(OR(L59=0, F59&gt;30), """", RANK.EQ(L59, FILTER(L$2:L$110, (L$2:L$110&lt;&gt;0)*(F59&lt;=30)), 1))
"),30)</f>
        <v>30</v>
      </c>
      <c r="N59" s="6">
        <f t="shared" ca="1" si="3"/>
        <v>14.2</v>
      </c>
    </row>
    <row r="60" spans="1:14" ht="16.2" x14ac:dyDescent="0.3">
      <c r="A60" s="4" t="s">
        <v>169</v>
      </c>
      <c r="B60" s="7">
        <v>8902</v>
      </c>
      <c r="C60" s="6">
        <v>1683</v>
      </c>
      <c r="D60" s="6">
        <v>0</v>
      </c>
      <c r="E60" s="6">
        <v>74</v>
      </c>
      <c r="F60" s="6">
        <v>20</v>
      </c>
      <c r="G60" s="6">
        <v>1037</v>
      </c>
      <c r="H60" s="6">
        <v>20</v>
      </c>
      <c r="I60" s="6">
        <v>20</v>
      </c>
      <c r="J60" s="6">
        <f t="shared" si="4"/>
        <v>11251</v>
      </c>
      <c r="K60" s="6">
        <f t="shared" si="5"/>
        <v>20740</v>
      </c>
      <c r="L60" s="6">
        <f t="shared" si="6"/>
        <v>233345740</v>
      </c>
      <c r="M60" s="6">
        <f ca="1">IFERROR(__xludf.DUMMYFUNCTION("IF(OR(L60=0, F60&gt;30), """", RANK.EQ(L60, FILTER(L$2:L$110, (L$2:L$110&lt;&gt;0)*(F60&lt;=30)), 1))
"),65)</f>
        <v>65</v>
      </c>
      <c r="N60" s="6">
        <f t="shared" ca="1" si="3"/>
        <v>7.2</v>
      </c>
    </row>
    <row r="61" spans="1:14" ht="16.2" x14ac:dyDescent="0.3">
      <c r="A61" s="4" t="s">
        <v>207</v>
      </c>
      <c r="B61" s="7">
        <v>3486</v>
      </c>
      <c r="C61" s="6">
        <v>839</v>
      </c>
      <c r="D61" s="6">
        <v>0</v>
      </c>
      <c r="E61" s="6">
        <v>24</v>
      </c>
      <c r="F61" s="6">
        <v>16</v>
      </c>
      <c r="G61" s="6">
        <v>1044</v>
      </c>
      <c r="H61" s="6">
        <v>20</v>
      </c>
      <c r="I61" s="6">
        <v>20</v>
      </c>
      <c r="J61" s="6">
        <f t="shared" si="4"/>
        <v>4541</v>
      </c>
      <c r="K61" s="6">
        <f t="shared" si="5"/>
        <v>16704</v>
      </c>
      <c r="L61" s="6">
        <f t="shared" si="6"/>
        <v>75852864</v>
      </c>
      <c r="M61" s="6">
        <f ca="1">IFERROR(__xludf.DUMMYFUNCTION("IF(OR(L61=0, F61&gt;30), """", RANK.EQ(L61, FILTER(L$2:L$110, (L$2:L$110&lt;&gt;0)*(F61&lt;=30)), 1))
"),12)</f>
        <v>12</v>
      </c>
      <c r="N61" s="6">
        <f t="shared" ca="1" si="3"/>
        <v>17.8</v>
      </c>
    </row>
    <row r="62" spans="1:14" ht="16.2" x14ac:dyDescent="0.3">
      <c r="A62" s="4" t="s">
        <v>17</v>
      </c>
      <c r="B62" s="7">
        <v>3956</v>
      </c>
      <c r="C62" s="6">
        <v>3032</v>
      </c>
      <c r="D62" s="6">
        <v>0</v>
      </c>
      <c r="E62" s="6">
        <v>84</v>
      </c>
      <c r="F62" s="6">
        <v>16</v>
      </c>
      <c r="G62" s="6">
        <v>1037</v>
      </c>
      <c r="H62" s="6">
        <v>20</v>
      </c>
      <c r="I62" s="6">
        <v>20</v>
      </c>
      <c r="J62" s="6">
        <f t="shared" si="4"/>
        <v>7744</v>
      </c>
      <c r="K62" s="6">
        <f t="shared" si="5"/>
        <v>16592</v>
      </c>
      <c r="L62" s="6">
        <f t="shared" si="6"/>
        <v>128488448</v>
      </c>
      <c r="M62" s="6">
        <f ca="1">IFERROR(__xludf.DUMMYFUNCTION("IF(OR(L62=0, F62&gt;30), """", RANK.EQ(L62, FILTER(L$2:L$110, (L$2:L$110&lt;&gt;0)*(F62&lt;=30)), 1))
"),38)</f>
        <v>38</v>
      </c>
      <c r="N62" s="6">
        <f t="shared" ca="1" si="3"/>
        <v>12.6</v>
      </c>
    </row>
    <row r="63" spans="1:14" ht="16.2" x14ac:dyDescent="0.3">
      <c r="A63" s="4" t="s">
        <v>97</v>
      </c>
      <c r="B63" s="7">
        <v>3539</v>
      </c>
      <c r="C63" s="6">
        <v>1491</v>
      </c>
      <c r="D63" s="6">
        <v>0</v>
      </c>
      <c r="E63" s="6">
        <v>84</v>
      </c>
      <c r="F63" s="6">
        <v>20</v>
      </c>
      <c r="G63" s="6">
        <v>1033</v>
      </c>
      <c r="H63" s="6">
        <v>20</v>
      </c>
      <c r="I63" s="6">
        <v>20</v>
      </c>
      <c r="J63" s="6">
        <f t="shared" si="4"/>
        <v>5786</v>
      </c>
      <c r="K63" s="6">
        <f t="shared" si="5"/>
        <v>20660</v>
      </c>
      <c r="L63" s="6">
        <f t="shared" si="6"/>
        <v>119538760</v>
      </c>
      <c r="M63" s="6">
        <f ca="1">IFERROR(__xludf.DUMMYFUNCTION("IF(OR(L63=0, F63&gt;30), """", RANK.EQ(L63, FILTER(L$2:L$110, (L$2:L$110&lt;&gt;0)*(F63&lt;=30)), 1))
"),32)</f>
        <v>32</v>
      </c>
      <c r="N63" s="6">
        <f t="shared" ca="1" si="3"/>
        <v>13.8</v>
      </c>
    </row>
    <row r="64" spans="1:14" ht="16.2" x14ac:dyDescent="0.3">
      <c r="A64" s="4" t="s">
        <v>205</v>
      </c>
      <c r="B64" s="7">
        <v>2717</v>
      </c>
      <c r="C64" s="6">
        <v>1042</v>
      </c>
      <c r="D64" s="6">
        <v>0</v>
      </c>
      <c r="E64" s="6">
        <v>24</v>
      </c>
      <c r="F64" s="6">
        <v>18</v>
      </c>
      <c r="G64" s="6">
        <v>1042</v>
      </c>
      <c r="H64" s="6">
        <v>20</v>
      </c>
      <c r="I64" s="6">
        <v>20</v>
      </c>
      <c r="J64" s="6">
        <f t="shared" si="4"/>
        <v>3975</v>
      </c>
      <c r="K64" s="6">
        <f t="shared" si="5"/>
        <v>18756</v>
      </c>
      <c r="L64" s="6">
        <f t="shared" si="6"/>
        <v>74555100</v>
      </c>
      <c r="M64" s="6">
        <f ca="1">IFERROR(__xludf.DUMMYFUNCTION("IF(OR(L64=0, F64&gt;30), """", RANK.EQ(L64, FILTER(L$2:L$110, (L$2:L$110&lt;&gt;0)*(F64&lt;=30)), 1))
"),11)</f>
        <v>11</v>
      </c>
      <c r="N64" s="6">
        <f t="shared" ca="1" si="3"/>
        <v>18</v>
      </c>
    </row>
    <row r="65" spans="1:14" ht="16.2" x14ac:dyDescent="0.3">
      <c r="A65" s="4" t="s">
        <v>53</v>
      </c>
      <c r="B65" s="7">
        <v>5196</v>
      </c>
      <c r="C65" s="6">
        <v>1051</v>
      </c>
      <c r="D65" s="6">
        <v>0</v>
      </c>
      <c r="E65" s="6">
        <v>156</v>
      </c>
      <c r="F65" s="6">
        <v>18</v>
      </c>
      <c r="G65" s="6">
        <v>1037</v>
      </c>
      <c r="H65" s="6">
        <v>20</v>
      </c>
      <c r="I65" s="6">
        <v>20</v>
      </c>
      <c r="J65" s="6">
        <f t="shared" si="4"/>
        <v>7651</v>
      </c>
      <c r="K65" s="6">
        <f t="shared" si="5"/>
        <v>18666</v>
      </c>
      <c r="L65" s="6">
        <f t="shared" si="6"/>
        <v>142813566</v>
      </c>
      <c r="M65" s="6">
        <f ca="1">IFERROR(__xludf.DUMMYFUNCTION("IF(OR(L65=0, F65&gt;30), """", RANK.EQ(L65, FILTER(L$2:L$110, (L$2:L$110&lt;&gt;0)*(F65&lt;=30)), 1))
"),46)</f>
        <v>46</v>
      </c>
      <c r="N65" s="6">
        <f t="shared" ca="1" si="3"/>
        <v>11</v>
      </c>
    </row>
    <row r="66" spans="1:14" ht="16.2" x14ac:dyDescent="0.3">
      <c r="A66" s="4" t="s">
        <v>81</v>
      </c>
      <c r="B66" s="7">
        <v>5182</v>
      </c>
      <c r="C66" s="6">
        <v>1046</v>
      </c>
      <c r="D66" s="6">
        <v>0</v>
      </c>
      <c r="E66" s="6">
        <v>156</v>
      </c>
      <c r="F66" s="6">
        <v>16</v>
      </c>
      <c r="G66" s="6">
        <v>1037</v>
      </c>
      <c r="H66" s="6">
        <v>20</v>
      </c>
      <c r="I66" s="6">
        <v>20</v>
      </c>
      <c r="J66" s="6">
        <f t="shared" si="4"/>
        <v>7632</v>
      </c>
      <c r="K66" s="6">
        <f t="shared" si="5"/>
        <v>16592</v>
      </c>
      <c r="L66" s="6">
        <f t="shared" si="6"/>
        <v>126630144</v>
      </c>
      <c r="M66" s="6">
        <f ca="1">IFERROR(__xludf.DUMMYFUNCTION("IF(OR(L66=0, F66&gt;30), """", RANK.EQ(L66, FILTER(L$2:L$110, (L$2:L$110&lt;&gt;0)*(F66&lt;=30)), 1))
"),35)</f>
        <v>35</v>
      </c>
      <c r="N66" s="6">
        <f t="shared" ca="1" si="3"/>
        <v>13.2</v>
      </c>
    </row>
    <row r="67" spans="1:14" ht="16.2" x14ac:dyDescent="0.3">
      <c r="A67" s="4" t="s">
        <v>150</v>
      </c>
      <c r="B67" s="7">
        <v>12617</v>
      </c>
      <c r="C67" s="6">
        <v>1561</v>
      </c>
      <c r="D67" s="6">
        <v>0</v>
      </c>
      <c r="E67" s="6">
        <v>264</v>
      </c>
      <c r="F67" s="6">
        <v>18</v>
      </c>
      <c r="G67" s="6">
        <v>1036</v>
      </c>
      <c r="H67" s="6">
        <v>20</v>
      </c>
      <c r="I67" s="6">
        <v>20</v>
      </c>
      <c r="J67" s="6">
        <f t="shared" si="4"/>
        <v>16554</v>
      </c>
      <c r="K67" s="6">
        <f t="shared" si="5"/>
        <v>18648</v>
      </c>
      <c r="L67" s="6">
        <f t="shared" si="6"/>
        <v>308698992</v>
      </c>
      <c r="M67" s="6">
        <f ca="1">IFERROR(__xludf.DUMMYFUNCTION("IF(OR(L67=0, F67&gt;30), """", RANK.EQ(L67, FILTER(L$2:L$110, (L$2:L$110&lt;&gt;0)*(F67&lt;=30)), 1))
"),79)</f>
        <v>79</v>
      </c>
      <c r="N67" s="6">
        <f t="shared" ca="1" si="3"/>
        <v>4.4000000000000004</v>
      </c>
    </row>
    <row r="68" spans="1:14" ht="16.2" x14ac:dyDescent="0.3">
      <c r="A68" s="4" t="s">
        <v>21</v>
      </c>
      <c r="B68" s="7">
        <v>9401</v>
      </c>
      <c r="C68" s="6">
        <v>1313</v>
      </c>
      <c r="D68" s="6">
        <v>0</v>
      </c>
      <c r="E68" s="6">
        <v>248</v>
      </c>
      <c r="F68" s="6">
        <v>30</v>
      </c>
      <c r="G68" s="6">
        <v>1035</v>
      </c>
      <c r="H68" s="6">
        <v>20</v>
      </c>
      <c r="I68" s="6">
        <v>20</v>
      </c>
      <c r="J68" s="6">
        <f t="shared" si="4"/>
        <v>12946</v>
      </c>
      <c r="K68" s="6">
        <f t="shared" si="5"/>
        <v>31050</v>
      </c>
      <c r="L68" s="6">
        <f t="shared" si="6"/>
        <v>401973300</v>
      </c>
      <c r="M68" s="6">
        <f ca="1">IFERROR(__xludf.DUMMYFUNCTION("IF(OR(L68=0, F68&gt;30), """", RANK.EQ(L68, FILTER(L$2:L$110, (L$2:L$110&lt;&gt;0)*(F68&lt;=30)), 1))
"),83)</f>
        <v>83</v>
      </c>
      <c r="N68" s="6">
        <f t="shared" ca="1" si="3"/>
        <v>3.6</v>
      </c>
    </row>
    <row r="69" spans="1:14" ht="16.2" x14ac:dyDescent="0.3">
      <c r="A69" s="4" t="s">
        <v>125</v>
      </c>
      <c r="B69" s="7">
        <v>5965</v>
      </c>
      <c r="C69" s="6">
        <v>1042</v>
      </c>
      <c r="D69" s="6">
        <v>0</v>
      </c>
      <c r="E69" s="6">
        <v>120</v>
      </c>
      <c r="F69" s="6">
        <v>22</v>
      </c>
      <c r="G69" s="6">
        <v>1035</v>
      </c>
      <c r="H69" s="6">
        <v>20</v>
      </c>
      <c r="I69" s="6">
        <v>20</v>
      </c>
      <c r="J69" s="6">
        <f t="shared" si="4"/>
        <v>8087</v>
      </c>
      <c r="K69" s="6">
        <f t="shared" si="5"/>
        <v>22770</v>
      </c>
      <c r="L69" s="6">
        <f t="shared" si="6"/>
        <v>184140990</v>
      </c>
      <c r="M69" s="6">
        <f ca="1">IFERROR(__xludf.DUMMYFUNCTION("IF(OR(L69=0, F69&gt;30), """", RANK.EQ(L69, FILTER(L$2:L$110, (L$2:L$110&lt;&gt;0)*(F69&lt;=30)), 1))
"),58)</f>
        <v>58</v>
      </c>
      <c r="N69" s="6">
        <f t="shared" ca="1" si="3"/>
        <v>8.6</v>
      </c>
    </row>
    <row r="70" spans="1:14" ht="16.2" x14ac:dyDescent="0.3">
      <c r="A70" s="4" t="s">
        <v>231</v>
      </c>
      <c r="B70" s="7"/>
      <c r="D70" s="6">
        <v>0</v>
      </c>
      <c r="F70" s="6">
        <v>12</v>
      </c>
      <c r="G70" s="6">
        <v>1043</v>
      </c>
      <c r="H70" s="6" t="s">
        <v>252</v>
      </c>
      <c r="I70" s="6" t="s">
        <v>252</v>
      </c>
      <c r="J70" s="6">
        <f t="shared" si="4"/>
        <v>0</v>
      </c>
      <c r="K70" s="6">
        <f t="shared" si="5"/>
        <v>12516</v>
      </c>
      <c r="L70" s="6">
        <f t="shared" si="6"/>
        <v>0</v>
      </c>
      <c r="M70" s="6" t="str">
        <f ca="1">IFERROR(__xludf.DUMMYFUNCTION("IF(OR(L70=0, F70&gt;30), """", RANK.EQ(L70, FILTER(L$2:L$110, (L$2:L$110&lt;&gt;0)*(F70&lt;=30)), 1))
"),"")</f>
        <v/>
      </c>
      <c r="N70" s="6" t="e">
        <f t="shared" ca="1" si="3"/>
        <v>#VALUE!</v>
      </c>
    </row>
    <row r="71" spans="1:14" ht="16.2" x14ac:dyDescent="0.3">
      <c r="A71" s="4" t="s">
        <v>34</v>
      </c>
      <c r="B71" s="7">
        <v>6134</v>
      </c>
      <c r="C71" s="6">
        <v>3152</v>
      </c>
      <c r="D71" s="6">
        <v>0</v>
      </c>
      <c r="E71" s="6">
        <v>0</v>
      </c>
      <c r="F71" s="6">
        <v>12</v>
      </c>
      <c r="G71" s="6">
        <v>1041</v>
      </c>
      <c r="H71" s="6">
        <v>20</v>
      </c>
      <c r="I71" s="6">
        <v>20</v>
      </c>
      <c r="J71" s="6">
        <f t="shared" si="4"/>
        <v>9286</v>
      </c>
      <c r="K71" s="6">
        <f t="shared" si="5"/>
        <v>12492</v>
      </c>
      <c r="L71" s="6">
        <f t="shared" si="6"/>
        <v>116000712</v>
      </c>
      <c r="M71" s="6">
        <f ca="1">IFERROR(__xludf.DUMMYFUNCTION("IF(OR(L71=0, F71&gt;30), """", RANK.EQ(L71, FILTER(L$2:L$110, (L$2:L$110&lt;&gt;0)*(F71&lt;=30)), 1))
"),28)</f>
        <v>28</v>
      </c>
      <c r="N71" s="6">
        <f t="shared" ca="1" si="3"/>
        <v>14.6</v>
      </c>
    </row>
    <row r="72" spans="1:14" ht="16.2" x14ac:dyDescent="0.3">
      <c r="A72" s="4" t="s">
        <v>113</v>
      </c>
      <c r="B72" s="7">
        <v>5461</v>
      </c>
      <c r="C72" s="6">
        <v>1041</v>
      </c>
      <c r="D72" s="6">
        <v>0</v>
      </c>
      <c r="E72" s="6">
        <v>228</v>
      </c>
      <c r="F72" s="8">
        <v>40</v>
      </c>
      <c r="G72" s="6">
        <v>1033</v>
      </c>
      <c r="H72" s="6">
        <v>20</v>
      </c>
      <c r="I72" s="6">
        <v>20</v>
      </c>
      <c r="J72" s="6">
        <f t="shared" si="4"/>
        <v>8554</v>
      </c>
      <c r="K72" s="6">
        <f t="shared" si="5"/>
        <v>41320</v>
      </c>
      <c r="L72" s="6">
        <f t="shared" si="6"/>
        <v>353451280</v>
      </c>
      <c r="M72" s="6" t="str">
        <f ca="1">IFERROR(__xludf.DUMMYFUNCTION("IF(OR(L72=0, F72&gt;30), """", RANK.EQ(L72, FILTER(L$2:L$110, (L$2:L$110&lt;&gt;0)*(F72&lt;=30)), 1))
"),"")</f>
        <v/>
      </c>
      <c r="N72" s="6" t="e">
        <f t="shared" ca="1" si="3"/>
        <v>#VALUE!</v>
      </c>
    </row>
    <row r="73" spans="1:14" ht="16.2" x14ac:dyDescent="0.3">
      <c r="A73" s="4" t="s">
        <v>142</v>
      </c>
      <c r="B73" s="7">
        <v>3704</v>
      </c>
      <c r="C73" s="6">
        <v>2777</v>
      </c>
      <c r="D73" s="6">
        <v>0</v>
      </c>
      <c r="E73" s="6">
        <v>84</v>
      </c>
      <c r="F73" s="6">
        <v>12</v>
      </c>
      <c r="G73" s="6">
        <v>1036</v>
      </c>
      <c r="H73" s="6">
        <v>20</v>
      </c>
      <c r="I73" s="6">
        <v>20</v>
      </c>
      <c r="J73" s="6">
        <f t="shared" si="4"/>
        <v>7237</v>
      </c>
      <c r="K73" s="6">
        <f t="shared" si="5"/>
        <v>12432</v>
      </c>
      <c r="L73" s="6">
        <f t="shared" si="6"/>
        <v>89970384</v>
      </c>
      <c r="M73" s="6">
        <f ca="1">IFERROR(__xludf.DUMMYFUNCTION("IF(OR(L73=0, F73&gt;30), """", RANK.EQ(L73, FILTER(L$2:L$110, (L$2:L$110&lt;&gt;0)*(F73&lt;=30)), 1))
"),18)</f>
        <v>18</v>
      </c>
      <c r="N73" s="6">
        <f t="shared" ca="1" si="3"/>
        <v>16.600000000000001</v>
      </c>
    </row>
    <row r="74" spans="1:14" ht="16.2" x14ac:dyDescent="0.3">
      <c r="A74" s="4" t="s">
        <v>179</v>
      </c>
      <c r="B74" s="7">
        <v>5151</v>
      </c>
      <c r="C74" s="6">
        <v>2401</v>
      </c>
      <c r="D74" s="6">
        <v>0</v>
      </c>
      <c r="E74" s="6">
        <v>128</v>
      </c>
      <c r="F74" s="6">
        <v>16</v>
      </c>
      <c r="G74" s="6">
        <v>1036</v>
      </c>
      <c r="H74" s="6">
        <v>20</v>
      </c>
      <c r="I74" s="6">
        <v>20</v>
      </c>
      <c r="J74" s="6">
        <f t="shared" si="4"/>
        <v>8704</v>
      </c>
      <c r="K74" s="6">
        <f t="shared" si="5"/>
        <v>16576</v>
      </c>
      <c r="L74" s="6">
        <f t="shared" si="6"/>
        <v>144277504</v>
      </c>
      <c r="M74" s="6">
        <f ca="1">IFERROR(__xludf.DUMMYFUNCTION("IF(OR(L74=0, F74&gt;30), """", RANK.EQ(L74, FILTER(L$2:L$110, (L$2:L$110&lt;&gt;0)*(F74&lt;=30)), 1))
"),47)</f>
        <v>47</v>
      </c>
      <c r="N74" s="6">
        <f t="shared" ca="1" si="3"/>
        <v>10.8</v>
      </c>
    </row>
    <row r="75" spans="1:14" ht="16.2" x14ac:dyDescent="0.3">
      <c r="A75" s="4" t="s">
        <v>59</v>
      </c>
      <c r="B75" s="7">
        <v>3348</v>
      </c>
      <c r="C75" s="6">
        <v>778</v>
      </c>
      <c r="D75" s="6">
        <v>0</v>
      </c>
      <c r="E75" s="6">
        <v>84</v>
      </c>
      <c r="F75" s="6">
        <v>30</v>
      </c>
      <c r="G75" s="6">
        <v>1033</v>
      </c>
      <c r="H75" s="6">
        <v>20</v>
      </c>
      <c r="I75" s="6">
        <v>20</v>
      </c>
      <c r="J75" s="6">
        <f t="shared" si="4"/>
        <v>4882</v>
      </c>
      <c r="K75" s="6">
        <f t="shared" si="5"/>
        <v>30990</v>
      </c>
      <c r="L75" s="6">
        <f t="shared" si="6"/>
        <v>151293180</v>
      </c>
      <c r="M75" s="6">
        <f ca="1">IFERROR(__xludf.DUMMYFUNCTION("IF(OR(L75=0, F75&gt;30), """", RANK.EQ(L75, FILTER(L$2:L$110, (L$2:L$110&lt;&gt;0)*(F75&lt;=30)), 1))
"),49)</f>
        <v>49</v>
      </c>
      <c r="N75" s="6">
        <f t="shared" ca="1" si="3"/>
        <v>10.4</v>
      </c>
    </row>
    <row r="76" spans="1:14" ht="16.2" x14ac:dyDescent="0.3">
      <c r="A76" s="4" t="s">
        <v>77</v>
      </c>
      <c r="B76" s="7">
        <v>25193</v>
      </c>
      <c r="C76" s="6">
        <v>17434</v>
      </c>
      <c r="D76" s="6">
        <v>0</v>
      </c>
      <c r="E76" s="6">
        <v>180</v>
      </c>
      <c r="F76" s="8">
        <v>40</v>
      </c>
      <c r="G76" s="6">
        <v>1287</v>
      </c>
      <c r="H76" s="6">
        <v>20</v>
      </c>
      <c r="I76" s="6">
        <v>20</v>
      </c>
      <c r="J76" s="6">
        <f t="shared" si="4"/>
        <v>44247</v>
      </c>
      <c r="K76" s="6">
        <f t="shared" si="5"/>
        <v>51480</v>
      </c>
      <c r="L76" s="6">
        <f t="shared" si="6"/>
        <v>2277835560</v>
      </c>
      <c r="M76" s="6" t="str">
        <f ca="1">IFERROR(__xludf.DUMMYFUNCTION("IF(OR(L76=0, F76&gt;30), """", RANK.EQ(L76, FILTER(L$2:L$110, (L$2:L$110&lt;&gt;0)*(F76&lt;=30)), 1))
"),"")</f>
        <v/>
      </c>
      <c r="N76" s="6" t="e">
        <f t="shared" ca="1" si="3"/>
        <v>#VALUE!</v>
      </c>
    </row>
    <row r="77" spans="1:14" ht="16.2" x14ac:dyDescent="0.3">
      <c r="A77" s="4" t="s">
        <v>65</v>
      </c>
      <c r="B77" s="7">
        <v>4902</v>
      </c>
      <c r="C77" s="6">
        <v>3172</v>
      </c>
      <c r="D77" s="6">
        <v>0</v>
      </c>
      <c r="E77" s="6">
        <v>120</v>
      </c>
      <c r="F77" s="6">
        <v>30</v>
      </c>
      <c r="G77" s="6">
        <v>1036</v>
      </c>
      <c r="H77" s="6">
        <v>20</v>
      </c>
      <c r="I77" s="6">
        <v>20</v>
      </c>
      <c r="J77" s="6">
        <f t="shared" si="4"/>
        <v>9154</v>
      </c>
      <c r="K77" s="6">
        <f t="shared" si="5"/>
        <v>31080</v>
      </c>
      <c r="L77" s="6">
        <f t="shared" si="6"/>
        <v>284506320</v>
      </c>
      <c r="M77" s="6">
        <f ca="1">IFERROR(__xludf.DUMMYFUNCTION("IF(OR(L77=0, F77&gt;30), """", RANK.EQ(L77, FILTER(L$2:L$110, (L$2:L$110&lt;&gt;0)*(F77&lt;=30)), 1))
"),74)</f>
        <v>74</v>
      </c>
      <c r="N77" s="6">
        <f t="shared" ca="1" si="3"/>
        <v>5.4</v>
      </c>
    </row>
    <row r="78" spans="1:14" ht="15" x14ac:dyDescent="0.3">
      <c r="A78" s="4" t="s">
        <v>86</v>
      </c>
      <c r="D78" s="6">
        <v>0</v>
      </c>
      <c r="H78" s="6">
        <v>0</v>
      </c>
      <c r="I78" s="6">
        <v>0</v>
      </c>
      <c r="J78" s="6">
        <f t="shared" si="4"/>
        <v>0</v>
      </c>
      <c r="K78" s="6">
        <f t="shared" si="5"/>
        <v>0</v>
      </c>
      <c r="L78" s="6">
        <f t="shared" si="6"/>
        <v>0</v>
      </c>
      <c r="M78" s="6" t="str">
        <f ca="1">IFERROR(__xludf.DUMMYFUNCTION("IF(OR(L78=0, F78&gt;30), """", RANK.EQ(L78, FILTER(L$2:L$110, (L$2:L$110&lt;&gt;0)*(F78&lt;=30)), 1))
"),"")</f>
        <v/>
      </c>
      <c r="N78" s="6" t="e">
        <f t="shared" ca="1" si="3"/>
        <v>#VALUE!</v>
      </c>
    </row>
    <row r="79" spans="1:14" ht="16.2" x14ac:dyDescent="0.3">
      <c r="A79" s="4" t="s">
        <v>93</v>
      </c>
      <c r="B79" s="7">
        <v>7040</v>
      </c>
      <c r="C79" s="6">
        <v>533</v>
      </c>
      <c r="D79" s="6">
        <v>0</v>
      </c>
      <c r="E79" s="6">
        <v>32</v>
      </c>
      <c r="F79" s="6">
        <v>20</v>
      </c>
      <c r="G79" s="6">
        <v>1059</v>
      </c>
      <c r="H79" s="6">
        <v>20</v>
      </c>
      <c r="I79" s="6">
        <v>20</v>
      </c>
      <c r="J79" s="6">
        <f t="shared" si="4"/>
        <v>7861</v>
      </c>
      <c r="K79" s="6">
        <f t="shared" si="5"/>
        <v>21180</v>
      </c>
      <c r="L79" s="6">
        <f t="shared" si="6"/>
        <v>166495980</v>
      </c>
      <c r="M79" s="6">
        <f ca="1">IFERROR(__xludf.DUMMYFUNCTION("IF(OR(L79=0, F79&gt;30), """", RANK.EQ(L79, FILTER(L$2:L$110, (L$2:L$110&lt;&gt;0)*(F79&lt;=30)), 1))
"),53)</f>
        <v>53</v>
      </c>
      <c r="N79" s="6">
        <f t="shared" ca="1" si="3"/>
        <v>9.6</v>
      </c>
    </row>
    <row r="80" spans="1:14" ht="16.2" x14ac:dyDescent="0.3">
      <c r="A80" s="4" t="s">
        <v>203</v>
      </c>
      <c r="B80" s="7">
        <v>5034</v>
      </c>
      <c r="C80" s="6">
        <v>2159</v>
      </c>
      <c r="D80" s="6">
        <v>0</v>
      </c>
      <c r="E80" s="6">
        <v>0</v>
      </c>
      <c r="F80" s="6">
        <v>14</v>
      </c>
      <c r="G80" s="6">
        <v>1035</v>
      </c>
      <c r="H80" s="6">
        <v>20</v>
      </c>
      <c r="I80" s="6">
        <v>20</v>
      </c>
      <c r="J80" s="6">
        <f t="shared" si="4"/>
        <v>7193</v>
      </c>
      <c r="K80" s="6">
        <f t="shared" si="5"/>
        <v>14490</v>
      </c>
      <c r="L80" s="6">
        <f t="shared" si="6"/>
        <v>104226570</v>
      </c>
      <c r="M80" s="6">
        <f ca="1">IFERROR(__xludf.DUMMYFUNCTION("IF(OR(L80=0, F80&gt;30), """", RANK.EQ(L80, FILTER(L$2:L$110, (L$2:L$110&lt;&gt;0)*(F80&lt;=30)), 1))
"),24)</f>
        <v>24</v>
      </c>
      <c r="N80" s="6">
        <f t="shared" ca="1" si="3"/>
        <v>15.4</v>
      </c>
    </row>
    <row r="81" spans="1:14" ht="16.2" x14ac:dyDescent="0.3">
      <c r="A81" s="4" t="s">
        <v>183</v>
      </c>
      <c r="B81" s="7">
        <v>3467</v>
      </c>
      <c r="C81" s="6">
        <v>2536</v>
      </c>
      <c r="D81" s="6">
        <v>0</v>
      </c>
      <c r="E81" s="6">
        <v>84</v>
      </c>
      <c r="F81" s="6">
        <v>16</v>
      </c>
      <c r="G81" s="6">
        <v>1035</v>
      </c>
      <c r="H81" s="6">
        <v>20</v>
      </c>
      <c r="I81" s="6">
        <v>20</v>
      </c>
      <c r="J81" s="6">
        <f t="shared" si="4"/>
        <v>6759</v>
      </c>
      <c r="K81" s="6">
        <f t="shared" si="5"/>
        <v>16560</v>
      </c>
      <c r="L81" s="6">
        <f t="shared" si="6"/>
        <v>111929040</v>
      </c>
      <c r="M81" s="6">
        <f ca="1">IFERROR(__xludf.DUMMYFUNCTION("IF(OR(L81=0, F81&gt;30), """", RANK.EQ(L81, FILTER(L$2:L$110, (L$2:L$110&lt;&gt;0)*(F81&lt;=30)), 1))
"),27)</f>
        <v>27</v>
      </c>
      <c r="N81" s="6">
        <f t="shared" ca="1" si="3"/>
        <v>14.8</v>
      </c>
    </row>
    <row r="82" spans="1:14" ht="16.2" x14ac:dyDescent="0.3">
      <c r="A82" s="4" t="s">
        <v>167</v>
      </c>
      <c r="B82" s="7">
        <v>4400</v>
      </c>
      <c r="C82" s="6">
        <v>3099</v>
      </c>
      <c r="D82" s="6">
        <v>0</v>
      </c>
      <c r="E82" s="6">
        <v>168</v>
      </c>
      <c r="F82" s="6">
        <v>30</v>
      </c>
      <c r="G82" s="6">
        <v>1036</v>
      </c>
      <c r="H82" s="6">
        <v>20</v>
      </c>
      <c r="I82" s="6">
        <v>20</v>
      </c>
      <c r="J82" s="6">
        <f t="shared" si="4"/>
        <v>9011</v>
      </c>
      <c r="K82" s="6">
        <f t="shared" si="5"/>
        <v>31080</v>
      </c>
      <c r="L82" s="6">
        <f t="shared" si="6"/>
        <v>280061880</v>
      </c>
      <c r="M82" s="6">
        <f ca="1">IFERROR(__xludf.DUMMYFUNCTION("IF(OR(L82=0, F82&gt;30), """", RANK.EQ(L82, FILTER(L$2:L$110, (L$2:L$110&lt;&gt;0)*(F82&lt;=30)), 1))
"),71)</f>
        <v>71</v>
      </c>
      <c r="N82" s="6">
        <f t="shared" ca="1" si="3"/>
        <v>6</v>
      </c>
    </row>
    <row r="83" spans="1:14" ht="16.2" x14ac:dyDescent="0.3">
      <c r="A83" s="4" t="s">
        <v>51</v>
      </c>
      <c r="B83" s="7">
        <v>25766</v>
      </c>
      <c r="C83" s="6">
        <v>17151</v>
      </c>
      <c r="D83" s="6">
        <v>0</v>
      </c>
      <c r="E83" s="6">
        <v>0</v>
      </c>
      <c r="F83" s="8">
        <v>50</v>
      </c>
      <c r="G83" s="6">
        <v>1032</v>
      </c>
      <c r="H83" s="6">
        <v>20</v>
      </c>
      <c r="I83" s="6">
        <v>20</v>
      </c>
      <c r="J83" s="6">
        <f t="shared" si="4"/>
        <v>42917</v>
      </c>
      <c r="K83" s="6">
        <f t="shared" si="5"/>
        <v>51600</v>
      </c>
      <c r="L83" s="6">
        <f t="shared" si="6"/>
        <v>2214517200</v>
      </c>
      <c r="M83" s="6" t="str">
        <f ca="1">IFERROR(__xludf.DUMMYFUNCTION("IF(OR(L83=0, F83&gt;30), """", RANK.EQ(L83, FILTER(L$2:L$110, (L$2:L$110&lt;&gt;0)*(F83&lt;=30)), 1))
"),"")</f>
        <v/>
      </c>
      <c r="N83" s="6" t="e">
        <f t="shared" ca="1" si="3"/>
        <v>#VALUE!</v>
      </c>
    </row>
    <row r="84" spans="1:14" ht="16.2" x14ac:dyDescent="0.3">
      <c r="A84" s="4" t="s">
        <v>55</v>
      </c>
      <c r="B84" s="7">
        <v>2637</v>
      </c>
      <c r="C84" s="6">
        <v>2160</v>
      </c>
      <c r="D84" s="6">
        <v>0</v>
      </c>
      <c r="E84" s="6">
        <v>42</v>
      </c>
      <c r="F84" s="6">
        <v>12</v>
      </c>
      <c r="G84" s="6">
        <v>1035</v>
      </c>
      <c r="H84" s="6">
        <v>20</v>
      </c>
      <c r="I84" s="6">
        <v>20</v>
      </c>
      <c r="J84" s="6">
        <f t="shared" si="4"/>
        <v>5175</v>
      </c>
      <c r="K84" s="6">
        <f t="shared" si="5"/>
        <v>12420</v>
      </c>
      <c r="L84" s="6">
        <f t="shared" si="6"/>
        <v>64273500</v>
      </c>
      <c r="M84" s="6">
        <f ca="1">IFERROR(__xludf.DUMMYFUNCTION("IF(OR(L84=0, F84&gt;30), """", RANK.EQ(L84, FILTER(L$2:L$110, (L$2:L$110&lt;&gt;0)*(F84&lt;=30)), 1))
"),7)</f>
        <v>7</v>
      </c>
      <c r="N84" s="6">
        <f t="shared" ca="1" si="3"/>
        <v>18.8</v>
      </c>
    </row>
    <row r="85" spans="1:14" ht="16.2" x14ac:dyDescent="0.3">
      <c r="A85" s="4" t="s">
        <v>136</v>
      </c>
      <c r="B85" s="7">
        <v>3719</v>
      </c>
      <c r="C85" s="6">
        <v>2326</v>
      </c>
      <c r="D85" s="6">
        <v>0</v>
      </c>
      <c r="E85" s="6">
        <v>42</v>
      </c>
      <c r="F85" s="6">
        <v>20</v>
      </c>
      <c r="G85" s="6">
        <v>1040</v>
      </c>
      <c r="H85" s="6">
        <v>20</v>
      </c>
      <c r="I85" s="6">
        <v>20</v>
      </c>
      <c r="J85" s="6">
        <f t="shared" si="4"/>
        <v>6423</v>
      </c>
      <c r="K85" s="6">
        <f t="shared" si="5"/>
        <v>20800</v>
      </c>
      <c r="L85" s="6">
        <f t="shared" si="6"/>
        <v>133598400</v>
      </c>
      <c r="M85" s="6">
        <f ca="1">IFERROR(__xludf.DUMMYFUNCTION("IF(OR(L85=0, F85&gt;30), """", RANK.EQ(L85, FILTER(L$2:L$110, (L$2:L$110&lt;&gt;0)*(F85&lt;=30)), 1))
"),40)</f>
        <v>40</v>
      </c>
      <c r="N85" s="6">
        <f t="shared" ca="1" si="3"/>
        <v>12.2</v>
      </c>
    </row>
    <row r="86" spans="1:14" ht="16.2" x14ac:dyDescent="0.3">
      <c r="A86" s="4" t="s">
        <v>115</v>
      </c>
      <c r="B86" s="7">
        <v>3586</v>
      </c>
      <c r="C86" s="6">
        <v>1561</v>
      </c>
      <c r="D86" s="6">
        <v>0</v>
      </c>
      <c r="E86" s="6">
        <v>64</v>
      </c>
      <c r="F86" s="6">
        <v>20</v>
      </c>
      <c r="G86" s="6">
        <v>1036</v>
      </c>
      <c r="H86" s="6">
        <v>20</v>
      </c>
      <c r="I86" s="6">
        <v>20</v>
      </c>
      <c r="J86" s="6">
        <f t="shared" si="4"/>
        <v>5723</v>
      </c>
      <c r="K86" s="6">
        <f t="shared" si="5"/>
        <v>20720</v>
      </c>
      <c r="L86" s="6">
        <f t="shared" si="6"/>
        <v>118580560</v>
      </c>
      <c r="M86" s="6">
        <f ca="1">IFERROR(__xludf.DUMMYFUNCTION("IF(OR(L86=0, F86&gt;30), """", RANK.EQ(L86, FILTER(L$2:L$110, (L$2:L$110&lt;&gt;0)*(F86&lt;=30)), 1))
"),31)</f>
        <v>31</v>
      </c>
      <c r="N86" s="6">
        <f t="shared" ca="1" si="3"/>
        <v>14</v>
      </c>
    </row>
    <row r="87" spans="1:14" ht="16.2" x14ac:dyDescent="0.3">
      <c r="A87" s="4" t="s">
        <v>25</v>
      </c>
      <c r="B87" s="7">
        <v>2361</v>
      </c>
      <c r="C87" s="6">
        <v>1376</v>
      </c>
      <c r="D87" s="6">
        <v>0</v>
      </c>
      <c r="E87" s="6">
        <v>60</v>
      </c>
      <c r="F87" s="6">
        <v>13.1</v>
      </c>
      <c r="G87" s="6">
        <v>1039</v>
      </c>
      <c r="H87" s="6">
        <v>20</v>
      </c>
      <c r="I87" s="6">
        <v>20</v>
      </c>
      <c r="J87" s="6">
        <f t="shared" si="4"/>
        <v>4277</v>
      </c>
      <c r="K87" s="6">
        <f t="shared" si="5"/>
        <v>13610.9</v>
      </c>
      <c r="L87" s="6">
        <f t="shared" si="6"/>
        <v>58213819.299999997</v>
      </c>
      <c r="M87" s="6">
        <f ca="1">IFERROR(__xludf.DUMMYFUNCTION("IF(OR(L87=0, F87&gt;30), """", RANK.EQ(L87, FILTER(L$2:L$110, (L$2:L$110&lt;&gt;0)*(F87&lt;=30)), 1))
"),6)</f>
        <v>6</v>
      </c>
      <c r="N87" s="6">
        <f t="shared" ca="1" si="3"/>
        <v>19</v>
      </c>
    </row>
    <row r="88" spans="1:14" ht="16.2" x14ac:dyDescent="0.3">
      <c r="A88" s="4" t="s">
        <v>99</v>
      </c>
      <c r="B88" s="7">
        <v>4861</v>
      </c>
      <c r="C88" s="6">
        <v>1841</v>
      </c>
      <c r="D88" s="6">
        <v>0</v>
      </c>
      <c r="E88" s="6">
        <v>76</v>
      </c>
      <c r="F88" s="6">
        <v>15</v>
      </c>
      <c r="G88" s="6">
        <v>1121</v>
      </c>
      <c r="H88" s="6">
        <v>20</v>
      </c>
      <c r="I88" s="6">
        <v>20</v>
      </c>
      <c r="J88" s="6">
        <f t="shared" si="4"/>
        <v>7386</v>
      </c>
      <c r="K88" s="6">
        <f t="shared" si="5"/>
        <v>16815</v>
      </c>
      <c r="L88" s="6">
        <f t="shared" si="6"/>
        <v>124195590</v>
      </c>
      <c r="M88" s="6">
        <f ca="1">IFERROR(__xludf.DUMMYFUNCTION("IF(OR(L88=0, F88&gt;30), """", RANK.EQ(L88, FILTER(L$2:L$110, (L$2:L$110&lt;&gt;0)*(F88&lt;=30)), 1))
"),33)</f>
        <v>33</v>
      </c>
      <c r="N88" s="6">
        <f t="shared" ca="1" si="3"/>
        <v>13.6</v>
      </c>
    </row>
    <row r="89" spans="1:14" ht="16.2" x14ac:dyDescent="0.3">
      <c r="A89" s="4" t="s">
        <v>144</v>
      </c>
      <c r="B89" s="7">
        <v>2760</v>
      </c>
      <c r="C89" s="6">
        <v>1812</v>
      </c>
      <c r="D89" s="6">
        <v>0</v>
      </c>
      <c r="E89" s="6">
        <v>56</v>
      </c>
      <c r="F89" s="6">
        <v>15</v>
      </c>
      <c r="G89" s="6">
        <v>1105</v>
      </c>
      <c r="H89" s="6">
        <v>20</v>
      </c>
      <c r="I89" s="6">
        <v>20</v>
      </c>
      <c r="J89" s="6">
        <f t="shared" si="4"/>
        <v>5076</v>
      </c>
      <c r="K89" s="6">
        <f t="shared" si="5"/>
        <v>16575</v>
      </c>
      <c r="L89" s="6">
        <f t="shared" si="6"/>
        <v>84134700</v>
      </c>
      <c r="M89" s="6">
        <f ca="1">IFERROR(__xludf.DUMMYFUNCTION("IF(OR(L89=0, F89&gt;30), """", RANK.EQ(L89, FILTER(L$2:L$110, (L$2:L$110&lt;&gt;0)*(F89&lt;=30)), 1))
"),14)</f>
        <v>14</v>
      </c>
      <c r="N89" s="6">
        <f t="shared" ca="1" si="3"/>
        <v>17.399999999999999</v>
      </c>
    </row>
    <row r="90" spans="1:14" ht="15" x14ac:dyDescent="0.3">
      <c r="A90" s="4" t="s">
        <v>11</v>
      </c>
      <c r="D90" s="6">
        <v>0</v>
      </c>
      <c r="H90" s="6" t="s">
        <v>252</v>
      </c>
      <c r="I90" s="6">
        <v>0</v>
      </c>
      <c r="J90" s="6">
        <f t="shared" si="4"/>
        <v>0</v>
      </c>
      <c r="K90" s="6">
        <f t="shared" si="5"/>
        <v>0</v>
      </c>
      <c r="L90" s="6">
        <f t="shared" si="6"/>
        <v>0</v>
      </c>
      <c r="M90" s="6" t="str">
        <f ca="1">IFERROR(__xludf.DUMMYFUNCTION("IF(OR(L90=0, F90&gt;30), """", RANK.EQ(L90, FILTER(L$2:L$110, (L$2:L$110&lt;&gt;0)*(F90&lt;=30)), 1))
"),"")</f>
        <v/>
      </c>
      <c r="N90" s="6" t="e">
        <f t="shared" ca="1" si="3"/>
        <v>#VALUE!</v>
      </c>
    </row>
    <row r="91" spans="1:14" ht="16.2" x14ac:dyDescent="0.3">
      <c r="A91" s="4" t="s">
        <v>71</v>
      </c>
      <c r="B91" s="7">
        <v>2416</v>
      </c>
      <c r="C91" s="6">
        <v>1716</v>
      </c>
      <c r="D91" s="6">
        <v>0</v>
      </c>
      <c r="E91" s="6">
        <v>60</v>
      </c>
      <c r="F91" s="6">
        <v>14</v>
      </c>
      <c r="G91" s="6">
        <v>1044</v>
      </c>
      <c r="H91" s="6">
        <v>20</v>
      </c>
      <c r="I91" s="6">
        <v>20</v>
      </c>
      <c r="J91" s="6">
        <f t="shared" si="4"/>
        <v>4672</v>
      </c>
      <c r="K91" s="6">
        <f t="shared" si="5"/>
        <v>14616</v>
      </c>
      <c r="L91" s="6">
        <f t="shared" si="6"/>
        <v>68285952</v>
      </c>
      <c r="M91" s="6">
        <f ca="1">IFERROR(__xludf.DUMMYFUNCTION("IF(OR(L91=0, F91&gt;30), """", RANK.EQ(L91, FILTER(L$2:L$110, (L$2:L$110&lt;&gt;0)*(F91&lt;=30)), 1))
"),9)</f>
        <v>9</v>
      </c>
      <c r="N91" s="6">
        <f t="shared" ca="1" si="3"/>
        <v>18.399999999999999</v>
      </c>
    </row>
    <row r="92" spans="1:14" ht="16.2" x14ac:dyDescent="0.3">
      <c r="A92" s="4" t="s">
        <v>27</v>
      </c>
      <c r="B92" s="7">
        <v>27896</v>
      </c>
      <c r="C92" s="6">
        <v>17444</v>
      </c>
      <c r="D92" s="6">
        <v>0</v>
      </c>
      <c r="E92" s="6">
        <v>32</v>
      </c>
      <c r="F92" s="6">
        <v>20</v>
      </c>
      <c r="G92" s="6">
        <v>2005</v>
      </c>
      <c r="H92" s="6">
        <v>20</v>
      </c>
      <c r="I92" s="6">
        <v>20</v>
      </c>
      <c r="J92" s="6">
        <f t="shared" si="4"/>
        <v>45628</v>
      </c>
      <c r="K92" s="6">
        <f t="shared" si="5"/>
        <v>40100</v>
      </c>
      <c r="L92" s="6">
        <f t="shared" si="6"/>
        <v>1829682800</v>
      </c>
      <c r="M92" s="6">
        <f ca="1">IFERROR(__xludf.DUMMYFUNCTION("IF(OR(L92=0, F92&gt;30), """", RANK.EQ(L92, FILTER(L$2:L$110, (L$2:L$110&lt;&gt;0)*(F92&lt;=30)), 1))
"),96)</f>
        <v>96</v>
      </c>
      <c r="N92" s="6">
        <f t="shared" ca="1" si="3"/>
        <v>2</v>
      </c>
    </row>
    <row r="93" spans="1:14" ht="16.2" x14ac:dyDescent="0.3">
      <c r="A93" s="4" t="s">
        <v>148</v>
      </c>
      <c r="B93" s="7">
        <v>2360</v>
      </c>
      <c r="C93" s="6">
        <v>1774</v>
      </c>
      <c r="D93" s="6">
        <v>0</v>
      </c>
      <c r="E93" s="6">
        <v>60</v>
      </c>
      <c r="F93" s="6">
        <v>18</v>
      </c>
      <c r="G93" s="6">
        <v>1046</v>
      </c>
      <c r="H93" s="6">
        <v>20</v>
      </c>
      <c r="I93" s="6">
        <v>20</v>
      </c>
      <c r="J93" s="6">
        <f t="shared" si="4"/>
        <v>4674</v>
      </c>
      <c r="K93" s="6">
        <f t="shared" si="5"/>
        <v>18828</v>
      </c>
      <c r="L93" s="6">
        <f t="shared" si="6"/>
        <v>88002072</v>
      </c>
      <c r="M93" s="6">
        <f ca="1">IFERROR(__xludf.DUMMYFUNCTION("IF(OR(L93=0, F93&gt;30), """", RANK.EQ(L93, FILTER(L$2:L$110, (L$2:L$110&lt;&gt;0)*(F93&lt;=30)), 1))
"),16)</f>
        <v>16</v>
      </c>
      <c r="N93" s="6">
        <f t="shared" ca="1" si="3"/>
        <v>17</v>
      </c>
    </row>
    <row r="94" spans="1:14" ht="16.2" x14ac:dyDescent="0.3">
      <c r="A94" s="4" t="s">
        <v>29</v>
      </c>
      <c r="B94" s="7">
        <v>3548</v>
      </c>
      <c r="C94" s="6">
        <v>1934</v>
      </c>
      <c r="D94" s="6">
        <v>0</v>
      </c>
      <c r="E94" s="6">
        <v>100</v>
      </c>
      <c r="F94" s="6">
        <v>13.1</v>
      </c>
      <c r="G94" s="6">
        <v>1044</v>
      </c>
      <c r="H94" s="6">
        <v>20</v>
      </c>
      <c r="I94" s="6">
        <v>20</v>
      </c>
      <c r="J94" s="6">
        <f t="shared" si="4"/>
        <v>6382</v>
      </c>
      <c r="K94" s="6">
        <f t="shared" si="5"/>
        <v>13676.4</v>
      </c>
      <c r="L94" s="6">
        <f t="shared" si="6"/>
        <v>87282784.799999997</v>
      </c>
      <c r="M94" s="6">
        <f ca="1">IFERROR(__xludf.DUMMYFUNCTION("IF(OR(L94=0, F94&gt;30), """", RANK.EQ(L94, FILTER(L$2:L$110, (L$2:L$110&lt;&gt;0)*(F94&lt;=30)), 1))
"),15)</f>
        <v>15</v>
      </c>
      <c r="N94" s="6">
        <f t="shared" ca="1" si="3"/>
        <v>17.2</v>
      </c>
    </row>
    <row r="95" spans="1:14" ht="16.2" x14ac:dyDescent="0.3">
      <c r="A95" s="4" t="s">
        <v>173</v>
      </c>
      <c r="B95" s="7">
        <v>2618</v>
      </c>
      <c r="C95" s="6">
        <v>810</v>
      </c>
      <c r="D95" s="6">
        <v>0</v>
      </c>
      <c r="E95" s="6">
        <v>60</v>
      </c>
      <c r="F95" s="6">
        <v>16</v>
      </c>
      <c r="G95" s="6">
        <v>1034</v>
      </c>
      <c r="H95" s="6">
        <v>20</v>
      </c>
      <c r="I95" s="6">
        <v>20</v>
      </c>
      <c r="J95" s="6">
        <f t="shared" si="4"/>
        <v>3968</v>
      </c>
      <c r="K95" s="6">
        <f t="shared" si="5"/>
        <v>16544</v>
      </c>
      <c r="L95" s="6">
        <f t="shared" si="6"/>
        <v>65646592</v>
      </c>
      <c r="M95" s="6">
        <f ca="1">IFERROR(__xludf.DUMMYFUNCTION("IF(OR(L95=0, F95&gt;30), """", RANK.EQ(L95, FILTER(L$2:L$110, (L$2:L$110&lt;&gt;0)*(F95&lt;=30)), 1))
"),8)</f>
        <v>8</v>
      </c>
      <c r="N95" s="6">
        <f t="shared" ca="1" si="3"/>
        <v>18.600000000000001</v>
      </c>
    </row>
    <row r="96" spans="1:14" ht="16.2" x14ac:dyDescent="0.3">
      <c r="A96" s="4" t="s">
        <v>90</v>
      </c>
      <c r="B96" s="7">
        <v>29886</v>
      </c>
      <c r="C96" s="6">
        <v>18395</v>
      </c>
      <c r="D96" s="6">
        <v>0</v>
      </c>
      <c r="E96" s="6">
        <v>260</v>
      </c>
      <c r="F96" s="6">
        <v>30</v>
      </c>
      <c r="G96" s="6">
        <v>1477</v>
      </c>
      <c r="H96" s="6">
        <v>20</v>
      </c>
      <c r="I96" s="6">
        <v>20</v>
      </c>
      <c r="J96" s="6">
        <f t="shared" si="4"/>
        <v>50621</v>
      </c>
      <c r="K96" s="6">
        <f t="shared" si="5"/>
        <v>44310</v>
      </c>
      <c r="L96" s="6">
        <f t="shared" si="6"/>
        <v>2243016510</v>
      </c>
      <c r="M96" s="6">
        <f ca="1">IFERROR(__xludf.DUMMYFUNCTION("IF(OR(L96=0, F96&gt;30), """", RANK.EQ(L96, FILTER(L$2:L$110, (L$2:L$110&lt;&gt;0)*(F96&lt;=30)), 1))
"),99)</f>
        <v>99</v>
      </c>
      <c r="N96" s="6">
        <f t="shared" ca="1" si="3"/>
        <v>2</v>
      </c>
    </row>
    <row r="97" spans="1:14" ht="16.2" x14ac:dyDescent="0.3">
      <c r="A97" s="4" t="s">
        <v>138</v>
      </c>
      <c r="B97" s="7">
        <v>23882</v>
      </c>
      <c r="C97" s="6">
        <v>16673</v>
      </c>
      <c r="D97" s="6">
        <v>0</v>
      </c>
      <c r="E97" s="6">
        <v>206</v>
      </c>
      <c r="F97" s="6">
        <v>18</v>
      </c>
      <c r="G97" s="6">
        <v>1222</v>
      </c>
      <c r="H97" s="6">
        <v>20</v>
      </c>
      <c r="I97" s="6">
        <v>20</v>
      </c>
      <c r="J97" s="6">
        <f t="shared" si="4"/>
        <v>42409</v>
      </c>
      <c r="K97" s="6">
        <f t="shared" si="5"/>
        <v>21996</v>
      </c>
      <c r="L97" s="6">
        <f t="shared" si="6"/>
        <v>932828364</v>
      </c>
      <c r="M97" s="6">
        <f ca="1">IFERROR(__xludf.DUMMYFUNCTION("IF(OR(L97=0, F97&gt;30), """", RANK.EQ(L97, FILTER(L$2:L$110, (L$2:L$110&lt;&gt;0)*(F97&lt;=30)), 1))
"),92)</f>
        <v>92</v>
      </c>
      <c r="N97" s="6">
        <f t="shared" ca="1" si="3"/>
        <v>2</v>
      </c>
    </row>
    <row r="98" spans="1:14" ht="16.2" x14ac:dyDescent="0.3">
      <c r="A98" s="4" t="s">
        <v>132</v>
      </c>
      <c r="B98" s="7">
        <v>24996</v>
      </c>
      <c r="C98" s="6">
        <v>16674</v>
      </c>
      <c r="D98" s="6">
        <v>0</v>
      </c>
      <c r="E98" s="6">
        <v>277</v>
      </c>
      <c r="F98" s="6">
        <v>26</v>
      </c>
      <c r="G98" s="6">
        <v>1223</v>
      </c>
      <c r="H98" s="6">
        <v>20</v>
      </c>
      <c r="I98" s="6">
        <v>20</v>
      </c>
      <c r="J98" s="6">
        <f t="shared" si="4"/>
        <v>44163</v>
      </c>
      <c r="K98" s="6">
        <f t="shared" si="5"/>
        <v>31798</v>
      </c>
      <c r="L98" s="6">
        <f t="shared" si="6"/>
        <v>1404295074</v>
      </c>
      <c r="M98" s="6">
        <f ca="1">IFERROR(__xludf.DUMMYFUNCTION("IF(OR(L98=0, F98&gt;30), """", RANK.EQ(L98, FILTER(L$2:L$110, (L$2:L$110&lt;&gt;0)*(F98&lt;=30)), 1))
"),95)</f>
        <v>95</v>
      </c>
      <c r="N98" s="6">
        <f t="shared" ca="1" si="3"/>
        <v>2</v>
      </c>
    </row>
    <row r="99" spans="1:14" ht="16.2" x14ac:dyDescent="0.3">
      <c r="A99" s="4" t="s">
        <v>175</v>
      </c>
      <c r="B99" s="7">
        <v>24613</v>
      </c>
      <c r="C99" s="6">
        <v>17462</v>
      </c>
      <c r="D99" s="6">
        <v>0</v>
      </c>
      <c r="E99" s="6">
        <v>232</v>
      </c>
      <c r="F99" s="6">
        <v>22</v>
      </c>
      <c r="G99" s="6">
        <v>1223</v>
      </c>
      <c r="H99" s="6">
        <v>20</v>
      </c>
      <c r="I99" s="6">
        <v>20</v>
      </c>
      <c r="J99" s="6">
        <f t="shared" si="4"/>
        <v>44163</v>
      </c>
      <c r="K99" s="6">
        <f t="shared" si="5"/>
        <v>26906</v>
      </c>
      <c r="L99" s="6">
        <f t="shared" si="6"/>
        <v>1188249678</v>
      </c>
      <c r="M99" s="6">
        <f ca="1">IFERROR(__xludf.DUMMYFUNCTION("IF(OR(L99=0, F99&gt;30), """", RANK.EQ(L99, FILTER(L$2:L$110, (L$2:L$110&lt;&gt;0)*(F99&lt;=30)), 1))
"),94)</f>
        <v>94</v>
      </c>
      <c r="N99" s="6">
        <f t="shared" ca="1" si="3"/>
        <v>2</v>
      </c>
    </row>
    <row r="100" spans="1:14" ht="16.2" x14ac:dyDescent="0.3">
      <c r="A100" s="4" t="s">
        <v>41</v>
      </c>
      <c r="B100" s="7">
        <v>3457</v>
      </c>
      <c r="C100" s="6">
        <v>2603</v>
      </c>
      <c r="D100" s="6">
        <v>0</v>
      </c>
      <c r="E100" s="6">
        <v>64</v>
      </c>
      <c r="F100" s="6">
        <v>20</v>
      </c>
      <c r="G100" s="6">
        <v>1038</v>
      </c>
      <c r="H100" s="6">
        <v>20</v>
      </c>
      <c r="I100" s="6">
        <v>20</v>
      </c>
      <c r="J100" s="6">
        <f t="shared" si="4"/>
        <v>6636</v>
      </c>
      <c r="K100" s="6">
        <f t="shared" si="5"/>
        <v>20760</v>
      </c>
      <c r="L100" s="6">
        <f t="shared" si="6"/>
        <v>137763360</v>
      </c>
      <c r="M100" s="6">
        <f ca="1">IFERROR(__xludf.DUMMYFUNCTION("IF(OR(L100=0, F100&gt;30), """", RANK.EQ(L100, FILTER(L$2:L$110, (L$2:L$110&lt;&gt;0)*(F100&lt;=30)), 1))
"),43)</f>
        <v>43</v>
      </c>
      <c r="N100" s="6">
        <f t="shared" ca="1" si="3"/>
        <v>11.6</v>
      </c>
    </row>
    <row r="101" spans="1:14" ht="16.2" x14ac:dyDescent="0.3">
      <c r="A101" s="4" t="s">
        <v>121</v>
      </c>
      <c r="B101" s="7">
        <v>7747</v>
      </c>
      <c r="C101" s="6">
        <v>1682</v>
      </c>
      <c r="D101" s="6">
        <v>0</v>
      </c>
      <c r="E101" s="6">
        <v>74</v>
      </c>
      <c r="F101" s="6">
        <v>20</v>
      </c>
      <c r="G101" s="6">
        <v>1037</v>
      </c>
      <c r="H101" s="6">
        <v>20</v>
      </c>
      <c r="I101" s="6">
        <v>20</v>
      </c>
      <c r="J101" s="6">
        <f t="shared" si="4"/>
        <v>10095</v>
      </c>
      <c r="K101" s="6">
        <f t="shared" si="5"/>
        <v>20740</v>
      </c>
      <c r="L101" s="6">
        <f t="shared" si="6"/>
        <v>209370300</v>
      </c>
      <c r="M101" s="6">
        <f ca="1">IFERROR(__xludf.DUMMYFUNCTION("IF(OR(L101=0, F101&gt;30), """", RANK.EQ(L101, FILTER(L$2:L$110, (L$2:L$110&lt;&gt;0)*(F101&lt;=30)), 1))
"),63)</f>
        <v>63</v>
      </c>
      <c r="N101" s="6">
        <f t="shared" ca="1" si="3"/>
        <v>7.6</v>
      </c>
    </row>
    <row r="102" spans="1:14" ht="16.2" x14ac:dyDescent="0.3">
      <c r="A102" s="4" t="s">
        <v>187</v>
      </c>
      <c r="B102" s="7">
        <v>3567</v>
      </c>
      <c r="C102" s="6">
        <v>1356</v>
      </c>
      <c r="D102" s="6">
        <v>0</v>
      </c>
      <c r="E102" s="6">
        <v>32</v>
      </c>
      <c r="F102" s="6">
        <v>20</v>
      </c>
      <c r="G102" s="6">
        <v>1046</v>
      </c>
      <c r="H102" s="6">
        <v>20</v>
      </c>
      <c r="I102" s="6">
        <v>20</v>
      </c>
      <c r="J102" s="6">
        <f t="shared" si="4"/>
        <v>5211</v>
      </c>
      <c r="K102" s="6">
        <f t="shared" si="5"/>
        <v>20920</v>
      </c>
      <c r="L102" s="6">
        <f t="shared" si="6"/>
        <v>109014120</v>
      </c>
      <c r="M102" s="6">
        <f ca="1">IFERROR(__xludf.DUMMYFUNCTION("IF(OR(L102=0, F102&gt;30), """", RANK.EQ(L102, FILTER(L$2:L$110, (L$2:L$110&lt;&gt;0)*(F102&lt;=30)), 1))
"),26)</f>
        <v>26</v>
      </c>
      <c r="N102" s="6">
        <f t="shared" ca="1" si="3"/>
        <v>15</v>
      </c>
    </row>
    <row r="103" spans="1:14" ht="16.2" x14ac:dyDescent="0.3">
      <c r="A103" s="7"/>
      <c r="B103" s="7"/>
      <c r="M103" s="6" t="str">
        <f ca="1">IFERROR(__xludf.DUMMYFUNCTION("IF(OR(L103=0, F103&gt;30), """", RANK.EQ(L103, FILTER(L$2:L$110, (L$2:L$110&lt;&gt;0)*(F103&lt;=30)), 1))
"),"")</f>
        <v/>
      </c>
      <c r="N103" s="6" t="e">
        <f t="shared" ca="1" si="3"/>
        <v>#VALUE!</v>
      </c>
    </row>
    <row r="104" spans="1:14" ht="16.2" x14ac:dyDescent="0.3">
      <c r="A104" s="4" t="s">
        <v>61</v>
      </c>
      <c r="B104" s="7">
        <v>5908</v>
      </c>
      <c r="C104" s="6">
        <v>4121</v>
      </c>
      <c r="D104" s="6">
        <v>0</v>
      </c>
      <c r="E104" s="6">
        <v>60</v>
      </c>
      <c r="G104" s="6">
        <v>0</v>
      </c>
      <c r="H104" s="6">
        <v>0</v>
      </c>
      <c r="I104" s="6">
        <v>0</v>
      </c>
      <c r="J104" s="6">
        <f t="shared" ref="J104:J112" si="7">B104+C104+D104+E104*9</f>
        <v>10569</v>
      </c>
      <c r="K104" s="6">
        <f t="shared" ref="K104:K112" si="8">F104*G104</f>
        <v>0</v>
      </c>
      <c r="L104" s="6">
        <f t="shared" ref="L104:L112" si="9">J104*K104</f>
        <v>0</v>
      </c>
      <c r="M104" s="6" t="str">
        <f ca="1">IFERROR(__xludf.DUMMYFUNCTION("IF(OR(L104=0, F104&gt;30), """", RANK.EQ(L104, FILTER(L$2:L$110, (L$2:L$110&lt;&gt;0)*(F104&lt;=30)), 1))
"),"")</f>
        <v/>
      </c>
      <c r="N104" s="6" t="e">
        <f t="shared" ca="1" si="3"/>
        <v>#VALUE!</v>
      </c>
    </row>
    <row r="105" spans="1:14" ht="16.2" x14ac:dyDescent="0.3">
      <c r="A105" s="4" t="s">
        <v>227</v>
      </c>
      <c r="B105" s="7">
        <v>4905</v>
      </c>
      <c r="C105" s="6">
        <v>527</v>
      </c>
      <c r="D105" s="6">
        <v>0</v>
      </c>
      <c r="E105" s="6">
        <v>232</v>
      </c>
      <c r="F105" s="8">
        <v>60</v>
      </c>
      <c r="G105" s="6">
        <v>1030</v>
      </c>
      <c r="H105" s="6">
        <v>20</v>
      </c>
      <c r="I105" s="6">
        <v>20</v>
      </c>
      <c r="J105" s="6">
        <f t="shared" si="7"/>
        <v>7520</v>
      </c>
      <c r="K105" s="6">
        <f t="shared" si="8"/>
        <v>61800</v>
      </c>
      <c r="L105" s="6">
        <f t="shared" si="9"/>
        <v>464736000</v>
      </c>
      <c r="M105" s="6" t="str">
        <f ca="1">IFERROR(__xludf.DUMMYFUNCTION("IF(OR(L105=0, F105&gt;30), """", RANK.EQ(L105, FILTER(L$2:L$110, (L$2:L$110&lt;&gt;0)*(F105&lt;=30)), 1))
"),"")</f>
        <v/>
      </c>
      <c r="N105" s="6" t="e">
        <f t="shared" ca="1" si="3"/>
        <v>#VALUE!</v>
      </c>
    </row>
    <row r="106" spans="1:14" ht="16.2" x14ac:dyDescent="0.3">
      <c r="A106" s="4" t="s">
        <v>253</v>
      </c>
      <c r="B106" s="7">
        <v>5176</v>
      </c>
      <c r="C106" s="6">
        <v>1046</v>
      </c>
      <c r="D106" s="6">
        <v>0</v>
      </c>
      <c r="E106" s="6">
        <v>156</v>
      </c>
      <c r="F106" s="6">
        <v>18</v>
      </c>
      <c r="G106" s="6">
        <v>1037</v>
      </c>
      <c r="H106" s="6">
        <v>20</v>
      </c>
      <c r="I106" s="6">
        <v>20</v>
      </c>
      <c r="J106" s="6">
        <f t="shared" si="7"/>
        <v>7626</v>
      </c>
      <c r="K106" s="6">
        <f t="shared" si="8"/>
        <v>18666</v>
      </c>
      <c r="L106" s="6">
        <f t="shared" si="9"/>
        <v>142346916</v>
      </c>
      <c r="M106" s="6">
        <f ca="1">IFERROR(__xludf.DUMMYFUNCTION("IF(OR(L106=0, F106&gt;30), """", RANK.EQ(L106, FILTER(L$2:L$110, (L$2:L$110&lt;&gt;0)*(F106&lt;=30)), 1))
"),44)</f>
        <v>44</v>
      </c>
      <c r="N106" s="6">
        <f t="shared" ca="1" si="3"/>
        <v>11.4</v>
      </c>
    </row>
    <row r="107" spans="1:14" ht="16.2" x14ac:dyDescent="0.3">
      <c r="A107" s="4" t="s">
        <v>83</v>
      </c>
      <c r="B107" s="7">
        <v>11494</v>
      </c>
      <c r="C107" s="6">
        <v>2318</v>
      </c>
      <c r="D107" s="6">
        <v>0</v>
      </c>
      <c r="E107" s="6">
        <v>216</v>
      </c>
      <c r="F107" s="6">
        <v>30</v>
      </c>
      <c r="G107" s="6">
        <v>1042</v>
      </c>
      <c r="H107" s="6">
        <v>20</v>
      </c>
      <c r="I107" s="6">
        <v>20</v>
      </c>
      <c r="J107" s="6">
        <f t="shared" si="7"/>
        <v>15756</v>
      </c>
      <c r="K107" s="6">
        <f t="shared" si="8"/>
        <v>31260</v>
      </c>
      <c r="L107" s="6">
        <f t="shared" si="9"/>
        <v>492532560</v>
      </c>
      <c r="M107" s="6">
        <f ca="1">IFERROR(__xludf.DUMMYFUNCTION("IF(OR(L107=0, F107&gt;30), """", RANK.EQ(L107, FILTER(L$2:L$110, (L$2:L$110&lt;&gt;0)*(F107&lt;=30)), 1))
"),89)</f>
        <v>89</v>
      </c>
      <c r="N107" s="6">
        <f t="shared" ca="1" si="3"/>
        <v>2.4</v>
      </c>
    </row>
    <row r="108" spans="1:14" ht="16.2" x14ac:dyDescent="0.3">
      <c r="A108" s="4" t="s">
        <v>39</v>
      </c>
      <c r="B108" s="7">
        <v>5176</v>
      </c>
      <c r="C108" s="6">
        <v>1046</v>
      </c>
      <c r="D108" s="6">
        <v>0</v>
      </c>
      <c r="E108" s="6">
        <v>156</v>
      </c>
      <c r="F108" s="6">
        <v>20</v>
      </c>
      <c r="G108" s="6">
        <v>1037</v>
      </c>
      <c r="H108" s="6">
        <v>20</v>
      </c>
      <c r="I108" s="6">
        <v>20</v>
      </c>
      <c r="J108" s="6">
        <f t="shared" si="7"/>
        <v>7626</v>
      </c>
      <c r="K108" s="6">
        <f t="shared" si="8"/>
        <v>20740</v>
      </c>
      <c r="L108" s="6">
        <f t="shared" si="9"/>
        <v>158163240</v>
      </c>
      <c r="M108" s="6">
        <f ca="1">IFERROR(__xludf.DUMMYFUNCTION("IF(OR(L108=0, F108&gt;30), """", RANK.EQ(L108, FILTER(L$2:L$110, (L$2:L$110&lt;&gt;0)*(F108&lt;=30)), 1))
"),51)</f>
        <v>51</v>
      </c>
      <c r="N108" s="6">
        <f t="shared" ca="1" si="3"/>
        <v>10</v>
      </c>
    </row>
    <row r="109" spans="1:14" ht="16.2" x14ac:dyDescent="0.3">
      <c r="A109" s="4" t="s">
        <v>37</v>
      </c>
      <c r="B109" s="7">
        <v>5182</v>
      </c>
      <c r="C109" s="6">
        <v>1046</v>
      </c>
      <c r="D109" s="6">
        <v>0</v>
      </c>
      <c r="E109" s="6">
        <v>156</v>
      </c>
      <c r="F109" s="6">
        <v>18</v>
      </c>
      <c r="G109" s="6">
        <v>1037</v>
      </c>
      <c r="H109" s="6">
        <v>20</v>
      </c>
      <c r="I109" s="6">
        <v>20</v>
      </c>
      <c r="J109" s="6">
        <f t="shared" si="7"/>
        <v>7632</v>
      </c>
      <c r="K109" s="6">
        <f t="shared" si="8"/>
        <v>18666</v>
      </c>
      <c r="L109" s="6">
        <f t="shared" si="9"/>
        <v>142458912</v>
      </c>
      <c r="M109" s="6">
        <f ca="1">IFERROR(__xludf.DUMMYFUNCTION("IF(OR(L109=0, F109&gt;30), """", RANK.EQ(L109, FILTER(L$2:L$110, (L$2:L$110&lt;&gt;0)*(F109&lt;=30)), 1))
"),45)</f>
        <v>45</v>
      </c>
      <c r="N109" s="6">
        <f t="shared" ca="1" si="3"/>
        <v>11.2</v>
      </c>
    </row>
    <row r="110" spans="1:14" ht="16.2" x14ac:dyDescent="0.3">
      <c r="A110" s="4" t="s">
        <v>31</v>
      </c>
      <c r="B110" s="7">
        <v>9610</v>
      </c>
      <c r="C110" s="6">
        <v>3026</v>
      </c>
      <c r="D110" s="6">
        <v>0</v>
      </c>
      <c r="E110" s="6">
        <v>60</v>
      </c>
      <c r="F110" s="6">
        <v>30</v>
      </c>
      <c r="G110" s="6">
        <v>1037</v>
      </c>
      <c r="H110" s="6">
        <v>20</v>
      </c>
      <c r="I110" s="6">
        <v>20</v>
      </c>
      <c r="J110" s="6">
        <f t="shared" si="7"/>
        <v>13176</v>
      </c>
      <c r="K110" s="6">
        <f t="shared" si="8"/>
        <v>31110</v>
      </c>
      <c r="L110" s="6">
        <f t="shared" si="9"/>
        <v>409905360</v>
      </c>
      <c r="M110" s="6">
        <f ca="1">IFERROR(__xludf.DUMMYFUNCTION("IF(OR(L110=0, F110&gt;30), """", RANK.EQ(L110, FILTER(L$2:L$110, (L$2:L$110&lt;&gt;0)*(F110&lt;=30)), 1))
"),85)</f>
        <v>85</v>
      </c>
      <c r="N110" s="6">
        <f t="shared" ca="1" si="3"/>
        <v>3.2</v>
      </c>
    </row>
    <row r="111" spans="1:14" ht="16.2" x14ac:dyDescent="0.3">
      <c r="A111" s="9" t="s">
        <v>235</v>
      </c>
      <c r="B111" s="7">
        <v>7444</v>
      </c>
      <c r="C111" s="6">
        <v>1688</v>
      </c>
      <c r="D111" s="6">
        <v>0</v>
      </c>
      <c r="E111" s="6">
        <v>60</v>
      </c>
      <c r="F111" s="6">
        <v>20</v>
      </c>
      <c r="G111" s="6">
        <v>1036</v>
      </c>
      <c r="H111" s="6">
        <v>20</v>
      </c>
      <c r="I111" s="6">
        <v>20</v>
      </c>
      <c r="J111" s="6">
        <f t="shared" si="7"/>
        <v>9672</v>
      </c>
      <c r="K111" s="6">
        <f t="shared" si="8"/>
        <v>20720</v>
      </c>
      <c r="L111" s="6">
        <f t="shared" si="9"/>
        <v>200403840</v>
      </c>
      <c r="M111" s="6">
        <f ca="1">IFERROR(__xludf.DUMMYFUNCTION("IF(OR(L111=0, F111&gt;30), """", RANK.EQ(L111, FILTER(L$2:L$112, (L$2:L$112&lt;&gt;0)*(F111&lt;=30)), 1))
"),63)</f>
        <v>63</v>
      </c>
      <c r="N111" s="6">
        <f t="shared" ca="1" si="3"/>
        <v>7.6</v>
      </c>
    </row>
    <row r="112" spans="1:14" ht="16.2" x14ac:dyDescent="0.3">
      <c r="A112" s="10" t="s">
        <v>231</v>
      </c>
      <c r="B112" s="7">
        <v>5456</v>
      </c>
      <c r="C112" s="6">
        <v>768</v>
      </c>
      <c r="D112" s="6">
        <v>0</v>
      </c>
      <c r="E112" s="6">
        <v>0</v>
      </c>
      <c r="F112" s="6">
        <v>12</v>
      </c>
      <c r="G112" s="6">
        <v>1043</v>
      </c>
      <c r="H112" s="6">
        <v>20</v>
      </c>
      <c r="I112" s="6">
        <v>20</v>
      </c>
      <c r="J112" s="6">
        <f t="shared" si="7"/>
        <v>6224</v>
      </c>
      <c r="K112" s="6">
        <f t="shared" si="8"/>
        <v>12516</v>
      </c>
      <c r="L112" s="6">
        <f t="shared" si="9"/>
        <v>77899584</v>
      </c>
      <c r="M112" s="6">
        <f ca="1">IFERROR(__xludf.DUMMYFUNCTION("IF(OR(L112=0, F112&gt;30), """", RANK.EQ(L112, FILTER(L$2:L$112, (L$2:L$112&lt;&gt;0)*(F112&lt;=30)), 1))
"),14)</f>
        <v>14</v>
      </c>
      <c r="N112" s="6">
        <f t="shared" ca="1" si="3"/>
        <v>17.399999999999999</v>
      </c>
    </row>
    <row r="113" spans="1:2" ht="16.2" x14ac:dyDescent="0.3">
      <c r="A113" s="7"/>
      <c r="B113" s="7"/>
    </row>
    <row r="114" spans="1:2" ht="16.2" x14ac:dyDescent="0.3">
      <c r="A114" s="7"/>
      <c r="B114" s="7"/>
    </row>
    <row r="115" spans="1:2" ht="16.2" x14ac:dyDescent="0.3">
      <c r="A115" s="7"/>
      <c r="B115" s="7"/>
    </row>
    <row r="116" spans="1:2" ht="16.2" x14ac:dyDescent="0.3">
      <c r="A116" s="7"/>
      <c r="B116" s="7"/>
    </row>
    <row r="117" spans="1:2" ht="16.2" x14ac:dyDescent="0.3">
      <c r="A117" s="7"/>
      <c r="B117" s="7"/>
    </row>
    <row r="118" spans="1:2" ht="16.2" x14ac:dyDescent="0.3">
      <c r="A118" s="7"/>
      <c r="B118" s="7"/>
    </row>
    <row r="119" spans="1:2" ht="16.2" x14ac:dyDescent="0.3">
      <c r="A119" s="7"/>
      <c r="B119" s="7"/>
    </row>
    <row r="120" spans="1:2" ht="16.2" x14ac:dyDescent="0.3">
      <c r="A120" s="7"/>
      <c r="B120" s="7"/>
    </row>
    <row r="121" spans="1:2" ht="16.2" x14ac:dyDescent="0.3">
      <c r="A121" s="7"/>
      <c r="B121" s="7"/>
    </row>
    <row r="122" spans="1:2" ht="16.2" x14ac:dyDescent="0.3">
      <c r="A122" s="7"/>
      <c r="B122" s="7"/>
    </row>
    <row r="123" spans="1:2" ht="16.2" x14ac:dyDescent="0.3">
      <c r="A123" s="7"/>
      <c r="B123" s="7"/>
    </row>
    <row r="124" spans="1:2" ht="16.2" x14ac:dyDescent="0.3">
      <c r="A124" s="7"/>
      <c r="B124" s="7"/>
    </row>
    <row r="125" spans="1:2" ht="16.2" x14ac:dyDescent="0.3">
      <c r="A125" s="7"/>
      <c r="B125" s="7"/>
    </row>
    <row r="126" spans="1:2" ht="16.2" x14ac:dyDescent="0.3">
      <c r="A126" s="7"/>
      <c r="B126" s="7"/>
    </row>
    <row r="127" spans="1:2" ht="16.2" x14ac:dyDescent="0.3">
      <c r="A127" s="7"/>
      <c r="B127" s="7"/>
    </row>
    <row r="128" spans="1:2" ht="16.2" x14ac:dyDescent="0.3">
      <c r="A128" s="7"/>
      <c r="B128" s="7"/>
    </row>
    <row r="129" spans="1:2" ht="16.2" x14ac:dyDescent="0.3">
      <c r="A129" s="7"/>
      <c r="B129" s="7"/>
    </row>
    <row r="130" spans="1:2" ht="16.2" x14ac:dyDescent="0.3">
      <c r="A130" s="7"/>
      <c r="B130" s="7"/>
    </row>
    <row r="131" spans="1:2" ht="16.2" x14ac:dyDescent="0.3">
      <c r="A131" s="7"/>
      <c r="B131" s="7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Grade</vt:lpstr>
      <vt:lpstr>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童品綸 PIN-LUEN TUNG</cp:lastModifiedBy>
  <dcterms:modified xsi:type="dcterms:W3CDTF">2025-10-12T08:13:08Z</dcterms:modified>
</cp:coreProperties>
</file>