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C35D30A1-2386-4EE0-A921-FEACB5CFED20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&amp;L" sheetId="7" r:id="rId1"/>
    <sheet name="BS" sheetId="8" r:id="rId2"/>
    <sheet name="Fixed Assets Roll Forward" sheetId="9" r:id="rId3"/>
    <sheet name="Financial Liabilities" sheetId="10" r:id="rId4"/>
    <sheet name="Equity schedule" sheetId="11" r:id="rId5"/>
    <sheet name="Cash flow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8" l="1"/>
  <c r="D19" i="8"/>
  <c r="C19" i="8"/>
  <c r="I26" i="7"/>
  <c r="E13" i="11" l="1"/>
  <c r="F9" i="11" s="1"/>
  <c r="E12" i="10"/>
  <c r="C16" i="10" s="1"/>
  <c r="D12" i="10"/>
  <c r="C12" i="10"/>
  <c r="D9" i="10" s="1"/>
  <c r="E10" i="9"/>
  <c r="D10" i="9"/>
  <c r="D11" i="10" l="1"/>
  <c r="L20" i="10"/>
  <c r="H20" i="10"/>
  <c r="F20" i="10"/>
  <c r="C20" i="10"/>
  <c r="K20" i="10"/>
  <c r="I20" i="10"/>
  <c r="G20" i="10"/>
  <c r="E20" i="10"/>
  <c r="D20" i="10"/>
  <c r="J20" i="10"/>
  <c r="E9" i="10"/>
  <c r="E11" i="10" s="1"/>
  <c r="F9" i="10"/>
  <c r="C21" i="10"/>
  <c r="I19" i="7" s="1"/>
  <c r="C6" i="12" s="1"/>
  <c r="E25" i="8"/>
  <c r="D25" i="8"/>
  <c r="C25" i="8"/>
  <c r="C24" i="8"/>
  <c r="E24" i="8"/>
  <c r="D24" i="8"/>
  <c r="K25" i="8" l="1"/>
  <c r="I24" i="8"/>
  <c r="H25" i="8"/>
  <c r="C22" i="10"/>
  <c r="H24" i="8"/>
  <c r="J24" i="8"/>
  <c r="I25" i="8"/>
  <c r="G24" i="8"/>
  <c r="K24" i="8"/>
  <c r="J25" i="8"/>
  <c r="G25" i="8"/>
  <c r="M38" i="7"/>
  <c r="L38" i="7"/>
  <c r="K38" i="7"/>
  <c r="J38" i="7"/>
  <c r="I38" i="7"/>
  <c r="M32" i="7"/>
  <c r="L32" i="7"/>
  <c r="K32" i="7"/>
  <c r="J32" i="7"/>
  <c r="I32" i="7"/>
  <c r="M26" i="7"/>
  <c r="L26" i="7"/>
  <c r="K26" i="7"/>
  <c r="J26" i="7"/>
  <c r="F11" i="10" l="1"/>
  <c r="C23" i="10"/>
  <c r="D21" i="10" s="1"/>
  <c r="E11" i="8"/>
  <c r="D11" i="8"/>
  <c r="D12" i="9" s="1"/>
  <c r="C11" i="8"/>
  <c r="D13" i="8" l="1"/>
  <c r="C13" i="8"/>
  <c r="C12" i="9"/>
  <c r="D9" i="9" s="1"/>
  <c r="D14" i="9" s="1"/>
  <c r="E9" i="9"/>
  <c r="E14" i="9" s="1"/>
  <c r="E13" i="8"/>
  <c r="E12" i="9"/>
  <c r="D22" i="10"/>
  <c r="J19" i="7"/>
  <c r="D6" i="12" s="1"/>
  <c r="C16" i="12"/>
  <c r="F12" i="10"/>
  <c r="C21" i="8"/>
  <c r="E21" i="8"/>
  <c r="D21" i="8"/>
  <c r="H19" i="7"/>
  <c r="G19" i="7"/>
  <c r="H17" i="7"/>
  <c r="G17" i="7"/>
  <c r="H15" i="7"/>
  <c r="G15" i="7"/>
  <c r="D32" i="8" l="1"/>
  <c r="D11" i="9"/>
  <c r="E32" i="8"/>
  <c r="C32" i="8"/>
  <c r="D23" i="10"/>
  <c r="E21" i="10" s="1"/>
  <c r="G11" i="10"/>
  <c r="D16" i="12" s="1"/>
  <c r="G9" i="10"/>
  <c r="G18" i="8"/>
  <c r="F9" i="9"/>
  <c r="E11" i="9"/>
  <c r="J14" i="9"/>
  <c r="F14" i="9"/>
  <c r="I14" i="9"/>
  <c r="H14" i="9"/>
  <c r="G14" i="9"/>
  <c r="E12" i="7"/>
  <c r="D12" i="7"/>
  <c r="C12" i="7"/>
  <c r="G12" i="10" l="1"/>
  <c r="H9" i="10" s="1"/>
  <c r="D15" i="9"/>
  <c r="F10" i="9"/>
  <c r="I17" i="7" s="1"/>
  <c r="E15" i="9"/>
  <c r="I15" i="9" s="1"/>
  <c r="H18" i="8"/>
  <c r="K19" i="7"/>
  <c r="E6" i="12" s="1"/>
  <c r="E22" i="10"/>
  <c r="C28" i="8"/>
  <c r="C29" i="8"/>
  <c r="C27" i="8"/>
  <c r="C23" i="8"/>
  <c r="C26" i="8"/>
  <c r="C39" i="7"/>
  <c r="C33" i="7"/>
  <c r="C41" i="7"/>
  <c r="C35" i="7"/>
  <c r="C40" i="7"/>
  <c r="C34" i="7"/>
  <c r="C30" i="8"/>
  <c r="D29" i="8"/>
  <c r="D26" i="8"/>
  <c r="D27" i="8"/>
  <c r="D23" i="8"/>
  <c r="D28" i="8"/>
  <c r="D34" i="7"/>
  <c r="D35" i="7"/>
  <c r="D40" i="7"/>
  <c r="D33" i="7"/>
  <c r="D39" i="7"/>
  <c r="D41" i="7"/>
  <c r="D30" i="8"/>
  <c r="E26" i="8"/>
  <c r="E29" i="8"/>
  <c r="E27" i="8"/>
  <c r="E23" i="8"/>
  <c r="E28" i="8"/>
  <c r="E40" i="7"/>
  <c r="E35" i="7"/>
  <c r="E39" i="7"/>
  <c r="E34" i="7"/>
  <c r="E41" i="7"/>
  <c r="E33" i="7"/>
  <c r="I12" i="7"/>
  <c r="E30" i="8"/>
  <c r="E14" i="7"/>
  <c r="E16" i="7" s="1"/>
  <c r="E18" i="7" s="1"/>
  <c r="G10" i="7"/>
  <c r="C14" i="7"/>
  <c r="C16" i="7" s="1"/>
  <c r="C18" i="7" s="1"/>
  <c r="C20" i="7" s="1"/>
  <c r="G11" i="7"/>
  <c r="D14" i="7"/>
  <c r="D16" i="7" s="1"/>
  <c r="D18" i="7" s="1"/>
  <c r="H11" i="7"/>
  <c r="H10" i="7"/>
  <c r="G13" i="7"/>
  <c r="H13" i="7"/>
  <c r="G12" i="7"/>
  <c r="H12" i="7"/>
  <c r="E23" i="10" l="1"/>
  <c r="F21" i="10" s="1"/>
  <c r="H11" i="10"/>
  <c r="E16" i="12" s="1"/>
  <c r="G15" i="9"/>
  <c r="J15" i="9"/>
  <c r="H15" i="9"/>
  <c r="H12" i="10"/>
  <c r="F15" i="9"/>
  <c r="F11" i="9" s="1"/>
  <c r="I13" i="7"/>
  <c r="I14" i="7" s="1"/>
  <c r="I15" i="7"/>
  <c r="J12" i="7"/>
  <c r="I23" i="8"/>
  <c r="H23" i="8"/>
  <c r="K23" i="8"/>
  <c r="G23" i="8"/>
  <c r="G8" i="8" s="1"/>
  <c r="C8" i="12" s="1"/>
  <c r="J23" i="8"/>
  <c r="K34" i="7"/>
  <c r="J34" i="7"/>
  <c r="I34" i="7"/>
  <c r="M34" i="7"/>
  <c r="L34" i="7"/>
  <c r="I27" i="8"/>
  <c r="J27" i="8"/>
  <c r="H27" i="8"/>
  <c r="K27" i="8"/>
  <c r="G27" i="8"/>
  <c r="G12" i="8" s="1"/>
  <c r="J40" i="7"/>
  <c r="M40" i="7"/>
  <c r="I40" i="7"/>
  <c r="L40" i="7"/>
  <c r="K40" i="7"/>
  <c r="K29" i="8"/>
  <c r="G29" i="8"/>
  <c r="G17" i="8" s="1"/>
  <c r="J29" i="8"/>
  <c r="I29" i="8"/>
  <c r="H29" i="8"/>
  <c r="K30" i="8"/>
  <c r="I30" i="8"/>
  <c r="G30" i="8"/>
  <c r="G19" i="8" s="1"/>
  <c r="H30" i="8"/>
  <c r="J30" i="8"/>
  <c r="J26" i="8"/>
  <c r="I26" i="8"/>
  <c r="H26" i="8"/>
  <c r="K26" i="8"/>
  <c r="G26" i="8"/>
  <c r="G10" i="8" s="1"/>
  <c r="H28" i="8"/>
  <c r="H16" i="8" s="1"/>
  <c r="K28" i="8"/>
  <c r="G28" i="8"/>
  <c r="G16" i="8" s="1"/>
  <c r="I28" i="8"/>
  <c r="J28" i="8"/>
  <c r="C21" i="7"/>
  <c r="G18" i="7"/>
  <c r="D20" i="7"/>
  <c r="E20" i="7"/>
  <c r="H18" i="7"/>
  <c r="G16" i="7"/>
  <c r="H16" i="7"/>
  <c r="G14" i="7"/>
  <c r="H14" i="7"/>
  <c r="C12" i="12" l="1"/>
  <c r="I16" i="7"/>
  <c r="C5" i="12" s="1"/>
  <c r="G11" i="9"/>
  <c r="D11" i="12" s="1"/>
  <c r="C13" i="12"/>
  <c r="I9" i="10"/>
  <c r="I18" i="8"/>
  <c r="L19" i="7"/>
  <c r="F6" i="12" s="1"/>
  <c r="F22" i="10"/>
  <c r="C11" i="12"/>
  <c r="F12" i="9"/>
  <c r="C22" i="7"/>
  <c r="C43" i="7" s="1"/>
  <c r="H8" i="8"/>
  <c r="D8" i="12" s="1"/>
  <c r="H10" i="8"/>
  <c r="H19" i="8"/>
  <c r="H17" i="8"/>
  <c r="H12" i="8"/>
  <c r="K12" i="7"/>
  <c r="I10" i="8" s="1"/>
  <c r="J13" i="7"/>
  <c r="J14" i="7" s="1"/>
  <c r="J15" i="7"/>
  <c r="G15" i="8"/>
  <c r="G9" i="8"/>
  <c r="G20" i="7"/>
  <c r="D21" i="7"/>
  <c r="H20" i="7"/>
  <c r="E21" i="7"/>
  <c r="I18" i="7" l="1"/>
  <c r="I20" i="7" s="1"/>
  <c r="I21" i="7" s="1"/>
  <c r="C7" i="12" s="1"/>
  <c r="D13" i="12"/>
  <c r="F23" i="10"/>
  <c r="G21" i="10" s="1"/>
  <c r="I11" i="10"/>
  <c r="F16" i="12" s="1"/>
  <c r="C9" i="12"/>
  <c r="D12" i="12"/>
  <c r="I12" i="10"/>
  <c r="G9" i="9"/>
  <c r="G10" i="9" s="1"/>
  <c r="G11" i="8"/>
  <c r="H11" i="9"/>
  <c r="C10" i="12"/>
  <c r="G21" i="7"/>
  <c r="I17" i="8"/>
  <c r="I8" i="8"/>
  <c r="E8" i="12" s="1"/>
  <c r="J16" i="7"/>
  <c r="I12" i="8"/>
  <c r="E12" i="12" s="1"/>
  <c r="I16" i="8"/>
  <c r="K13" i="7"/>
  <c r="K14" i="7" s="1"/>
  <c r="K15" i="7"/>
  <c r="L12" i="7"/>
  <c r="I11" i="9" s="1"/>
  <c r="F11" i="12" s="1"/>
  <c r="H9" i="8"/>
  <c r="H15" i="8"/>
  <c r="I19" i="8"/>
  <c r="D22" i="7"/>
  <c r="G22" i="7" s="1"/>
  <c r="H21" i="7"/>
  <c r="E22" i="7"/>
  <c r="H22" i="7" l="1"/>
  <c r="K16" i="7"/>
  <c r="E5" i="12" s="1"/>
  <c r="C14" i="12"/>
  <c r="I22" i="7"/>
  <c r="F11" i="11" s="1"/>
  <c r="F12" i="11" s="1"/>
  <c r="C15" i="12" s="1"/>
  <c r="D43" i="7"/>
  <c r="E43" i="7"/>
  <c r="G12" i="9"/>
  <c r="J17" i="7"/>
  <c r="J18" i="7" s="1"/>
  <c r="J20" i="7" s="1"/>
  <c r="E13" i="12"/>
  <c r="D5" i="12"/>
  <c r="J9" i="10"/>
  <c r="J18" i="8"/>
  <c r="M19" i="7"/>
  <c r="G6" i="12" s="1"/>
  <c r="G22" i="10"/>
  <c r="D9" i="12"/>
  <c r="D10" i="12"/>
  <c r="E11" i="12"/>
  <c r="L15" i="7"/>
  <c r="L13" i="7"/>
  <c r="L14" i="7" s="1"/>
  <c r="M12" i="7"/>
  <c r="J11" i="9" s="1"/>
  <c r="G11" i="12" s="1"/>
  <c r="J19" i="8"/>
  <c r="J12" i="8"/>
  <c r="J17" i="8"/>
  <c r="J16" i="8"/>
  <c r="J8" i="8"/>
  <c r="F8" i="12" s="1"/>
  <c r="J10" i="8"/>
  <c r="I15" i="8"/>
  <c r="I9" i="8"/>
  <c r="F12" i="12" l="1"/>
  <c r="F13" i="12"/>
  <c r="F13" i="11"/>
  <c r="C17" i="12" s="1"/>
  <c r="C18" i="12" s="1"/>
  <c r="G7" i="8" s="1"/>
  <c r="G13" i="8" s="1"/>
  <c r="J21" i="7"/>
  <c r="D7" i="12" s="1"/>
  <c r="D14" i="12" s="1"/>
  <c r="E9" i="12"/>
  <c r="L16" i="7"/>
  <c r="G23" i="10"/>
  <c r="H21" i="10" s="1"/>
  <c r="H22" i="10" s="1"/>
  <c r="H23" i="10" s="1"/>
  <c r="I21" i="10" s="1"/>
  <c r="I22" i="10" s="1"/>
  <c r="I23" i="10" s="1"/>
  <c r="J21" i="10" s="1"/>
  <c r="J22" i="10" s="1"/>
  <c r="J23" i="10" s="1"/>
  <c r="K21" i="10" s="1"/>
  <c r="K22" i="10" s="1"/>
  <c r="K23" i="10" s="1"/>
  <c r="L21" i="10" s="1"/>
  <c r="L22" i="10" s="1"/>
  <c r="L23" i="10" s="1"/>
  <c r="J11" i="10"/>
  <c r="G16" i="12" s="1"/>
  <c r="H9" i="9"/>
  <c r="H11" i="8"/>
  <c r="E10" i="12"/>
  <c r="K12" i="8"/>
  <c r="K8" i="8"/>
  <c r="G8" i="12" s="1"/>
  <c r="M15" i="7"/>
  <c r="K16" i="8"/>
  <c r="K19" i="8"/>
  <c r="K17" i="8"/>
  <c r="M13" i="7"/>
  <c r="K10" i="8"/>
  <c r="J15" i="8"/>
  <c r="J9" i="8"/>
  <c r="F9" i="12" s="1"/>
  <c r="J22" i="7" l="1"/>
  <c r="G11" i="11" s="1"/>
  <c r="G12" i="11" s="1"/>
  <c r="D15" i="12" s="1"/>
  <c r="G9" i="11"/>
  <c r="G20" i="8"/>
  <c r="G21" i="8" s="1"/>
  <c r="G32" i="8" s="1"/>
  <c r="G12" i="12"/>
  <c r="F5" i="12"/>
  <c r="H10" i="9"/>
  <c r="K17" i="7" s="1"/>
  <c r="K18" i="7" s="1"/>
  <c r="K20" i="7" s="1"/>
  <c r="F10" i="12"/>
  <c r="G13" i="12"/>
  <c r="J12" i="10"/>
  <c r="K18" i="8" s="1"/>
  <c r="K9" i="8"/>
  <c r="K15" i="8"/>
  <c r="M14" i="7"/>
  <c r="M16" i="7" s="1"/>
  <c r="G13" i="11" l="1"/>
  <c r="H9" i="11" s="1"/>
  <c r="H12" i="9"/>
  <c r="I9" i="9" s="1"/>
  <c r="I10" i="9" s="1"/>
  <c r="K21" i="7"/>
  <c r="E7" i="12" s="1"/>
  <c r="E14" i="12" s="1"/>
  <c r="G5" i="12"/>
  <c r="G10" i="12"/>
  <c r="G9" i="12"/>
  <c r="H20" i="8" l="1"/>
  <c r="H21" i="8" s="1"/>
  <c r="D17" i="12"/>
  <c r="D18" i="12" s="1"/>
  <c r="H7" i="8" s="1"/>
  <c r="H13" i="8" s="1"/>
  <c r="I11" i="8"/>
  <c r="K22" i="7"/>
  <c r="H11" i="11" s="1"/>
  <c r="H12" i="11" s="1"/>
  <c r="E15" i="12" s="1"/>
  <c r="I12" i="9"/>
  <c r="L17" i="7"/>
  <c r="L18" i="7" s="1"/>
  <c r="L20" i="7" s="1"/>
  <c r="H32" i="8" l="1"/>
  <c r="H13" i="11"/>
  <c r="E17" i="12" s="1"/>
  <c r="E18" i="12" s="1"/>
  <c r="I7" i="8" s="1"/>
  <c r="I13" i="8" s="1"/>
  <c r="L21" i="7"/>
  <c r="F7" i="12" s="1"/>
  <c r="F14" i="12" s="1"/>
  <c r="J9" i="9"/>
  <c r="J10" i="9" s="1"/>
  <c r="J11" i="8"/>
  <c r="I9" i="11" l="1"/>
  <c r="I20" i="8"/>
  <c r="I21" i="8" s="1"/>
  <c r="I32" i="8" s="1"/>
  <c r="J12" i="9"/>
  <c r="K11" i="8" s="1"/>
  <c r="M17" i="7"/>
  <c r="M18" i="7" s="1"/>
  <c r="M20" i="7" s="1"/>
  <c r="L22" i="7"/>
  <c r="I11" i="11" s="1"/>
  <c r="I12" i="11" s="1"/>
  <c r="F15" i="12" s="1"/>
  <c r="I13" i="11" l="1"/>
  <c r="J9" i="11" s="1"/>
  <c r="M21" i="7"/>
  <c r="G7" i="12" s="1"/>
  <c r="G14" i="12" s="1"/>
  <c r="J20" i="8" l="1"/>
  <c r="J21" i="8" s="1"/>
  <c r="F17" i="12"/>
  <c r="F18" i="12" s="1"/>
  <c r="J7" i="8" s="1"/>
  <c r="J13" i="8" s="1"/>
  <c r="M22" i="7"/>
  <c r="J11" i="11" s="1"/>
  <c r="J12" i="11" s="1"/>
  <c r="G15" i="12" s="1"/>
  <c r="J32" i="8" l="1"/>
  <c r="J13" i="11"/>
  <c r="G17" i="12" l="1"/>
  <c r="G18" i="12" s="1"/>
  <c r="K7" i="8" s="1"/>
  <c r="K13" i="8" s="1"/>
  <c r="K20" i="8"/>
  <c r="K21" i="8" s="1"/>
  <c r="K32" i="8" l="1"/>
</calcChain>
</file>

<file path=xl/sharedStrings.xml><?xml version="1.0" encoding="utf-8"?>
<sst xmlns="http://schemas.openxmlformats.org/spreadsheetml/2006/main" count="132" uniqueCount="106">
  <si>
    <t>Gross Sales</t>
  </si>
  <si>
    <t>Discounts</t>
  </si>
  <si>
    <t>$ in million</t>
  </si>
  <si>
    <t>Net sales</t>
  </si>
  <si>
    <t>Cost of goods sold</t>
  </si>
  <si>
    <t>Gross Profit</t>
  </si>
  <si>
    <t>Var %
14-15</t>
  </si>
  <si>
    <t>Var %
15-16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</si>
  <si>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</si>
  <si>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</si>
  <si>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</si>
  <si>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</si>
  <si>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</si>
  <si>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</si>
  <si>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</si>
  <si>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</si>
  <si>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Cash</t>
  </si>
  <si>
    <t>Accounts Receivable</t>
  </si>
  <si>
    <t>Inventory</t>
  </si>
  <si>
    <t>Other current assets</t>
  </si>
  <si>
    <t>Total Assets</t>
  </si>
  <si>
    <t>Accounts Payable</t>
  </si>
  <si>
    <t>Short-term loans</t>
  </si>
  <si>
    <t>Other current liabilities</t>
  </si>
  <si>
    <t>Long-term loans</t>
  </si>
  <si>
    <t>Other non-current liabilities</t>
  </si>
  <si>
    <t>Shareholders' equity</t>
  </si>
  <si>
    <t>Total Liabilities &amp; Equity</t>
  </si>
  <si>
    <t>PP&amp;E</t>
  </si>
  <si>
    <t>Other non-current assets</t>
  </si>
  <si>
    <t>Key BS Items ($m)</t>
  </si>
  <si>
    <t>Forecast</t>
  </si>
  <si>
    <t>Scenarios:</t>
  </si>
  <si>
    <t>Revenue % growth</t>
  </si>
  <si>
    <t>Selected Case</t>
  </si>
  <si>
    <t>Best case</t>
  </si>
  <si>
    <t>Base case</t>
  </si>
  <si>
    <t>Worst case</t>
  </si>
  <si>
    <t>Cogs as % of Revenues</t>
  </si>
  <si>
    <t>Opex as % of Revenues</t>
  </si>
  <si>
    <t>Scenario:</t>
  </si>
  <si>
    <t>31Dec
2014</t>
  </si>
  <si>
    <t>31Dec
2016</t>
  </si>
  <si>
    <t>31Dec
2015</t>
  </si>
  <si>
    <t>31Dec
2017</t>
  </si>
  <si>
    <t>31Dec
2018</t>
  </si>
  <si>
    <t>31Dec
2019</t>
  </si>
  <si>
    <t>31Dec
2020</t>
  </si>
  <si>
    <t>31Dec
2021</t>
  </si>
  <si>
    <t>DSO</t>
  </si>
  <si>
    <t>DPO</t>
  </si>
  <si>
    <t>DIO</t>
  </si>
  <si>
    <t>Other current assets %</t>
  </si>
  <si>
    <t>Other non-current assets %</t>
  </si>
  <si>
    <t>Other current liabilities %</t>
  </si>
  <si>
    <t>Other non-current liabilities %</t>
  </si>
  <si>
    <t>Short-term loans %</t>
  </si>
  <si>
    <t>Fixed Asset Roll Forward</t>
  </si>
  <si>
    <t>Beginning PP&amp;E</t>
  </si>
  <si>
    <t>Capex</t>
  </si>
  <si>
    <t>Ending PP&amp;E</t>
  </si>
  <si>
    <t>D&amp;A as a % of beginning PP&amp;E</t>
  </si>
  <si>
    <t>Financial Liabilities</t>
  </si>
  <si>
    <t>Beginning Debt</t>
  </si>
  <si>
    <t>New Debt</t>
  </si>
  <si>
    <t>Principal Repayments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</si>
  <si>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</si>
  <si>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</si>
  <si>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</si>
  <si>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</si>
  <si>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</si>
  <si>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</si>
  <si>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</si>
  <si>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</si>
  <si>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</si>
  <si>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Equity schedule</t>
  </si>
  <si>
    <t>Beginning equity</t>
  </si>
  <si>
    <t>Increase of capital</t>
  </si>
  <si>
    <t>Net income (loss)</t>
  </si>
  <si>
    <t>Dividends</t>
  </si>
  <si>
    <t>Ending equity</t>
  </si>
  <si>
    <t>Dividends as a % of Net Income</t>
  </si>
  <si>
    <t>Cash Flow</t>
  </si>
  <si>
    <t>$ in mln</t>
  </si>
  <si>
    <t>Capex as a % of Net sales</t>
  </si>
  <si>
    <t>Assumptions:</t>
  </si>
  <si>
    <t>2) Forecast Capex by applying the historical percentage of Capex to Net sales</t>
  </si>
  <si>
    <t>1) Forecast D&amp;A by applying the historical percantage of D&amp;A to beginning PP&amp;E</t>
  </si>
  <si>
    <t>2) No new debt will be borrowed in the forecast period</t>
  </si>
  <si>
    <t>1) The amount of debt is to be extinguished in 5 years. The interest expense that will be paid by the firm in the forecast period is 8%</t>
  </si>
  <si>
    <t>1) Plan for no increases of equity in the forecast period</t>
  </si>
  <si>
    <t>2) The firm distributes 30% of its Net Income to shareholders as dividends if Net Income is positive</t>
  </si>
  <si>
    <t xml:space="preserve"> 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</si>
  <si>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</si>
  <si>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</si>
  <si>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</si>
  <si>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</si>
  <si>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</si>
  <si>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</si>
  <si>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</si>
  <si>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Equity</t>
  </si>
  <si>
    <t>Net Cash Flow</t>
  </si>
  <si>
    <t>Check</t>
  </si>
  <si>
    <t>Profit &amp; Loss Statement</t>
    <phoneticPr fontId="16" type="noConversion"/>
  </si>
  <si>
    <t>*Assume a tax rate of 35%. Tax is calculated on the last day of the year and paid immediately.</t>
    <phoneticPr fontId="16" type="noConversion"/>
  </si>
  <si>
    <t>Balance Sheet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</si>
</sst>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);\(#,##0.0\)"/>
    <numFmt numFmtId="177" formatCode="0.0%"/>
    <numFmt numFmtId="178" formatCode="#,##0.00000_);\(#,##0.00000\)"/>
  </numFmts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0"/>
      <color indexed="1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sz val="11"/>
      <color theme="1"/>
      <name val="新細明體"/>
      <family val="2"/>
      <charset val="204"/>
      <scheme val="minor"/>
    </font>
    <font>
      <sz val="8"/>
      <color theme="1"/>
      <name val="Arial"/>
      <family val="2"/>
      <charset val="204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  <fill>
      <patternFill patternType="lightGray">
        <bgColor theme="0" tint="-4.9989318521683403E-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5" fillId="2" borderId="1">
      <alignment horizontal="right"/>
    </xf>
    <xf numFmtId="9" fontId="1" fillId="0" borderId="0" applyFont="0" applyFill="0" applyBorder="0" applyAlignment="0" applyProtection="0"/>
    <xf numFmtId="0" fontId="8" fillId="0" borderId="4" applyNumberFormat="0" applyFill="0" applyProtection="0">
      <alignment horizontal="center"/>
    </xf>
    <xf numFmtId="0" fontId="14" fillId="0" borderId="0"/>
    <xf numFmtId="176" fontId="2" fillId="2" borderId="0"/>
    <xf numFmtId="176" fontId="7" fillId="2" borderId="3"/>
    <xf numFmtId="9" fontId="14" fillId="0" borderId="0" applyFont="0" applyFill="0" applyBorder="0" applyAlignment="0" applyProtection="0"/>
    <xf numFmtId="176" fontId="7" fillId="2" borderId="2"/>
  </cellStyleXfs>
  <cellXfs count="4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5" fillId="2" borderId="1" xfId="1" applyAlignment="1">
      <alignment horizontal="left"/>
    </xf>
    <xf numFmtId="0" fontId="5" fillId="2" borderId="1" xfId="1">
      <alignment horizontal="right"/>
    </xf>
    <xf numFmtId="0" fontId="7" fillId="2" borderId="2" xfId="0" applyFont="1" applyFill="1" applyBorder="1"/>
    <xf numFmtId="176" fontId="6" fillId="2" borderId="0" xfId="0" applyNumberFormat="1" applyFont="1" applyFill="1"/>
    <xf numFmtId="176" fontId="7" fillId="2" borderId="2" xfId="0" applyNumberFormat="1" applyFont="1" applyFill="1" applyBorder="1"/>
    <xf numFmtId="0" fontId="5" fillId="2" borderId="1" xfId="1" applyAlignment="1">
      <alignment horizontal="right" wrapText="1"/>
    </xf>
    <xf numFmtId="177" fontId="2" fillId="2" borderId="0" xfId="2" applyNumberFormat="1" applyFont="1" applyFill="1"/>
    <xf numFmtId="177" fontId="7" fillId="2" borderId="2" xfId="2" applyNumberFormat="1" applyFont="1" applyFill="1" applyBorder="1"/>
    <xf numFmtId="176" fontId="2" fillId="2" borderId="0" xfId="0" applyNumberFormat="1" applyFont="1" applyFill="1"/>
    <xf numFmtId="0" fontId="7" fillId="2" borderId="3" xfId="0" applyFont="1" applyFill="1" applyBorder="1"/>
    <xf numFmtId="176" fontId="7" fillId="2" borderId="3" xfId="0" applyNumberFormat="1" applyFont="1" applyFill="1" applyBorder="1"/>
    <xf numFmtId="177" fontId="7" fillId="2" borderId="3" xfId="2" applyNumberFormat="1" applyFont="1" applyFill="1" applyBorder="1"/>
    <xf numFmtId="0" fontId="8" fillId="2" borderId="4" xfId="3" applyFill="1" applyAlignment="1">
      <alignment horizontal="left"/>
    </xf>
    <xf numFmtId="0" fontId="9" fillId="2" borderId="0" xfId="0" applyFont="1" applyFill="1"/>
    <xf numFmtId="0" fontId="10" fillId="2" borderId="3" xfId="0" applyFont="1" applyFill="1" applyBorder="1"/>
    <xf numFmtId="176" fontId="10" fillId="2" borderId="3" xfId="0" applyNumberFormat="1" applyFont="1" applyFill="1" applyBorder="1"/>
    <xf numFmtId="0" fontId="2" fillId="4" borderId="0" xfId="0" applyFont="1" applyFill="1"/>
    <xf numFmtId="0" fontId="7" fillId="4" borderId="0" xfId="0" applyFont="1" applyFill="1"/>
    <xf numFmtId="176" fontId="6" fillId="5" borderId="0" xfId="0" applyNumberFormat="1" applyFont="1" applyFill="1"/>
    <xf numFmtId="0" fontId="11" fillId="2" borderId="0" xfId="0" applyFont="1" applyFill="1"/>
    <xf numFmtId="0" fontId="4" fillId="3" borderId="0" xfId="0" applyFont="1" applyFill="1"/>
    <xf numFmtId="0" fontId="2" fillId="6" borderId="0" xfId="0" applyFont="1" applyFill="1"/>
    <xf numFmtId="9" fontId="12" fillId="4" borderId="0" xfId="0" applyNumberFormat="1" applyFont="1" applyFill="1"/>
    <xf numFmtId="9" fontId="13" fillId="4" borderId="0" xfId="0" applyNumberFormat="1" applyFont="1" applyFill="1"/>
    <xf numFmtId="1" fontId="2" fillId="4" borderId="0" xfId="0" applyNumberFormat="1" applyFont="1" applyFill="1"/>
    <xf numFmtId="177" fontId="2" fillId="4" borderId="0" xfId="2" applyNumberFormat="1" applyFont="1" applyFill="1"/>
    <xf numFmtId="0" fontId="3" fillId="2" borderId="0" xfId="4" applyFont="1" applyFill="1"/>
    <xf numFmtId="0" fontId="2" fillId="2" borderId="0" xfId="4" applyFont="1" applyFill="1"/>
    <xf numFmtId="15" fontId="5" fillId="2" borderId="1" xfId="1" applyNumberFormat="1">
      <alignment horizontal="right"/>
    </xf>
    <xf numFmtId="176" fontId="2" fillId="2" borderId="0" xfId="5"/>
    <xf numFmtId="0" fontId="2" fillId="6" borderId="0" xfId="4" applyFont="1" applyFill="1"/>
    <xf numFmtId="176" fontId="7" fillId="2" borderId="3" xfId="6"/>
    <xf numFmtId="177" fontId="15" fillId="4" borderId="0" xfId="7" applyNumberFormat="1" applyFont="1" applyFill="1"/>
    <xf numFmtId="9" fontId="2" fillId="2" borderId="0" xfId="4" applyNumberFormat="1" applyFont="1" applyFill="1"/>
    <xf numFmtId="0" fontId="2" fillId="2" borderId="0" xfId="5" applyNumberFormat="1"/>
    <xf numFmtId="0" fontId="7" fillId="2" borderId="5" xfId="4" applyFont="1" applyFill="1" applyBorder="1"/>
    <xf numFmtId="176" fontId="2" fillId="2" borderId="0" xfId="4" applyNumberFormat="1" applyFont="1" applyFill="1"/>
    <xf numFmtId="0" fontId="5" fillId="2" borderId="1" xfId="4" applyFont="1" applyFill="1" applyBorder="1"/>
    <xf numFmtId="178" fontId="2" fillId="2" borderId="0" xfId="4" applyNumberFormat="1" applyFont="1" applyFill="1"/>
    <xf numFmtId="176" fontId="7" fillId="2" borderId="2" xfId="8"/>
    <xf numFmtId="0" fontId="15" fillId="7" borderId="0" xfId="0" applyFont="1" applyFill="1"/>
    <xf numFmtId="176" fontId="15" fillId="7" borderId="0" xfId="0" applyNumberFormat="1" applyFont="1" applyFill="1"/>
    <xf numFmtId="0" fontId="4" fillId="3" borderId="0" xfId="0" applyFont="1" applyFill="1" applyAlignment="1">
      <alignment horizontal="center"/>
    </xf>
    <xf numFmtId="0" fontId="4" fillId="3" borderId="0" xfId="4" applyFont="1" applyFill="1" applyAlignment="1">
      <alignment horizontal="center"/>
    </xf>
  </cellXfs>
  <cellStyles count="9">
    <cellStyle name="_TableHead" xfId="3" xr:uid="{00000000-0005-0000-0000-000000000000}"/>
    <cellStyle name="General" xfId="5" xr:uid="{00000000-0005-0000-0000-000001000000}"/>
    <cellStyle name="Header" xfId="1" xr:uid="{00000000-0005-0000-0000-000002000000}"/>
    <cellStyle name="Normal" xfId="0" builtinId="0"/>
    <cellStyle name="Normal 2" xfId="4" xr:uid="{00000000-0005-0000-0000-000004000000}"/>
    <cellStyle name="Percent" xfId="2" builtinId="5"/>
    <cellStyle name="Percent 2" xfId="7" xr:uid="{00000000-0005-0000-0000-000006000000}"/>
    <cellStyle name="Subtotal" xfId="8" xr:uid="{00000000-0005-0000-0000-000007000000}"/>
    <cellStyle name="Total Formatting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3"/>
  <sheetViews>
    <sheetView topLeftCell="A10" workbookViewId="0">
      <selection activeCell="J38" sqref="J38"/>
    </sheetView>
  </sheetViews>
  <sheetFormatPr defaultColWidth="9.125" defaultRowHeight="11.4" x14ac:dyDescent="0.2"/>
  <cols>
    <col min="1" max="1" width="2" style="1" customWidth="1"/>
    <col min="2" max="2" width="18.25" style="1" customWidth="1"/>
    <col min="3" max="5" width="9.125" style="1"/>
    <col min="6" max="6" width="1.375" style="1" customWidth="1"/>
    <col min="7" max="16384" width="9.125" style="1"/>
  </cols>
  <sheetData>
    <row r="1" spans="2:13" ht="15.6" x14ac:dyDescent="0.3">
      <c r="B1" s="2" t="s">
        <v>103</v>
      </c>
    </row>
    <row r="3" spans="2:13" x14ac:dyDescent="0.2">
      <c r="B3" s="1" t="s">
        <v>104</v>
      </c>
    </row>
    <row r="6" spans="2:13" ht="12" x14ac:dyDescent="0.25">
      <c r="B6" s="23" t="s">
        <v>40</v>
      </c>
      <c r="C6" s="24" t="s">
        <v>35</v>
      </c>
    </row>
    <row r="8" spans="2:13" ht="12" x14ac:dyDescent="0.25">
      <c r="I8" s="46" t="s">
        <v>31</v>
      </c>
      <c r="J8" s="46"/>
      <c r="K8" s="46"/>
      <c r="L8" s="46"/>
      <c r="M8" s="46"/>
    </row>
    <row r="9" spans="2:13" ht="24.6" thickBot="1" x14ac:dyDescent="0.3">
      <c r="B9" s="4" t="s">
        <v>2</v>
      </c>
      <c r="C9" s="5">
        <v>2014</v>
      </c>
      <c r="D9" s="5">
        <v>2015</v>
      </c>
      <c r="E9" s="5">
        <v>2016</v>
      </c>
      <c r="G9" s="9" t="s">
        <v>6</v>
      </c>
      <c r="H9" s="9" t="s">
        <v>7</v>
      </c>
      <c r="I9" s="5">
        <v>2017</v>
      </c>
      <c r="J9" s="5">
        <v>2018</v>
      </c>
      <c r="K9" s="5">
        <v>2019</v>
      </c>
      <c r="L9" s="5">
        <v>2020</v>
      </c>
      <c r="M9" s="5">
        <v>2021</v>
      </c>
    </row>
    <row r="10" spans="2:13" x14ac:dyDescent="0.2">
      <c r="B10" s="3" t="s">
        <v>0</v>
      </c>
      <c r="C10" s="7">
        <v>6.44</v>
      </c>
      <c r="D10" s="7">
        <v>6.22</v>
      </c>
      <c r="E10" s="7">
        <v>6.42</v>
      </c>
      <c r="G10" s="10">
        <f t="shared" ref="G10:G11" si="0">D10/C10-1</f>
        <v>-3.4161490683229934E-2</v>
      </c>
      <c r="H10" s="10">
        <f t="shared" ref="H10:H11" si="1">E10/D10-1</f>
        <v>3.2154340836012985E-2</v>
      </c>
      <c r="I10" s="22"/>
      <c r="J10" s="22"/>
      <c r="K10" s="22"/>
      <c r="L10" s="22"/>
      <c r="M10" s="22"/>
    </row>
    <row r="11" spans="2:13" x14ac:dyDescent="0.2">
      <c r="B11" s="3" t="s">
        <v>1</v>
      </c>
      <c r="C11" s="7">
        <v>-0.27</v>
      </c>
      <c r="D11" s="7">
        <v>-0.27</v>
      </c>
      <c r="E11" s="7">
        <v>-0.27</v>
      </c>
      <c r="G11" s="10">
        <f t="shared" si="0"/>
        <v>0</v>
      </c>
      <c r="H11" s="10">
        <f t="shared" si="1"/>
        <v>0</v>
      </c>
      <c r="I11" s="22"/>
      <c r="J11" s="22"/>
      <c r="K11" s="22"/>
      <c r="L11" s="22"/>
      <c r="M11" s="22"/>
    </row>
    <row r="12" spans="2:13" ht="12" x14ac:dyDescent="0.25">
      <c r="B12" s="6" t="s">
        <v>3</v>
      </c>
      <c r="C12" s="8">
        <f>SUM(C10:C11)</f>
        <v>6.17</v>
      </c>
      <c r="D12" s="8">
        <f>SUM(D10:D11)</f>
        <v>5.9499999999999993</v>
      </c>
      <c r="E12" s="8">
        <f>SUM(E10:E11)</f>
        <v>6.15</v>
      </c>
      <c r="G12" s="11">
        <f>D12/C12-1</f>
        <v>-3.5656401944894722E-2</v>
      </c>
      <c r="H12" s="11">
        <f t="shared" ref="H12:H14" si="2">E12/D12-1</f>
        <v>3.3613445378151363E-2</v>
      </c>
      <c r="I12" s="8">
        <f>E12*(1+I26)</f>
        <v>6.2730000000000006</v>
      </c>
      <c r="J12" s="8">
        <f>I12*(1+J26)</f>
        <v>6.3984600000000009</v>
      </c>
      <c r="K12" s="8">
        <f>J12*(1+K26)</f>
        <v>6.5264292000000008</v>
      </c>
      <c r="L12" s="8">
        <f>K12*(1+L26)</f>
        <v>6.6569577840000012</v>
      </c>
      <c r="M12" s="8">
        <f>L12*(1+M26)</f>
        <v>6.7900969396800015</v>
      </c>
    </row>
    <row r="13" spans="2:13" x14ac:dyDescent="0.2">
      <c r="B13" s="3" t="s">
        <v>4</v>
      </c>
      <c r="C13" s="7">
        <v>-3.43</v>
      </c>
      <c r="D13" s="7">
        <v>-3.29</v>
      </c>
      <c r="E13" s="7">
        <v>-3.4</v>
      </c>
      <c r="G13" s="10">
        <f t="shared" ref="G13:G14" si="3">D13/C13-1</f>
        <v>-4.081632653061229E-2</v>
      </c>
      <c r="H13" s="10">
        <f t="shared" si="2"/>
        <v>3.3434650455927084E-2</v>
      </c>
      <c r="I13" s="7">
        <f>I12*I32</f>
        <v>-3.3874200000000005</v>
      </c>
      <c r="J13" s="7">
        <f t="shared" ref="J13:M13" si="4">J12*J32</f>
        <v>-3.4551684000000007</v>
      </c>
      <c r="K13" s="7">
        <f t="shared" si="4"/>
        <v>-3.5242717680000006</v>
      </c>
      <c r="L13" s="7">
        <f t="shared" si="4"/>
        <v>-3.5947572033600008</v>
      </c>
      <c r="M13" s="7">
        <f t="shared" si="4"/>
        <v>-3.6666523474272013</v>
      </c>
    </row>
    <row r="14" spans="2:13" ht="12" x14ac:dyDescent="0.25">
      <c r="B14" s="6" t="s">
        <v>5</v>
      </c>
      <c r="C14" s="8">
        <f>SUM(C12:C13)</f>
        <v>2.7399999999999998</v>
      </c>
      <c r="D14" s="8">
        <f t="shared" ref="D14:D20" si="5">SUM(D12:D13)</f>
        <v>2.6599999999999993</v>
      </c>
      <c r="E14" s="8">
        <f t="shared" ref="E14:E20" si="6">SUM(E12:E13)</f>
        <v>2.7500000000000004</v>
      </c>
      <c r="G14" s="11">
        <f t="shared" si="3"/>
        <v>-2.9197080291970989E-2</v>
      </c>
      <c r="H14" s="11">
        <f t="shared" si="2"/>
        <v>3.3834586466165772E-2</v>
      </c>
      <c r="I14" s="8">
        <f t="shared" ref="I14:M14" si="7">SUM(I12:I13)</f>
        <v>2.88558</v>
      </c>
      <c r="J14" s="8">
        <f t="shared" si="7"/>
        <v>2.9432916000000002</v>
      </c>
      <c r="K14" s="8">
        <f t="shared" si="7"/>
        <v>3.0021574320000002</v>
      </c>
      <c r="L14" s="8">
        <f t="shared" si="7"/>
        <v>3.0622005806400003</v>
      </c>
      <c r="M14" s="8">
        <f t="shared" si="7"/>
        <v>3.1234445922528002</v>
      </c>
    </row>
    <row r="15" spans="2:13" x14ac:dyDescent="0.2">
      <c r="B15" s="1" t="s">
        <v>8</v>
      </c>
      <c r="C15" s="7">
        <v>-0.6</v>
      </c>
      <c r="D15" s="7">
        <v>-0.55000000000000004</v>
      </c>
      <c r="E15" s="7">
        <v>-0.65</v>
      </c>
      <c r="G15" s="10">
        <f t="shared" ref="G15" si="8">D15/C15-1</f>
        <v>-8.3333333333333259E-2</v>
      </c>
      <c r="H15" s="10">
        <f t="shared" ref="H15" si="9">E15/D15-1</f>
        <v>0.18181818181818166</v>
      </c>
      <c r="I15" s="7">
        <f>I12*I38</f>
        <v>-0.56457000000000002</v>
      </c>
      <c r="J15" s="7">
        <f t="shared" ref="J15:M15" si="10">J12*J38</f>
        <v>-0.57586140000000008</v>
      </c>
      <c r="K15" s="7">
        <f t="shared" si="10"/>
        <v>-0.58737862800000007</v>
      </c>
      <c r="L15" s="7">
        <f t="shared" si="10"/>
        <v>-0.5991262005600001</v>
      </c>
      <c r="M15" s="7">
        <f t="shared" si="10"/>
        <v>-0.61110872457120013</v>
      </c>
    </row>
    <row r="16" spans="2:13" ht="12" x14ac:dyDescent="0.25">
      <c r="B16" s="6" t="s">
        <v>9</v>
      </c>
      <c r="C16" s="8">
        <f>SUM(C14:C15)</f>
        <v>2.1399999999999997</v>
      </c>
      <c r="D16" s="8">
        <f t="shared" si="5"/>
        <v>2.1099999999999994</v>
      </c>
      <c r="E16" s="8">
        <f t="shared" si="6"/>
        <v>2.1000000000000005</v>
      </c>
      <c r="G16" s="11">
        <f t="shared" ref="G16:G17" si="11">D16/C16-1</f>
        <v>-1.4018691588785215E-2</v>
      </c>
      <c r="H16" s="11">
        <f t="shared" ref="H16:H17" si="12">E16/D16-1</f>
        <v>-4.7393364928904891E-3</v>
      </c>
      <c r="I16" s="8">
        <f t="shared" ref="I16:M20" si="13">SUM(I14:I15)</f>
        <v>2.3210100000000002</v>
      </c>
      <c r="J16" s="8">
        <f t="shared" si="13"/>
        <v>2.3674302000000003</v>
      </c>
      <c r="K16" s="8">
        <f t="shared" si="13"/>
        <v>2.414778804</v>
      </c>
      <c r="L16" s="8">
        <f t="shared" si="13"/>
        <v>2.4630743800800001</v>
      </c>
      <c r="M16" s="8">
        <f t="shared" si="13"/>
        <v>2.5123358676816001</v>
      </c>
    </row>
    <row r="17" spans="2:13" x14ac:dyDescent="0.2">
      <c r="B17" s="1" t="s">
        <v>10</v>
      </c>
      <c r="C17" s="7">
        <v>-0.2</v>
      </c>
      <c r="D17" s="7">
        <v>-0.22</v>
      </c>
      <c r="E17" s="7">
        <v>-0.24</v>
      </c>
      <c r="G17" s="10">
        <f t="shared" si="11"/>
        <v>9.9999999999999867E-2</v>
      </c>
      <c r="H17" s="10">
        <f t="shared" si="12"/>
        <v>9.0909090909090828E-2</v>
      </c>
      <c r="I17" s="7">
        <f>'Fixed Assets Roll Forward'!F10</f>
        <v>-0.22279516061743845</v>
      </c>
      <c r="J17" s="7">
        <f>'Fixed Assets Roll Forward'!G10</f>
        <v>-0.22671162870637387</v>
      </c>
      <c r="K17" s="7">
        <f>'Fixed Assets Roll Forward'!H10</f>
        <v>-0.23075265059361241</v>
      </c>
      <c r="L17" s="7">
        <f>'Fixed Assets Roll Forward'!I10</f>
        <v>-0.23491675636252024</v>
      </c>
      <c r="M17" s="7">
        <f>'Fixed Assets Roll Forward'!J10</f>
        <v>-0.23920278611735477</v>
      </c>
    </row>
    <row r="18" spans="2:13" ht="12" x14ac:dyDescent="0.25">
      <c r="B18" s="6" t="s">
        <v>11</v>
      </c>
      <c r="C18" s="8">
        <f>SUM(C16:C17)</f>
        <v>1.9399999999999997</v>
      </c>
      <c r="D18" s="8">
        <f t="shared" si="5"/>
        <v>1.8899999999999995</v>
      </c>
      <c r="E18" s="8">
        <f t="shared" si="6"/>
        <v>1.8600000000000005</v>
      </c>
      <c r="G18" s="11">
        <f t="shared" ref="G18:G19" si="14">D18/C18-1</f>
        <v>-2.577319587628879E-2</v>
      </c>
      <c r="H18" s="11">
        <f t="shared" ref="H18:H19" si="15">E18/D18-1</f>
        <v>-1.5873015873015262E-2</v>
      </c>
      <c r="I18" s="8">
        <f t="shared" si="13"/>
        <v>2.0982148393825617</v>
      </c>
      <c r="J18" s="8">
        <f t="shared" si="13"/>
        <v>2.1407185712936263</v>
      </c>
      <c r="K18" s="8">
        <f t="shared" si="13"/>
        <v>2.1840261534063874</v>
      </c>
      <c r="L18" s="8">
        <f t="shared" si="13"/>
        <v>2.2281576237174798</v>
      </c>
      <c r="M18" s="8">
        <f t="shared" si="13"/>
        <v>2.2731330815642452</v>
      </c>
    </row>
    <row r="19" spans="2:13" x14ac:dyDescent="0.2">
      <c r="B19" s="1" t="s">
        <v>12</v>
      </c>
      <c r="C19" s="7">
        <v>-0.15</v>
      </c>
      <c r="D19" s="7">
        <v>-0.13</v>
      </c>
      <c r="E19" s="7">
        <v>-0.11</v>
      </c>
      <c r="G19" s="10">
        <f t="shared" si="14"/>
        <v>-0.1333333333333333</v>
      </c>
      <c r="H19" s="10">
        <f t="shared" si="15"/>
        <v>-0.15384615384615385</v>
      </c>
      <c r="I19" s="7">
        <f>'Financial Liabilities'!C21</f>
        <v>-9.7600000000000006E-2</v>
      </c>
      <c r="J19" s="7">
        <f>'Financial Liabilities'!D21</f>
        <v>-9.0862721903165439E-2</v>
      </c>
      <c r="K19" s="7">
        <f>'Financial Liabilities'!E21</f>
        <v>-8.358646155858411E-2</v>
      </c>
      <c r="L19" s="7">
        <f>'Financial Liabilities'!F21</f>
        <v>-7.5728100386436278E-2</v>
      </c>
      <c r="M19" s="7">
        <f>'Financial Liabilities'!G21</f>
        <v>-6.7241070320516613E-2</v>
      </c>
    </row>
    <row r="20" spans="2:13" ht="12" x14ac:dyDescent="0.25">
      <c r="B20" s="6" t="s">
        <v>13</v>
      </c>
      <c r="C20" s="8">
        <f>SUM(C18:C19)</f>
        <v>1.7899999999999998</v>
      </c>
      <c r="D20" s="8">
        <f t="shared" si="5"/>
        <v>1.7599999999999993</v>
      </c>
      <c r="E20" s="8">
        <f t="shared" si="6"/>
        <v>1.7500000000000004</v>
      </c>
      <c r="G20" s="11">
        <f t="shared" ref="G20:G21" si="16">D20/C20-1</f>
        <v>-1.6759776536313109E-2</v>
      </c>
      <c r="H20" s="11">
        <f t="shared" ref="H20:H21" si="17">E20/D20-1</f>
        <v>-5.6818181818175661E-3</v>
      </c>
      <c r="I20" s="8">
        <f t="shared" si="13"/>
        <v>2.0006148393825618</v>
      </c>
      <c r="J20" s="8">
        <f t="shared" si="13"/>
        <v>2.0498558493904611</v>
      </c>
      <c r="K20" s="8">
        <f t="shared" si="13"/>
        <v>2.1004396918478032</v>
      </c>
      <c r="L20" s="8">
        <f t="shared" si="13"/>
        <v>2.1524295233310435</v>
      </c>
      <c r="M20" s="8">
        <f t="shared" si="13"/>
        <v>2.2058920112437286</v>
      </c>
    </row>
    <row r="21" spans="2:13" x14ac:dyDescent="0.2">
      <c r="B21" s="1" t="s">
        <v>14</v>
      </c>
      <c r="C21" s="7">
        <f>-0.3*C20</f>
        <v>-0.53699999999999992</v>
      </c>
      <c r="D21" s="7">
        <f>-0.33*D20</f>
        <v>-0.58079999999999976</v>
      </c>
      <c r="E21" s="7">
        <f>-0.25*E20</f>
        <v>-0.43750000000000011</v>
      </c>
      <c r="G21" s="10">
        <f t="shared" si="16"/>
        <v>8.1564245810055613E-2</v>
      </c>
      <c r="H21" s="10">
        <f t="shared" si="17"/>
        <v>-0.24672865013774059</v>
      </c>
      <c r="I21" s="7">
        <f>I20*I43</f>
        <v>-0.70021519378389663</v>
      </c>
      <c r="J21" s="7">
        <f t="shared" ref="J21:M21" si="18">J20*J43</f>
        <v>-0.71744954728666133</v>
      </c>
      <c r="K21" s="7">
        <f t="shared" si="18"/>
        <v>-0.7351538921467311</v>
      </c>
      <c r="L21" s="7">
        <f t="shared" si="18"/>
        <v>-0.75335033316586519</v>
      </c>
      <c r="M21" s="7">
        <f t="shared" si="18"/>
        <v>-0.772062203935305</v>
      </c>
    </row>
    <row r="22" spans="2:13" ht="12.6" thickBot="1" x14ac:dyDescent="0.3">
      <c r="B22" s="13" t="s">
        <v>15</v>
      </c>
      <c r="C22" s="14">
        <f>SUM(C20:C21)</f>
        <v>1.2529999999999999</v>
      </c>
      <c r="D22" s="14">
        <f>SUM(D20:D21)</f>
        <v>1.1791999999999996</v>
      </c>
      <c r="E22" s="14">
        <f>SUM(E20:E21)</f>
        <v>1.3125000000000004</v>
      </c>
      <c r="F22" s="13"/>
      <c r="G22" s="15">
        <f t="shared" ref="G22" si="19">D22/C22-1</f>
        <v>-5.8898643256185435E-2</v>
      </c>
      <c r="H22" s="15">
        <f t="shared" ref="H22" si="20">E22/D22-1</f>
        <v>0.1130427408412491</v>
      </c>
      <c r="I22" s="14">
        <f>SUM(I20:I21)</f>
        <v>1.3003996455986653</v>
      </c>
      <c r="J22" s="14">
        <f t="shared" ref="J22:M22" si="21">SUM(J20:J21)</f>
        <v>1.3324063021037997</v>
      </c>
      <c r="K22" s="14">
        <f t="shared" si="21"/>
        <v>1.3652857997010721</v>
      </c>
      <c r="L22" s="14">
        <f t="shared" si="21"/>
        <v>1.3990791901651782</v>
      </c>
      <c r="M22" s="14">
        <f t="shared" si="21"/>
        <v>1.4338298073084235</v>
      </c>
    </row>
    <row r="24" spans="2:13" ht="12" x14ac:dyDescent="0.25">
      <c r="B24" s="21" t="s">
        <v>32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3" x14ac:dyDescent="0.2">
      <c r="B25" s="20" t="s">
        <v>33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2:13" ht="12" x14ac:dyDescent="0.25">
      <c r="B26" s="21" t="s">
        <v>34</v>
      </c>
      <c r="C26" s="20"/>
      <c r="D26" s="20"/>
      <c r="E26" s="20"/>
      <c r="F26" s="20"/>
      <c r="G26" s="20"/>
      <c r="H26" s="20"/>
      <c r="I26" s="27">
        <f>INDEX($I27:$I29,MATCH($C$6,$B27:$B29,0))</f>
        <v>0.02</v>
      </c>
      <c r="J26" s="27">
        <f t="shared" ref="J26:M26" si="22">INDEX($I$27:$I$29,MATCH($C$6,$B$27:$B$29,0))</f>
        <v>0.02</v>
      </c>
      <c r="K26" s="27">
        <f t="shared" si="22"/>
        <v>0.02</v>
      </c>
      <c r="L26" s="27">
        <f t="shared" si="22"/>
        <v>0.02</v>
      </c>
      <c r="M26" s="27">
        <f t="shared" si="22"/>
        <v>0.02</v>
      </c>
    </row>
    <row r="27" spans="2:13" x14ac:dyDescent="0.2">
      <c r="B27" s="20" t="s">
        <v>35</v>
      </c>
      <c r="C27" s="25"/>
      <c r="D27" s="25"/>
      <c r="E27" s="25"/>
      <c r="F27" s="20"/>
      <c r="G27" s="20"/>
      <c r="H27" s="20"/>
      <c r="I27" s="26">
        <v>0.02</v>
      </c>
      <c r="J27" s="26">
        <v>0.02</v>
      </c>
      <c r="K27" s="26">
        <v>0.02</v>
      </c>
      <c r="L27" s="26">
        <v>0.02</v>
      </c>
      <c r="M27" s="26">
        <v>0.02</v>
      </c>
    </row>
    <row r="28" spans="2:13" x14ac:dyDescent="0.2">
      <c r="B28" s="20" t="s">
        <v>36</v>
      </c>
      <c r="C28" s="25"/>
      <c r="D28" s="25"/>
      <c r="E28" s="25"/>
      <c r="F28" s="20"/>
      <c r="G28" s="20"/>
      <c r="H28" s="20"/>
      <c r="I28" s="26">
        <v>0.01</v>
      </c>
      <c r="J28" s="26">
        <v>0.01</v>
      </c>
      <c r="K28" s="26">
        <v>0.01</v>
      </c>
      <c r="L28" s="26">
        <v>0.01</v>
      </c>
      <c r="M28" s="26">
        <v>0.01</v>
      </c>
    </row>
    <row r="29" spans="2:13" x14ac:dyDescent="0.2">
      <c r="B29" s="20" t="s">
        <v>37</v>
      </c>
      <c r="C29" s="25"/>
      <c r="D29" s="25"/>
      <c r="E29" s="25"/>
      <c r="F29" s="20"/>
      <c r="G29" s="20"/>
      <c r="H29" s="20"/>
      <c r="I29" s="26">
        <v>0</v>
      </c>
      <c r="J29" s="26">
        <v>0</v>
      </c>
      <c r="K29" s="26">
        <v>0</v>
      </c>
      <c r="L29" s="26">
        <v>0</v>
      </c>
      <c r="M29" s="26">
        <v>0</v>
      </c>
    </row>
    <row r="30" spans="2:13" x14ac:dyDescent="0.2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2:13" x14ac:dyDescent="0.2">
      <c r="B31" s="20" t="s">
        <v>38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2:13" ht="12" x14ac:dyDescent="0.25">
      <c r="B32" s="21" t="s">
        <v>34</v>
      </c>
      <c r="C32" s="20"/>
      <c r="D32" s="20"/>
      <c r="E32" s="20"/>
      <c r="F32" s="20"/>
      <c r="G32" s="20"/>
      <c r="H32" s="20"/>
      <c r="I32" s="27">
        <f>INDEX($I33:$I35,MATCH($C$6,$B33:$B35,0))</f>
        <v>-0.54</v>
      </c>
      <c r="J32" s="27">
        <f t="shared" ref="J32:M32" si="23">INDEX($I33:$I35,MATCH($C$6,$B33:$B35,0))</f>
        <v>-0.54</v>
      </c>
      <c r="K32" s="27">
        <f t="shared" si="23"/>
        <v>-0.54</v>
      </c>
      <c r="L32" s="27">
        <f t="shared" si="23"/>
        <v>-0.54</v>
      </c>
      <c r="M32" s="27">
        <f t="shared" si="23"/>
        <v>-0.54</v>
      </c>
    </row>
    <row r="33" spans="2:13" x14ac:dyDescent="0.2">
      <c r="B33" s="20" t="s">
        <v>35</v>
      </c>
      <c r="C33" s="26">
        <f>C13/C$12</f>
        <v>-0.55591572123176669</v>
      </c>
      <c r="D33" s="26">
        <f>D13/D$12</f>
        <v>-0.55294117647058827</v>
      </c>
      <c r="E33" s="26">
        <f>E13/E$12</f>
        <v>-0.55284552845528445</v>
      </c>
      <c r="F33" s="20"/>
      <c r="G33" s="20"/>
      <c r="H33" s="20"/>
      <c r="I33" s="26">
        <v>-0.54</v>
      </c>
      <c r="J33" s="26">
        <v>-0.54</v>
      </c>
      <c r="K33" s="26">
        <v>-0.54</v>
      </c>
      <c r="L33" s="26">
        <v>-0.54</v>
      </c>
      <c r="M33" s="26">
        <v>-0.54</v>
      </c>
    </row>
    <row r="34" spans="2:13" x14ac:dyDescent="0.2">
      <c r="B34" s="20" t="s">
        <v>36</v>
      </c>
      <c r="C34" s="26">
        <f>C13/C$12</f>
        <v>-0.55591572123176669</v>
      </c>
      <c r="D34" s="26">
        <f>D13/D$12</f>
        <v>-0.55294117647058827</v>
      </c>
      <c r="E34" s="26">
        <f>E13/E$12</f>
        <v>-0.55284552845528445</v>
      </c>
      <c r="F34" s="20"/>
      <c r="G34" s="20"/>
      <c r="H34" s="20"/>
      <c r="I34" s="26">
        <f>AVERAGE($C$34:$E$34)</f>
        <v>-0.5539008087192131</v>
      </c>
      <c r="J34" s="26">
        <f>AVERAGE($C$34:$E$34)</f>
        <v>-0.5539008087192131</v>
      </c>
      <c r="K34" s="26">
        <f>AVERAGE($C$34:$E$34)</f>
        <v>-0.5539008087192131</v>
      </c>
      <c r="L34" s="26">
        <f>AVERAGE($C$34:$E$34)</f>
        <v>-0.5539008087192131</v>
      </c>
      <c r="M34" s="26">
        <f>AVERAGE($C$34:$E$34)</f>
        <v>-0.5539008087192131</v>
      </c>
    </row>
    <row r="35" spans="2:13" x14ac:dyDescent="0.2">
      <c r="B35" s="20" t="s">
        <v>37</v>
      </c>
      <c r="C35" s="26">
        <f>C13/C$12</f>
        <v>-0.55591572123176669</v>
      </c>
      <c r="D35" s="26">
        <f>D13/D$12</f>
        <v>-0.55294117647058827</v>
      </c>
      <c r="E35" s="26">
        <f>E13/E$12</f>
        <v>-0.55284552845528445</v>
      </c>
      <c r="F35" s="20"/>
      <c r="G35" s="20"/>
      <c r="H35" s="20"/>
      <c r="I35" s="26">
        <v>-0.56000000000000005</v>
      </c>
      <c r="J35" s="26">
        <v>-0.56000000000000005</v>
      </c>
      <c r="K35" s="26">
        <v>-0.56000000000000005</v>
      </c>
      <c r="L35" s="26">
        <v>-0.56000000000000005</v>
      </c>
      <c r="M35" s="26">
        <v>-0.56000000000000005</v>
      </c>
    </row>
    <row r="36" spans="2:13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 x14ac:dyDescent="0.2">
      <c r="B37" s="20" t="s">
        <v>39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2:13" ht="12" x14ac:dyDescent="0.25">
      <c r="B38" s="21" t="s">
        <v>34</v>
      </c>
      <c r="C38" s="20"/>
      <c r="D38" s="20"/>
      <c r="E38" s="20"/>
      <c r="F38" s="20"/>
      <c r="G38" s="20"/>
      <c r="H38" s="20"/>
      <c r="I38" s="27">
        <f t="shared" ref="I38:M38" si="24">INDEX($I39:$I41,MATCH($C$6,$B39:$B41,0))</f>
        <v>-0.09</v>
      </c>
      <c r="J38" s="27">
        <f t="shared" si="24"/>
        <v>-0.09</v>
      </c>
      <c r="K38" s="27">
        <f t="shared" si="24"/>
        <v>-0.09</v>
      </c>
      <c r="L38" s="27">
        <f t="shared" si="24"/>
        <v>-0.09</v>
      </c>
      <c r="M38" s="27">
        <f t="shared" si="24"/>
        <v>-0.09</v>
      </c>
    </row>
    <row r="39" spans="2:13" x14ac:dyDescent="0.2">
      <c r="B39" s="20" t="s">
        <v>35</v>
      </c>
      <c r="C39" s="26">
        <f>C15/C$12</f>
        <v>-9.7244732576985404E-2</v>
      </c>
      <c r="D39" s="26">
        <f>D15/D$12</f>
        <v>-9.2436974789915985E-2</v>
      </c>
      <c r="E39" s="26">
        <f>E15/E$12</f>
        <v>-0.1056910569105691</v>
      </c>
      <c r="F39" s="20"/>
      <c r="G39" s="20"/>
      <c r="H39" s="20"/>
      <c r="I39" s="26">
        <v>-0.09</v>
      </c>
      <c r="J39" s="26">
        <v>-0.09</v>
      </c>
      <c r="K39" s="26">
        <v>-0.09</v>
      </c>
      <c r="L39" s="26">
        <v>-0.09</v>
      </c>
      <c r="M39" s="26">
        <v>-0.09</v>
      </c>
    </row>
    <row r="40" spans="2:13" x14ac:dyDescent="0.2">
      <c r="B40" s="20" t="s">
        <v>36</v>
      </c>
      <c r="C40" s="26">
        <f>C15/C$12</f>
        <v>-9.7244732576985404E-2</v>
      </c>
      <c r="D40" s="26">
        <f>D15/D$12</f>
        <v>-9.2436974789915985E-2</v>
      </c>
      <c r="E40" s="26">
        <f>E15/E$12</f>
        <v>-0.1056910569105691</v>
      </c>
      <c r="F40" s="20"/>
      <c r="G40" s="20"/>
      <c r="H40" s="20"/>
      <c r="I40" s="26">
        <f>AVERAGE($C$40:$E$40)</f>
        <v>-9.8457588092490167E-2</v>
      </c>
      <c r="J40" s="26">
        <f t="shared" ref="J40:M40" si="25">AVERAGE($C$40:$E$40)</f>
        <v>-9.8457588092490167E-2</v>
      </c>
      <c r="K40" s="26">
        <f t="shared" si="25"/>
        <v>-9.8457588092490167E-2</v>
      </c>
      <c r="L40" s="26">
        <f t="shared" si="25"/>
        <v>-9.8457588092490167E-2</v>
      </c>
      <c r="M40" s="26">
        <f t="shared" si="25"/>
        <v>-9.8457588092490167E-2</v>
      </c>
    </row>
    <row r="41" spans="2:13" x14ac:dyDescent="0.2">
      <c r="B41" s="20" t="s">
        <v>37</v>
      </c>
      <c r="C41" s="26">
        <f>C15/C$12</f>
        <v>-9.7244732576985404E-2</v>
      </c>
      <c r="D41" s="26">
        <f>D15/D$12</f>
        <v>-9.2436974789915985E-2</v>
      </c>
      <c r="E41" s="26">
        <f>E15/E$12</f>
        <v>-0.1056910569105691</v>
      </c>
      <c r="F41" s="20"/>
      <c r="G41" s="20"/>
      <c r="H41" s="20"/>
      <c r="I41" s="26">
        <v>-0.11</v>
      </c>
      <c r="J41" s="26">
        <v>-0.11</v>
      </c>
      <c r="K41" s="26">
        <v>-0.11</v>
      </c>
      <c r="L41" s="26">
        <v>-0.11</v>
      </c>
      <c r="M41" s="26">
        <v>-0.11</v>
      </c>
    </row>
    <row r="42" spans="2:13" ht="12" x14ac:dyDescent="0.25">
      <c r="B42" s="21"/>
      <c r="C42" s="20"/>
      <c r="D42" s="20"/>
      <c r="E42" s="20"/>
      <c r="F42" s="20"/>
      <c r="G42" s="20"/>
      <c r="H42" s="20"/>
      <c r="I42" s="27"/>
      <c r="J42" s="27"/>
      <c r="K42" s="27"/>
      <c r="L42" s="27"/>
      <c r="M42" s="27"/>
    </row>
    <row r="43" spans="2:13" x14ac:dyDescent="0.2">
      <c r="B43" s="20" t="s">
        <v>14</v>
      </c>
      <c r="C43" s="26">
        <f>C21/C22</f>
        <v>-0.42857142857142855</v>
      </c>
      <c r="D43" s="26">
        <f>D21/D22</f>
        <v>-0.4925373134328358</v>
      </c>
      <c r="E43" s="26">
        <f>E21/E22</f>
        <v>-0.33333333333333331</v>
      </c>
      <c r="F43" s="20"/>
      <c r="G43" s="20"/>
      <c r="H43" s="20"/>
      <c r="I43" s="26">
        <v>-0.35</v>
      </c>
      <c r="J43" s="26">
        <v>-0.35</v>
      </c>
      <c r="K43" s="26">
        <v>-0.35</v>
      </c>
      <c r="L43" s="26">
        <v>-0.35</v>
      </c>
      <c r="M43" s="26">
        <v>-0.35</v>
      </c>
    </row>
  </sheetData>
  <mergeCells count="1">
    <mergeCell ref="I8:M8"/>
  </mergeCells>
  <phoneticPr fontId="16" type="noConversion"/>
  <conditionalFormatting sqref="G13:H14">
    <cfRule type="iconSet" priority="17">
      <iconSet>
        <cfvo type="percent" val="0"/>
        <cfvo type="num" val="0"/>
        <cfvo type="num" val="0.1"/>
      </iconSet>
    </cfRule>
  </conditionalFormatting>
  <conditionalFormatting sqref="G10:H11">
    <cfRule type="iconSet" priority="13">
      <iconSet>
        <cfvo type="percent" val="0"/>
        <cfvo type="num" val="0"/>
        <cfvo type="num" val="0.1"/>
      </iconSet>
    </cfRule>
  </conditionalFormatting>
  <conditionalFormatting sqref="G12:H12">
    <cfRule type="iconSet" priority="12">
      <iconSet>
        <cfvo type="percent" val="0"/>
        <cfvo type="num" val="0"/>
        <cfvo type="num" val="0.1"/>
      </iconSet>
    </cfRule>
  </conditionalFormatting>
  <conditionalFormatting sqref="G16:H16">
    <cfRule type="iconSet" priority="10">
      <iconSet>
        <cfvo type="percent" val="0"/>
        <cfvo type="num" val="0"/>
        <cfvo type="num" val="0.1"/>
      </iconSet>
    </cfRule>
  </conditionalFormatting>
  <conditionalFormatting sqref="G15:H15">
    <cfRule type="iconSet" priority="9">
      <iconSet>
        <cfvo type="percent" val="0"/>
        <cfvo type="num" val="0"/>
        <cfvo type="num" val="0.1"/>
      </iconSet>
    </cfRule>
  </conditionalFormatting>
  <conditionalFormatting sqref="G17:H17">
    <cfRule type="iconSet" priority="8">
      <iconSet>
        <cfvo type="percent" val="0"/>
        <cfvo type="num" val="0"/>
        <cfvo type="num" val="0.1"/>
      </iconSet>
    </cfRule>
  </conditionalFormatting>
  <conditionalFormatting sqref="G18:H18">
    <cfRule type="iconSet" priority="7">
      <iconSet>
        <cfvo type="percent" val="0"/>
        <cfvo type="num" val="0"/>
        <cfvo type="num" val="0.1"/>
      </iconSet>
    </cfRule>
  </conditionalFormatting>
  <conditionalFormatting sqref="G19:H19">
    <cfRule type="iconSet" priority="5">
      <iconSet>
        <cfvo type="percent" val="0"/>
        <cfvo type="num" val="0"/>
        <cfvo type="num" val="0.1"/>
      </iconSet>
    </cfRule>
  </conditionalFormatting>
  <conditionalFormatting sqref="G20:H20">
    <cfRule type="iconSet" priority="4">
      <iconSet>
        <cfvo type="percent" val="0"/>
        <cfvo type="num" val="0"/>
        <cfvo type="num" val="0.1"/>
      </iconSet>
    </cfRule>
  </conditionalFormatting>
  <conditionalFormatting sqref="G21:H21">
    <cfRule type="iconSet" priority="2">
      <iconSet>
        <cfvo type="percent" val="0"/>
        <cfvo type="num" val="0"/>
        <cfvo type="num" val="0.1"/>
      </iconSet>
    </cfRule>
  </conditionalFormatting>
  <conditionalFormatting sqref="G22:H22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6" xr:uid="{00000000-0002-0000-0100-000000000000}">
      <formula1>$B$27:$B$29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2"/>
  <sheetViews>
    <sheetView topLeftCell="A2" workbookViewId="0">
      <selection activeCell="Q22" sqref="Q22"/>
    </sheetView>
  </sheetViews>
  <sheetFormatPr defaultColWidth="9.125" defaultRowHeight="11.4" x14ac:dyDescent="0.2"/>
  <cols>
    <col min="1" max="1" width="2" style="1" customWidth="1"/>
    <col min="2" max="2" width="26.875" style="1" bestFit="1" customWidth="1"/>
    <col min="3" max="5" width="9.125" style="1"/>
    <col min="6" max="6" width="1.375" style="1" customWidth="1"/>
    <col min="7" max="16384" width="9.125" style="1"/>
  </cols>
  <sheetData>
    <row r="1" spans="2:14" ht="15.6" x14ac:dyDescent="0.3">
      <c r="B1" s="2" t="s">
        <v>105</v>
      </c>
    </row>
    <row r="5" spans="2:14" ht="12" x14ac:dyDescent="0.25">
      <c r="G5" s="46" t="s">
        <v>31</v>
      </c>
      <c r="H5" s="46"/>
      <c r="I5" s="46"/>
      <c r="J5" s="46"/>
      <c r="K5" s="46"/>
    </row>
    <row r="6" spans="2:14" ht="24.6" thickBot="1" x14ac:dyDescent="0.3">
      <c r="B6" s="16" t="s">
        <v>30</v>
      </c>
      <c r="C6" s="9" t="s">
        <v>41</v>
      </c>
      <c r="D6" s="9" t="s">
        <v>43</v>
      </c>
      <c r="E6" s="9" t="s">
        <v>42</v>
      </c>
      <c r="G6" s="9" t="s">
        <v>44</v>
      </c>
      <c r="H6" s="9" t="s">
        <v>45</v>
      </c>
      <c r="I6" s="9" t="s">
        <v>46</v>
      </c>
      <c r="J6" s="9" t="s">
        <v>47</v>
      </c>
      <c r="K6" s="9" t="s">
        <v>48</v>
      </c>
    </row>
    <row r="7" spans="2:14" x14ac:dyDescent="0.2">
      <c r="B7" s="17" t="s">
        <v>16</v>
      </c>
      <c r="C7" s="7">
        <v>1.22</v>
      </c>
      <c r="D7" s="7">
        <v>1.1000000000000001</v>
      </c>
      <c r="E7" s="7">
        <v>1.36</v>
      </c>
      <c r="F7" s="7"/>
      <c r="G7" s="12">
        <f>E7+'Cash flow'!C18</f>
        <v>2.3785393663460273</v>
      </c>
      <c r="H7" s="12">
        <f>G7+'Cash flow'!D18</f>
        <v>3.1102757608181935</v>
      </c>
      <c r="I7" s="12">
        <f>H7+'Cash flow'!E18</f>
        <v>3.8550584373231152</v>
      </c>
      <c r="J7" s="12">
        <f>I7+'Cash flow'!F18</f>
        <v>4.6129334213651205</v>
      </c>
      <c r="K7" s="12">
        <f>J7+'Cash flow'!G18</f>
        <v>5.3839266505040682</v>
      </c>
    </row>
    <row r="8" spans="2:14" x14ac:dyDescent="0.2">
      <c r="B8" s="17" t="s">
        <v>17</v>
      </c>
      <c r="C8" s="7">
        <v>1.32</v>
      </c>
      <c r="D8" s="7">
        <v>1.4</v>
      </c>
      <c r="E8" s="7">
        <v>1.52</v>
      </c>
      <c r="F8" s="7"/>
      <c r="G8" s="7">
        <f>G23*'P&amp;L'!I12/360</f>
        <v>1.4561452188006485</v>
      </c>
      <c r="H8" s="7">
        <f>H23*'P&amp;L'!J12/360</f>
        <v>1.4852681231766613</v>
      </c>
      <c r="I8" s="7">
        <f>I23*'P&amp;L'!K12/360</f>
        <v>1.5149734856401946</v>
      </c>
      <c r="J8" s="7">
        <f>J23*'P&amp;L'!L12/360</f>
        <v>1.5452729553529985</v>
      </c>
      <c r="K8" s="7">
        <f>K23*'P&amp;L'!M12/360</f>
        <v>1.5761784144600588</v>
      </c>
    </row>
    <row r="9" spans="2:14" x14ac:dyDescent="0.2">
      <c r="B9" s="17" t="s">
        <v>18</v>
      </c>
      <c r="C9" s="7">
        <v>0.91</v>
      </c>
      <c r="D9" s="7">
        <v>0.97</v>
      </c>
      <c r="E9" s="7">
        <v>1.01</v>
      </c>
      <c r="F9" s="7"/>
      <c r="G9" s="7">
        <f>-G24*'P&amp;L'!I$13/360</f>
        <v>0.96789629309596203</v>
      </c>
      <c r="H9" s="7">
        <f>-H24*'P&amp;L'!J$13/360</f>
        <v>0.98725421895788124</v>
      </c>
      <c r="I9" s="7">
        <f>-I24*'P&amp;L'!K$13/360</f>
        <v>1.0069993033370388</v>
      </c>
      <c r="J9" s="7">
        <f>-J24*'P&amp;L'!L$13/360</f>
        <v>1.0271392894037796</v>
      </c>
      <c r="K9" s="7">
        <f>-K24*'P&amp;L'!M$13/360</f>
        <v>1.0476820751918554</v>
      </c>
    </row>
    <row r="10" spans="2:14" x14ac:dyDescent="0.2">
      <c r="B10" s="17" t="s">
        <v>19</v>
      </c>
      <c r="C10" s="7">
        <v>1.34</v>
      </c>
      <c r="D10" s="7">
        <v>1.65</v>
      </c>
      <c r="E10" s="7">
        <v>1.49</v>
      </c>
      <c r="F10" s="7"/>
      <c r="G10" s="7">
        <f>G26*'P&amp;L'!I$12</f>
        <v>1.5405803195184073</v>
      </c>
      <c r="H10" s="7">
        <f>H26*'P&amp;L'!J$12</f>
        <v>1.5713919259087756</v>
      </c>
      <c r="I10" s="7">
        <f>I26*'P&amp;L'!K$12</f>
        <v>1.6028197644269511</v>
      </c>
      <c r="J10" s="7">
        <f>J26*'P&amp;L'!L$12</f>
        <v>1.6348761597154902</v>
      </c>
      <c r="K10" s="7">
        <f>K26*'P&amp;L'!M$12</f>
        <v>1.6675736829098</v>
      </c>
    </row>
    <row r="11" spans="2:14" x14ac:dyDescent="0.2">
      <c r="B11" s="1" t="s">
        <v>28</v>
      </c>
      <c r="C11" s="7">
        <f>C10+C9+0.3</f>
        <v>2.5499999999999998</v>
      </c>
      <c r="D11" s="7">
        <f>D10+D9+0.2</f>
        <v>2.8200000000000003</v>
      </c>
      <c r="E11" s="7">
        <f>E10+E9+0.1</f>
        <v>2.6</v>
      </c>
      <c r="F11" s="7"/>
      <c r="G11" s="7">
        <f>'Fixed Assets Roll Forward'!F12</f>
        <v>2.645704839382562</v>
      </c>
      <c r="H11" s="7">
        <f>'Fixed Assets Roll Forward'!G12</f>
        <v>2.6928632106761881</v>
      </c>
      <c r="I11" s="7">
        <f>'Fixed Assets Roll Forward'!H12</f>
        <v>2.7414579600825757</v>
      </c>
      <c r="J11" s="7">
        <f>'Fixed Assets Roll Forward'!I12</f>
        <v>2.7914755517200556</v>
      </c>
      <c r="K11" s="7">
        <f>'Fixed Assets Roll Forward'!J12</f>
        <v>2.842905800562701</v>
      </c>
      <c r="N11" s="1" t="s">
        <v>92</v>
      </c>
    </row>
    <row r="12" spans="2:14" x14ac:dyDescent="0.2">
      <c r="B12" s="17" t="s">
        <v>29</v>
      </c>
      <c r="C12" s="7">
        <v>2.0499999999999998</v>
      </c>
      <c r="D12" s="7">
        <v>2.27</v>
      </c>
      <c r="E12" s="7">
        <v>2.62</v>
      </c>
      <c r="F12" s="7"/>
      <c r="G12" s="7">
        <f>G27*'P&amp;L'!I$12</f>
        <v>2.3832835378559851</v>
      </c>
      <c r="H12" s="7">
        <f>H27*'P&amp;L'!J$12</f>
        <v>2.430949208613105</v>
      </c>
      <c r="I12" s="7">
        <f>I27*'P&amp;L'!K$12</f>
        <v>2.4795681927853672</v>
      </c>
      <c r="J12" s="7">
        <f>J27*'P&amp;L'!L$12</f>
        <v>2.5291595566410745</v>
      </c>
      <c r="K12" s="7">
        <f>K27*'P&amp;L'!M$12</f>
        <v>2.5797427477738961</v>
      </c>
    </row>
    <row r="13" spans="2:14" ht="12.6" thickBot="1" x14ac:dyDescent="0.3">
      <c r="B13" s="18" t="s">
        <v>20</v>
      </c>
      <c r="C13" s="19">
        <f>SUM(C7:C12)</f>
        <v>9.39</v>
      </c>
      <c r="D13" s="19">
        <f t="shared" ref="D13:E13" si="0">SUM(D7:D12)</f>
        <v>10.209999999999999</v>
      </c>
      <c r="E13" s="19">
        <f t="shared" si="0"/>
        <v>10.600000000000001</v>
      </c>
      <c r="G13" s="19">
        <f t="shared" ref="G13" si="1">SUM(G7:G12)</f>
        <v>11.372149574999593</v>
      </c>
      <c r="H13" s="19">
        <f t="shared" ref="H13" si="2">SUM(H7:H12)</f>
        <v>12.278002448150806</v>
      </c>
      <c r="I13" s="19">
        <f t="shared" ref="I13" si="3">SUM(I7:I12)</f>
        <v>13.200877143595243</v>
      </c>
      <c r="J13" s="19">
        <f t="shared" ref="J13" si="4">SUM(J7:J12)</f>
        <v>14.140856934198519</v>
      </c>
      <c r="K13" s="19">
        <f t="shared" ref="K13" si="5">SUM(K7:K12)</f>
        <v>15.09800937140238</v>
      </c>
    </row>
    <row r="14" spans="2:14" x14ac:dyDescent="0.2">
      <c r="B14" s="17"/>
    </row>
    <row r="15" spans="2:14" x14ac:dyDescent="0.2">
      <c r="B15" s="17" t="s">
        <v>21</v>
      </c>
      <c r="C15" s="7">
        <v>1.23</v>
      </c>
      <c r="D15" s="7">
        <v>1.37</v>
      </c>
      <c r="E15" s="7">
        <v>1.34</v>
      </c>
      <c r="G15" s="7">
        <f>-G25*'P&amp;L'!I$13/360</f>
        <v>1.3201132593511571</v>
      </c>
      <c r="H15" s="7">
        <f>-H25*'P&amp;L'!J$13/360</f>
        <v>1.3465155245381804</v>
      </c>
      <c r="I15" s="7">
        <f>-I25*'P&amp;L'!K$13/360</f>
        <v>1.3734458350289438</v>
      </c>
      <c r="J15" s="7">
        <f>-J25*'P&amp;L'!L$13/360</f>
        <v>1.4009147517295231</v>
      </c>
      <c r="K15" s="7">
        <f>-K25*'P&amp;L'!M$13/360</f>
        <v>1.4289330467641135</v>
      </c>
    </row>
    <row r="16" spans="2:14" x14ac:dyDescent="0.2">
      <c r="B16" s="17" t="s">
        <v>22</v>
      </c>
      <c r="C16" s="7">
        <v>0.22</v>
      </c>
      <c r="D16" s="7">
        <v>0.12</v>
      </c>
      <c r="E16" s="7">
        <v>0.14000000000000001</v>
      </c>
      <c r="G16" s="7">
        <f>G28*'P&amp;L'!I$12</f>
        <v>0.1643289650382033</v>
      </c>
      <c r="H16" s="7">
        <f>H28*'P&amp;L'!J$12</f>
        <v>0.16761554433896736</v>
      </c>
      <c r="I16" s="7">
        <f>I28*'P&amp;L'!K$12</f>
        <v>0.17096785522574673</v>
      </c>
      <c r="J16" s="7">
        <f>J28*'P&amp;L'!L$12</f>
        <v>0.17438721233026167</v>
      </c>
      <c r="K16" s="7">
        <f>K28*'P&amp;L'!M$12</f>
        <v>0.17787495657686689</v>
      </c>
    </row>
    <row r="17" spans="2:11" x14ac:dyDescent="0.2">
      <c r="B17" s="17" t="s">
        <v>23</v>
      </c>
      <c r="C17" s="7">
        <v>0.89</v>
      </c>
      <c r="D17" s="7">
        <v>0.94</v>
      </c>
      <c r="E17" s="7">
        <v>0.97</v>
      </c>
      <c r="G17" s="7">
        <f>G29*'P&amp;L'!I$12</f>
        <v>0.96176198194026408</v>
      </c>
      <c r="H17" s="7">
        <f>H29*'P&amp;L'!J$12</f>
        <v>0.98099722157906943</v>
      </c>
      <c r="I17" s="7">
        <f>I29*'P&amp;L'!K$12</f>
        <v>1.0006171660106506</v>
      </c>
      <c r="J17" s="7">
        <f>J29*'P&amp;L'!L$12</f>
        <v>1.0206295093308637</v>
      </c>
      <c r="K17" s="7">
        <f>K29*'P&amp;L'!M$12</f>
        <v>1.0410420995174812</v>
      </c>
    </row>
    <row r="18" spans="2:11" x14ac:dyDescent="0.2">
      <c r="B18" s="17" t="s">
        <v>24</v>
      </c>
      <c r="C18" s="7">
        <v>1.67</v>
      </c>
      <c r="D18" s="7">
        <v>1.44</v>
      </c>
      <c r="E18" s="7">
        <v>1.22</v>
      </c>
      <c r="G18" s="7">
        <f>'Financial Liabilities'!F12</f>
        <v>1.135784023789568</v>
      </c>
      <c r="H18" s="7">
        <f>'Financial Liabilities'!G12</f>
        <v>1.0448307694823014</v>
      </c>
      <c r="I18" s="7">
        <f>'Financial Liabilities'!H12</f>
        <v>0.94660125483045343</v>
      </c>
      <c r="J18" s="7">
        <f>'Financial Liabilities'!I12</f>
        <v>0.84051337900645773</v>
      </c>
      <c r="K18" s="7">
        <f>'Financial Liabilities'!J12</f>
        <v>0.72593847311654236</v>
      </c>
    </row>
    <row r="19" spans="2:11" x14ac:dyDescent="0.2">
      <c r="B19" s="17" t="s">
        <v>25</v>
      </c>
      <c r="C19" s="7">
        <f>0.6</f>
        <v>0.6</v>
      </c>
      <c r="D19" s="7">
        <f>0.8</f>
        <v>0.8</v>
      </c>
      <c r="E19" s="7">
        <f>0.81</f>
        <v>0.81</v>
      </c>
      <c r="G19" s="7">
        <f>G30*'P&amp;L'!I$12</f>
        <v>0.75988159296133373</v>
      </c>
      <c r="H19" s="7">
        <f>H30*'P&amp;L'!J$12</f>
        <v>0.77507922482056046</v>
      </c>
      <c r="I19" s="7">
        <f>I30*'P&amp;L'!K$12</f>
        <v>0.79058080931697172</v>
      </c>
      <c r="J19" s="7">
        <f>J30*'P&amp;L'!L$12</f>
        <v>0.80639242550331114</v>
      </c>
      <c r="K19" s="7">
        <f>K30*'P&amp;L'!M$12</f>
        <v>0.82252027401337746</v>
      </c>
    </row>
    <row r="20" spans="2:11" x14ac:dyDescent="0.2">
      <c r="B20" s="1" t="s">
        <v>26</v>
      </c>
      <c r="C20" s="12">
        <v>4.7932213333333333</v>
      </c>
      <c r="D20" s="12">
        <v>5.5322150555555565</v>
      </c>
      <c r="E20" s="12">
        <v>6.0783935777777778</v>
      </c>
      <c r="G20" s="7">
        <f>'Equity schedule'!F13</f>
        <v>6.9886733296968426</v>
      </c>
      <c r="H20" s="7">
        <f>'Equity schedule'!G13</f>
        <v>7.9213577411695031</v>
      </c>
      <c r="I20" s="7">
        <f>'Equity schedule'!H13</f>
        <v>8.8770578009602534</v>
      </c>
      <c r="J20" s="7">
        <f>'Equity schedule'!I13</f>
        <v>9.8564132340758785</v>
      </c>
      <c r="K20" s="7">
        <f>'Equity schedule'!J13</f>
        <v>10.860094099191775</v>
      </c>
    </row>
    <row r="21" spans="2:11" ht="12.6" thickBot="1" x14ac:dyDescent="0.3">
      <c r="B21" s="18" t="s">
        <v>27</v>
      </c>
      <c r="C21" s="19">
        <f>SUM(C15:C20)</f>
        <v>9.4032213333333328</v>
      </c>
      <c r="D21" s="19">
        <f>SUM(D15:D20)</f>
        <v>10.202215055555556</v>
      </c>
      <c r="E21" s="19">
        <f>SUM(E15:E20)</f>
        <v>10.558393577777778</v>
      </c>
      <c r="G21" s="19">
        <f t="shared" ref="G21:K21" si="6">SUM(G15:G20)</f>
        <v>11.330543152777368</v>
      </c>
      <c r="H21" s="19">
        <f t="shared" si="6"/>
        <v>12.236396025928581</v>
      </c>
      <c r="I21" s="19">
        <f t="shared" si="6"/>
        <v>13.159270721373019</v>
      </c>
      <c r="J21" s="19">
        <f t="shared" si="6"/>
        <v>14.099250511976297</v>
      </c>
      <c r="K21" s="19">
        <f t="shared" si="6"/>
        <v>15.056402949180157</v>
      </c>
    </row>
    <row r="23" spans="2:11" x14ac:dyDescent="0.2">
      <c r="B23" s="20" t="s">
        <v>49</v>
      </c>
      <c r="C23" s="28">
        <f>C8/'P&amp;L'!C12*360</f>
        <v>77.017828200972446</v>
      </c>
      <c r="D23" s="28">
        <f>D8/'P&amp;L'!D12*360</f>
        <v>84.705882352941188</v>
      </c>
      <c r="E23" s="28">
        <f>E8/'P&amp;L'!E12*360</f>
        <v>88.975609756097555</v>
      </c>
      <c r="F23" s="20"/>
      <c r="G23" s="28">
        <f>AVERAGE($C23:$E23)</f>
        <v>83.566440103337058</v>
      </c>
      <c r="H23" s="28">
        <f t="shared" ref="H23:K30" si="7">AVERAGE($C23:$E23)</f>
        <v>83.566440103337058</v>
      </c>
      <c r="I23" s="28">
        <f t="shared" si="7"/>
        <v>83.566440103337058</v>
      </c>
      <c r="J23" s="28">
        <f t="shared" si="7"/>
        <v>83.566440103337058</v>
      </c>
      <c r="K23" s="28">
        <f t="shared" si="7"/>
        <v>83.566440103337058</v>
      </c>
    </row>
    <row r="24" spans="2:11" x14ac:dyDescent="0.2">
      <c r="B24" s="20" t="s">
        <v>51</v>
      </c>
      <c r="C24" s="28">
        <f>-C9/'P&amp;L'!C13*360</f>
        <v>95.510204081632665</v>
      </c>
      <c r="D24" s="28">
        <f>-D9/'P&amp;L'!D13*360</f>
        <v>106.13981762917933</v>
      </c>
      <c r="E24" s="28">
        <f>-E9/'P&amp;L'!E13*360</f>
        <v>106.94117647058823</v>
      </c>
      <c r="F24" s="20"/>
      <c r="G24" s="28">
        <f t="shared" ref="G24:G30" si="8">AVERAGE($C24:$E24)</f>
        <v>102.86373272713341</v>
      </c>
      <c r="H24" s="28">
        <f t="shared" si="7"/>
        <v>102.86373272713341</v>
      </c>
      <c r="I24" s="28">
        <f t="shared" si="7"/>
        <v>102.86373272713341</v>
      </c>
      <c r="J24" s="28">
        <f t="shared" si="7"/>
        <v>102.86373272713341</v>
      </c>
      <c r="K24" s="28">
        <f t="shared" si="7"/>
        <v>102.86373272713341</v>
      </c>
    </row>
    <row r="25" spans="2:11" x14ac:dyDescent="0.2">
      <c r="B25" s="20" t="s">
        <v>50</v>
      </c>
      <c r="C25" s="28">
        <f>-C15/'P&amp;L'!C13*360</f>
        <v>129.09620991253644</v>
      </c>
      <c r="D25" s="28">
        <f>-D15/'P&amp;L'!D13*360</f>
        <v>149.90881458966567</v>
      </c>
      <c r="E25" s="28">
        <f>-E15/'P&amp;L'!E13*360</f>
        <v>141.88235294117649</v>
      </c>
      <c r="F25" s="20"/>
      <c r="G25" s="28">
        <f t="shared" si="8"/>
        <v>140.2957924811262</v>
      </c>
      <c r="H25" s="28">
        <f t="shared" si="7"/>
        <v>140.2957924811262</v>
      </c>
      <c r="I25" s="28">
        <f t="shared" si="7"/>
        <v>140.2957924811262</v>
      </c>
      <c r="J25" s="28">
        <f t="shared" si="7"/>
        <v>140.2957924811262</v>
      </c>
      <c r="K25" s="28">
        <f t="shared" si="7"/>
        <v>140.2957924811262</v>
      </c>
    </row>
    <row r="26" spans="2:11" x14ac:dyDescent="0.2">
      <c r="B26" s="20" t="s">
        <v>52</v>
      </c>
      <c r="C26" s="29">
        <f>C10/'P&amp;L'!C$12</f>
        <v>0.21717990275526744</v>
      </c>
      <c r="D26" s="29">
        <f>D10/'P&amp;L'!D$12</f>
        <v>0.27731092436974791</v>
      </c>
      <c r="E26" s="29">
        <f>E10/'P&amp;L'!E$12</f>
        <v>0.24227642276422762</v>
      </c>
      <c r="F26" s="20"/>
      <c r="G26" s="29">
        <f t="shared" si="8"/>
        <v>0.24558908329641435</v>
      </c>
      <c r="H26" s="29">
        <f t="shared" si="7"/>
        <v>0.24558908329641435</v>
      </c>
      <c r="I26" s="29">
        <f t="shared" si="7"/>
        <v>0.24558908329641435</v>
      </c>
      <c r="J26" s="29">
        <f t="shared" si="7"/>
        <v>0.24558908329641435</v>
      </c>
      <c r="K26" s="29">
        <f t="shared" si="7"/>
        <v>0.24558908329641435</v>
      </c>
    </row>
    <row r="27" spans="2:11" x14ac:dyDescent="0.2">
      <c r="B27" s="20" t="s">
        <v>53</v>
      </c>
      <c r="C27" s="29">
        <f>C12/'P&amp;L'!C$12</f>
        <v>0.33225283630470015</v>
      </c>
      <c r="D27" s="29">
        <f>D12/'P&amp;L'!D$12</f>
        <v>0.38151260504201684</v>
      </c>
      <c r="E27" s="29">
        <f>E12/'P&amp;L'!E$12</f>
        <v>0.42601626016260163</v>
      </c>
      <c r="F27" s="20"/>
      <c r="G27" s="29">
        <f t="shared" si="8"/>
        <v>0.3799272338364395</v>
      </c>
      <c r="H27" s="29">
        <f t="shared" si="7"/>
        <v>0.3799272338364395</v>
      </c>
      <c r="I27" s="29">
        <f t="shared" si="7"/>
        <v>0.3799272338364395</v>
      </c>
      <c r="J27" s="29">
        <f t="shared" si="7"/>
        <v>0.3799272338364395</v>
      </c>
      <c r="K27" s="29">
        <f t="shared" si="7"/>
        <v>0.3799272338364395</v>
      </c>
    </row>
    <row r="28" spans="2:11" x14ac:dyDescent="0.2">
      <c r="B28" s="20" t="s">
        <v>56</v>
      </c>
      <c r="C28" s="29">
        <f>C16/'P&amp;L'!C$12</f>
        <v>3.5656401944894653E-2</v>
      </c>
      <c r="D28" s="29">
        <f>D16/'P&amp;L'!D$12</f>
        <v>2.0168067226890758E-2</v>
      </c>
      <c r="E28" s="29">
        <f>E16/'P&amp;L'!E$12</f>
        <v>2.2764227642276424E-2</v>
      </c>
      <c r="F28" s="20"/>
      <c r="G28" s="29">
        <f t="shared" si="8"/>
        <v>2.6196232271353943E-2</v>
      </c>
      <c r="H28" s="29">
        <f t="shared" si="7"/>
        <v>2.6196232271353943E-2</v>
      </c>
      <c r="I28" s="29">
        <f t="shared" si="7"/>
        <v>2.6196232271353943E-2</v>
      </c>
      <c r="J28" s="29">
        <f t="shared" si="7"/>
        <v>2.6196232271353943E-2</v>
      </c>
      <c r="K28" s="29">
        <f t="shared" si="7"/>
        <v>2.6196232271353943E-2</v>
      </c>
    </row>
    <row r="29" spans="2:11" x14ac:dyDescent="0.2">
      <c r="B29" s="20" t="s">
        <v>54</v>
      </c>
      <c r="C29" s="29">
        <f>C17/'P&amp;L'!C$12</f>
        <v>0.14424635332252836</v>
      </c>
      <c r="D29" s="29">
        <f>D17/'P&amp;L'!D$12</f>
        <v>0.15798319327731095</v>
      </c>
      <c r="E29" s="29">
        <f>E17/'P&amp;L'!E$12</f>
        <v>0.15772357723577235</v>
      </c>
      <c r="F29" s="20"/>
      <c r="G29" s="29">
        <f t="shared" si="8"/>
        <v>0.15331770794520388</v>
      </c>
      <c r="H29" s="29">
        <f t="shared" si="7"/>
        <v>0.15331770794520388</v>
      </c>
      <c r="I29" s="29">
        <f t="shared" si="7"/>
        <v>0.15331770794520388</v>
      </c>
      <c r="J29" s="29">
        <f t="shared" si="7"/>
        <v>0.15331770794520388</v>
      </c>
      <c r="K29" s="29">
        <f t="shared" si="7"/>
        <v>0.15331770794520388</v>
      </c>
    </row>
    <row r="30" spans="2:11" x14ac:dyDescent="0.2">
      <c r="B30" s="20" t="s">
        <v>55</v>
      </c>
      <c r="C30" s="29">
        <f>C19/'P&amp;L'!C$12</f>
        <v>9.7244732576985404E-2</v>
      </c>
      <c r="D30" s="29">
        <f>D19/'P&amp;L'!D$12</f>
        <v>0.13445378151260506</v>
      </c>
      <c r="E30" s="29">
        <f>E19/'P&amp;L'!E$12</f>
        <v>0.13170731707317074</v>
      </c>
      <c r="F30" s="20"/>
      <c r="G30" s="29">
        <f t="shared" si="8"/>
        <v>0.12113527705425374</v>
      </c>
      <c r="H30" s="29">
        <f t="shared" si="7"/>
        <v>0.12113527705425374</v>
      </c>
      <c r="I30" s="29">
        <f t="shared" si="7"/>
        <v>0.12113527705425374</v>
      </c>
      <c r="J30" s="29">
        <f t="shared" si="7"/>
        <v>0.12113527705425374</v>
      </c>
      <c r="K30" s="29">
        <f t="shared" si="7"/>
        <v>0.12113527705425374</v>
      </c>
    </row>
    <row r="32" spans="2:11" x14ac:dyDescent="0.2">
      <c r="B32" s="44" t="s">
        <v>102</v>
      </c>
      <c r="C32" s="45">
        <f>C13-C21</f>
        <v>-1.3221333333332197E-2</v>
      </c>
      <c r="D32" s="45">
        <f t="shared" ref="D32:E32" si="9">D13-D21</f>
        <v>7.7849444444435534E-3</v>
      </c>
      <c r="E32" s="45">
        <f t="shared" si="9"/>
        <v>4.1606422222223216E-2</v>
      </c>
      <c r="F32" s="45"/>
      <c r="G32" s="45">
        <f t="shared" ref="G32:K32" si="10">G13-G21</f>
        <v>4.1606422222224992E-2</v>
      </c>
      <c r="H32" s="45">
        <f t="shared" si="10"/>
        <v>4.1606422222224992E-2</v>
      </c>
      <c r="I32" s="45">
        <f t="shared" si="10"/>
        <v>4.1606422222223216E-2</v>
      </c>
      <c r="J32" s="45">
        <f t="shared" si="10"/>
        <v>4.160642222222144E-2</v>
      </c>
      <c r="K32" s="45">
        <f t="shared" si="10"/>
        <v>4.1606422222223216E-2</v>
      </c>
    </row>
  </sheetData>
  <mergeCells count="1">
    <mergeCell ref="G5:K5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5"/>
  <sheetViews>
    <sheetView workbookViewId="0">
      <selection activeCell="C12" sqref="C12"/>
    </sheetView>
  </sheetViews>
  <sheetFormatPr defaultColWidth="9.125" defaultRowHeight="11.4" x14ac:dyDescent="0.2"/>
  <cols>
    <col min="1" max="1" width="2" style="31" customWidth="1"/>
    <col min="2" max="2" width="19.5" style="31" customWidth="1"/>
    <col min="3" max="10" width="10.25" style="31" bestFit="1" customWidth="1"/>
    <col min="11" max="16384" width="9.125" style="31"/>
  </cols>
  <sheetData>
    <row r="1" spans="2:10" ht="15.6" x14ac:dyDescent="0.3">
      <c r="B1" s="30" t="s">
        <v>57</v>
      </c>
    </row>
    <row r="3" spans="2:10" x14ac:dyDescent="0.2">
      <c r="B3" s="31" t="s">
        <v>85</v>
      </c>
    </row>
    <row r="4" spans="2:10" x14ac:dyDescent="0.2">
      <c r="B4" s="31" t="s">
        <v>87</v>
      </c>
    </row>
    <row r="5" spans="2:10" x14ac:dyDescent="0.2">
      <c r="B5" s="31" t="s">
        <v>86</v>
      </c>
    </row>
    <row r="7" spans="2:10" ht="12" x14ac:dyDescent="0.25">
      <c r="F7" s="47" t="s">
        <v>31</v>
      </c>
      <c r="G7" s="47"/>
      <c r="H7" s="47"/>
      <c r="I7" s="47"/>
      <c r="J7" s="47"/>
    </row>
    <row r="8" spans="2:10" ht="12.6" thickBot="1" x14ac:dyDescent="0.3">
      <c r="B8" s="4" t="s">
        <v>2</v>
      </c>
      <c r="C8" s="32">
        <v>42004</v>
      </c>
      <c r="D8" s="32">
        <v>42369</v>
      </c>
      <c r="E8" s="32">
        <v>42735</v>
      </c>
      <c r="F8" s="32">
        <v>43100</v>
      </c>
      <c r="G8" s="32">
        <v>43465</v>
      </c>
      <c r="H8" s="32">
        <v>43830</v>
      </c>
      <c r="I8" s="32">
        <v>44196</v>
      </c>
      <c r="J8" s="32">
        <v>44561</v>
      </c>
    </row>
    <row r="9" spans="2:10" x14ac:dyDescent="0.2">
      <c r="B9" s="33" t="s">
        <v>58</v>
      </c>
      <c r="C9" s="34"/>
      <c r="D9" s="33">
        <f>C12</f>
        <v>2.5499999999999998</v>
      </c>
      <c r="E9" s="33">
        <f t="shared" ref="E9:J9" si="0">D12</f>
        <v>2.8200000000000003</v>
      </c>
      <c r="F9" s="33">
        <f t="shared" si="0"/>
        <v>2.6</v>
      </c>
      <c r="G9" s="33">
        <f t="shared" si="0"/>
        <v>2.645704839382562</v>
      </c>
      <c r="H9" s="33">
        <f t="shared" si="0"/>
        <v>2.6928632106761881</v>
      </c>
      <c r="I9" s="33">
        <f t="shared" si="0"/>
        <v>2.7414579600825757</v>
      </c>
      <c r="J9" s="33">
        <f t="shared" si="0"/>
        <v>2.7914755517200556</v>
      </c>
    </row>
    <row r="10" spans="2:10" x14ac:dyDescent="0.2">
      <c r="B10" s="33" t="s">
        <v>10</v>
      </c>
      <c r="C10" s="34"/>
      <c r="D10" s="33">
        <f>'P&amp;L'!D17</f>
        <v>-0.22</v>
      </c>
      <c r="E10" s="33">
        <f>'P&amp;L'!E17</f>
        <v>-0.24</v>
      </c>
      <c r="F10" s="33">
        <f>F14*F9</f>
        <v>-0.22279516061743845</v>
      </c>
      <c r="G10" s="33">
        <f>G14*G9</f>
        <v>-0.22671162870637387</v>
      </c>
      <c r="H10" s="33">
        <f>H14*H9</f>
        <v>-0.23075265059361241</v>
      </c>
      <c r="I10" s="33">
        <f>I14*I9</f>
        <v>-0.23491675636252024</v>
      </c>
      <c r="J10" s="33">
        <f>J14*J9</f>
        <v>-0.23920278611735477</v>
      </c>
    </row>
    <row r="11" spans="2:10" x14ac:dyDescent="0.2">
      <c r="B11" s="33" t="s">
        <v>59</v>
      </c>
      <c r="C11" s="34"/>
      <c r="D11" s="33">
        <f>D12-D10-D9</f>
        <v>0.49000000000000066</v>
      </c>
      <c r="E11" s="33">
        <f>E12-E10-E9</f>
        <v>1.9999999999999574E-2</v>
      </c>
      <c r="F11" s="33">
        <f>F15*'P&amp;L'!I12</f>
        <v>0.26850000000000018</v>
      </c>
      <c r="G11" s="33">
        <f>G15*'P&amp;L'!J12</f>
        <v>0.27387000000000022</v>
      </c>
      <c r="H11" s="33">
        <f>H15*'P&amp;L'!K12</f>
        <v>0.27934740000000019</v>
      </c>
      <c r="I11" s="33">
        <f>I15*'P&amp;L'!L12</f>
        <v>0.28493434800000023</v>
      </c>
      <c r="J11" s="33">
        <f>J15*'P&amp;L'!M12</f>
        <v>0.29063303496000026</v>
      </c>
    </row>
    <row r="12" spans="2:10" ht="12.6" thickBot="1" x14ac:dyDescent="0.3">
      <c r="B12" s="35" t="s">
        <v>60</v>
      </c>
      <c r="C12" s="35">
        <f>BS!C11</f>
        <v>2.5499999999999998</v>
      </c>
      <c r="D12" s="35">
        <f>BS!D11</f>
        <v>2.8200000000000003</v>
      </c>
      <c r="E12" s="35">
        <f>BS!E11</f>
        <v>2.6</v>
      </c>
      <c r="F12" s="35">
        <f>SUM(F9:F11)</f>
        <v>2.645704839382562</v>
      </c>
      <c r="G12" s="35">
        <f>SUM(G9:G11)</f>
        <v>2.6928632106761881</v>
      </c>
      <c r="H12" s="35">
        <f>SUM(H9:H11)</f>
        <v>2.7414579600825757</v>
      </c>
      <c r="I12" s="35">
        <f>SUM(I9:I11)</f>
        <v>2.7914755517200556</v>
      </c>
      <c r="J12" s="35">
        <f>SUM(J9:J11)</f>
        <v>2.842905800562701</v>
      </c>
    </row>
    <row r="14" spans="2:10" x14ac:dyDescent="0.2">
      <c r="B14" s="36" t="s">
        <v>61</v>
      </c>
      <c r="C14" s="36"/>
      <c r="D14" s="36">
        <f>D10/D9</f>
        <v>-8.6274509803921581E-2</v>
      </c>
      <c r="E14" s="36">
        <f>E10/E9</f>
        <v>-8.5106382978723388E-2</v>
      </c>
      <c r="F14" s="36">
        <f>AVERAGE($D14:$E14)</f>
        <v>-8.5690446391322478E-2</v>
      </c>
      <c r="G14" s="36">
        <f t="shared" ref="G14:J15" si="1">AVERAGE($D14:$E14)</f>
        <v>-8.5690446391322478E-2</v>
      </c>
      <c r="H14" s="36">
        <f t="shared" si="1"/>
        <v>-8.5690446391322478E-2</v>
      </c>
      <c r="I14" s="36">
        <f t="shared" si="1"/>
        <v>-8.5690446391322478E-2</v>
      </c>
      <c r="J14" s="36">
        <f t="shared" si="1"/>
        <v>-8.5690446391322478E-2</v>
      </c>
    </row>
    <row r="15" spans="2:10" x14ac:dyDescent="0.2">
      <c r="B15" s="36" t="s">
        <v>84</v>
      </c>
      <c r="C15" s="36"/>
      <c r="D15" s="36">
        <f>D11/'P&amp;L'!D12</f>
        <v>8.2352941176470712E-2</v>
      </c>
      <c r="E15" s="36">
        <f>E11/'P&amp;L'!E12</f>
        <v>3.2520325203251339E-3</v>
      </c>
      <c r="F15" s="36">
        <f t="shared" ref="F15" si="2">AVERAGE($D15:$E15)</f>
        <v>4.2802486848397922E-2</v>
      </c>
      <c r="G15" s="36">
        <f t="shared" si="1"/>
        <v>4.2802486848397922E-2</v>
      </c>
      <c r="H15" s="36">
        <f t="shared" si="1"/>
        <v>4.2802486848397922E-2</v>
      </c>
      <c r="I15" s="36">
        <f t="shared" si="1"/>
        <v>4.2802486848397922E-2</v>
      </c>
      <c r="J15" s="36">
        <f t="shared" si="1"/>
        <v>4.2802486848397922E-2</v>
      </c>
    </row>
  </sheetData>
  <mergeCells count="1">
    <mergeCell ref="F7:J7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3"/>
  <sheetViews>
    <sheetView workbookViewId="0">
      <selection activeCell="G9" sqref="G9"/>
    </sheetView>
  </sheetViews>
  <sheetFormatPr defaultColWidth="9.125" defaultRowHeight="11.4" x14ac:dyDescent="0.2"/>
  <cols>
    <col min="1" max="1" width="2" style="31" customWidth="1"/>
    <col min="2" max="2" width="22.625" style="31" customWidth="1"/>
    <col min="3" max="10" width="10.25" style="31" bestFit="1" customWidth="1"/>
    <col min="11" max="16384" width="9.125" style="31"/>
  </cols>
  <sheetData>
    <row r="1" spans="2:10" ht="15.6" x14ac:dyDescent="0.3">
      <c r="B1" s="30" t="s">
        <v>62</v>
      </c>
    </row>
    <row r="3" spans="2:10" x14ac:dyDescent="0.2">
      <c r="B3" s="31" t="s">
        <v>85</v>
      </c>
    </row>
    <row r="4" spans="2:10" x14ac:dyDescent="0.2">
      <c r="B4" s="31" t="s">
        <v>89</v>
      </c>
    </row>
    <row r="5" spans="2:10" x14ac:dyDescent="0.2">
      <c r="B5" s="31" t="s">
        <v>88</v>
      </c>
    </row>
    <row r="7" spans="2:10" ht="12" x14ac:dyDescent="0.25">
      <c r="F7" s="47" t="s">
        <v>31</v>
      </c>
      <c r="G7" s="47"/>
      <c r="H7" s="47"/>
      <c r="I7" s="47"/>
      <c r="J7" s="47"/>
    </row>
    <row r="8" spans="2:10" ht="12.6" thickBot="1" x14ac:dyDescent="0.3">
      <c r="B8" s="4" t="s">
        <v>2</v>
      </c>
      <c r="C8" s="32">
        <v>42004</v>
      </c>
      <c r="D8" s="32">
        <v>42369</v>
      </c>
      <c r="E8" s="32">
        <v>42735</v>
      </c>
      <c r="F8" s="32">
        <v>43100</v>
      </c>
      <c r="G8" s="32">
        <v>43465</v>
      </c>
      <c r="H8" s="32">
        <v>43830</v>
      </c>
      <c r="I8" s="32">
        <v>44196</v>
      </c>
      <c r="J8" s="32">
        <v>44561</v>
      </c>
    </row>
    <row r="9" spans="2:10" x14ac:dyDescent="0.2">
      <c r="B9" s="33" t="s">
        <v>63</v>
      </c>
      <c r="C9" s="34"/>
      <c r="D9" s="33">
        <f>C12</f>
        <v>1.67</v>
      </c>
      <c r="E9" s="33">
        <f>D12</f>
        <v>1.44</v>
      </c>
      <c r="F9" s="33">
        <f>E12</f>
        <v>1.22</v>
      </c>
      <c r="G9" s="33">
        <f t="shared" ref="G9:J9" si="0">F12</f>
        <v>1.135784023789568</v>
      </c>
      <c r="H9" s="33">
        <f t="shared" si="0"/>
        <v>1.0448307694823014</v>
      </c>
      <c r="I9" s="33">
        <f t="shared" si="0"/>
        <v>0.94660125483045343</v>
      </c>
      <c r="J9" s="33">
        <f t="shared" si="0"/>
        <v>0.84051337900645773</v>
      </c>
    </row>
    <row r="10" spans="2:10" x14ac:dyDescent="0.2">
      <c r="B10" s="33" t="s">
        <v>64</v>
      </c>
      <c r="C10" s="34"/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</row>
    <row r="11" spans="2:10" x14ac:dyDescent="0.2">
      <c r="B11" s="33" t="s">
        <v>65</v>
      </c>
      <c r="C11" s="34"/>
      <c r="D11" s="33">
        <f>D12-D10-D9</f>
        <v>-0.22999999999999998</v>
      </c>
      <c r="E11" s="33">
        <f>E12-E10-E9</f>
        <v>-0.21999999999999997</v>
      </c>
      <c r="F11" s="33">
        <f>C22</f>
        <v>-8.4215976210431989E-2</v>
      </c>
      <c r="G11" s="33">
        <f t="shared" ref="G11:J11" si="1">D22</f>
        <v>-9.0953254307266557E-2</v>
      </c>
      <c r="H11" s="33">
        <f t="shared" si="1"/>
        <v>-9.8229514651847885E-2</v>
      </c>
      <c r="I11" s="33">
        <f t="shared" si="1"/>
        <v>-0.10608787582399572</v>
      </c>
      <c r="J11" s="33">
        <f t="shared" si="1"/>
        <v>-0.11457490588991538</v>
      </c>
    </row>
    <row r="12" spans="2:10" ht="12.6" thickBot="1" x14ac:dyDescent="0.3">
      <c r="B12" s="35" t="s">
        <v>66</v>
      </c>
      <c r="C12" s="35">
        <f>BS!C18</f>
        <v>1.67</v>
      </c>
      <c r="D12" s="35">
        <f>BS!D18</f>
        <v>1.44</v>
      </c>
      <c r="E12" s="35">
        <f>BS!E18</f>
        <v>1.22</v>
      </c>
      <c r="F12" s="35">
        <f>SUM(F9:F11)</f>
        <v>1.135784023789568</v>
      </c>
      <c r="G12" s="35">
        <f t="shared" ref="G12:J12" si="2">SUM(G9:G11)</f>
        <v>1.0448307694823014</v>
      </c>
      <c r="H12" s="35">
        <f t="shared" si="2"/>
        <v>0.94660125483045343</v>
      </c>
      <c r="I12" s="35">
        <f t="shared" si="2"/>
        <v>0.84051337900645773</v>
      </c>
      <c r="J12" s="35">
        <f t="shared" si="2"/>
        <v>0.72593847311654236</v>
      </c>
    </row>
    <row r="14" spans="2:10" x14ac:dyDescent="0.2">
      <c r="B14" s="31" t="s">
        <v>67</v>
      </c>
      <c r="C14" s="31">
        <v>10</v>
      </c>
    </row>
    <row r="15" spans="2:10" x14ac:dyDescent="0.2">
      <c r="B15" s="31" t="s">
        <v>68</v>
      </c>
      <c r="C15" s="37">
        <v>0.08</v>
      </c>
    </row>
    <row r="16" spans="2:10" x14ac:dyDescent="0.2">
      <c r="B16" s="31" t="s">
        <v>69</v>
      </c>
      <c r="C16" s="33">
        <f>PMT(C15,C14,E12)</f>
        <v>-0.181815976210432</v>
      </c>
    </row>
    <row r="17" spans="2:12" x14ac:dyDescent="0.2">
      <c r="C17" s="38"/>
    </row>
    <row r="19" spans="2:12" ht="12" x14ac:dyDescent="0.25">
      <c r="B19" s="39" t="s">
        <v>70</v>
      </c>
      <c r="C19" s="39">
        <v>1</v>
      </c>
      <c r="D19" s="39">
        <v>2</v>
      </c>
      <c r="E19" s="39">
        <v>3</v>
      </c>
      <c r="F19" s="39">
        <v>4</v>
      </c>
      <c r="G19" s="39">
        <v>5</v>
      </c>
      <c r="H19" s="39">
        <v>6</v>
      </c>
      <c r="I19" s="39">
        <v>7</v>
      </c>
      <c r="J19" s="39">
        <v>8</v>
      </c>
      <c r="K19" s="39">
        <v>9</v>
      </c>
      <c r="L19" s="39">
        <v>10</v>
      </c>
    </row>
    <row r="20" spans="2:12" x14ac:dyDescent="0.2">
      <c r="B20" s="31" t="s">
        <v>71</v>
      </c>
      <c r="C20" s="40">
        <f>$C$16</f>
        <v>-0.181815976210432</v>
      </c>
      <c r="D20" s="40">
        <f t="shared" ref="D20:L20" si="3">$C$16</f>
        <v>-0.181815976210432</v>
      </c>
      <c r="E20" s="40">
        <f t="shared" si="3"/>
        <v>-0.181815976210432</v>
      </c>
      <c r="F20" s="40">
        <f t="shared" si="3"/>
        <v>-0.181815976210432</v>
      </c>
      <c r="G20" s="40">
        <f t="shared" si="3"/>
        <v>-0.181815976210432</v>
      </c>
      <c r="H20" s="40">
        <f t="shared" si="3"/>
        <v>-0.181815976210432</v>
      </c>
      <c r="I20" s="40">
        <f t="shared" si="3"/>
        <v>-0.181815976210432</v>
      </c>
      <c r="J20" s="40">
        <f t="shared" si="3"/>
        <v>-0.181815976210432</v>
      </c>
      <c r="K20" s="40">
        <f t="shared" si="3"/>
        <v>-0.181815976210432</v>
      </c>
      <c r="L20" s="40">
        <f t="shared" si="3"/>
        <v>-0.181815976210432</v>
      </c>
    </row>
    <row r="21" spans="2:12" x14ac:dyDescent="0.2">
      <c r="B21" s="31" t="s">
        <v>72</v>
      </c>
      <c r="C21" s="40">
        <f>-E12*C15</f>
        <v>-9.7600000000000006E-2</v>
      </c>
      <c r="D21" s="40">
        <f t="shared" ref="D21:L21" si="4">-C23*$C$15</f>
        <v>-9.0862721903165439E-2</v>
      </c>
      <c r="E21" s="40">
        <f t="shared" si="4"/>
        <v>-8.358646155858411E-2</v>
      </c>
      <c r="F21" s="40">
        <f t="shared" si="4"/>
        <v>-7.5728100386436278E-2</v>
      </c>
      <c r="G21" s="40">
        <f t="shared" si="4"/>
        <v>-6.7241070320516613E-2</v>
      </c>
      <c r="H21" s="40">
        <f t="shared" si="4"/>
        <v>-5.8075077849323392E-2</v>
      </c>
      <c r="I21" s="40">
        <f t="shared" si="4"/>
        <v>-4.8175805980434701E-2</v>
      </c>
      <c r="J21" s="40">
        <f t="shared" si="4"/>
        <v>-3.748459236203492E-2</v>
      </c>
      <c r="K21" s="40">
        <f t="shared" si="4"/>
        <v>-2.5938081654163156E-2</v>
      </c>
      <c r="L21" s="40">
        <f t="shared" si="4"/>
        <v>-1.3467850089661648E-2</v>
      </c>
    </row>
    <row r="22" spans="2:12" x14ac:dyDescent="0.2">
      <c r="B22" s="31" t="s">
        <v>73</v>
      </c>
      <c r="C22" s="40">
        <f>C20-C21</f>
        <v>-8.4215976210431989E-2</v>
      </c>
      <c r="D22" s="40">
        <f t="shared" ref="D22:L22" si="5">D20-D21</f>
        <v>-9.0953254307266557E-2</v>
      </c>
      <c r="E22" s="40">
        <f t="shared" si="5"/>
        <v>-9.8229514651847885E-2</v>
      </c>
      <c r="F22" s="40">
        <f t="shared" si="5"/>
        <v>-0.10608787582399572</v>
      </c>
      <c r="G22" s="40">
        <f t="shared" si="5"/>
        <v>-0.11457490588991538</v>
      </c>
      <c r="H22" s="40">
        <f t="shared" si="5"/>
        <v>-0.1237408983611086</v>
      </c>
      <c r="I22" s="40">
        <f t="shared" si="5"/>
        <v>-0.1336401702299973</v>
      </c>
      <c r="J22" s="40">
        <f t="shared" si="5"/>
        <v>-0.14433138384839708</v>
      </c>
      <c r="K22" s="40">
        <f t="shared" si="5"/>
        <v>-0.15587789455626883</v>
      </c>
      <c r="L22" s="40">
        <f t="shared" si="5"/>
        <v>-0.16834812612077035</v>
      </c>
    </row>
    <row r="23" spans="2:12" x14ac:dyDescent="0.2">
      <c r="B23" s="31" t="s">
        <v>74</v>
      </c>
      <c r="C23" s="40">
        <f>E12+C22</f>
        <v>1.135784023789568</v>
      </c>
      <c r="D23" s="40">
        <f t="shared" ref="D23:L23" si="6">C23+D22</f>
        <v>1.0448307694823014</v>
      </c>
      <c r="E23" s="40">
        <f t="shared" si="6"/>
        <v>0.94660125483045343</v>
      </c>
      <c r="F23" s="40">
        <f t="shared" si="6"/>
        <v>0.84051337900645773</v>
      </c>
      <c r="G23" s="40">
        <f t="shared" si="6"/>
        <v>0.72593847311654236</v>
      </c>
      <c r="H23" s="40">
        <f t="shared" si="6"/>
        <v>0.60219757475543378</v>
      </c>
      <c r="I23" s="40">
        <f t="shared" si="6"/>
        <v>0.46855740452543648</v>
      </c>
      <c r="J23" s="40">
        <f t="shared" si="6"/>
        <v>0.32422602067703943</v>
      </c>
      <c r="K23" s="40">
        <f t="shared" si="6"/>
        <v>0.1683481261207706</v>
      </c>
      <c r="L23" s="42">
        <f t="shared" si="6"/>
        <v>2.4980018054066022E-16</v>
      </c>
    </row>
  </sheetData>
  <mergeCells count="1">
    <mergeCell ref="F7:J7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workbookViewId="0">
      <selection activeCell="H10" sqref="H10"/>
    </sheetView>
  </sheetViews>
  <sheetFormatPr defaultColWidth="9.125" defaultRowHeight="11.4" x14ac:dyDescent="0.2"/>
  <cols>
    <col min="1" max="1" width="2" style="31" customWidth="1"/>
    <col min="2" max="2" width="19.875" style="31" customWidth="1"/>
    <col min="3" max="10" width="10.25" style="31" bestFit="1" customWidth="1"/>
    <col min="11" max="16384" width="9.125" style="31"/>
  </cols>
  <sheetData>
    <row r="1" spans="2:10" ht="15.6" x14ac:dyDescent="0.3">
      <c r="B1" s="30" t="s">
        <v>75</v>
      </c>
    </row>
    <row r="3" spans="2:10" x14ac:dyDescent="0.2">
      <c r="B3" s="31" t="s">
        <v>85</v>
      </c>
    </row>
    <row r="4" spans="2:10" x14ac:dyDescent="0.2">
      <c r="B4" s="31" t="s">
        <v>90</v>
      </c>
    </row>
    <row r="5" spans="2:10" x14ac:dyDescent="0.2">
      <c r="B5" s="31" t="s">
        <v>91</v>
      </c>
    </row>
    <row r="7" spans="2:10" ht="12" x14ac:dyDescent="0.25">
      <c r="F7" s="47" t="s">
        <v>31</v>
      </c>
      <c r="G7" s="47"/>
      <c r="H7" s="47"/>
      <c r="I7" s="47"/>
      <c r="J7" s="47"/>
    </row>
    <row r="8" spans="2:10" ht="12.6" thickBot="1" x14ac:dyDescent="0.3">
      <c r="B8" s="4" t="s">
        <v>2</v>
      </c>
      <c r="C8" s="32">
        <v>42004</v>
      </c>
      <c r="D8" s="32">
        <v>42369</v>
      </c>
      <c r="E8" s="32">
        <v>42735</v>
      </c>
      <c r="F8" s="32">
        <v>43100</v>
      </c>
      <c r="G8" s="32">
        <v>43465</v>
      </c>
      <c r="H8" s="32">
        <v>43830</v>
      </c>
      <c r="I8" s="32">
        <v>44196</v>
      </c>
      <c r="J8" s="32">
        <v>44561</v>
      </c>
    </row>
    <row r="9" spans="2:10" x14ac:dyDescent="0.2">
      <c r="B9" s="33" t="s">
        <v>76</v>
      </c>
      <c r="C9" s="34"/>
      <c r="D9" s="34"/>
      <c r="E9" s="34"/>
      <c r="F9" s="33">
        <f>E13</f>
        <v>6.0783935777777778</v>
      </c>
      <c r="G9" s="33">
        <f t="shared" ref="G9:J9" si="0">F13</f>
        <v>6.9886733296968426</v>
      </c>
      <c r="H9" s="33">
        <f t="shared" si="0"/>
        <v>7.9213577411695031</v>
      </c>
      <c r="I9" s="33">
        <f t="shared" si="0"/>
        <v>8.8770578009602534</v>
      </c>
      <c r="J9" s="33">
        <f t="shared" si="0"/>
        <v>9.8564132340758785</v>
      </c>
    </row>
    <row r="10" spans="2:10" x14ac:dyDescent="0.2">
      <c r="B10" s="33" t="s">
        <v>77</v>
      </c>
      <c r="C10" s="34"/>
      <c r="D10" s="34"/>
      <c r="E10" s="34"/>
      <c r="F10" s="33">
        <v>0</v>
      </c>
      <c r="G10" s="33">
        <v>0</v>
      </c>
      <c r="H10" s="33">
        <v>0</v>
      </c>
      <c r="I10" s="33">
        <v>0</v>
      </c>
      <c r="J10" s="33">
        <v>0</v>
      </c>
    </row>
    <row r="11" spans="2:10" x14ac:dyDescent="0.2">
      <c r="B11" s="33" t="s">
        <v>78</v>
      </c>
      <c r="C11" s="34"/>
      <c r="D11" s="34"/>
      <c r="E11" s="34"/>
      <c r="F11" s="33">
        <f>'P&amp;L'!I22</f>
        <v>1.3003996455986653</v>
      </c>
      <c r="G11" s="33">
        <f>'P&amp;L'!J22</f>
        <v>1.3324063021037997</v>
      </c>
      <c r="H11" s="33">
        <f>'P&amp;L'!K22</f>
        <v>1.3652857997010721</v>
      </c>
      <c r="I11" s="33">
        <f>'P&amp;L'!L22</f>
        <v>1.3990791901651782</v>
      </c>
      <c r="J11" s="33">
        <f>'P&amp;L'!M22</f>
        <v>1.4338298073084235</v>
      </c>
    </row>
    <row r="12" spans="2:10" x14ac:dyDescent="0.2">
      <c r="B12" s="33" t="s">
        <v>79</v>
      </c>
      <c r="C12" s="34"/>
      <c r="D12" s="34"/>
      <c r="E12" s="34"/>
      <c r="F12" s="33">
        <f>IF(F11&gt;0,-F11*F15,0)</f>
        <v>-0.39011989367959959</v>
      </c>
      <c r="G12" s="33">
        <f t="shared" ref="G12:J12" si="1">IF(G11&gt;0,-G11*G15,0)</f>
        <v>-0.39972189063113989</v>
      </c>
      <c r="H12" s="33">
        <f t="shared" si="1"/>
        <v>-0.4095857399103216</v>
      </c>
      <c r="I12" s="33">
        <f t="shared" si="1"/>
        <v>-0.41972375704955345</v>
      </c>
      <c r="J12" s="33">
        <f t="shared" si="1"/>
        <v>-0.43014894219252703</v>
      </c>
    </row>
    <row r="13" spans="2:10" ht="12.6" thickBot="1" x14ac:dyDescent="0.3">
      <c r="B13" s="35" t="s">
        <v>80</v>
      </c>
      <c r="C13" s="35"/>
      <c r="D13" s="35"/>
      <c r="E13" s="35">
        <f>BS!E20</f>
        <v>6.0783935777777778</v>
      </c>
      <c r="F13" s="35">
        <f>SUM(F9:F12)</f>
        <v>6.9886733296968426</v>
      </c>
      <c r="G13" s="35">
        <f t="shared" ref="G13:J13" si="2">SUM(G9:G12)</f>
        <v>7.9213577411695031</v>
      </c>
      <c r="H13" s="35">
        <f t="shared" si="2"/>
        <v>8.8770578009602534</v>
      </c>
      <c r="I13" s="35">
        <f t="shared" si="2"/>
        <v>9.8564132340758785</v>
      </c>
      <c r="J13" s="35">
        <f t="shared" si="2"/>
        <v>10.860094099191775</v>
      </c>
    </row>
    <row r="15" spans="2:10" x14ac:dyDescent="0.2">
      <c r="B15" s="36" t="s">
        <v>81</v>
      </c>
      <c r="C15" s="36"/>
      <c r="D15" s="36"/>
      <c r="E15" s="36"/>
      <c r="F15" s="36">
        <v>0.3</v>
      </c>
      <c r="G15" s="36">
        <v>0.3</v>
      </c>
      <c r="H15" s="36">
        <v>0.3</v>
      </c>
      <c r="I15" s="36">
        <v>0.3</v>
      </c>
      <c r="J15" s="36">
        <v>0.3</v>
      </c>
    </row>
  </sheetData>
  <mergeCells count="1">
    <mergeCell ref="F7:J7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8"/>
  <sheetViews>
    <sheetView tabSelected="1" workbookViewId="0">
      <selection activeCell="E11" sqref="E11"/>
    </sheetView>
  </sheetViews>
  <sheetFormatPr defaultColWidth="9.125" defaultRowHeight="11.4" x14ac:dyDescent="0.2"/>
  <cols>
    <col min="1" max="1" width="2" style="31" customWidth="1"/>
    <col min="2" max="2" width="27.125" style="31" customWidth="1"/>
    <col min="3" max="16384" width="9.125" style="31"/>
  </cols>
  <sheetData>
    <row r="1" spans="2:7" ht="15.6" x14ac:dyDescent="0.3">
      <c r="B1" s="30" t="s">
        <v>82</v>
      </c>
    </row>
    <row r="2" spans="2:7" ht="15.6" x14ac:dyDescent="0.3">
      <c r="B2" s="30"/>
    </row>
    <row r="3" spans="2:7" ht="12" x14ac:dyDescent="0.25">
      <c r="C3" s="47" t="s">
        <v>31</v>
      </c>
      <c r="D3" s="47"/>
      <c r="E3" s="47"/>
      <c r="F3" s="47"/>
      <c r="G3" s="47"/>
    </row>
    <row r="4" spans="2:7" ht="12.6" thickBot="1" x14ac:dyDescent="0.3">
      <c r="B4" s="41" t="s">
        <v>83</v>
      </c>
      <c r="C4" s="41">
        <v>2017</v>
      </c>
      <c r="D4" s="41">
        <v>2018</v>
      </c>
      <c r="E4" s="41">
        <v>2019</v>
      </c>
      <c r="F4" s="41">
        <v>2020</v>
      </c>
      <c r="G4" s="41">
        <v>2021</v>
      </c>
    </row>
    <row r="5" spans="2:7" x14ac:dyDescent="0.2">
      <c r="B5" s="31" t="s">
        <v>9</v>
      </c>
      <c r="C5" s="33">
        <f>'P&amp;L'!I16</f>
        <v>2.3210100000000002</v>
      </c>
      <c r="D5" s="33">
        <f>'P&amp;L'!J16</f>
        <v>2.3674302000000003</v>
      </c>
      <c r="E5" s="33">
        <f>'P&amp;L'!K16</f>
        <v>2.414778804</v>
      </c>
      <c r="F5" s="33">
        <f>'P&amp;L'!L16</f>
        <v>2.4630743800800001</v>
      </c>
      <c r="G5" s="33">
        <f>'P&amp;L'!M16</f>
        <v>2.5123358676816001</v>
      </c>
    </row>
    <row r="6" spans="2:7" x14ac:dyDescent="0.2">
      <c r="B6" s="31" t="s">
        <v>12</v>
      </c>
      <c r="C6" s="33">
        <f>'P&amp;L'!I19</f>
        <v>-9.7600000000000006E-2</v>
      </c>
      <c r="D6" s="33">
        <f>'P&amp;L'!J19</f>
        <v>-9.0862721903165439E-2</v>
      </c>
      <c r="E6" s="33">
        <f>'P&amp;L'!K19</f>
        <v>-8.358646155858411E-2</v>
      </c>
      <c r="F6" s="33">
        <f>'P&amp;L'!L19</f>
        <v>-7.5728100386436278E-2</v>
      </c>
      <c r="G6" s="33">
        <f>'P&amp;L'!M19</f>
        <v>-6.7241070320516613E-2</v>
      </c>
    </row>
    <row r="7" spans="2:7" x14ac:dyDescent="0.2">
      <c r="B7" s="31" t="s">
        <v>14</v>
      </c>
      <c r="C7" s="33">
        <f>'P&amp;L'!I21</f>
        <v>-0.70021519378389663</v>
      </c>
      <c r="D7" s="33">
        <f>'P&amp;L'!J21</f>
        <v>-0.71744954728666133</v>
      </c>
      <c r="E7" s="33">
        <f>'P&amp;L'!K21</f>
        <v>-0.7351538921467311</v>
      </c>
      <c r="F7" s="33">
        <f>'P&amp;L'!L21</f>
        <v>-0.75335033316586519</v>
      </c>
      <c r="G7" s="33">
        <f>'P&amp;L'!M21</f>
        <v>-0.772062203935305</v>
      </c>
    </row>
    <row r="8" spans="2:7" x14ac:dyDescent="0.2">
      <c r="B8" s="31" t="s">
        <v>93</v>
      </c>
      <c r="C8" s="33">
        <f>-(BS!G8-BS!E8)</f>
        <v>6.3854781199351507E-2</v>
      </c>
      <c r="D8" s="33">
        <f>-(BS!H8-BS!G8)</f>
        <v>-2.9122904376012837E-2</v>
      </c>
      <c r="E8" s="33">
        <f>-(BS!I8-BS!H8)</f>
        <v>-2.970536246353328E-2</v>
      </c>
      <c r="F8" s="33">
        <f>-(BS!J8-BS!I8)</f>
        <v>-3.0299469712803839E-2</v>
      </c>
      <c r="G8" s="33">
        <f>-(BS!K8-BS!J8)</f>
        <v>-3.0905459107060329E-2</v>
      </c>
    </row>
    <row r="9" spans="2:7" x14ac:dyDescent="0.2">
      <c r="B9" s="31" t="s">
        <v>94</v>
      </c>
      <c r="C9" s="33">
        <f>-(BS!G9-BS!E9)</f>
        <v>4.2103706904037974E-2</v>
      </c>
      <c r="D9" s="33">
        <f>-(BS!H9-BS!G9)</f>
        <v>-1.9357925861919201E-2</v>
      </c>
      <c r="E9" s="33">
        <f>-(BS!I9-BS!H9)</f>
        <v>-1.9745084379157563E-2</v>
      </c>
      <c r="F9" s="33">
        <f>-(BS!J9-BS!I9)</f>
        <v>-2.0139986066740834E-2</v>
      </c>
      <c r="G9" s="33">
        <f>-(BS!K9-BS!J9)</f>
        <v>-2.0542785788075779E-2</v>
      </c>
    </row>
    <row r="10" spans="2:7" x14ac:dyDescent="0.2">
      <c r="B10" s="31" t="s">
        <v>95</v>
      </c>
      <c r="C10" s="33">
        <f>BS!G15-BS!E15</f>
        <v>-1.9886740648842993E-2</v>
      </c>
      <c r="D10" s="33">
        <f>BS!H15-BS!G15</f>
        <v>2.6402265187023266E-2</v>
      </c>
      <c r="E10" s="33">
        <f>BS!I15-BS!H15</f>
        <v>2.6930310490763443E-2</v>
      </c>
      <c r="F10" s="33">
        <f>BS!J15-BS!I15</f>
        <v>2.7468916700579271E-2</v>
      </c>
      <c r="G10" s="33">
        <f>BS!K15-BS!J15</f>
        <v>2.8018295034590412E-2</v>
      </c>
    </row>
    <row r="11" spans="2:7" x14ac:dyDescent="0.2">
      <c r="B11" s="31" t="s">
        <v>59</v>
      </c>
      <c r="C11" s="33">
        <f>-'Fixed Assets Roll Forward'!F11</f>
        <v>-0.26850000000000018</v>
      </c>
      <c r="D11" s="33">
        <f>-'Fixed Assets Roll Forward'!G11</f>
        <v>-0.27387000000000022</v>
      </c>
      <c r="E11" s="33">
        <f>-'Fixed Assets Roll Forward'!H11</f>
        <v>-0.27934740000000019</v>
      </c>
      <c r="F11" s="33">
        <f>-'Fixed Assets Roll Forward'!I11</f>
        <v>-0.28493434800000023</v>
      </c>
      <c r="G11" s="33">
        <f>-'Fixed Assets Roll Forward'!J11</f>
        <v>-0.29063303496000026</v>
      </c>
    </row>
    <row r="12" spans="2:7" x14ac:dyDescent="0.2">
      <c r="B12" s="1" t="s">
        <v>96</v>
      </c>
      <c r="C12" s="33">
        <f>-(BS!G10-BS!E10)-(BS!G12-BS!E12)</f>
        <v>0.18613614262560763</v>
      </c>
      <c r="D12" s="33">
        <f>-(BS!H10-BS!G10)-(BS!H12-BS!G12)</f>
        <v>-7.84772771474882E-2</v>
      </c>
      <c r="E12" s="33">
        <f>-(BS!I10-BS!H10)-(BS!I12-BS!H12)</f>
        <v>-8.0046822690437613E-2</v>
      </c>
      <c r="F12" s="33">
        <f>-(BS!J10-BS!I10)-(BS!J12-BS!I12)</f>
        <v>-8.1647759144246379E-2</v>
      </c>
      <c r="G12" s="33">
        <f>-(BS!K10-BS!J10)-(BS!K12-BS!J12)</f>
        <v>-8.3280714327131466E-2</v>
      </c>
    </row>
    <row r="13" spans="2:7" x14ac:dyDescent="0.2">
      <c r="B13" s="1" t="s">
        <v>97</v>
      </c>
      <c r="C13" s="33">
        <f>BS!G19-BS!E19+BS!G17-BS!E17+BS!G16-BS!E16</f>
        <v>-3.4027460060198939E-2</v>
      </c>
      <c r="D13" s="33">
        <f>BS!H19-BS!G19+BS!H17-BS!G17+BS!H16-BS!G16</f>
        <v>3.7719450798796156E-2</v>
      </c>
      <c r="E13" s="33">
        <f>BS!I19-BS!H19+BS!I17-BS!H17+BS!I16-BS!H16</f>
        <v>3.8473839814771843E-2</v>
      </c>
      <c r="F13" s="33">
        <f>BS!J19-BS!I19+BS!J17-BS!I17+BS!J16-BS!I16</f>
        <v>3.924331661106753E-2</v>
      </c>
      <c r="G13" s="33">
        <f>BS!K19-BS!J19+BS!K17-BS!J17+BS!K16-BS!J16</f>
        <v>4.0028182943289109E-2</v>
      </c>
    </row>
    <row r="14" spans="2:7" ht="12" x14ac:dyDescent="0.25">
      <c r="B14" s="6" t="s">
        <v>98</v>
      </c>
      <c r="C14" s="43">
        <f>SUM(C5:C13)</f>
        <v>1.4928752362360589</v>
      </c>
      <c r="D14" s="43">
        <f t="shared" ref="D14:G14" si="0">SUM(D5:D13)</f>
        <v>1.2224115394105726</v>
      </c>
      <c r="E14" s="43">
        <f t="shared" si="0"/>
        <v>1.2525979310670914</v>
      </c>
      <c r="F14" s="43">
        <f t="shared" si="0"/>
        <v>1.2836866169155541</v>
      </c>
      <c r="G14" s="43">
        <f t="shared" si="0"/>
        <v>1.3157170772213902</v>
      </c>
    </row>
    <row r="15" spans="2:7" x14ac:dyDescent="0.2">
      <c r="B15" s="1" t="s">
        <v>79</v>
      </c>
      <c r="C15" s="33">
        <f>'Equity schedule'!F12</f>
        <v>-0.39011989367959959</v>
      </c>
      <c r="D15" s="33">
        <f>'Equity schedule'!G12</f>
        <v>-0.39972189063113989</v>
      </c>
      <c r="E15" s="33">
        <f>'Equity schedule'!H12</f>
        <v>-0.4095857399103216</v>
      </c>
      <c r="F15" s="33">
        <f>'Equity schedule'!I12</f>
        <v>-0.41972375704955345</v>
      </c>
      <c r="G15" s="33">
        <f>'Equity schedule'!J12</f>
        <v>-0.43014894219252703</v>
      </c>
    </row>
    <row r="16" spans="2:7" x14ac:dyDescent="0.2">
      <c r="B16" s="1" t="s">
        <v>99</v>
      </c>
      <c r="C16" s="33">
        <f>'Financial Liabilities'!F11</f>
        <v>-8.4215976210431989E-2</v>
      </c>
      <c r="D16" s="33">
        <f>'Financial Liabilities'!G11</f>
        <v>-9.0953254307266557E-2</v>
      </c>
      <c r="E16" s="33">
        <f>'Financial Liabilities'!H11</f>
        <v>-9.8229514651847885E-2</v>
      </c>
      <c r="F16" s="33">
        <f>'Financial Liabilities'!I11</f>
        <v>-0.10608787582399572</v>
      </c>
      <c r="G16" s="33">
        <f>'Financial Liabilities'!J11</f>
        <v>-0.11457490588991538</v>
      </c>
    </row>
    <row r="17" spans="2:7" x14ac:dyDescent="0.2">
      <c r="B17" s="1" t="s">
        <v>100</v>
      </c>
      <c r="C17" s="33">
        <f>'Equity schedule'!F13-'Equity schedule'!E13-'Equity schedule'!F12-'Equity schedule'!F11</f>
        <v>0</v>
      </c>
      <c r="D17" s="33">
        <f>'Equity schedule'!G13-'Equity schedule'!F13-'Equity schedule'!G12-'Equity schedule'!G11</f>
        <v>0</v>
      </c>
      <c r="E17" s="33">
        <f>'Equity schedule'!H13-'Equity schedule'!G13-'Equity schedule'!H12-'Equity schedule'!H11</f>
        <v>0</v>
      </c>
      <c r="F17" s="33">
        <f>'Equity schedule'!I13-'Equity schedule'!H13-'Equity schedule'!I12-'Equity schedule'!I11</f>
        <v>0</v>
      </c>
      <c r="G17" s="33">
        <f>'Equity schedule'!J13-'Equity schedule'!I13-'Equity schedule'!J12-'Equity schedule'!J11</f>
        <v>0</v>
      </c>
    </row>
    <row r="18" spans="2:7" ht="12.6" thickBot="1" x14ac:dyDescent="0.3">
      <c r="B18" s="13" t="s">
        <v>101</v>
      </c>
      <c r="C18" s="35">
        <f>SUM(C14:C17)</f>
        <v>1.0185393663460274</v>
      </c>
      <c r="D18" s="35">
        <f t="shared" ref="D18:G18" si="1">SUM(D14:D17)</f>
        <v>0.7317363944721661</v>
      </c>
      <c r="E18" s="35">
        <f t="shared" si="1"/>
        <v>0.74478267650492191</v>
      </c>
      <c r="F18" s="35">
        <f t="shared" si="1"/>
        <v>0.75787498404200493</v>
      </c>
      <c r="G18" s="35">
        <f t="shared" si="1"/>
        <v>0.77099322913894774</v>
      </c>
    </row>
  </sheetData>
  <mergeCells count="1">
    <mergeCell ref="C3:G3"/>
  </mergeCells>
  <phoneticPr fontId="1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2023-06-05T00:20:08Z</dcterms:modified>
</cp:coreProperties>
</file>