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activeTab="1"/>
  </bookViews>
  <sheets>
    <sheet name="raw data" sheetId="3" r:id="rId1"/>
    <sheet name="norm data" sheetId="4" r:id="rId2"/>
  </sheets>
  <calcPr calcId="125725"/>
</workbook>
</file>

<file path=xl/calcChain.xml><?xml version="1.0" encoding="utf-8"?>
<calcChain xmlns="http://schemas.openxmlformats.org/spreadsheetml/2006/main">
  <c r="D323" i="4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G139"/>
  <c r="F139"/>
  <c r="D139"/>
  <c r="G138"/>
  <c r="F138"/>
  <c r="D138"/>
  <c r="G137"/>
  <c r="F137"/>
  <c r="D137"/>
  <c r="G136"/>
  <c r="F136"/>
  <c r="D136"/>
  <c r="G135"/>
  <c r="F135"/>
  <c r="D135"/>
  <c r="G134"/>
  <c r="F134"/>
  <c r="D134"/>
  <c r="G133"/>
  <c r="F133"/>
  <c r="D133"/>
  <c r="G132"/>
  <c r="F132"/>
  <c r="D132"/>
  <c r="G131"/>
  <c r="F131"/>
  <c r="D131"/>
  <c r="G130"/>
  <c r="F130"/>
  <c r="D130"/>
  <c r="G129"/>
  <c r="F129"/>
  <c r="D129"/>
  <c r="G128"/>
  <c r="F128"/>
  <c r="D128"/>
  <c r="G127"/>
  <c r="F127"/>
  <c r="D127"/>
  <c r="G126"/>
  <c r="F126"/>
  <c r="D126"/>
  <c r="G125"/>
  <c r="F125"/>
  <c r="D125"/>
  <c r="G124"/>
  <c r="F124"/>
  <c r="D124"/>
  <c r="D123"/>
  <c r="G122"/>
  <c r="F122"/>
  <c r="D122"/>
  <c r="G121"/>
  <c r="F121"/>
  <c r="D121"/>
  <c r="G120"/>
  <c r="F120"/>
  <c r="D120"/>
  <c r="G119"/>
  <c r="F119"/>
  <c r="D119"/>
  <c r="D118"/>
  <c r="G117"/>
  <c r="F117"/>
  <c r="D117"/>
  <c r="G116"/>
  <c r="F116"/>
  <c r="D116"/>
  <c r="G115"/>
  <c r="F115"/>
  <c r="D115"/>
  <c r="G114"/>
  <c r="F114"/>
  <c r="D114"/>
  <c r="G113"/>
  <c r="F113"/>
  <c r="D113"/>
  <c r="D112"/>
  <c r="G111"/>
  <c r="F111"/>
  <c r="D111"/>
  <c r="G110"/>
  <c r="F110"/>
  <c r="D110"/>
  <c r="D109"/>
  <c r="G108"/>
  <c r="F108"/>
  <c r="D108"/>
  <c r="G107"/>
  <c r="F107"/>
  <c r="D107"/>
  <c r="D106"/>
  <c r="G105"/>
  <c r="F105"/>
  <c r="D105"/>
  <c r="G104"/>
  <c r="F104"/>
  <c r="D104"/>
  <c r="G103"/>
  <c r="F103"/>
  <c r="D103"/>
  <c r="G102"/>
  <c r="F102"/>
  <c r="D102"/>
  <c r="G101"/>
  <c r="F101"/>
  <c r="D101"/>
  <c r="G100"/>
  <c r="F100"/>
  <c r="D100"/>
  <c r="G99"/>
  <c r="F99"/>
  <c r="D99"/>
  <c r="G98"/>
  <c r="F98"/>
  <c r="D98"/>
  <c r="G97"/>
  <c r="F97"/>
  <c r="D97"/>
  <c r="G96"/>
  <c r="F96"/>
  <c r="D96"/>
  <c r="G95"/>
  <c r="F95"/>
  <c r="D95"/>
  <c r="G94"/>
  <c r="F94"/>
  <c r="D94"/>
  <c r="G93"/>
  <c r="F93"/>
  <c r="D93"/>
  <c r="G92"/>
  <c r="F92"/>
  <c r="D92"/>
  <c r="G91"/>
  <c r="F91"/>
  <c r="D91"/>
  <c r="G90"/>
  <c r="F90"/>
  <c r="D90"/>
  <c r="G89"/>
  <c r="F89"/>
  <c r="D89"/>
  <c r="G88"/>
  <c r="F88"/>
  <c r="D88"/>
  <c r="G87"/>
  <c r="F87"/>
  <c r="D87"/>
  <c r="G86"/>
  <c r="F86"/>
  <c r="D86"/>
  <c r="G85"/>
  <c r="F85"/>
  <c r="D85"/>
  <c r="G84"/>
  <c r="F84"/>
  <c r="D84"/>
  <c r="G83"/>
  <c r="F83"/>
  <c r="D83"/>
  <c r="G82"/>
  <c r="F82"/>
  <c r="D82"/>
  <c r="G81"/>
  <c r="F81"/>
  <c r="D81"/>
  <c r="D80"/>
  <c r="G79"/>
  <c r="F79"/>
  <c r="D79"/>
  <c r="G78"/>
  <c r="F78"/>
  <c r="D78"/>
  <c r="G77"/>
  <c r="F77"/>
  <c r="D77"/>
  <c r="G76"/>
  <c r="F76"/>
  <c r="D76"/>
  <c r="G75"/>
  <c r="F75"/>
  <c r="D75"/>
  <c r="G74"/>
  <c r="F74"/>
  <c r="D74"/>
  <c r="G73"/>
  <c r="F73"/>
  <c r="D73"/>
  <c r="G72"/>
  <c r="F72"/>
  <c r="D72"/>
  <c r="G71"/>
  <c r="F71"/>
  <c r="D71"/>
  <c r="G70"/>
  <c r="F70"/>
  <c r="D70"/>
  <c r="G69"/>
  <c r="F69"/>
  <c r="D69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G62"/>
  <c r="F62"/>
  <c r="D62"/>
  <c r="G61"/>
  <c r="F61"/>
  <c r="D61"/>
  <c r="G60"/>
  <c r="F60"/>
  <c r="D60"/>
  <c r="G59"/>
  <c r="F59"/>
  <c r="D59"/>
  <c r="G58"/>
  <c r="F58"/>
  <c r="D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D51"/>
  <c r="G50"/>
  <c r="F50"/>
  <c r="D50"/>
  <c r="G49"/>
  <c r="F49"/>
  <c r="D49"/>
  <c r="G48"/>
  <c r="F48"/>
  <c r="D48"/>
  <c r="G47"/>
  <c r="F47"/>
  <c r="D47"/>
  <c r="G46"/>
  <c r="F46"/>
  <c r="D46"/>
  <c r="G45"/>
  <c r="F45"/>
  <c r="D45"/>
  <c r="G44"/>
  <c r="F44"/>
  <c r="D44"/>
  <c r="G43"/>
  <c r="F43"/>
  <c r="D43"/>
  <c r="G42"/>
  <c r="F42"/>
  <c r="D42"/>
  <c r="G41"/>
  <c r="F41"/>
  <c r="D41"/>
  <c r="G40"/>
  <c r="F40"/>
  <c r="D40"/>
  <c r="G39"/>
  <c r="F39"/>
  <c r="D39"/>
  <c r="G38"/>
  <c r="F38"/>
  <c r="D38"/>
  <c r="G37"/>
  <c r="F37"/>
  <c r="D37"/>
  <c r="G36"/>
  <c r="F36"/>
  <c r="D36"/>
  <c r="G35"/>
  <c r="F35"/>
  <c r="D35"/>
  <c r="G34"/>
  <c r="F34"/>
  <c r="D34"/>
  <c r="G33"/>
  <c r="F33"/>
  <c r="D33"/>
  <c r="G32"/>
  <c r="F32"/>
  <c r="D32"/>
  <c r="G31"/>
  <c r="F31"/>
  <c r="D31"/>
  <c r="G30"/>
  <c r="F30"/>
  <c r="D30"/>
  <c r="G29"/>
  <c r="F29"/>
  <c r="D29"/>
  <c r="G28"/>
  <c r="F28"/>
  <c r="D28"/>
  <c r="G27"/>
  <c r="F27"/>
  <c r="D27"/>
  <c r="G26"/>
  <c r="F26"/>
  <c r="D26"/>
  <c r="G25"/>
  <c r="F25"/>
  <c r="D25"/>
  <c r="G24"/>
  <c r="F24"/>
  <c r="D24"/>
  <c r="G23"/>
  <c r="F23"/>
  <c r="D23"/>
  <c r="G22"/>
  <c r="F22"/>
  <c r="D22"/>
  <c r="G21"/>
  <c r="F21"/>
  <c r="D21"/>
  <c r="G20"/>
  <c r="F20"/>
  <c r="D20"/>
  <c r="G19"/>
  <c r="F19"/>
  <c r="D19"/>
  <c r="G18"/>
  <c r="F18"/>
  <c r="D18"/>
  <c r="G17"/>
  <c r="F17"/>
  <c r="D17"/>
  <c r="G16"/>
  <c r="F16"/>
  <c r="D16"/>
  <c r="G15"/>
  <c r="F15"/>
  <c r="D15"/>
  <c r="G14"/>
  <c r="F14"/>
  <c r="D14"/>
  <c r="G13"/>
  <c r="F13"/>
  <c r="D13"/>
  <c r="D12"/>
  <c r="G11"/>
  <c r="F11"/>
  <c r="D11"/>
  <c r="G10"/>
  <c r="F10"/>
  <c r="D10"/>
  <c r="G9"/>
  <c r="F9"/>
  <c r="D9"/>
  <c r="G8"/>
  <c r="F8"/>
  <c r="D8"/>
  <c r="G7"/>
  <c r="F7"/>
  <c r="D7"/>
  <c r="G6"/>
  <c r="F6"/>
  <c r="D6"/>
  <c r="G121" i="3"/>
  <c r="F121"/>
  <c r="D121"/>
  <c r="G114"/>
  <c r="F114"/>
  <c r="D114"/>
  <c r="G96"/>
  <c r="F96"/>
  <c r="D96"/>
  <c r="G92"/>
  <c r="F92"/>
  <c r="D92"/>
  <c r="G70"/>
  <c r="F70"/>
  <c r="D70"/>
  <c r="G57"/>
  <c r="F57"/>
  <c r="D57"/>
  <c r="G46"/>
  <c r="F46"/>
  <c r="D46"/>
  <c r="G38"/>
  <c r="F38"/>
  <c r="D38"/>
  <c r="G30"/>
  <c r="F30"/>
  <c r="D30"/>
  <c r="G22"/>
  <c r="F22"/>
  <c r="D22"/>
  <c r="D12"/>
  <c r="G8"/>
  <c r="F8"/>
  <c r="D8"/>
  <c r="D164"/>
  <c r="D216"/>
  <c r="D235"/>
  <c r="D294"/>
  <c r="D254"/>
  <c r="D251"/>
  <c r="D184"/>
  <c r="D256"/>
  <c r="D243"/>
  <c r="D282"/>
  <c r="D317"/>
  <c r="D161"/>
  <c r="D302"/>
  <c r="D271"/>
  <c r="D307"/>
  <c r="D288"/>
  <c r="D257"/>
  <c r="D159"/>
  <c r="D209"/>
  <c r="D283"/>
  <c r="D158"/>
  <c r="D276"/>
  <c r="D193"/>
  <c r="D166"/>
  <c r="D241"/>
  <c r="D248"/>
  <c r="D270"/>
  <c r="D201"/>
  <c r="D165"/>
  <c r="D157"/>
  <c r="D213"/>
  <c r="D208"/>
  <c r="D225"/>
  <c r="D246"/>
  <c r="D237"/>
  <c r="D284"/>
  <c r="D312"/>
  <c r="D221"/>
  <c r="D309"/>
  <c r="D173"/>
  <c r="D163"/>
  <c r="D264"/>
  <c r="D156"/>
  <c r="D229"/>
  <c r="D306"/>
  <c r="D245"/>
  <c r="D308"/>
  <c r="D200"/>
  <c r="D240"/>
  <c r="D295"/>
  <c r="D204"/>
  <c r="D267"/>
  <c r="D238"/>
  <c r="D169"/>
  <c r="D255"/>
  <c r="D300"/>
  <c r="D234"/>
  <c r="D230"/>
  <c r="D323"/>
  <c r="D211"/>
  <c r="D172"/>
  <c r="D297"/>
  <c r="D231"/>
  <c r="D207"/>
  <c r="D239"/>
  <c r="D292"/>
  <c r="D322"/>
  <c r="D214"/>
  <c r="D160"/>
  <c r="D269"/>
  <c r="D289"/>
  <c r="D252"/>
  <c r="D223"/>
  <c r="D162"/>
  <c r="D222"/>
  <c r="D155"/>
  <c r="D303"/>
  <c r="D178"/>
  <c r="D280"/>
  <c r="D217"/>
  <c r="D296"/>
  <c r="D218"/>
  <c r="D192"/>
  <c r="D174"/>
  <c r="D194"/>
  <c r="D226"/>
  <c r="D171"/>
  <c r="D202"/>
  <c r="D188"/>
  <c r="D154"/>
  <c r="D261"/>
  <c r="D167"/>
  <c r="D199"/>
  <c r="D180"/>
  <c r="D153"/>
  <c r="D152"/>
  <c r="D316"/>
  <c r="D151"/>
  <c r="D275"/>
  <c r="D150"/>
  <c r="D215"/>
  <c r="D290"/>
  <c r="D149"/>
  <c r="D247"/>
  <c r="D206"/>
  <c r="D148"/>
  <c r="D319"/>
  <c r="D220"/>
  <c r="D147"/>
  <c r="D268"/>
  <c r="D146"/>
  <c r="D310"/>
  <c r="D286"/>
  <c r="D304"/>
  <c r="D266"/>
  <c r="D287"/>
  <c r="D236"/>
  <c r="D311"/>
  <c r="D203"/>
  <c r="D244"/>
  <c r="D265"/>
  <c r="D219"/>
  <c r="D273"/>
  <c r="D321"/>
  <c r="D187"/>
  <c r="D183"/>
  <c r="D305"/>
  <c r="D298"/>
  <c r="D205"/>
  <c r="D185"/>
  <c r="D253"/>
  <c r="D274"/>
  <c r="D299"/>
  <c r="D242"/>
  <c r="D301"/>
  <c r="D233"/>
  <c r="D145"/>
  <c r="D313"/>
  <c r="D291"/>
  <c r="D320"/>
  <c r="D315"/>
  <c r="D144"/>
  <c r="D179"/>
  <c r="D186"/>
  <c r="D143"/>
  <c r="D195"/>
  <c r="D177"/>
  <c r="D196"/>
  <c r="D258"/>
  <c r="D224"/>
  <c r="D272"/>
  <c r="D142"/>
  <c r="D279"/>
  <c r="D227"/>
  <c r="D259"/>
  <c r="D141"/>
  <c r="D277"/>
  <c r="D232"/>
  <c r="D140"/>
  <c r="D175"/>
  <c r="D260"/>
  <c r="D285"/>
  <c r="D210"/>
  <c r="D281"/>
  <c r="D318"/>
  <c r="D176"/>
  <c r="D212"/>
  <c r="D182"/>
  <c r="D168"/>
  <c r="D170"/>
  <c r="D190"/>
  <c r="D278"/>
  <c r="D228"/>
  <c r="D249"/>
  <c r="D293"/>
  <c r="D189"/>
  <c r="D262"/>
  <c r="D181"/>
  <c r="D263"/>
  <c r="D250"/>
  <c r="D314"/>
  <c r="D198"/>
  <c r="D197"/>
  <c r="D191"/>
  <c r="G133"/>
  <c r="F133"/>
  <c r="D133"/>
  <c r="G139"/>
  <c r="F139"/>
  <c r="D139"/>
  <c r="G132"/>
  <c r="F132"/>
  <c r="D132"/>
  <c r="G137"/>
  <c r="F137"/>
  <c r="D137"/>
  <c r="G131"/>
  <c r="F131"/>
  <c r="D131"/>
  <c r="G138"/>
  <c r="F138"/>
  <c r="D138"/>
  <c r="G130"/>
  <c r="F130"/>
  <c r="D130"/>
  <c r="G136"/>
  <c r="F136"/>
  <c r="D136"/>
  <c r="G134"/>
  <c r="F134"/>
  <c r="D134"/>
  <c r="G135"/>
  <c r="F135"/>
  <c r="D135"/>
  <c r="G129"/>
  <c r="F129"/>
  <c r="D129"/>
  <c r="G128"/>
  <c r="F128"/>
  <c r="D128"/>
  <c r="G127"/>
  <c r="F127"/>
  <c r="D127"/>
  <c r="G126"/>
  <c r="F126"/>
  <c r="D126"/>
  <c r="G125"/>
  <c r="F125"/>
  <c r="D125"/>
  <c r="G124"/>
  <c r="F124"/>
  <c r="D124"/>
  <c r="D123"/>
  <c r="G122"/>
  <c r="F122"/>
  <c r="D122"/>
  <c r="G120"/>
  <c r="F120"/>
  <c r="D120"/>
  <c r="G119"/>
  <c r="F119"/>
  <c r="D119"/>
  <c r="D118"/>
  <c r="G117"/>
  <c r="F117"/>
  <c r="D117"/>
  <c r="G116"/>
  <c r="F116"/>
  <c r="D116"/>
  <c r="G115"/>
  <c r="F115"/>
  <c r="D115"/>
  <c r="G113"/>
  <c r="F113"/>
  <c r="D113"/>
  <c r="D112"/>
  <c r="G111"/>
  <c r="F111"/>
  <c r="D111"/>
  <c r="G110"/>
  <c r="F110"/>
  <c r="D110"/>
  <c r="D109"/>
  <c r="G108"/>
  <c r="F108"/>
  <c r="D108"/>
  <c r="G107"/>
  <c r="F107"/>
  <c r="D107"/>
  <c r="D106"/>
  <c r="G105"/>
  <c r="F105"/>
  <c r="D105"/>
  <c r="G104"/>
  <c r="F104"/>
  <c r="D104"/>
  <c r="G103"/>
  <c r="F103"/>
  <c r="D103"/>
  <c r="G102"/>
  <c r="F102"/>
  <c r="D102"/>
  <c r="G101"/>
  <c r="F101"/>
  <c r="D101"/>
  <c r="G100"/>
  <c r="F100"/>
  <c r="D100"/>
  <c r="G99"/>
  <c r="F99"/>
  <c r="D99"/>
  <c r="G98"/>
  <c r="F98"/>
  <c r="D98"/>
  <c r="G97"/>
  <c r="F97"/>
  <c r="D97"/>
  <c r="G95"/>
  <c r="F95"/>
  <c r="D95"/>
  <c r="G94"/>
  <c r="F94"/>
  <c r="D94"/>
  <c r="G93"/>
  <c r="F93"/>
  <c r="D93"/>
  <c r="G91"/>
  <c r="F91"/>
  <c r="D91"/>
  <c r="G90"/>
  <c r="F90"/>
  <c r="D90"/>
  <c r="G89"/>
  <c r="F89"/>
  <c r="D89"/>
  <c r="G88"/>
  <c r="F88"/>
  <c r="D88"/>
  <c r="G87"/>
  <c r="F87"/>
  <c r="D87"/>
  <c r="G86"/>
  <c r="F86"/>
  <c r="D86"/>
  <c r="G85"/>
  <c r="F85"/>
  <c r="D85"/>
  <c r="G84"/>
  <c r="F84"/>
  <c r="D84"/>
  <c r="G83"/>
  <c r="F83"/>
  <c r="D83"/>
  <c r="G82"/>
  <c r="F82"/>
  <c r="D82"/>
  <c r="G81"/>
  <c r="F81"/>
  <c r="D81"/>
  <c r="D80"/>
  <c r="G79"/>
  <c r="F79"/>
  <c r="D79"/>
  <c r="G78"/>
  <c r="F78"/>
  <c r="D78"/>
  <c r="G77"/>
  <c r="F77"/>
  <c r="D77"/>
  <c r="G76"/>
  <c r="F76"/>
  <c r="D76"/>
  <c r="G75"/>
  <c r="F75"/>
  <c r="D75"/>
  <c r="G74"/>
  <c r="F74"/>
  <c r="D74"/>
  <c r="G73"/>
  <c r="F73"/>
  <c r="D73"/>
  <c r="G72"/>
  <c r="F72"/>
  <c r="D72"/>
  <c r="G71"/>
  <c r="F71"/>
  <c r="D71"/>
  <c r="G69"/>
  <c r="F69"/>
  <c r="D69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G62"/>
  <c r="F62"/>
  <c r="D62"/>
  <c r="G61"/>
  <c r="F61"/>
  <c r="D61"/>
  <c r="G60"/>
  <c r="F60"/>
  <c r="D60"/>
  <c r="G59"/>
  <c r="F59"/>
  <c r="D59"/>
  <c r="G58"/>
  <c r="F58"/>
  <c r="D58"/>
  <c r="G56"/>
  <c r="F56"/>
  <c r="D56"/>
  <c r="G55"/>
  <c r="F55"/>
  <c r="D55"/>
  <c r="G54"/>
  <c r="F54"/>
  <c r="D54"/>
  <c r="G53"/>
  <c r="F53"/>
  <c r="D53"/>
  <c r="G52"/>
  <c r="F52"/>
  <c r="D52"/>
  <c r="D51"/>
  <c r="G50"/>
  <c r="F50"/>
  <c r="D50"/>
  <c r="G49"/>
  <c r="F49"/>
  <c r="D49"/>
  <c r="G48"/>
  <c r="F48"/>
  <c r="D48"/>
  <c r="G47"/>
  <c r="F47"/>
  <c r="D47"/>
  <c r="G45"/>
  <c r="F45"/>
  <c r="D45"/>
  <c r="G44"/>
  <c r="F44"/>
  <c r="D44"/>
  <c r="G43"/>
  <c r="F43"/>
  <c r="D43"/>
  <c r="G42"/>
  <c r="F42"/>
  <c r="D42"/>
  <c r="G41"/>
  <c r="F41"/>
  <c r="D41"/>
  <c r="G40"/>
  <c r="F40"/>
  <c r="D40"/>
  <c r="G39"/>
  <c r="F39"/>
  <c r="D39"/>
  <c r="G37"/>
  <c r="F37"/>
  <c r="D37"/>
  <c r="G36"/>
  <c r="F36"/>
  <c r="D36"/>
  <c r="G35"/>
  <c r="F35"/>
  <c r="D35"/>
  <c r="G34"/>
  <c r="F34"/>
  <c r="D34"/>
  <c r="G33"/>
  <c r="F33"/>
  <c r="D33"/>
  <c r="G32"/>
  <c r="F32"/>
  <c r="D32"/>
  <c r="G31"/>
  <c r="F31"/>
  <c r="D31"/>
  <c r="G29"/>
  <c r="F29"/>
  <c r="D29"/>
  <c r="G28"/>
  <c r="F28"/>
  <c r="D28"/>
  <c r="G27"/>
  <c r="F27"/>
  <c r="D27"/>
  <c r="G26"/>
  <c r="F26"/>
  <c r="D26"/>
  <c r="G25"/>
  <c r="F25"/>
  <c r="D25"/>
  <c r="G24"/>
  <c r="F24"/>
  <c r="D24"/>
  <c r="G23"/>
  <c r="F23"/>
  <c r="D23"/>
  <c r="G21"/>
  <c r="F21"/>
  <c r="D21"/>
  <c r="G20"/>
  <c r="F20"/>
  <c r="D20"/>
  <c r="G19"/>
  <c r="F19"/>
  <c r="D19"/>
  <c r="G18"/>
  <c r="F18"/>
  <c r="D18"/>
  <c r="G17"/>
  <c r="F17"/>
  <c r="D17"/>
  <c r="G16"/>
  <c r="F16"/>
  <c r="D16"/>
  <c r="G15"/>
  <c r="F15"/>
  <c r="D15"/>
  <c r="G14"/>
  <c r="F14"/>
  <c r="D14"/>
  <c r="G13"/>
  <c r="F13"/>
  <c r="D13"/>
  <c r="G11"/>
  <c r="F11"/>
  <c r="D11"/>
  <c r="G10"/>
  <c r="F10"/>
  <c r="D10"/>
  <c r="G9"/>
  <c r="F9"/>
  <c r="D9"/>
  <c r="G7"/>
  <c r="F7"/>
  <c r="D7"/>
  <c r="G6"/>
  <c r="F6"/>
  <c r="D6"/>
</calcChain>
</file>

<file path=xl/sharedStrings.xml><?xml version="1.0" encoding="utf-8"?>
<sst xmlns="http://schemas.openxmlformats.org/spreadsheetml/2006/main" count="3622" uniqueCount="1186">
  <si>
    <t/>
  </si>
  <si>
    <t>111026amssa38_1</t>
  </si>
  <si>
    <t>4-3 phoH 9/8/11</t>
  </si>
  <si>
    <t>G786(pEMB11)::phoH - phoH</t>
  </si>
  <si>
    <t>111026amssa43_1</t>
  </si>
  <si>
    <t>1-3 phoH 9/8/11</t>
  </si>
  <si>
    <t>111027amssa02_1</t>
  </si>
  <si>
    <t>4-1 phoH 9/7/11</t>
  </si>
  <si>
    <t>111027amssa07_1</t>
  </si>
  <si>
    <t>1-1 phoH 9/7/11</t>
  </si>
  <si>
    <t>111027amssa12_1</t>
  </si>
  <si>
    <t>111027amssa18_1</t>
  </si>
  <si>
    <t>111026amssa39_1</t>
  </si>
  <si>
    <t>2-1 VCID5604 9/7/11</t>
  </si>
  <si>
    <t>G786(pEMB11)::VCID5604 - VCID5604</t>
  </si>
  <si>
    <t>111026amssa41_1</t>
  </si>
  <si>
    <t>111026amssa46_1</t>
  </si>
  <si>
    <t>5-3 VCID5604 9/8/11</t>
  </si>
  <si>
    <t>111027amssa01_1</t>
  </si>
  <si>
    <t>5-1 VCID5604 9/7/11</t>
  </si>
  <si>
    <t>111027amssa08_1</t>
  </si>
  <si>
    <t>2-3 VCID5604 9/8/11</t>
  </si>
  <si>
    <t>111027amssa19_1</t>
  </si>
  <si>
    <t>2-2 VCID5604 9/7/11</t>
  </si>
  <si>
    <t>111026amssa45_1</t>
  </si>
  <si>
    <t>3-1 VCID5605 9/7/11</t>
  </si>
  <si>
    <t>G786(pEMB11)::VCID5605 - VCID5605</t>
  </si>
  <si>
    <t>111027amssa06_1</t>
  </si>
  <si>
    <t>6-3 VCID5605 9/8/11</t>
  </si>
  <si>
    <t>111027amssa11_1</t>
  </si>
  <si>
    <t>3-3 VCID5605 9/8/11</t>
  </si>
  <si>
    <t>111027amssa13_1</t>
  </si>
  <si>
    <t>6-2 VCID5605 9/7/11</t>
  </si>
  <si>
    <t>111027amssa16_1</t>
  </si>
  <si>
    <t>111027amssa20_1</t>
  </si>
  <si>
    <t>6-1 VCID5605 9/7/11</t>
  </si>
  <si>
    <t>111026amssa48_1</t>
  </si>
  <si>
    <t>G786(pEMB11):: VCID 5606 - VCID 5606</t>
  </si>
  <si>
    <t>111027amssa04_1</t>
  </si>
  <si>
    <t>1-5 VCID5606 9/16/11</t>
  </si>
  <si>
    <t>111027amssa09_1</t>
  </si>
  <si>
    <t>4-4 VCID5606 9/15/11</t>
  </si>
  <si>
    <t>111027amssa17_1</t>
  </si>
  <si>
    <t>1-3 VCID5606 9/15/11</t>
  </si>
  <si>
    <t>111027amssa21_1</t>
  </si>
  <si>
    <t>111027amssa22_1</t>
  </si>
  <si>
    <t>4-3 VCID5606 9/15/11</t>
  </si>
  <si>
    <t>111026amssa44_1</t>
  </si>
  <si>
    <t>2-5 VCID5609 9/16/11</t>
  </si>
  <si>
    <t>G786(pEMB11):: VCID 5609 - VCID 5609</t>
  </si>
  <si>
    <t>111026amssa47_1</t>
  </si>
  <si>
    <t>2-3 VCID5609 9/15/11</t>
  </si>
  <si>
    <t>111026amssa50_1</t>
  </si>
  <si>
    <t>111027amssa03_1</t>
  </si>
  <si>
    <t>5-3 VCID5609 9/15/11</t>
  </si>
  <si>
    <t>111027amssa10_1</t>
  </si>
  <si>
    <t>111027amssa23_1</t>
  </si>
  <si>
    <t>5-5 VCID5609 9/16/11</t>
  </si>
  <si>
    <t>111026amssa40_1</t>
  </si>
  <si>
    <t>6-5 VCID5610 9/16/11</t>
  </si>
  <si>
    <t>G786(pEMB11):: VCID 5610 - VCID 5610</t>
  </si>
  <si>
    <t>111026amssa42_1</t>
  </si>
  <si>
    <t>111026amssa49_1</t>
  </si>
  <si>
    <t>3-3 VCID5610 9/15/11</t>
  </si>
  <si>
    <t>111027amssa05_1</t>
  </si>
  <si>
    <t>3-5 VCID5610 9/16/11</t>
  </si>
  <si>
    <t>111027amssa14_1</t>
  </si>
  <si>
    <t>6-3 VCID5610 9/15/11</t>
  </si>
  <si>
    <t>111027amssa15_1</t>
  </si>
  <si>
    <r>
      <rPr>
        <sz val="10"/>
        <color indexed="10"/>
        <rFont val="Arial"/>
        <family val="2"/>
      </rPr>
      <t>2-5</t>
    </r>
    <r>
      <rPr>
        <sz val="10"/>
        <rFont val="Arial"/>
        <family val="2"/>
      </rPr>
      <t xml:space="preserve"> VCID5604 9/7/11</t>
    </r>
  </si>
  <si>
    <r>
      <rPr>
        <sz val="10"/>
        <color indexed="10"/>
        <rFont val="Arial"/>
        <family val="2"/>
      </rPr>
      <t>4-6</t>
    </r>
    <r>
      <rPr>
        <sz val="10"/>
        <rFont val="Arial"/>
      </rPr>
      <t xml:space="preserve"> VCID5610 9/15/11</t>
    </r>
  </si>
  <si>
    <r>
      <rPr>
        <sz val="10"/>
        <color indexed="10"/>
        <rFont val="Arial"/>
        <family val="2"/>
      </rPr>
      <t>2-4</t>
    </r>
    <r>
      <rPr>
        <sz val="10"/>
        <rFont val="Arial"/>
        <family val="2"/>
      </rPr>
      <t xml:space="preserve"> VCID5606 9/14/11</t>
    </r>
  </si>
  <si>
    <r>
      <rPr>
        <sz val="10"/>
        <color indexed="10"/>
        <rFont val="Arial"/>
        <family val="2"/>
      </rPr>
      <t>4-5</t>
    </r>
    <r>
      <rPr>
        <sz val="10"/>
        <rFont val="Arial"/>
      </rPr>
      <t xml:space="preserve"> VCID5609 9/15/11</t>
    </r>
  </si>
  <si>
    <r>
      <rPr>
        <sz val="10"/>
        <color indexed="10"/>
        <rFont val="Arial"/>
        <family val="2"/>
      </rPr>
      <t>2-1</t>
    </r>
    <r>
      <rPr>
        <sz val="10"/>
        <rFont val="Arial"/>
      </rPr>
      <t xml:space="preserve"> phoH 9/7/11</t>
    </r>
  </si>
  <si>
    <r>
      <rPr>
        <sz val="10"/>
        <color indexed="10"/>
        <rFont val="Arial"/>
        <family val="2"/>
      </rPr>
      <t>4-3</t>
    </r>
    <r>
      <rPr>
        <sz val="10"/>
        <rFont val="Arial"/>
      </rPr>
      <t xml:space="preserve"> VCID5610 9/15/11</t>
    </r>
  </si>
  <si>
    <r>
      <rPr>
        <sz val="10"/>
        <color indexed="10"/>
        <rFont val="Arial"/>
        <family val="2"/>
      </rPr>
      <t>2-3</t>
    </r>
    <r>
      <rPr>
        <sz val="10"/>
        <rFont val="Arial"/>
      </rPr>
      <t xml:space="preserve"> VCID5605 9/7/11</t>
    </r>
  </si>
  <si>
    <r>
      <rPr>
        <sz val="10"/>
        <color indexed="10"/>
        <rFont val="Arial"/>
        <family val="2"/>
      </rPr>
      <t>2-4</t>
    </r>
    <r>
      <rPr>
        <sz val="10"/>
        <rFont val="Arial"/>
      </rPr>
      <t xml:space="preserve"> phoH 9/7/11</t>
    </r>
  </si>
  <si>
    <r>
      <rPr>
        <sz val="10"/>
        <color indexed="10"/>
        <rFont val="Arial"/>
        <family val="2"/>
      </rPr>
      <t>2-1</t>
    </r>
    <r>
      <rPr>
        <sz val="10"/>
        <rFont val="Arial"/>
      </rPr>
      <t xml:space="preserve"> VCID5606 9/14/11</t>
    </r>
  </si>
  <si>
    <r>
      <rPr>
        <sz val="10"/>
        <color indexed="10"/>
        <rFont val="Arial"/>
        <family val="2"/>
      </rPr>
      <t>2-4</t>
    </r>
    <r>
      <rPr>
        <sz val="10"/>
        <rFont val="Arial"/>
      </rPr>
      <t xml:space="preserve"> VCID5609 9/15/11</t>
    </r>
  </si>
  <si>
    <t xml:space="preserve">76473 </t>
  </si>
  <si>
    <t xml:space="preserve">76466 </t>
  </si>
  <si>
    <t xml:space="preserve">76459 </t>
  </si>
  <si>
    <t xml:space="preserve">76452 </t>
  </si>
  <si>
    <t xml:space="preserve">76445 </t>
  </si>
  <si>
    <t xml:space="preserve">76438 </t>
  </si>
  <si>
    <t>173</t>
  </si>
  <si>
    <t>103</t>
  </si>
  <si>
    <t>xylitol</t>
  </si>
  <si>
    <t>566749</t>
  </si>
  <si>
    <t>217</t>
  </si>
  <si>
    <t>85:24.0 87:3.0 89:179.0 90:5.0 91:4.0 92:17.0 94:3.0 95:1.0 96:6.0 99:16.0 100:8.0 101:175.0 102:1.0 103:1897.0 104:159.0 105:65.0 106:14.0 107:16.0 108:8.0 109:2.0 110:1.0 111:8.0 113:25.0 115:21.0 116:30.0 117:582.0 118:34.0 119:58.0 120:1.0 121:7.0 126:11.0 127:17.0 128:2.0 129:671.0 130:61.0 131:184.0 132:16.0 133:325.0 134:62.0 135:28.0 138:3.0 140:1.0 141:6.0 143:67.0 145:1.0 146:1.0 147:1631.0 148:241.0 149:137.0 150:12.0 151:4.0 153:4.0 154:1.0 155:11.0 157:93.0 161:2.0 163:14.0 164:7.0 166:2.0 169:3.0 170:3.0 171:2.0 172:1.0 174:2.0 175:35.0 177:12.0 179:2.0 180:2.0 189:176.0 190:32.0 191:124.0 192:13.0 193:3.0 196:3.0 200:1.0 201:7.0 203:59.0 204:204.0 205:476.0 206:84.0 207:40.0 208:4.0 209:4.0 211:2.0 213:4.0 216:2.0 217:1320.0 218:327.0 219:129.0 220:6.0 221:11.0 222:5.0 223:6.0 224:9.0 228:1.0 229:13.0 232:1.0 236:3.0 237:1.0 242:1.0 243:74.0 244:9.0 245:5.0 250:4.0 252:2.0 253:1.0 255:8.0 256:5.0 257:1.0 261:3.0 266:2.0 272:7.0 275:2.0 277:48.0 278:13.0 279:1.0 280:1.0 281:1.0 285:1.0 286:1.0 291:10.0 293:1.0 294:2.0 296:3.0 297:2.0 300:3.0 302:4.0 303:3.0 305:1.0 306:2.0 307:197.0 308:48.0 309:19.0 311:3.0 317:22.0 318:2.0 319:135.0 320:30.0 321:4.0 322:8.0 324:2.0 325:5.0 327:2.0 329:1.0 330:3.0 332:3.0 333:2.0 335:1.0 337:3.0 338:1.0 341:3.0 342:4.0 349:2.0 350:2.0 353:1.0 356:2.0 357:3.0 359:1.0 361:2.0 362:3.0 365:1.0 370:1.0 373:9.0 374:3.0 375:3.0 377:1.0 379:4.0 380:1.0 382:4.0 384:2.0 389:2.0 395:3.0 397:1.0 398:6.0 399:4.0 400:2.0 401:1.0 405:2.0 407:3.0 408:9.0 411:2.0 413:2.0 415:3.0 420:1.0 421:1.0 422:5.0 423:2.0 425:2.0 426:3.0 437:1.0 441:1.0 442:8.0 446:4.0 449:2.0 458:4.0 459:1.0 460:2.0 463:3.0 470:2.0 479:4.0 480:1.0 481:1.0 485:2.0 486:1.0 489:6.0 490:3.0 491:1.0 498:1.0 500:2.0</t>
  </si>
  <si>
    <t>xanthine</t>
  </si>
  <si>
    <t>702391</t>
  </si>
  <si>
    <t>353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</si>
  <si>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</si>
  <si>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146</t>
  </si>
  <si>
    <t>valine</t>
  </si>
  <si>
    <t>309905</t>
  </si>
  <si>
    <t>144</t>
  </si>
  <si>
    <t>85:2890.0 86:6277.0 87:2144.0 88:973.0 89:1205.0 90:330.0 91:41.0 93:282.0 94:122.0 95:85.0 96:863.0 97:524.0 98:2253.0 99:1293.0 100:37163.0 101:6236.0 102:3559.0 103:7105.0 104:926.0 105:1207.0 106:130.0 107:138.0 108:214.0 109:215.0 110:1081.0 111:193.0 112:2041.0 113:1006.0 114:4904.0 115:2949.0 116:1066.0 117:4339.0 118:1243.0 119:1681.0 120:260.0 121:159.0 122:45.0 123:37.0 124:99.0 125:87.0 126:494.0 127:141.0 128:6250.0 129:3826.0 130:5231.0 131:5229.0 132:6944.0 133:9353.0 134:1904.0 135:627.0 136:66.0 137:10.0 138:31.0 140:139.0 141:98.0 142:1882.0 143:1529.0 144:218957.0 145:29468.0 146:11338.0 147:58181.0 148:9575.0 149:5831.0 150:589.0 151:125.0 154:5.0 155:35.0 156:5041.0 157:1003.0 158:863.0 159:1023.0 160:1178.0 161:282.0 162:120.0 163:1252.0 164:169.0 165:253.0 166:20.0 168:6.0 169:3.0 170:61.0 171:59.0 172:241.0 173:75.0 174:943.0 175:287.0 176:117.0 177:312.0 178:37.0 179:228.0 180:34.0 181:9.0 184:364.0 185:217.0 186:165.0 187:49.0 188:73.0 189:159.0 190:63.0 191:1042.0 192:295.0 193:618.0 194:35.0 195:50.0 199:68.0 200:24.0 201:33.0 202:159.0 203:1449.0 204:165.0 205:456.0 206:85.0 207:1576.0 208:273.0 209:116.0 214:7.0 216:24.0 218:32796.0 219:7657.0 220:3087.0 221:619.0 222:98.0 228:40.0 230:116.0 231:5.0 232:29.0 233:12.0 235:107.0 236:41.0 241:4.0 245:46.0 246:1482.0 247:358.0 248:180.0 249:1558.0 250:416.0 251:462.0 252:72.0 253:21.0 260:19.0 261:25.0 263:3.0 264:19.0 265:1678.0 266:404.0 267:549.0 268:164.0 273:9.0 274:16.0 279:52.0 280:70.0 281:10082.0 282:2653.0 283:1725.0 284:309.0 285:77.0 288:8.0 293:4.0 303:1.0 333:8.0 334:10.0 347:10.0 351:3.0 352:7.0 353:6.0 354:40.0 356:10.0 368:26.0 369:1393.0 370:622.0 371:331.0 372:67.0 375:1.0 380:33.0 387:14.0 422:2.0 423:10.0 438:5.0 454:18.0 485:18.0</t>
  </si>
  <si>
    <t>441</t>
  </si>
  <si>
    <t>urea</t>
  </si>
  <si>
    <t>328046</t>
  </si>
  <si>
    <t>171</t>
  </si>
  <si>
    <t>85:882.0 86:747.0 87:2287.0 88:338.0 89:174.0 90:198.0 92:109.0 93:20.0 94:3.0 96:98.0 97:170.0 98:146.0 99:6930.0 100:3904.0 101:1056.0 102:541.0 103:369.0 104:86.0 105:448.0 106:296.0 107:326.0 108:154.0 109:4.0 110:237.0 111:427.0 112:59.0 113:414.0 114:630.0 115:732.0 116:412.0 117:435.0 118:152.0 119:54.0 120:1.0 124:3.0 125:8.0 126:31.0 127:85.0 128:20.0 129:66.0 130:2545.0 131:1620.0 132:1344.0 133:750.0 134:575.0 135:80.0 136:1.0 139:73.0 140:7.0 141:266.0 142:41.0 143:88.0 146:1712.0 147:23593.0 148:3749.0 149:1844.0 150:138.0 155:366.0 156:80.0 157:421.0 158:43.0 159:58.0 162:17.0 164:2.0 169:1.0 170:9.0 171:14826.0 172:2581.0 173:2300.0 174:292.0 175:102.0 176:7.0 184:71.0 186:605.0 187:86.0 188:69.0 189:9230.0 190:1581.0 191:664.0 192:53.0 204:247.0 205:38.0 206:9.0 208:3.0 210:1.0 212:2.0 219:4.0 221:4.0 225:1.0 229:1.0 231:1.0 233:3.0 239:2.0 241:5.0 251:5.0 261:2.0 266:1.0 273:1.0 277:1.0 280:1.0 282:2.0 285:1.0 289:1.0 290:7.0 294:2.0 301:2.0 304:2.0 305:1.0 307:2.0 310:1.0 312:1.0 317:1.0 325:2.0 330:1.0 331:1.0 334:1.0 336:2.0 337:2.0 339:5.0 343:2.0 347:1.0 351:4.0 354:2.0 355:8.0 356:1.0 361:1.0 362:1.0 363:3.0 366:2.0 371:1.0 372:5.0 375:3.0 380:1.0 381:1.0 382:3.0 388:4.0 389:1.0 392:1.0 393:3.0 395:2.0 397:6.0 398:3.0 400:2.0 401:1.0 405:4.0 409:2.0 410:2.0 412:1.0 414:2.0 417:1.0 423:1.0 425:3.0 426:2.0 431:2.0 438:1.0 439:1.0 449:2.0 458:1.0 461:3.0 462:3.0 464:2.0 466:1.0 471:3.0 478:1.0 489:5.0 490:1.0 491:1.0 496:1.0</t>
  </si>
  <si>
    <t>uracil</t>
  </si>
  <si>
    <t>385903</t>
  </si>
  <si>
    <t>99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</si>
  <si>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</si>
  <si>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 GlcNAc</t>
  </si>
  <si>
    <t>623732</t>
  </si>
  <si>
    <t>226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</si>
  <si>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</si>
  <si>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670802</t>
  </si>
  <si>
    <t>218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</si>
  <si>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</si>
  <si>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179</t>
  </si>
  <si>
    <t>174</t>
  </si>
  <si>
    <t>tryptophan</t>
  </si>
  <si>
    <t>780702</t>
  </si>
  <si>
    <t>202</t>
  </si>
  <si>
    <t>85:11.0 86:6.0 89:29.0 91:646.0 92:73.0 93:685.0 94:317.0 95:831.0 96:289.0 97:181.0 98:83.0 99:30.0 100:52.0 102:2.0 105:230.0 106:5.0 107:314.0 108:208.0 109:181.0 110:66.0 111:39.0 115:19.0 116:103.0 117:889.0 118:63.0 119:106.0 120:13.0 121:195.0 122:33.0 123:44.0 128:35.0 129:1019.0 130:156.0 131:264.0 132:120.0 133:20.0 134:8.0 135:97.0 136:34.0 137:14.0 138:6.0 143:6.0 144:6.0 145:198.0 146:30.0 148:1.0 149:54.0 150:27.0 158:5.0 163:19.0 173:22.0 183:3.0 185:4.0 190:9.0 199:5.0 200:6.0 202:1547.0 203:219.0 204:84.0 205:10.0 211:1.0 215:1.0 218:18.0 219:1.0 220:1.0 226:2.0 228:1.0 246:1.0 257:1.0 262:3.0 263:1.0 265:1.0 272:2.0 273:3.0 277:2.0 279:1.0 291:41.0 309:1.0 312:1.0 317:1.0 318:1.0 335:3.0 339:7.0 340:12.0 356:2.0 363:3.0 385:1.0 406:2.0 408:1.0 424:1.0 444:3.0 448:2.0 469:2.0</t>
  </si>
  <si>
    <t>trehalose</t>
  </si>
  <si>
    <t>947837</t>
  </si>
  <si>
    <t>191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</si>
  <si>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</si>
  <si>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thymine</t>
  </si>
  <si>
    <t>420134</t>
  </si>
  <si>
    <t>255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</si>
  <si>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</si>
  <si>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threonine</t>
  </si>
  <si>
    <t>409403</t>
  </si>
  <si>
    <t>117</t>
  </si>
  <si>
    <t>85:164.0 86:362.0 87:290.0 88:38.0 89:34.0 90:14.0 91:33.0 92:7.0 93:4.0 94:4.0 95:2.0 96:20.0 97:16.0 98:42.0 99:43.0 100:1349.0 101:2357.0 102:353.0 103:220.0 104:22.0 105:10.0 106:4.0 107:104.0 110:50.0 112:49.0 113:14.0 114:249.0 115:190.0 116:89.0 117:2741.0 118:348.0 119:163.0 120:16.0 121:1.0 125:5.0 126:18.0 127:10.0 128:639.0 129:649.0 130:384.0 131:450.0 132:484.0 133:505.0 134:129.0 135:35.0 136:7.0 140:4.0 141:4.0 142:12.0 143:31.0 144:51.0 146:52.0 147:1351.0 148:239.0 149:151.0 150:9.0 151:25.0 153:9.0 154:5.0 155:3.0 156:2.0 157:5.0 158:54.0 159:80.0 160:67.0 161:7.0 162:14.0 163:14.0 164:1.0 165:1.0 166:1.0 170:7.0 171:2.0 172:33.0 173:4.0 174:34.0 175:10.0 176:16.0 177:27.0 179:2.0 180:1.0 184:39.0 186:34.0 187:7.0 188:20.0 189:11.0 190:9.0 191:29.0 192:2.0 195:8.0 197:3.0 199:3.0 200:1.0 201:3.0 202:199.0 203:229.0 204:76.0 205:19.0 206:7.0 207:3.0 208:1.0 209:3.0 210:10.0 211:2.0 212:3.0 213:6.0 214:3.0 215:3.0 216:12.0 217:19.0 218:1467.0 219:1396.0 220:308.0 221:145.0 222:21.0 223:6.0 224:7.0 225:1.0 228:1.0 229:3.0 230:43.0 231:12.0 232:10.0 234:4.0 235:8.0 236:6.0 240:1.0 242:4.0 243:2.0 245:4.0 247:8.0 248:8.0 249:1.0 251:2.0 252:2.0 257:1.0 258:4.0 260:3.0 262:3.0 263:5.0 265:1.0 266:1.0 267:3.0 268:2.0 273:5.0 275:3.0 276:1.0 278:3.0 280:6.0 283:2.0 285:4.0 287:1.0 290:5.0 291:304.0 292:228.0 293:79.0 294:21.0 295:4.0 297:1.0 298:3.0 299:9.0 301:2.0 303:1.0 306:1.0 311:2.0 312:4.0 317:5.0 319:1.0 320:37.0 321:22.0 322:6.0 326:1.0 329:1.0 330:2.0 332:3.0 333:1.0 334:1.0 336:2.0 337:2.0 341:5.0 342:5.0 345:5.0 347:1.0 349:2.0 350:1.0 351:3.0 354:3.0 355:5.0 356:1.0 357:5.0 361:2.0 366:5.0 368:2.0 369:2.0 372:1.0 373:8.0 374:2.0 376:3.0 377:1.0 378:4.0 379:3.0 380:4.0 382:7.0 385:1.0 386:1.0 387:1.0 388:5.0 393:2.0 395:4.0 396:1.0 397:6.0 398:3.0 399:1.0 404:1.0 405:4.0 407:5.0 410:3.0 412:9.0 414:3.0 415:4.0 416:1.0 418:1.0 420:1.0 422:2.0 423:1.0 424:1.0 426:1.0 428:6.0 430:2.0 431:4.0 433:5.0 435:2.0 439:1.0 440:4.0 441:1.0 442:1.0 443:4.0 445:1.0 447:1.0 448:1.0 449:6.0 451:2.0 453:2.0 454:5.0 455:5.0 456:1.0 457:2.0 458:5.0 459:1.0 460:1.0 461:2.0 463:9.0 466:1.0 469:1.0 470:9.0 473:4.0 474:2.0 475:3.0 476:4.0 481:1.0 487:4.0 488:2.0 489:2.0 490:1.0 491:2.0 492:9.0 494:2.0 495:3.0 496:2.0 498:1.0 499:2.0 500:2.0</t>
  </si>
  <si>
    <t>497167</t>
  </si>
  <si>
    <t>292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</si>
  <si>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</si>
  <si>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sucrose</t>
  </si>
  <si>
    <t>916949</t>
  </si>
  <si>
    <t>271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</si>
  <si>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</si>
  <si>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succinic acid</t>
  </si>
  <si>
    <t>370518</t>
  </si>
  <si>
    <t>247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</si>
  <si>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</si>
  <si>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stearic acid</t>
  </si>
  <si>
    <t>787358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</si>
  <si>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</si>
  <si>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953011</t>
  </si>
  <si>
    <t>85:143.0 86:4419.0 91:9.0 95:213.0 98:157.0 99:59.0 100:2137.0 102:562.0 103:4.0 110:61.0 112:182.0 114:372.0 115:309.0 116:6603.0 117:966.0 128:494.0 129:1311.0 130:1350.0 131:303.0 140:150.0 142:1431.0 143:221.0 144:5092.0 145:735.0 146:451.0 152:7.0 154:61.0 156:1689.0 157:232.0 158:199.0 160:2107.0 161:332.0 162:63.0 163:4.0 166:14.0 168:56.0 169:9.0 170:428.0 172:1172.0 173:218.0 174:3306.0 175:613.0 176:208.0 182:62.0 183:55.0 186:100.0 187:91.0 188:11.0 193:239.0 194:18.0 195:23.0 201:417.0 202:45.0 203:21.0 204:80.0 205:29.0 207:246.0 208:296.0 209:186.0 210:10.0 215:42.0 217:51.0 218:10.0 229:17.0 230:14.0 231:4.0 237:15.0 249:44.0 250:12.0 252:23.0 255:10.0 257:4.0 259:22.0 264:27.0 265:86.0 266:4.0 268:66.0 269:72.0 270:20.0 271:48.0 281:172.0 282:103.0 285:15.0 293:4.0 299:52.0 303:7.0 311:17.0 325:2.0 328:5.0 329:189.0 330:27.0 331:65.0 345:23.0 355:6.0 357:12.0 359:35.0 362:35.0 384:7.0 387:31.0 397:44.0 401:7.0 413:12.0 431:2.0 437:12.0 457:3.0 476:42.0 477:23.0 489:12.0 490:6.0</t>
  </si>
  <si>
    <t>792258</t>
  </si>
  <si>
    <t>85:33.0 86:762.0 87:71.0 88:28.0 90:4.0 91:101.0 92:122.0 93:18.0 97:2.0 98:29.0 99:32.0 100:377.0 101:64.0 102:91.0 103:43.0 107:9.0 108:2.0 110:5.0 112:18.0 113:2.0 114:68.0 115:108.0 116:743.0 117:76.0 118:24.0 124:3.0 125:5.0 126:35.0 128:68.0 129:71.0 130:148.0 131:32.0 132:3.0 134:20.0 136:4.0 140:22.0 141:9.0 142:104.0 143:22.0 144:693.0 145:73.0 146:74.0 147:311.0 148:51.0 149:6.0 151:1.0 154:41.0 156:249.0 157:100.0 158:29.0 159:4.0 160:228.0 161:23.0 162:6.0 166:1.0 170:75.0 171:1.0 172:153.0 173:11.0 174:374.0 175:46.0 176:8.0 183:9.0 184:3.0 185:1.0 186:5.0 187:5.0 189:3.0 194:1.0 197:1.0 201:17.0 202:2.0 204:22.0 205:12.0 207:34.0 209:4.0 214:8.0 215:9.0 217:6.0 221:74.0 222:6.0 223:12.0 226:2.0 229:1.0 237:5.0 238:1.0 239:9.0 241:4.0 246:2.0 264:5.0 265:2.0 267:1.0 269:1.0 281:8.0 284:1.0 285:1.0 287:1.0 293:6.0 303:1.0 311:2.0 317:15.0 318:2.0 325:2.0 326:1.0 329:2.0 330:2.0 332:1.0 333:3.0 335:1.0 344:8.0 350:2.0 353:5.0 355:1.0 357:1.0 360:1.0 363:7.0 365:1.0 380:8.0 388:1.0 389:4.0 390:12.0 395:3.0 401:4.0 403:2.0 421:12.0 423:6.0 428:5.0 431:2.0 439:2.0 441:5.0 446:2.0 450:3.0 452:4.0 457:1.0 462:3.0 463:4.0 470:2.0 472:2.0 476:3.0 477:2.0 484:5.0 485:3.0 493:1.0 494:8.0 496:3.0 499:2.0 500:4.0</t>
  </si>
  <si>
    <t>86</t>
  </si>
  <si>
    <t>serine</t>
  </si>
  <si>
    <t>394656</t>
  </si>
  <si>
    <t>204</t>
  </si>
  <si>
    <t>85:9.0 86:54.0 88:47.0 89:208.0 90:12.0 91:44.0 93:22.0 95:4.0 96:1.0 97:9.0 98:42.0 99:26.0 100:828.0 101:26.0 102:4.0 103:25.0 104:1.0 105:28.0 106:49.0 108:77.0 110:29.0 112:22.0 113:12.0 114:84.0 115:69.0 116:167.0 117:64.0 118:16.0 119:5.0 120:8.0 123:14.0 124:6.0 125:1.0 126:1.0 127:5.0 128:42.0 130:149.0 131:5.0 132:123.0 133:116.0 134:261.0 135:12.0 136:3.0 137:3.0 138:7.0 141:78.0 142:72.0 143:12.0 144:20.0 145:4.0 147:294.0 149:91.0 150:3.0 151:4.0 152:14.0 153:8.0 154:14.0 156:4.0 160:2.0 163:3.0 165:1.0 166:62.0 167:25.0 168:5.0 169:4.0 171:2.0 172:6.0 174:36.0 176:3.0 182:13.0 183:9.0 184:107.0 186:5.0 188:166.0 189:50.0 190:7.0 193:3.0 196:6.0 197:5.0 198:8.0 199:2.0 200:38.0 201:2.0 203:3.0 204:920.0 205:162.0 206:56.0 207:1.0 208:1.0 209:2.0 210:1.0 211:5.0 212:2.0 213:17.0 214:4.0 216:15.0 217:8.0 218:536.0 219:101.0 220:30.0 221:6.0 225:1.0 226:1.0 231:16.0 232:2.0 235:1.0 237:5.0 238:1.0 240:104.0 241:14.0 242:2.0 243:9.0 244:1.0 245:49.0 247:5.0 248:5.0 249:1.0 251:1.0 254:3.0 255:2.0 257:2.0 258:3.0 259:4.0 261:1.0 263:2.0 265:3.0 268:2.0 271:8.0 273:3.0 274:2.0 275:7.0 276:4.0 278:36.0 279:6.0 280:9.0 283:2.0 287:1.0 288:3.0 291:1.0 294:2.0 297:8.0 298:8.0 299:1.0 303:3.0 306:9.0 307:2.0 308:2.0 309:1.0 313:2.0 314:1.0 316:1.0 317:2.0 318:3.0 319:3.0 320:2.0 323:4.0 326:6.0 327:2.0 328:2.0 329:2.0 330:6.0 331:5.0 333:1.0 335:1.0 337:3.0 340:3.0 342:4.0 343:5.0 346:3.0 347:3.0 348:1.0 349:4.0 351:1.0 354:4.0 355:1.0 357:1.0 358:7.0 359:5.0 363:3.0 365:2.0 367:8.0 371:1.0 372:3.0 373:2.0 374:1.0 375:1.0 378:2.0 381:1.0 383:1.0 385:4.0 386:2.0 388:2.0 390:2.0 392:5.0 393:2.0 394:2.0 395:12.0 396:4.0 397:2.0 398:1.0 399:9.0 400:1.0 401:3.0 403:1.0 405:4.0 407:4.0 408:2.0 409:3.0 410:3.0 411:7.0 412:1.0 413:1.0 416:2.0 417:2.0 418:4.0 419:5.0 420:3.0 421:4.0 423:7.0 424:4.0 426:2.0 427:4.0 428:5.0 429:6.0 430:5.0 432:6.0 433:2.0 435:1.0 436:3.0 437:2.0 438:3.0 439:2.0 440:2.0 441:2.0 442:1.0 443:2.0 444:2.0 445:3.0 447:3.0 450:2.0 451:3.0 452:4.0 453:1.0 455:1.0 456:3.0 461:2.0 462:3.0 463:1.0 465:3.0 466:2.0 468:2.0 471:8.0 472:3.0 474:4.0 475:6.0 476:4.0 477:6.0 478:1.0 479:1.0 481:4.0 482:2.0 485:2.0 487:1.0 488:5.0 490:5.0 491:3.0 492:5.0 494:5.0 495:5.0 497:2.0 498:1.0 499:2.0</t>
  </si>
  <si>
    <t>salicylic acid</t>
  </si>
  <si>
    <t>480445</t>
  </si>
  <si>
    <t>267</t>
  </si>
  <si>
    <t>85:187.0 86:25.0 87:72.0 88:1.0 89:245.0 90:160.0 91:1766.0 92:425.0 93:149.0 94:3.0 95:122.0 97:92.0 98:23.0 99:8.0 100:498.0 101:55.0 102:29.0 103:165.0 104:34.0 105:321.0 106:19.0 107:53.0 108:3.0 109:16.0 110:37.0 111:17.0 113:50.0 114:7.0 115:314.0 116:4.0 117:108.0 118:42.0 119:148.0 120:121.0 121:122.0 122:14.0 123:51.0 124:5.0 126:104.0 127:11.0 128:4.0 130:80.0 131:131.0 132:22.0 133:648.0 134:134.0 135:2199.0 136:271.0 137:143.0 138:9.0 139:4.0 140:1.0 141:3.0 142:3.0 144:2.0 145:4.0 146:81.0 147:608.0 148:139.0 149:1063.0 150:156.0 151:299.0 152:12.0 153:23.0 155:28.0 159:86.0 160:32.0 161:32.0 162:12.0 163:55.0 164:4.0 165:18.0 166:6.0 167:4.0 172:2.0 173:3.0 175:199.0 176:19.0 177:81.0 178:19.0 179:282.0 180:43.0 181:149.0 182:14.0 183:9.0 184:8.0 186:1.0 188:53.0 189:5.0 190:10.0 191:23.0 192:7.0 193:459.0 194:172.0 195:110.0 196:10.0 197:5.0 198:1.0 200:3.0 202:66.0 203:8.0 204:31.0 206:7.0 207:8.0 208:9.0 209:829.0 210:181.0 211:87.0 212:16.0 215:5.0 216:21.0 218:69.0 219:13.0 220:3.0 221:36.0 223:12.0 224:4.0 225:36.0 226:9.0 227:8.0 228:2.0 229:2.0 231:4.0 232:404.0 233:232.0 234:76.0 235:24.0 236:6.0 238:1.0 239:2.0 242:1.0 244:6.0 246:7.0 248:6.0 249:220.0 250:75.0 251:49.0 252:6.0 254:3.0 255:5.0 256:6.0 257:2.0 258:4.0 259:3.0 260:7.0 261:11.0 264:8.0 265:54.0 266:29.0 267:3696.0 268:813.0 269:331.0 270:61.0 271:12.0 272:7.0 274:1.0 275:2.0 276:10.0 278:2.0 281:3.0 282:7.0 284:1.0 285:4.0 286:4.0 287:8.0 290:4.0 291:2.0 293:1.0 295:6.0 296:2.0 297:1.0 300:14.0 302:2.0 303:2.0 304:3.0 305:14.0 306:2.0 308:1.0 309:1.0 310:7.0 311:4.0 312:2.0 313:5.0 315:4.0 316:1.0 317:5.0 319:3.0 320:6.0 322:3.0 323:4.0 324:5.0 327:4.0 330:3.0 331:1.0 333:7.0 334:19.0 335:3.0 336:9.0 337:3.0 340:3.0 341:1.0 342:1.0 343:6.0 344:1.0 345:9.0 346:2.0 347:1.0 348:1.0 349:34.0 350:17.0 351:5.0 352:6.0 354:14.0 355:2.0 357:1.0 358:5.0 360:7.0 361:11.0 362:3.0 363:1.0 365:7.0 366:4.0 367:1.0 368:7.0 374:1.0 375:9.0 376:3.0 377:1.0 378:4.0 379:4.0 381:5.0 382:3.0 383:1.0 384:6.0 385:2.0 386:4.0 387:2.0 388:2.0 390:12.0 392:5.0 394:2.0 396:2.0 397:5.0 398:4.0 399:1.0 400:5.0 401:3.0 402:5.0 403:9.0 404:2.0 405:10.0 407:12.0 408:4.0 410:2.0 411:4.0 412:1.0 414:2.0 415:2.0 417:1.0 418:4.0 419:8.0 421:5.0 422:2.0 423:5.0 424:8.0 425:3.0 426:1.0 427:3.0 428:8.0 429:1.0 430:3.0 431:3.0 434:3.0 435:4.0 436:1.0 438:14.0 439:8.0 440:1.0 441:6.0 442:3.0 443:1.0 444:3.0 445:6.0 447:3.0 448:1.0 449:1.0 450:3.0 452:1.0 455:1.0 456:6.0 458:5.0 459:3.0 460:9.0 461:3.0 462:5.0 463:3.0 465:3.0 467:4.0 468:2.0 469:1.0 470:10.0 471:10.0 474:2.0 475:4.0 476:1.0 478:11.0 480:7.0 482:3.0 483:4.0 484:4.0 485:1.0 487:2.0 488:2.0 491:1.0 494:5.0 495:1.0 496:2.0 497:6.0 498:6.0 499:9.0 500:8.0</t>
  </si>
  <si>
    <t>salicylaldehyde</t>
  </si>
  <si>
    <t>405714</t>
  </si>
  <si>
    <t>193</t>
  </si>
  <si>
    <t>85:15.0 86:8.0 87:20.0 88:55.0 89:854.0 90:505.0 91:3506.0 92:216.0 93:20.0 96:16.0 97:18.0 98:6.0 101:75.0 102:169.0 103:52.0 105:6.0 107:11.0 108:54.0 110:46.0 112:64.0 113:7.0 114:3.0 118:108.0 119:4307.0 120:314.0 121:8.0 122:29.0 123:16.0 124:3.0 126:11.0 127:21.0 129:155.0 130:154.0 131:39.0 132:7.0 134:19.0 135:35.0 136:16.0 140:47.0 141:27.0 142:5.0 143:3.0 144:7.0 146:14.0 147:759.0 148:137.0 149:2936.0 150:358.0 151:17.0 157:158.0 159:1.0 160:12.0 162:7.0 164:165.0 165:15.0 166:18.0 167:1.0 169:12.0 170:116.0 172:57.0 174:8.0 175:13.0 176:19.0 178:2.0 180:3.0 184:105.0 186:43.0 187:17.0 188:33.0 190:8.0 191:9.0 192:29.0 193:2702.0 194:368.0 195:111.0 196:89.0 197:17.0 198:13.0 199:17.0 200:32.0 204:15.0 206:4.0 207:3.0 208:233.0 209:39.0 210:92.0 211:12.0 212:2.0 214:108.0 215:200.0 216:38.0 217:92.0 219:8.0 220:10.0 221:372.0 222:107.0 223:160.0 224:31.0 225:15.0 226:18.0 227:8.0 228:15.0 229:12.0 231:11.0 232:46.0 233:27.0 234:20.0 235:15.0 236:1.0 237:13.0 238:47.0 239:9.0 240:17.0 241:7.0 242:11.0 245:4.0 246:6.0 247:30.0 248:22.0 249:15.0 250:20.0 251:4.0 252:30.0 253:13.0 254:2.0 255:9.0 256:11.0 259:17.0 260:6.0 261:8.0 262:14.0 263:24.0 264:5.0 265:9.0 267:68.0 268:37.0 269:65.0 270:32.0 271:20.0 272:36.0 273:20.0 274:1.0 275:21.0 276:23.0 277:21.0 278:10.0 279:14.0 280:14.0 281:72.0 282:23.0 283:18.0 284:4.0 285:12.0 286:13.0 287:31.0 288:6.0 289:7.0 290:1.0 291:20.0 292:23.0 293:12.0 294:13.0 295:1.0 296:7.0 297:8.0 298:14.0 300:4.0 301:11.0 302:20.0 303:12.0 304:2.0 305:9.0 307:1.0 308:9.0 309:4.0 310:6.0 311:12.0 312:30.0 313:13.0 314:14.0 315:11.0 316:25.0 317:36.0 318:11.0 319:4.0 320:38.0 321:25.0 322:10.0 323:39.0 324:22.0 325:10.0 326:15.0 327:10.0 328:5.0 329:28.0 330:12.0 331:18.0 332:4.0 333:21.0 334:16.0 335:18.0 336:18.0 337:11.0 338:38.0 339:24.0 340:17.0 341:14.0 342:16.0 343:7.0 344:11.0 345:8.0 346:14.0 347:15.0 348:12.0 349:11.0 351:2.0 352:7.0 353:9.0 354:27.0 355:44.0 356:33.0 357:43.0 358:13.0 359:12.0 360:11.0 361:10.0 362:20.0 363:9.0 364:9.0 365:16.0 366:12.0 367:16.0 368:14.0 369:21.0 370:22.0 371:14.0 372:7.0 373:8.0 374:17.0 375:24.0 376:23.0 377:12.0 378:18.0 379:2.0 380:21.0 382:9.0 383:6.0 384:13.0 386:10.0 387:2.0 388:5.0 389:35.0 390:13.0 391:33.0 392:11.0 393:9.0 394:14.0 395:32.0 396:27.0 397:21.0 398:16.0 399:12.0 400:22.0 403:8.0 404:13.0 405:9.0 406:30.0 407:10.0 408:35.0 409:27.0 410:20.0 411:14.0 412:6.0 413:2.0 414:19.0 415:9.0 416:9.0 417:7.0 418:7.0 419:8.0 420:35.0 421:26.0 422:32.0 423:5.0 424:20.0 425:10.0 426:20.0 427:16.0 428:35.0 429:9.0 430:15.0 431:16.0 432:26.0 433:18.0 434:16.0 435:12.0 436:30.0 437:24.0 438:11.0 439:6.0 440:4.0 441:20.0 442:27.0 443:10.0 444:7.0 445:4.0 446:17.0 447:5.0 449:16.0 450:16.0 451:21.0 452:19.0 453:22.0 454:18.0 455:25.0 456:24.0 457:14.0 458:16.0 460:21.0 462:8.0 463:19.0 464:12.0 465:15.0 466:24.0 467:5.0 468:28.0 469:4.0 470:26.0 471:8.0 472:4.0 473:16.0 474:20.0 475:21.0 476:4.0 477:37.0 478:13.0 479:19.0 480:26.0 481:2.0 482:8.0 483:17.0 484:19.0 485:14.0 486:6.0 487:9.0 488:8.0 491:19.0 492:30.0 493:13.0 494:12.0 495:23.0 496:4.0 497:5.0 498:15.0 499:27.0 500:2.0</t>
  </si>
  <si>
    <t>saccharopine</t>
  </si>
  <si>
    <t>857414</t>
  </si>
  <si>
    <t>156</t>
  </si>
  <si>
    <t>85:75.0 86:45.0 87:10.0 93:2.0 94:58.0 95:44.0 98:124.0 99:67.0 100:375.0 101:54.0 103:36.0 107:63.0 110:2.0 112:44.0 114:39.0 115:80.0 117:21.0 118:38.0 120:47.0 121:7.0 122:96.0 124:18.0 128:220.0 129:62.0 130:11.0 131:17.0 132:124.0 133:17.0 138:1.0 140:72.0 142:57.0 148:7.0 153:6.0 154:54.0 155:191.0 156:900.0 157:106.0 158:24.0 167:16.0 168:167.0 169:6.0 170:30.0 171:38.0 184:25.0 202:14.0 217:11.0 218:33.0 229:4.0 240:245.0 241:45.0 242:8.0 257:8.0 267:120.0 268:26.0 274:170.0 275:6.0 276:19.0 296:2.0 299:5.0 314:16.0 315:2.0 316:2.0 320:3.0 356:25.0 357:584.0 358:182.0 359:76.0 419:6.0 435:8.0 437:6.0 440:11.0 459:6.0 470:5.0</t>
  </si>
  <si>
    <t>ribose-5-phosphate</t>
  </si>
  <si>
    <t>731702</t>
  </si>
  <si>
    <t>315</t>
  </si>
  <si>
    <t>85:339.0 86:258.0 87:203.0 88:96.0 89:2170.0 90:163.0 91:943.0 92:465.0 94:133.0 95:92.0 96:2.0 97:28.0 98:224.0 99:233.0 100:423.0 101:2161.0 102:451.0 103:131.0 104:31.0 105:676.0 106:32.0 107:41.0 108:8.0 111:31.0 112:141.0 113:326.0 114:298.0 115:638.0 116:623.0 117:777.0 118:112.0 119:184.0 120:2.0 121:95.0 122:13.0 123:13.0 124:4.0 125:9.0 126:615.0 127:247.0 128:159.0 129:2685.0 130:1205.0 131:564.0 132:221.0 133:1710.0 134:330.0 135:424.0 136:45.0 137:117.0 138:26.0 139:16.0 140:96.0 141:22.0 142:228.0 144:59.0 145:120.0 146:15.0 147:4165.0 148:679.0 149:859.0 150:120.0 151:240.0 152:45.0 153:28.0 154:8.0 155:2.0 156:171.0 157:176.0 158:1786.0 159:318.0 160:1143.0 161:330.0 162:86.0 163:307.0 164:34.0 165:68.0 166:11.0 167:72.0 168:237.0 169:93.0 170:37.0 171:12.0 172:45.0 173:259.0 174:170.0 175:10.0 176:3.0 177:3.0 178:19.0 179:35.0 180:8.0 181:182.0 182:44.0 183:81.0 184:131.0 185:48.0 186:21.0 189:229.0 193:208.0 194:40.0 195:228.0 196:36.0 197:45.0 198:164.0 199:36.0 200:147.0 201:25.0 202:35.0 203:46.0 205:154.0 206:6.0 207:388.0 208:69.0 209:64.0 210:17.0 211:1230.0 212:147.0 213:112.0 214:53.0 215:97.0 216:121.0 217:2932.0 218:985.0 219:359.0 220:66.0 223:8.0 224:7.0 225:373.0 226:86.0 227:236.0 228:56.0 229:37.0 230:68.0 231:82.0 232:24.0 233:8.0 234:4.0 235:11.0 236:2.0 237:7.0 238:1.0 239:25.0 240:35.0 241:52.0 242:47.0 243:55.0 244:57.0 245:15.0 246:18.0 248:7.0 249:11.0 250:6.0 251:9.0 252:10.0 253:59.0 255:42.0 256:130.0 257:62.0 258:26.0 259:9.0 260:4.0 261:3.0 262:6.0 263:11.0 264:7.0 266:5.0 267:14.0 268:16.0 269:43.0 270:3.0 271:6.0 272:198.0 273:34.0 274:49.0 275:10.0 276:3.0 279:5.0 280:2.0 282:2.0 283:113.0 284:25.0 285:113.0 286:21.0 287:25.0 288:20.0 289:8.0 290:3.0 294:6.0 296:2.0 297:2.0 298:88.0 299:3497.0 300:935.0 301:466.0 302:80.0 303:22.0 308:33.0 309:19.0 310:12.0 311:1.0 313:35.0 314:251.0 315:4157.0 316:1146.0 317:538.0 319:4.0 320:29.0 321:22.0 322:5.0 323:5.0 326:1.0 327:5.0 328:50.0 329:11.0 330:26.0 331:24.0 332:9.0 333:7.0 334:2.0 335:1.0 336:4.0 338:3.0 339:1.0 341:88.0 342:36.0 343:28.0 344:13.0 345:17.0 346:8.0 347:9.0 353:7.0 354:14.0 356:7.0 357:397.0 358:105.0 359:54.0 360:6.0 361:4.0 362:47.0 363:17.0 364:2.0 365:11.0 367:10.0 368:19.0 369:94.0 370:12.0 371:8.0 373:76.0 374:24.0 375:4.0 376:6.0 378:4.0 379:14.0 380:13.0 381:1.0 382:11.0 383:19.0 385:8.0 386:4.0 387:114.0 388:29.0 389:33.0 390:13.0 391:3.0 392:3.0 393:30.0 394:20.0 395:17.0 396:13.0 397:2.0 398:1.0 401:1.0 402:26.0 403:228.0 404:95.0 405:45.0 406:2.0 407:6.0 408:6.0 409:4.0 411:2.0 412:3.0 416:1.0 417:9.0 418:9.0 419:21.0 420:10.0 421:15.0 422:6.0 423:5.0 425:2.0 430:15.0 431:17.0 432:43.0 433:14.0 434:29.0 435:26.0 436:14.0 437:5.0 438:2.0 447:3.0 448:1.0 451:7.0 454:8.0 455:9.0 457:9.0 458:35.0 459:167.0 460:84.0 461:32.0 462:1.0 469:1.0 470:8.0 475:1.0 477:1.0 483:4.0 485:4.0 486:1.0 488:3.0 490:5.0 491:1.0 493:1.0 495:5.0 496:2.0 498:4.0 500:1.0</t>
  </si>
  <si>
    <t>ribose</t>
  </si>
  <si>
    <t>553606</t>
  </si>
  <si>
    <t>307</t>
  </si>
  <si>
    <t>85:279.0 86:330.0 87:436.0 88:215.0 89:3091.0 90:348.0 91:46.0 93:7.0 94:28.0 95:7.0 96:14.0 97:34.0 98:83.0 99:241.0 100:887.0 101:1056.0 102:396.0 103:21334.0 104:2049.0 105:1677.0 106:121.0 107:30.0 108:1.0 109:5.0 110:11.0 111:58.0 112:133.0 113:218.0 114:420.0 115:352.0 116:289.0 117:2403.0 118:313.0 119:280.0 120:42.0 121:25.0 122:17.0 123:7.0 125:38.0 126:120.0 127:168.0 128:132.0 129:1920.0 130:565.0 131:1130.0 132:168.0 133:2592.0 134:413.0 135:235.0 136:18.0 137:3.0 138:6.0 140:71.0 141:82.0 142:184.0 143:310.0 144:89.0 145:300.0 146:53.0 147:7280.0 148:1132.0 149:762.0 150:83.0 151:47.0 152:30.0 153:15.0 154:20.0 155:20.0 156:33.0 157:109.0 158:244.0 159:99.0 160:1416.0 161:305.0 162:102.0 163:295.0 164:72.0 165:31.0 166:20.0 167:6.0 168:144.0 169:48.0 170:58.0 171:3.0 172:127.0 173:168.0 174:230.0 175:208.0 176:50.0 177:83.0 178:13.0 179:3.0 180:10.0 181:10.0 182:12.0 183:17.0 184:51.0 185:13.0 186:42.0 187:26.0 188:25.0 189:2138.0 190:408.0 191:494.0 192:125.0 193:21.0 194:11.0 195:11.0 196:6.0 198:83.0 199:5.0 200:84.0 201:163.0 202:53.0 203:124.0 204:557.0 205:607.0 206:201.0 207:105.0 208:24.0 209:25.0 210:6.0 212:3.0 213:9.0 214:26.0 215:46.0 216:198.0 217:6148.0 218:1202.0 219:501.0 220:87.0 221:159.0 222:48.0 223:6.0 224:12.0 226:18.0 227:1.0 228:31.0 229:21.0 230:50.0 231:133.0 232:107.0 233:327.0 234:149.0 235:52.0 236:13.0 237:1.0 240:7.0 241:14.0 242:68.0 243:17.0 244:26.0 245:13.0 246:60.0 247:13.0 248:40.0 249:20.0 250:15.0 251:11.0 252:3.0 254:15.0 255:7.0 256:57.0 257:69.0 258:13.0 259:21.0 260:10.0 261:13.0 262:140.0 263:21.0 264:3.0 265:31.0 266:10.0 270:3.0 271:1.0 272:29.0 273:13.0 274:82.0 275:25.0 276:9.0 277:413.0 278:176.0 279:88.0 280:10.0 281:11.0 282:7.0 283:6.0 284:18.0 285:1.0 286:9.0 287:1.0 288:37.0 289:20.0 290:17.0 291:82.0 292:28.0 293:9.0 296:5.0 297:5.0 298:7.0 299:7.0 300:6.0 304:6.0 305:46.0 306:66.0 307:1528.0 308:423.0 309:245.0 310:28.0 311:6.0 312:3.0 313:11.0 315:9.0 316:13.0 317:1.0 318:6.0 322:3.0 323:3.0 324:3.0 325:7.0 326:3.0 327:1.0 328:11.0 329:5.0 330:20.0 331:19.0 332:9.0 333:20.0 335:1.0 336:1.0 338:3.0 340:7.0 341:3.0 342:10.0 343:3.0 345:3.0 351:3.0 354:11.0 355:7.0 357:5.0 358:3.0 359:3.0 360:6.0 361:12.0 362:36.0 364:7.0 365:5.0 369:3.0 370:3.0 371:3.0 372:7.0 373:6.0 379:12.0 380:7.0 381:10.0 382:3.0 383:7.0 384:3.0 386:14.0 389:3.0 392:20.0 393:7.0 394:6.0 395:5.0 396:7.0 398:5.0 399:5.0 402:3.0 403:3.0 405:7.0 406:3.0 408:3.0 409:6.0 411:5.0 412:1.0 416:3.0 417:19.0 419:7.0 420:20.0 423:14.0 425:11.0 427:10.0 431:10.0 432:5.0 433:7.0 434:1.0 435:7.0 436:3.0 437:6.0 438:3.0 439:3.0 440:3.0 442:3.0 443:5.0 444:6.0 445:3.0 446:3.0 448:6.0 449:3.0 450:15.0 451:7.0 453:6.0 454:7.0 456:7.0 458:7.0 460:3.0 465:3.0 466:5.0 467:6.0 468:3.0 469:1.0 470:7.0 471:7.0 472:6.0 476:10.0 478:5.0 479:3.0 480:10.0 482:7.0 483:1.0 484:14.0 486:7.0 487:7.0 491:5.0 494:6.0 497:3.0 498:3.0 499:1.0 500:9.0</t>
  </si>
  <si>
    <t>pyrophosphate</t>
  </si>
  <si>
    <t>327474</t>
  </si>
  <si>
    <t>110</t>
  </si>
  <si>
    <t>86:12.0 87:878.0 88:186.0 89:53.0 90:6.0 91:46.0 92:20.0 93:1.0 95:10.0 96:3.0 97:49.0 98:11.0 100:44.0 101:58.0 103:24.0 104:6.0 105:40.0 106:17.0 107:54.0 108:10.0 109:23.0 110:2023.0 111:45.0 115:42.0 118:16.0 119:35.0 120:1.0 121:23.0 123:16.0 124:2.0 125:2.0 126:4.0 127:4.0 129:61.0 131:10.0 133:166.0 134:46.0 135:123.0 136:4.0 137:106.0 138:3.0 141:36.0 143:34.0 147:255.0 148:36.0 150:5.0 151:4.0 152:1.0 159:6.0 160:3.0 162:7.0 168:1.0 173:4.0 178:3.0 179:7.0 181:6.0 182:1.0 183:1.0 184:7.0 186:4.0 189:56.0 190:5.0 192:5.0 193:1.0 194:4.0 195:8.0 199:1.0 202:2.0 203:2.0 208:2.0 211:85.0 212:4.0 213:8.0 216:1.0 217:2.0 221:2.0 225:37.0 226:3.0 227:61.0 228:5.0 229:2.0 230:2.0 231:4.0 237:1.0 238:1.0 239:1.0 241:107.0 242:12.0 243:4.0 244:4.0 248:2.0 251:2.0 254:3.0 255:2.0 256:5.0 257:1.0 265:1.0 266:1.0 267:2.0 269:5.0 274:1.0 277:3.0 278:6.0 279:4.0 287:1.0 288:1.0 293:1.0 301:1.0 304:1.0 310:2.0 312:2.0 316:2.0 317:3.0 319:1.0 320:1.0 322:1.0 323:4.0 325:3.0 328:1.0 331:2.0 335:2.0 336:126.0 337:18.0 338:8.0 341:2.0 342:1.0 344:3.0 346:1.0 347:2.0 350:2.0 351:3.0 355:2.0 360:4.0 366:1.0 368:3.0 370:1.0 371:1.0 372:2.0 378:3.0 379:1.0 382:1.0 385:1.0 387:1.0 388:2.0 390:1.0 395:2.0 397:1.0 398:2.0 402:2.0 403:1.0 407:1.0 409:4.0 411:2.0 415:3.0 417:1.0 418:3.0 420:1.0 421:2.0 425:1.0 426:2.0 428:4.0 429:1.0 430:5.0 434:4.0 435:1.0 442:3.0 447:4.0 449:2.0 450:1.0 455:4.0 456:1.0 457:1.0 465:1.0 474:2.0 477:3.0 486:3.0 493:2.0 498:1.0 499:5.0 500:2.0</t>
  </si>
  <si>
    <t>putrescine</t>
  </si>
  <si>
    <t>588836</t>
  </si>
  <si>
    <t>85:5560.0 86:109952.0 87:14306.0 88:4171.0 89:10910.0 90:368.0 91:1286.0 92:548.0 93:756.0 94:1980.0 95:5733.0 96:2669.0 97:2268.0 98:7536.0 99:10214.0 101:10338.0 102:5882.0 103:10597.0 104:983.0 105:4019.0 106:344.0 107:1297.0 108:1496.0 109:536.0 110:4707.0 111:3094.0 112:3980.0 113:2939.0 114:8485.0 115:5745.0 116:10397.0 117:12104.0 118:1788.0 119:1807.0 120:298.0 121:1646.0 122:901.0 123:444.0 124:1260.0 125:838.0 126:10189.0 127:2663.0 128:8200.0 129:2946.0 130:21365.0 131:9499.0 132:5187.0 133:11788.0 134:6826.0 135:1426.0 136:729.0 137:563.0 138:348.0 139:15476.0 140:3733.0 141:1358.0 142:26529.0 143:4852.0 144:3540.0 145:140.0 146:13249.0 147:35000.0 148:6125.0 149:4443.0 150:2051.0 151:2656.0 152:2204.0 153:1597.0 154:1212.0 155:1869.0 156:3349.0 157:976.0 158:5431.0 159:1416.0 160:2608.0 161:2056.0 162:275.0 163:698.0 164:292.0 165:730.0 166:427.0 167:1822.0 168:1158.0 169:1984.0 170:3378.0 171:1560.0 172:21811.0 173:3761.0 174:263437.0 176:10023.0 177:472.0 180:187.0 181:482.0 182:3974.0 183:1051.0 184:2076.0 185:854.0 186:2287.0 187:2727.0 188:1571.0 189:975.0 190:422.0 191:1061.0 192:279.0 193:837.0 194:192.0 195:162.0 196:244.0 197:2298.0 198:2060.0 199:4088.0 200:14561.0 201:3372.0 202:1868.0 203:450.0 204:1164.0 205:2371.0 206:435.0 209:5.0 210:447.0 211:576.0 212:1638.0 213:865.0 214:18013.0 215:3088.0 216:867.0 217:2968.0 218:667.0 219:2002.0 220:721.0 223:27.0 224:87.0 225:666.0 226:803.0 227:154.0 228:703.0 229:127.0 230:89.0 231:32045.0 232:5095.0 233:1508.0 234:981.0 236:5.0 237:140.0 238:344.0 239:78.0 240:147.0 241:1248.0 242:509.0 243:769.0 244:84.0 245:130.0 248:9.0 251:5.0 252:131.0 253:125.0 256:61.0 257:361.0 258:547.0 259:70.0 260:4.0 262:486.0 263:86.0 265:285.0 266:10.0 268:112.0 269:293.0 270:89.0 271:87.0 272:301.0 273:517.0 274:28.0 275:105.0 277:44.0 278:129.0 279:247.0 280:128.0 281:2.0 283:61.0 285:96.0 286:132.0 287:45.0 288:45.0 290:34.0 291:20.0 292:113.0 293:50.0 298:75.0 300:37.0 301:98.0 302:105.0 303:8.0 304:49.0 305:40.0 306:21.0 307:333.0 308:165.0 309:40.0 311:31.0 312:143.0 313:77.0 315:977.0 316:283.0 317:100.0 319:101.0 320:14.0 321:13.0 322:94.0 324:5.0 325:4.0 326:1.0 327:96.0 330:2.0 331:214.0 332:61.0 333:321.0 335:65.0 336:10.0 338:24.0 342:11.0 344:4.0 348:60.0 354:1.0 355:25.0 356:2.0 359:55.0 360:192.0 361:2306.0 362:498.0 364:59.0 365:21.0 366:14.0 372:20.0 373:18.0 374:43.0 375:41.0 376:971.0 377:211.0 378:110.0 379:70.0 380:22.0 385:3.0 390:4.0 392:3.0 400:12.0 402:43.0 405:285.0 406:151.0 407:57.0 409:24.0 416:2.0 417:3.0 418:1.0 420:4.0 421:104.0 422:44.0 428:1.0 437:46.0 443:6.0 444:5.0 447:2.0 448:1.0 449:13.0 451:40.0 454:5.0 459:1.0 464:8.0 469:2.0 470:1.0 475:42.0 477:55.0 479:17.0 483:19.0 484:3.0 488:14.0 493:2.0</t>
  </si>
  <si>
    <t>pseudo uridine</t>
  </si>
  <si>
    <t>813829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</si>
  <si>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</si>
  <si>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177</t>
  </si>
  <si>
    <t>proline</t>
  </si>
  <si>
    <t>364232</t>
  </si>
  <si>
    <t>142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</si>
  <si>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</si>
  <si>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pipecolic acid</t>
  </si>
  <si>
    <t>403598</t>
  </si>
  <si>
    <t>85:364.0 86:516.0 87:206.0 88:88.0 89:82.0 90:2.0 91:15.0 93:37.0 94:106.0 95:27.0 96:38.0 97:54.0 98:133.0 99:231.0 100:290.0 101:428.0 102:122.0 103:380.0 104:21.0 105:13.0 106:4.0 107:3.0 108:15.0 109:4.0 110:154.0 111:51.0 112:373.0 113:165.0 114:149.0 115:126.0 116:264.0 117:1433.0 118:175.0 119:130.0 121:4.0 122:30.0 123:4.0 124:35.0 125:17.0 126:174.0 127:43.0 128:352.0 129:217.0 130:74.0 131:288.0 132:55.0 133:630.0 134:111.0 135:58.0 136:5.0 137:3.0 138:9.0 140:218.0 141:67.0 142:54.0 143:266.0 144:70.0 145:15.0 146:3.0 147:2064.0 148:271.0 149:219.0 150:13.0 152:78.0 153:4.0 154:287.0 155:203.0 156:18138.0 157:2582.0 158:832.0 159:56.0 161:6.0 168:133.0 169:15.0 170:19.0 171:2.0 172:6.0 173:1.0 175:51.0 176:3.0 177:2.0 180:4.0 181:6.0 182:9.0 184:162.0 185:21.0 186:21.0 188:1.0 189:1.0 190:1.0 193:4.0 196:4.0 198:3.0 200:51.0 202:3.0 203:21.0 205:1.0 207:37.0 214:4.0 217:24.0 219:5.0 221:145.0 222:7.0 223:9.0 224:2.0 229:2.0 230:722.0 231:180.0 232:89.0 233:68.0 234:56.0 235:4.0 237:2.0 238:1.0 240:3.0 243:1.0 244:11.0 245:18.0 246:1.0 255:2.0 258:38.0 260:47.0 261:7.0 267:14.0 268:1.0 269:2.0 272:1.0 273:3.0 274:9.0 276:2.0 281:14.0 294:2.0 295:3.0 296:5.0 299:5.0 306:83.0 307:21.0 308:8.0 309:3.0 311:3.0 317:6.0 327:4.0 329:25.0 330:1.0 337:1.0 340:4.0 341:5.0 342:8.0 343:1.0 344:27.0 345:4.0 349:1.0 355:29.0 360:1.0 361:1.0 362:1.0 364:6.0 366:4.0 367:2.0 370:2.0 380:2.0 385:4.0 397:2.0 398:1.0 400:2.0 408:3.0 411:3.0 417:2.0 422:2.0 426:1.0 433:1.0 437:1.0 438:2.0 439:1.0 445:2.0 447:1.0 450:1.0 457:1.0 460:4.0 481:3.0 482:1.0 486:2.0 496:1.0 498:5.0 499:1.0</t>
  </si>
  <si>
    <t>phosphoric acid</t>
  </si>
  <si>
    <t>344674</t>
  </si>
  <si>
    <t>314</t>
  </si>
  <si>
    <t>85:1141.0 86:213.0 87:1561.0 88:399.0 89:1740.0 90:310.0 91:1827.0 92:509.0 93:635.0 94:79.0 95:146.0 96:332.0 97:66.0 98:187.0 99:189.0 100:388.0 102:553.0 103:4819.0 104:1286.0 105:4011.0 106:778.0 107:2556.0 108:270.0 109:902.0 110:31.0 111:43.0 112:70.0 113:263.0 115:8044.0 116:882.0 117:612.0 118:452.0 119:4861.0 120:847.0 121:3955.0 122:438.0 123:1800.0 124:86.0 125:94.0 126:195.0 127:219.0 130:66.0 131:4073.0 132:776.0 133:28029.0 134:3913.0 135:10266.0 136:1203.0 137:5878.0 138:630.0 139:489.0 140:53.0 141:13.0 142:5.0 143:119.0 144:11.0 145:436.0 146:93.0 147:4717.0 148:207.0 149:632.0 150:291.0 151:4698.0 152:469.0 153:701.0 154:57.0 155:44.0 156:60.0 157:14.0 158:39.0 159:78.0 160:24.0 161:237.0 162:64.0 163:1004.0 164:171.0 165:2484.0 166:446.0 167:2163.0 168:218.0 169:194.0 170:40.0 171:35.0 172:23.0 173:39.0 176:219.0 177:1060.0 178:408.0 179:1414.0 180:413.0 181:5946.0 182:796.0 183:2157.0 184:385.0 185:228.0 186:49.0 187:35.0 188:39.0 189:2071.0 190:409.0 191:7656.0 192:1761.0 193:9318.0 194:1892.0 195:2379.0 196:409.0 197:563.0 198:128.0 199:80.0 200:43.0 201:40.0 202:54.0 206:21.0 207:7994.0 208:1671.0 209:1518.0 210:456.0 211:18208.0 212:2788.0 213:1446.0 214:154.0 215:72.0 216:8.0 221:913.0 222:200.0 223:185.0 224:66.0 225:4951.0 226:908.0 227:1500.0 228:207.0 229:90.0 230:8.0 231:12.0 235:7.0 236:3.0 237:44.0 238:34.0 239:111.0 240:32.0 241:38.0 244:13.0 245:9.0 246:2.0 247:3.0 252:54.0 253:328.0 254:108.0 255:302.0 256:114.0 257:40.0 259:49.0 260:5.0 263:27.0 264:5.0 265:13.0 267:415.0 268:158.0 269:698.0 270:181.0 271:61.0 272:33.0 273:21.0 275:25.0 276:17.0 277:24.0 279:4.0 282:60.0 283:5425.0 284:1591.0 285:835.0 286:153.0 287:21.0 290:3.0 291:8.0 292:22.0 294:12.0 295:9.0 297:72.0 298:1724.0 299:72229.0 300:19347.0 301:10008.0 302:1844.0 303:486.0 304:109.0 305:97.0 306:71.0 307:99.0 308:104.0 309:80.0 310:126.0 311:32.0 313:374.0 314:10769.0 315:3110.0 316:1496.0 317:251.0 318:113.0 319:11.0 320:25.0 321:7.0 323:20.0 328:1.0 331:7.0 335:3.0 337:15.0 340:9.0 349:8.0 363:5.0 370:9.0 373:2.0 374:10.0 391:19.0 403:7.0 404:2.0 407:11.0 408:1.0 418:4.0 440:25.0 455:4.0 479:1.0 484:3.0 488:2.0</t>
  </si>
  <si>
    <t>345833</t>
  </si>
  <si>
    <t>93:522.0 95:1221.0 96:2390.0 97:2667.0 98:726.0 99:1119.0 100:10913.0 101:5068.0 102:32841.0 103:17594.0 105:17617.0 106:3465.0 112:2076.0 113:2017.0 114:2132.0 115:50339.0 116:9646.0 119:43996.0 120:5551.0 121:25793.0 122:2921.0 123:12356.0 125:1540.0 127:3301.0 128:1368.0 131:37548.0 132:7725.0 133:187722.0 135:38275.0 136:946.0 137:16022.0 138:718.0 140:194.0 142:4093.0 143:1203.0 144:549.0 145:5503.0 147:6200.0 151:55880.0 152:6782.0 153:3183.0 154:488.0 156:1624.0 157:1720.0 158:215496.0 159:26695.0 160:8322.0 161:4201.0 162:235.0 163:5005.0 164:2365.0 165:13019.0 166:2365.0 167:7237.0 168:695.0 169:171.0 170:2631.0 171:726.0 172:1387.0 173:509.0 175:533.0 177:13300.0 178:2795.0 179:16073.0 180:5721.0 181:38346.0 182:3426.0 183:17492.0 186:200.0 187:515.0 188:585.0 189:28419.0 190:6734.0 191:102569.0 192:20308.0 193:121352.0 194:14199.0 195:19877.0 196:4264.0 197:3584.0 198:2018.0 200:414.0 202:685.0 205:479.0 206:1089.0 207:160774.0 208:23556.0 209:13859.0 210:3439.0 211:31384.0 212:5450.0 214:541.0 215:724.0 218:2092.0 221:20501.0 222:2225.0 223:5301.0 224:244.0 225:107899.0 226:12301.0 227:21267.0 228:2326.0 229:746.0 230:356.0 231:424.0 232:8417.0 233:2284.0 234:824.0 235:487.0 236:509.0 237:1090.0 238:194.0 239:2618.0 240:686.0 241:150.0 243:20.0 244:85.0 245:74.0 247:45.0 251:652.0 252:684.0 253:4922.0 254:1821.0 255:5517.0 256:1988.0 257:602.0 259:131.0 260:1735.0 261:393.0 263:158.0 264:293.0 266:193.0 267:8618.0 268:3158.0 269:14407.0 270:2746.0 271:2740.0 272:377.0 274:191.0 276:621.0 278:339.0 279:354.0 280:217.0 281:258.0 282:798.0 283:98491.0 284:27026.0 285:12606.0 286:1771.0 290:203.0 292:196.0 296:163.0 297:110.0 298:28772.0 299:315437.0 300:7193.0 301:36802.0 303:535.0 305:771.0 306:205.0 308:772.0 309:165.0 312:1217.0 313:88324.0 314:77453.0 315:17789.0 316:5782.0 317:1525.0 318:105.0 320:141.0 321:20.0 322:164.0 325:19.0 326:59.0 328:37.0 331:42.0 333:12.0 334:177.0 335:73.0 336:86.0 341:217.0 342:14.0 343:33.0 349:25.0 352:171.0 354:145.0 357:6.0 359:198.0 360:106.0 361:7.0 367:126.0 368:1.0 372:122.0 373:363.0 374:358.0 375:127.0 386:95.0 387:724.0 388:149.0 389:189.0 410:8.0 433:79.0 434:27.0 435:12.0 447:112.0 448:38.0 469:51.0 475:23.0 488:7.0 489:28.0</t>
  </si>
  <si>
    <t>phosphoethanolamine</t>
  </si>
  <si>
    <t>604454</t>
  </si>
  <si>
    <t>100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</si>
  <si>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</si>
  <si>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phenylethylamine</t>
  </si>
  <si>
    <t>512521</t>
  </si>
  <si>
    <t>174:9076.0 86:7261.0 100:3536.0 91:2022.0 175:1674.0 176:1495.0 130:850.0 87:811.0 250:538.0 102:323.0 162:321.0 121:278.0 105:229.0 101:228.0 110:215.0 117:213.0 116:174.0 148:170.0 160:166.0 118:157.0 158:153.0 144:144.0 131:139.0 135:139.0 107:135.0 92:107.0 177:104.0 251:96.0 149:90.0 172:89.0 134:84.0 99:76.0 104:74.0 184:68.0 88:67.0 252:64.0 299:48.0 120:45.0 159:45.0 114:44.0 106:35.0 127:29.0 143:28.0 146:28.0 173:28.0 500:27.0 113:25.0 140:25.0 89:22.0 254:21.0 379:21.0 98:20.0 304:20.0 469:18.0 198:16.0 467:16.0 85:14.0 432:14.0 494:14.0 497:14.0 312:13.0 109:11.0 318:11.0 388:11.0 129:10.0 199:10.0 258:10.0 374:10.0 223:9.0 394:9.0 402:9.0 419:9.0 141:8.0 289:8.0 293:8.0 157:6.0 303:6.0 349:6.0 353:6.0 291:5.0 111:4.0 213:4.0 275:4.0 474:4.0 485:4.0 166:3.0 200:3.0 288:3.0 333:3.0 448:3.0 300:2.0 344:2.0 434:2.0 444:2.0 481:2.0 108:1.0 128:1.0 139:1.0 259:1.0 278:1.0 311:1.0 423:1.0 459:1.0 464:1.0 476:1.0</t>
  </si>
  <si>
    <t>phenylalanine</t>
  </si>
  <si>
    <t>538016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</si>
  <si>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</si>
  <si>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pentadecanoic acid</t>
  </si>
  <si>
    <t>674704</t>
  </si>
  <si>
    <t>85:350.0 86:183.0 87:1588.0 88:181.0 89:574.0 90:54.0 91:133.0 92:125.0 93:222.0 94:18.0 95:642.0 96:55.0 97:511.0 98:477.0 99:247.0 100:147.0 101:370.0 102:41.0 103:391.0 104:4.0 105:231.0 106:20.0 107:138.0 108:1.0 109:127.0 110:63.0 111:167.0 112:108.0 113:104.0 114:34.0 115:111.0 116:466.0 117:8021.0 118:750.0 119:298.0 120:7.0 121:41.0 122:5.0 123:21.0 124:20.0 125:30.0 126:56.0 127:49.0 128:26.0 129:3649.0 130:597.0 131:1393.0 132:2469.0 133:689.0 134:131.0 135:16.0 136:2.0 137:8.0 138:1.0 139:26.0 140:30.0 141:23.0 142:29.0 143:457.0 144:36.0 145:1341.0 146:169.0 148:59.0 149:11.0 151:15.0 152:3.0 153:14.0 154:1.0 155:14.0 157:120.0 158:39.0 159:121.0 160:89.0 161:20.0 162:2.0 163:2.0 165:2.0 166:13.0 167:2.0 168:34.0 169:74.0 170:35.0 171:148.0 172:30.0 173:38.0 174:115.0 175:27.0 176:3.0 178:2.0 181:22.0 182:3.0 183:2.0 184:5.0 185:160.0 186:23.0 187:74.0 188:26.0 189:56.0 190:25.0 195:2.0 196:2.0 197:4.0 199:54.0 200:3.0 201:174.0 202:45.0 203:4.0 204:53.0 210:2.0 211:5.0 212:1.0 213:50.0 214:2.0 215:53.0 216:9.0 217:333.0 218:85.0 219:21.0 224:1.0 225:26.0 226:16.0 227:89.0 228:41.0 229:40.0 230:45.0 231:16.0 233:1.0 236:4.0 238:1.0 239:13.0 240:4.0 241:18.0 242:21.0 243:52.0 244:16.0 245:10.0 246:12.0 247:3.0 248:6.0 249:4.0 250:1.0 251:9.0 252:3.0 253:1.0 254:8.0 255:65.0 256:28.0 257:32.0 258:10.0 259:4.0 261:1.0 262:4.0 264:6.0 266:1.0 270:10.0 271:74.0 272:28.0 273:3.0 274:5.0 275:1.0 279:3.0 280:3.0 284:3.0 286:1.0 287:1.0 288:2.0 290:18.0 291:7.0 292:5.0 293:1.0 294:3.0 296:1.0 297:5.0 298:20.0 299:1127.0 300:290.0 301:59.0 302:15.0 303:3.0 304:5.0 306:1.0 310:1.0 311:1.0 314:42.0 315:7.0 316:3.0 317:3.0 320:6.0 321:2.0 323:1.0 325:2.0 327:2.0 330:2.0 331:9.0 332:4.0 333:49.0 334:11.0 335:13.0 339:1.0 340:3.0 343:3.0 345:1.0 347:2.0 349:4.0 351:1.0 357:2.0 360:5.0 361:56.0 362:28.0 363:2.0 365:2.0 366:4.0 368:4.0 371:2.0 372:3.0 373:2.0 374:1.0 375:2.0 376:7.0 377:4.0 378:1.0 379:1.0 380:3.0 381:1.0 382:2.0 384:4.0 385:2.0 389:1.0 391:2.0 392:3.0 395:2.0 396:2.0 398:2.0 400:3.0 403:5.0 404:20.0 405:7.0 406:2.0 408:1.0 412:3.0 415:2.0 416:2.0 417:8.0 420:4.0 422:4.0 423:1.0 428:3.0 432:5.0 435:8.0 436:2.0 437:1.0 442:2.0 443:2.0 444:2.0 446:3.0 447:5.0 450:8.0 451:4.0 452:1.0 454:4.0 455:1.0 458:7.0 459:7.0 460:1.0 462:1.0 465:3.0 466:4.0 467:2.0 469:3.0 472:2.0 473:6.0 477:2.0 480:3.0 484:1.0 487:2.0 488:4.0 489:2.0 490:2.0 491:2.0 492:1.0 494:1.0 495:1.0 498:7.0</t>
  </si>
  <si>
    <t>pelargonic acid</t>
  </si>
  <si>
    <t>399114</t>
  </si>
  <si>
    <t>85:1898.0 86:2486.0 87:420.0 88:662.0 89:459.0 90:399.0 93:381.0 95:334.0 97:1018.0 98:3601.0 99:1787.0 100:934.0 101:904.0 102:573.0 103:439.0 105:2489.0 106:106.0 110:1748.0 111:507.0 112:5139.0 113:948.0 114:202.0 115:338.0 116:2800.0 117:49159.0 118:4077.0 119:1821.0 123:138.0 125:20.0 126:466.0 128:478.0 129:19976.0 130:4069.0 131:12457.0 132:12149.0 133:437.0 134:1143.0 136:467.0 139:91.0 140:275.0 142:125.0 143:1720.0 144:418.0 145:4901.0 146:547.0 147:835.0 154:5148.0 155:463.0 157:306.0 158:43.0 159:831.0 163:1.0 170:376.0 171:1358.0 172:1623.0 173:460.0 174:152.0 177:1.0 181:119.0 185:333.0 186:321.0 187:932.0 190:245.0 191:6237.0 192:1037.0 193:366.0 200:6687.0 201:2016.0 202:520.0 214:94.0 215:18040.0 216:3383.0 217:496.0 226:26.0 228:3962.0 229:610.0 230:407.0 233:11.0 243:582.0 244:15.0 246:124.0 248:36.0 257:60.0 288:19.0 304:22.0 315:16.0</t>
  </si>
  <si>
    <t>pantothenic acid</t>
  </si>
  <si>
    <t>691214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</si>
  <si>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</si>
  <si>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palmitoleic acid</t>
  </si>
  <si>
    <t>706298</t>
  </si>
  <si>
    <t>129</t>
  </si>
  <si>
    <t>85:634.0 86:251.0 87:101.0 88:73.0 89:389.0 90:24.0 91:638.0 92:138.0 93:970.0 94:446.0 95:2278.0 96:2964.0 97:1797.0 98:2172.0 99:487.0 100:94.0 101:210.0 102:34.0 105:514.0 106:53.0 107:496.0 108:235.0 109:940.0 110:1010.0 111:563.0 112:318.0 113:92.0 114:12.0 115:58.0 116:923.0 117:10461.0 118:1002.0 119:716.0 120:75.0 121:367.0 122:123.0 123:663.0 124:350.0 125:149.0 126:18.0 127:68.0 128:55.0 129:7716.0 130:961.0 131:1658.0 132:1335.0 133:554.0 134:228.0 135:179.0 136:51.0 137:373.0 138:299.0 139:92.0 140:27.0 141:100.0 142:22.0 143:405.0 144:32.0 145:2221.0 146:239.0 147:62.0 148:61.0 149:13.0 150:10.0 151:236.0 152:551.0 153:103.0 155:269.0 156:83.0 157:162.0 158:25.0 159:124.0 160:3.0 161:50.0 162:2.0 165:98.0 166:79.0 167:5.0 168:2.0 169:66.0 170:23.0 171:237.0 172:82.0 173:88.0 175:8.0 179:31.0 180:15.0 181:4.0 183:154.0 184:4.0 185:419.0 186:73.0 187:64.0 188:23.0 192:34.0 193:68.0 194:369.0 195:39.0 197:29.0 199:440.0 200:55.0 201:78.0 208:16.0 211:8.0 213:103.0 214:4.0 215:6.0 216:4.0 225:3.0 226:1.0 227:62.0 228:4.0 229:10.0 236:198.0 237:4.0 241:19.0 242:5.0 243:1.0 244:16.0 245:1.0 255:5.0 258:2.0 272:3.0 274:1.0 283:2.0 288:2.0 303:4.0 305:1.0 310:1.0 311:1256.0 312:342.0 313:72.0 314:5.0 326:51.0 327:3.0 329:4.0 336:1.0 347:2.0 349:1.0 362:1.0 366:3.0 372:1.0 373:6.0 375:3.0 384:3.0 388:6.0 392:1.0 399:5.0 410:1.0 411:1.0 412:1.0 426:2.0 428:5.0 432:2.0 438:1.0 455:2.0 471:3.0 472:5.0 473:2.0 476:2.0 482:7.0 483:4.0 485:2.0</t>
  </si>
  <si>
    <t>palmitic acid</t>
  </si>
  <si>
    <t>711066</t>
  </si>
  <si>
    <t>313</t>
  </si>
  <si>
    <t>85:417.0 86:40.0 87:201.0 89:75.0 93:219.0 95:782.0 96:115.0 97:416.0 98:554.0 99:149.0 100:92.0 101:33.0 105:247.0 107:38.0 109:208.0 110:66.0 111:130.0 112:105.0 114:45.0 116:728.0 117:13594.0 118:1183.0 119:294.0 123:10.0 124:16.0 125:29.0 127:100.0 129:5841.0 130:857.0 131:2337.0 132:4614.0 133:569.0 134:74.0 140:42.0 143:334.0 144:22.0 145:2501.0 146:291.0 147:883.0 154:9.0 157:55.0 158:1.0 159:224.0 160:19.0 171:92.0 173:52.0 174:31.0 184:19.0 185:223.0 187:182.0 188:20.0 199:49.0 201:322.0 202:67.0 213:13.0 215:50.0 216:3.0 217:426.0 218:52.0 221:242.0 222:56.0 227:15.0 228:11.0 229:71.0 230:5.0 231:17.0 243:25.0 257:6.0 263:12.0 269:45.0 281:158.0 285:42.0 290:6.0 299:2.0 307:25.0 312:17.0 313:1773.0 314:499.0 315:120.0 328:55.0 332:6.0 355:25.0 396:2.0 428:2.0 438:8.0</t>
  </si>
  <si>
    <t>oxoproline</t>
  </si>
  <si>
    <t>489576</t>
  </si>
  <si>
    <t>85:7245.0 86:8074.0 87:5.0 88:23.0 89:304.0 90:14.0 91:303.0 92:114.0 93:147.0 94:689.0 95:204.0 96:660.0 97:526.0 98:2545.0 99:2632.0 100:5751.0 101:763.0 102:878.0 103:1200.0 104:248.0 105:766.0 106:112.0 107:335.0 108:489.0 109:147.0 110:1512.0 111:781.0 112:6768.0 113:2086.0 114:3261.0 115:1866.0 116:642.0 117:2207.0 118:568.0 119:635.0 120:78.0 121:105.0 122:876.0 123:104.0 124:250.0 125:122.0 126:1042.0 127:784.0 128:716.0 129:647.0 130:504.0 131:4857.0 132:1422.0 133:9248.0 134:1215.0 135:474.0 136:102.0 137:33.0 138:65.0 139:443.0 140:8392.0 141:2165.0 142:2251.0 144:147.0 145:40.0 146:336.0 147:51636.0 148:7553.0 149:4711.0 150:567.0 151:78.0 152:181.0 153:91.0 154:2181.0 155:1440.0 156:276359.0 157:35517.0 158:13300.0 159:1014.0 160:375.0 161:198.0 164:3.0 168:495.0 169:144.0 170:609.0 171:97.0 172:380.0 173:100.0 174:2876.0 175:448.0 176:232.0 177:7.0 181:23.0 182:19.0 183:209.0 184:325.0 186:417.0 187:87.0 188:60.0 189:1.0 190:274.0 192:30.0 197:5.0 198:121.0 200:2.0 201:3.0 202:5.0 204:1.0 205:4.0 206:1.0 208:31.0 212:28.0 213:141.0 214:2564.0 215:593.0 216:338.0 218:13.0 219:20.0 221:11.0 222:1.0 224:14.0 225:5.0 226:36.0 227:33.0 228:769.0 229:173.0 230:16781.0 231:3601.0 232:1491.0 233:206.0 234:49.0 236:14.0 237:70.0 238:21.0 239:20.0 240:1.0 242:40.0 243:3.0 244:57.0 245:38.0 246:79.0 247:4.0 248:1.0 252:9.0 256:16.0 257:54.0 258:14074.0 259:3071.0 260:1379.0 261:152.0 262:20.0 268:8.0 272:40.0 273:471.0 274:63.0 275:13.0 276:13.0 290:27.0 292:20.0 293:1.0 294:1.0 298:22.0 299:46.0 300:2.0 304:213.0 305:12.0 306:4.0 318:7.0 340:9.0 344:4.0 345:11.0 346:5.0 369:7.0 376:9.0 381:12.0 382:8.0 388:12.0 397:17.0 400:7.0 401:23.0 402:8.0 406:14.0 415:5.0 419:1.0 428:2.0 429:12.0 439:5.0 442:3.0 454:3.0 455:5.0 456:15.0 457:7.0 458:2.0 459:5.0 462:3.0 463:1.0 465:21.0 468:12.0 486:1.0 492:12.0 496:35.0 500:15.0</t>
  </si>
  <si>
    <t>orotic acid</t>
  </si>
  <si>
    <t>584723</t>
  </si>
  <si>
    <t>254</t>
  </si>
  <si>
    <t>85:4455.0 86:17168.0 89:1412.0 92:455.0 93:3680.0 94:867.0 95:4144.0 96:2476.0 97:12841.0 98:3068.0 99:16269.0 100:89814.0 101:9061.0 102:7078.0 103:6124.0 104:1178.0 105:3575.0 106:216.0 108:51.0 109:1805.0 110:2845.0 111:2091.0 112:2349.0 113:2744.0 114:4979.0 115:7941.0 116:2550.0 117:12126.0 118:2638.0 119:3688.0 120:315.0 121:417.0 123:3287.0 124:2164.0 125:2254.0 126:2561.0 127:1952.0 128:1517.0 129:290.0 130:296.0 131:32054.0 132:7878.0 133:38837.0 134:5287.0 135:3223.0 136:406.0 137:836.0 138:672.0 139:1582.0 140:8035.0 141:4109.0 142:3404.0 144:2688.0 145:2706.0 146:982.0 147:198235.0 148:25158.0 149:21880.0 150:1951.0 151:1334.0 152:273.0 153:800.0 154:1971.0 155:2906.0 156:5744.0 157:5077.0 158:7649.0 159:2803.0 160:4503.0 161:1745.0 162:414.0 163:208.0 166:120.0 167:7676.0 168:1743.0 169:3054.0 170:1913.0 171:1242.0 172:1929.0 173:3055.0 174:35998.0 175:6447.0 176:2902.0 177:1214.0 178:69.0 179:77.0 180:1136.0 181:3096.0 182:2281.0 183:2138.0 184:3597.0 185:2155.0 186:474.0 187:552.0 188:956.0 189:1588.0 190:727.0 191:653.0 194:94.0 195:4315.0 196:1137.0 197:1910.0 198:1944.0 199:636.0 200:589.0 201:1954.0 202:564.0 203:121.0 204:387.0 205:1026.0 206:321.0 207:955.0 208:314.0 209:670.0 210:467.0 211:18682.0 212:4015.0 213:2323.0 214:8474.0 215:8492.0 216:2211.0 217:931.0 218:238.0 219:29.0 221:1706.0 222:411.0 223:299.0 224:215.0 225:2426.0 226:2913.0 227:1405.0 228:1877.0 229:21228.0 230:4837.0 231:2453.0 232:500.0 233:229.0 234:60.0 235:55.0 239:12266.0 240:3433.0 241:1968.0 242:441.0 243:458.0 244:200.0 245:2755.0 246:845.0 247:684.0 248:247.0 250:38.0 251:14.0 252:336.0 253:25288.0 254:224724.0 255:57606.0 256:22817.0 257:5768.0 258:1280.0 259:847.0 260:152.0 261:1431.0 262:397.0 263:165.0 264:46.0 267:113.0 268:656.0 269:25740.0 270:12793.0 271:4658.0 272:2634.0 273:1127.0 274:285.0 275:290.0 276:141.0 277:40.0 280:30.0 281:53.0 282:3776.0 283:1934.0 284:937.0 285:8132.0 286:1654.0 287:2002.0 288:324.0 289:200.0 290:112.0 291:69.0 293:22.0 296:40.0 297:281.0 298:99.0 299:746.0 300:1671.0 301:577.0 302:253.0 303:530.0 304:180.0 305:149.0 306:240.0 307:60.0 308:59.0 309:27.0 310:9.0 311:116.0 312:79.0 313:1236.0 314:439.0 315:191.0 316:98.0 317:91.0 318:74.0 319:124.0 320:98.0 322:28.0 323:22.0 324:21.0 326:18.0 327:2756.0 328:1781.0 329:4661.0 330:1847.0 331:982.0 332:379.0 333:231.0 334:81.0 335:80.0 336:75.0 337:23.0 338:20.0 339:89.0 340:26.0 341:250.0 342:247.0 343:1706.0 344:887.0 345:413.0 346:864.0 347:366.0 348:218.0 349:69.0 350:35.0 351:36.0 352:46.0 354:59.0 355:571.0 356:1899.0 357:68543.0 358:24056.0 359:10777.0 360:2529.0 361:579.0 362:88.0 363:59.0 364:6.0 366:80.0 367:34.0 368:38.0 370:132.0 371:4083.0 372:5030.0 373:1907.0 374:910.0 375:5743.0 376:2031.0 377:854.0 378:204.0 379:26.0 380:51.0 381:10.0 382:4.0 384:1.0 396:2.0 397:35.0 398:62.0 399:50.0 400:11.0 401:60.0 402:30.0 415:11.0 417:11.0 418:18.0 425:3.0 432:4.0 435:9.0 449:3.0 450:3.0 466:4.0 469:2.0</t>
  </si>
  <si>
    <t>ornithine</t>
  </si>
  <si>
    <t>527088</t>
  </si>
  <si>
    <t>85:5748.0 86:4000.0 87:3563.0 88:1653.0 89:4199.0 90:1047.0 91:61.0 93:28.0 94:144.0 95:22.0 96:49.0 97:1145.0 98:11336.0 99:1738.0 100:10957.0 101:2718.0 102:12999.0 103:4611.0 104:1865.0 105:369.0 106:96.0 108:338.0 109:413.0 110:998.0 111:308.0 112:1290.0 113:1130.0 114:3528.0 115:6610.0 116:4988.0 117:4144.0 118:732.0 119:427.0 120:85.0 124:531.0 125:48.0 126:778.0 128:6535.0 129:3547.0 130:3070.0 131:8538.0 132:2651.0 133:2932.0 134:752.0 138:185.0 140:3477.0 141:1430.0 142:48946.0 143:8156.0 144:6062.0 145:1024.0 146:1883.0 147:85012.0 148:7910.0 149:3432.0 151:190.0 152:332.0 153:1488.0 154:1173.0 155:528.0 156:3413.0 157:5062.0 158:6814.0 159:1207.0 160:568.0 162:3076.0 163:388.0 164:286.0 165:292.0 166:1020.0 167:100.0 168:258.0 169:968.0 170:1331.0 171:888.0 172:677.0 173:195.0 174:396.0 176:13.0 180:100.0 184:508.0 185:153.0 186:2969.0 187:643.0 188:737.0 189:95.0 190:63.0 198:66.0 199:15.0 200:505.0 201:183.0 202:138.0 203:47.0 204:2462.0 205:368.0 206:88.0 210:281.0 212:76.0 214:751.0 215:533.0 216:2247.0 217:989.0 218:1439.0 219:373.0 220:185.0 225:98.0 226:83.0 227:225.0 228:258.0 229:65.0 230:242.0 231:395.0 232:387.0 233:26.0 234:6.0 236:34.0 237:140.0 240:11.0 241:414.0 242:112.0 243:1645.0 244:1352.0 245:414.0 254:23.0 255:501.0 256:422.0 257:151.0 258:594.0 259:545.0 260:188.0 261:64.0 264:9.0 271:13.0 272:51.0 273:22.0 286:19.0 287:57.0 301:34.0 302:84.0 304:11.0 313:1.0 314:208.0 315:165.0 317:4.0 330:48.0 331:109.0 348:1145.0 349:413.0 350:229.0 351:18.0 374:1.0 391:10.0 407:5.0 410:20.0 411:257.0 412:49.0 413:17.0 445:1.0 455:15.0</t>
  </si>
  <si>
    <t>oleic acid</t>
  </si>
  <si>
    <t>779154</t>
  </si>
  <si>
    <t>339</t>
  </si>
  <si>
    <t>85:991.0 86:254.0 87:140.0 88:96.0 89:590.0 90:81.0 91:194.0 92:45.0 93:265.0 94:348.0 95:2577.0 96:4488.0 97:2961.0 98:3321.0 99:736.0 100:34.0 101:232.0 102:36.0 103:181.0 104:1.0 105:382.0 106:40.0 107:201.0 109:1411.0 110:1664.0 111:1158.0 112:547.0 113:144.0 114:7.0 115:100.0 116:1440.0 117:14668.0 118:1451.0 119:1036.0 120:85.0 121:386.0 122:30.0 123:1152.0 124:600.0 125:312.0 126:99.0 127:62.0 128:64.0 129:11321.0 130:1441.0 131:2255.0 132:2220.0 133:987.0 134:433.0 135:200.0 137:627.0 138:465.0 139:124.0 140:35.0 141:77.0 142:81.0 143:690.0 144:110.0 145:3765.0 146:454.0 147:403.0 148:193.0 151:404.0 152:465.0 153:96.0 155:473.0 156:94.0 157:274.0 158:69.0 159:237.0 160:91.0 161:70.0 162:14.0 165:129.0 166:251.0 167:90.0 168:40.0 169:313.0 170:104.0 171:473.0 172:146.0 173:80.0 174:10.0 175:19.0 179:66.0 180:425.0 181:98.0 182:18.0 183:250.0 184:32.0 185:919.0 186:158.0 187:150.0 188:54.0 191:5.0 192:4.0 193:57.0 194:41.0 195:9.0 197:18.0 198:1.0 199:1006.0 200:131.0 201:157.0 202:3.0 203:1.0 207:82.0 208:41.0 209:18.0 211:73.0 212:15.0 213:121.0 214:1.0 215:16.0 217:72.0 218:9.0 220:60.0 221:114.0 222:424.0 223:60.0 225:17.0 226:7.0 227:125.0 228:1.0 229:20.0 230:1.0 234:10.0 235:44.0 236:46.0 237:2.0 239:6.0 241:105.0 242:7.0 243:62.0 245:4.0 246:4.0 253:8.0 255:27.0 256:6.0 257:37.0 258:5.0 264:259.0 265:54.0 267:2.0 270:7.0 271:34.0 272:31.0 275:1.0 281:11.0 282:6.0 283:1.0 285:1.0 286:6.0 287:1.0 295:11.0 300:7.0 311:20.0 312:2.0 313:2.0 317:2.0 318:3.0 322:1.0 329:4.0 331:2.0 337:9.0 338:44.0 339:1767.0 340:477.0 341:96.0 342:1.0 345:7.0 346:1.0 349:1.0 352:1.0 353:1.0 354:79.0 355:19.0 357:1.0 367:2.0 372:3.0 373:2.0 380:4.0 382:1.0 386:1.0 395:4.0 397:1.0 401:1.0 402:5.0 405:1.0 406:2.0 425:3.0 426:2.0 427:5.0 445:7.0 452:3.0 464:1.0 466:1.0 478:3.0 491:2.0 493:2.0</t>
  </si>
  <si>
    <t>nonadecanoic acid</t>
  </si>
  <si>
    <t>822744</t>
  </si>
  <si>
    <t>85:14503.0 86:2480.0 88:15.0 89:3383.0 90:310.0 91:255.0 92:7.0 93:2175.0 95:7328.0 96:828.0 97:6743.0 98:17890.0 99:4278.0 100:60.0 101:600.0 103:118.0 105:3950.0 106:9.0 107:1276.0 108:127.0 109:2130.0 110:185.0 111:3477.0 112:2819.0 113:291.0 116:6641.0 117:150159.0 118:15046.0 119:6491.0 120:18.0 121:1217.0 122:12.0 123:875.0 124:163.0 125:898.0 126:517.0 127:316.0 129:59993.0 130:7101.0 131:19222.0 132:58486.0 133:12542.0 134:3127.0 135:801.0 136:99.0 137:59.0 139:235.0 140:924.0 141:145.0 142:3.0 143:4502.0 144:421.0 145:36957.0 146:5270.0 149:204.0 151:102.0 153:22.0 154:724.0 157:252.0 159:3568.0 160:412.0 161:130.0 162:95.0 163:209.0 167:119.0 168:379.0 169:381.0 170:45.0 171:2246.0 172:246.0 173:718.0 174:471.0 178:278.0 180:89.0 181:469.0 182:499.0 185:3846.0 186:1035.0 187:2780.0 188:835.0 189:119.0 190:510.0 191:251.0 192:39.0 195:262.0 196:136.0 198:14.0 199:666.0 200:171.0 201:7536.0 202:1272.0 203:1504.0 204:723.0 206:31.0 207:101.0 210:34.0 211:383.0 213:591.0 215:1122.0 216:442.0 217:523.0 218:396.0 220:79.0 221:761.0 222:146.0 227:815.0 228:70.0 229:798.0 230:124.0 234:193.0 236:720.0 237:336.0 238:203.0 239:53.0 241:585.0 242:5.0 243:1051.0 244:178.0 245:76.0 247:40.0 248:27.0 250:793.0 252:8.0 254:22.0 255:528.0 256:193.0 257:1021.0 258:141.0 259:259.0 264:170.0 265:26.0 266:93.0 269:404.0 270:72.0 271:1039.0 272:121.0 273:4.0 274:7.0 276:71.0 278:42.0 280:303.0 281:757.0 282:84.0 284:57.0 285:708.0 286:364.0 287:22.0 289:34.0 290:15.0 291:92.0 292:119.0 293:54.0 294:33.0 296:60.0 297:378.0 298:109.0 299:261.0 300:407.0 301:381.0 302:66.0 303:3.0 304:37.0 306:37.0 307:239.0 308:10.0 310:72.0 311:1170.0 312:398.0 313:476.0 314:332.0 315:421.0 316:118.0 318:212.0 320:1.0 322:37.0 325:337.0 326:48.0 327:1142.0 328:428.0 329:20.0 330:15.0 332:35.0 333:61.0 336:52.0 337:116.0 339:17.0 340:34.0 341:429.0 342:418.0 343:51.0 346:7.0 347:23.0 352:80.0 353:396.0 354:839.0 355:17556.0 356:5837.0 357:1759.0 358:407.0 359:11.0 361:500.0 362:78.0 363:26.0 364:14.0 365:11.0 367:40.0 369:261.0 370:2303.0 371:885.0 372:243.0 373:104.0 375:45.0 376:55.0 381:43.0 382:25.0 383:60.0 385:169.0 388:67.0 390:63.0 391:2.0 394:26.0 397:20.0 398:27.0 399:10.0 401:102.0 406:42.0 412:64.0 413:287.0 414:134.0 415:113.0 416:65.0 417:26.0 418:19.0 421:3.0 422:57.0 429:384.0 430:148.0 431:143.0 432:46.0 433:76.0 436:13.0 444:13.0 445:7.0 454:14.0 458:8.0 459:14.0 460:34.0 464:11.0 465:56.0 466:19.0 467:24.0 469:14.0 473:38.0 474:10.0 475:79.0 477:23.0 482:13.0 484:143.0 485:55.0 487:18.0 492:23.0 495:5.0 500:14.0</t>
  </si>
  <si>
    <t>N-methylalanine</t>
  </si>
  <si>
    <t>286258</t>
  </si>
  <si>
    <t>130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</si>
  <si>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</si>
  <si>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</si>
  <si>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470102</t>
  </si>
  <si>
    <t>90:486.0 91:242.0 92:616.0 93:873.0 94:1910.0 96:193.0 97:201.0 98:310.0 100:26700.0 103:47812.0 104:6064.0 105:13971.0 106:3133.0 107:235.0 108:97.0 109:1311.0 110:573.0 113:208.0 120:254.0 122:766.0 123:425.0 126:287.0 127:26372.0 128:1174.0 129:4948.0 131:280.0 132:165.0 135:469.0 136:26308.0 137:3366.0 138:1036.0 140:1183.0 143:126.0 150:831.0 151:409.0 152:44.0 155:1157.0 156:5130.0 157:1167.0 158:655.0 163:583.0 164:68.0 165:416.0 166:84.0 167:51.0 170:1855.0 171:15509.0 172:868.0 175:13.0 177:802.0 178:69.0 179:68316.0 180:10178.0 181:2978.0 184:3757.0 185:267.0 187:187.0 188:1452.0 191:3937.0 192:660.0 193:5189.0 194:2455.0 195:405.0 196:555.0 213:5.0 215:280.0 217:3539.0 218:847.0 220:22.0 224:357.0 228:907.0 229:325.0 230:4958.0 231:246.0 232:201.0 233:19.0 234:765.0 237:30.0 239:9.0 243:7223.0 244:2963.0 245:660.0 246:140.0 258:678.0 259:797.0 260:925.0 261:451.0 262:181.0 265:15.0 267:6.0 271:971.0 272:32.0 273:162.0 288:1.0 289:11.0 296:80.0 304:4.0 306:5.0 315:64.0 316:20.0 317:3.0 333:43.0 334:10.0 335:14.0 346:208.0 347:27.0 348:2511.0 349:560.0 350:191.0 382:8.0 383:37.0 384:27.0 397:2.0 398:29.0 399:8.0 401:40.0 416:7.0 429:20.0 441:13.0 461:1.0 463:4.0 471:2.0 479:1.0 489:17.0 497:27.0</t>
  </si>
  <si>
    <t>N-acetyl-leucine</t>
  </si>
  <si>
    <t>439783</t>
  </si>
  <si>
    <t>158</t>
  </si>
  <si>
    <t>85:1.0 86:3499.0 87:153.0 90:29.0 94:11.0 96:6.0 98:22.0 99:256.0 100:333.0 102:213.0 104:12.0 107:20.0 109:50.0 110:33.0 111:5.0 112:111.0 114:25.0 116:334.0 124:28.0 125:42.0 127:40.0 128:1317.0 129:283.0 130:467.0 134:222.0 135:51.0 138:9.0 142:148.0 146:161.0 158:3422.0 159:537.0 160:219.0 167:15.0 168:29.0 169:22.0 171:105.0 172:16.0 184:152.0 186:3.0 188:77.0 189:51.0 191:20.0 202:27.0 203:5.0 212:2.0 216:31.0 223:35.0 227:115.0 228:43.0 230:423.0 231:75.0 240:3.0 241:6.0 242:61.0 244:3.0 247:4.0 248:26.0 255:6.0 259:12.0 270:4.0 284:3.0 290:1.0 291:5.0 292:4.0 294:6.0 295:2.0 300:32.0 321:3.0 326:1.0 336:20.0 341:3.0 364:14.0 392:25.0 397:13.0 403:34.0 405:1.0 421:17.0 430:9.0 444:6.0 447:15.0 457:2.0 459:4.0 466:12.0 473:1.0 487:2.0 491:6.0</t>
  </si>
  <si>
    <t>319</t>
  </si>
  <si>
    <t>733793</t>
  </si>
  <si>
    <t>205</t>
  </si>
  <si>
    <t>85:53.0 86:27.0 87:36.0 88:50.0 89:905.0 90:59.0 91:17.0 92:2.0 93:10.0 94:24.0 95:3.0 96:15.0 97:8.0 98:12.0 99:30.0 100:102.0 101:188.0 102:29.0 103:1838.0 104:167.0 105:164.0 106:12.0 109:2.0 110:6.0 111:10.0 112:7.0 113:45.0 114:281.0 115:56.0 116:42.0 117:836.0 118:70.0 119:86.0 120:9.0 121:3.0 122:3.0 125:3.0 126:13.0 127:5.0 128:11.0 129:863.0 130:118.0 131:244.0 132:20.0 133:647.0 134:47.0 135:17.0 136:4.0 137:6.0 138:4.0 139:12.0 140:6.0 141:16.0 142:27.0 143:61.0 144:12.0 145:13.0 146:6.0 147:2478.0 148:363.0 149:226.0 150:34.0 152:7.0 154:6.0 155:5.0 156:9.0 157:573.0 158:57.0 159:25.0 160:7.0 161:19.0 162:4.0 163:31.0 164:9.0 165:6.0 168:7.0 169:15.0 170:21.0 171:2.0 172:88.0 173:97.0 174:26.0 175:16.0 176:9.0 177:9.0 178:10.0 179:13.0 180:8.0 181:1.0 183:9.0 184:2.0 185:3.0 186:2.0 188:19.0 189:125.0 190:59.0 191:117.0 192:22.0 195:3.0 197:1.0 198:3.0 200:6.0 201:33.0 202:15.0 203:25.0 204:217.0 205:1211.0 206:216.0 207:138.0 209:18.0 210:11.0 214:15.0 215:5.0 216:35.0 217:640.0 218:103.0 219:32.0 220:12.0 221:45.0 222:8.0 223:3.0 224:3.0 225:1.0 226:1.0 229:160.0 230:48.0 231:8.0 232:4.0 233:3.0 234:10.0 236:10.0 237:10.0 238:7.0 240:3.0 242:10.0 244:18.0 245:13.0 246:7.0 247:7.0 248:13.0 249:14.0 250:7.0 251:1.0 254:1.0 255:2.0 256:23.0 257:12.0 258:10.0 259:10.0 260:6.0 261:3.0 262:174.0 263:27.0 264:8.0 265:9.0 266:5.0 268:4.0 270:1.0 271:1.0 272:2.0 273:6.0 275:4.0 276:3.0 277:5.0 278:7.0 280:6.0 282:10.0 283:11.0 286:5.0 287:8.0 291:45.0 292:16.0 293:26.0 294:14.0 295:14.0 296:4.0 297:5.0 298:7.0 300:4.0 301:1.0 302:4.0 303:9.0 304:7.0 305:48.0 306:17.0 307:36.0 308:25.0 309:10.0 310:3.0 311:3.0 312:2.0 314:5.0 315:5.0 316:3.0 318:67.0 319:914.0 320:250.0 321:109.0 322:25.0 323:19.0 324:1.0 325:3.0 326:1.0 327:5.0 328:11.0 329:1.0 330:6.0 331:18.0 332:18.0 333:10.0 335:8.0 338:23.0 339:11.0 340:12.0 341:5.0 342:3.0 343:12.0 345:1.0 346:1.0 347:7.0 349:5.0 350:1.0 352:1.0 353:5.0 355:17.0 356:14.0 357:17.0 359:1.0 361:4.0 362:5.0 363:1.0 364:5.0 365:2.0 368:2.0 370:6.0 373:6.0 375:6.0 376:19.0 377:1.0 378:8.0 379:1.0 380:4.0 382:14.0 386:9.0 387:1.0 388:12.0 389:9.0 390:7.0 391:6.0 392:3.0 393:3.0 394:8.0 396:3.0 397:4.0 398:3.0 400:5.0 402:5.0 403:2.0 404:5.0 405:2.0 406:4.0 411:3.0 415:3.0 416:7.0 417:4.0 418:6.0 419:2.0 421:4.0 422:3.0 423:2.0 424:5.0 427:4.0 428:8.0 429:3.0 431:8.0 432:2.0 433:2.0 434:15.0 435:1.0 436:5.0 437:6.0 438:3.0 439:12.0 440:1.0 442:7.0 443:4.0 444:1.0 445:5.0 446:7.0 447:1.0 448:7.0 450:2.0 452:4.0 453:1.0 454:2.0 456:11.0 457:1.0 459:8.0 460:3.0 461:12.0 462:4.0 463:13.0 465:10.0 467:1.0 471:13.0 472:2.0 474:2.0 475:1.0 477:4.0 479:5.0 480:3.0 481:1.0 482:5.0 483:4.0 484:1.0 485:5.0 486:2.0 487:8.0 488:3.0 489:3.0 490:7.0 492:7.0 495:3.0 498:14.0</t>
  </si>
  <si>
    <t>N-acetyl-D-hexosamine</t>
  </si>
  <si>
    <t>746377</t>
  </si>
  <si>
    <t>86:7.0 89:363.0 90:17.0 91:2.0 99:11.0 100:43.0 101:1.0 102:2.0 103:1674.0 104:103.0 105:41.0 106:2.0 114:34.0 116:12.0 117:474.0 118:23.0 119:30.0 120:3.0 128:2.0 129:431.0 130:49.0 131:98.0 132:12.0 133:454.0 134:30.0 135:5.0 136:6.0 137:2.0 141:3.0 142:5.0 143:43.0 145:1.0 146:11.0 147:1470.0 148:144.0 149:85.0 156:4.0 157:261.0 158:24.0 159:5.0 162:1.0 163:27.0 167:5.0 169:6.0 170:1.0 172:71.0 173:37.0 174:12.0 175:12.0 177:5.0 178:1.0 187:9.0 188:3.0 189:82.0 190:21.0 191:41.0 192:11.0 193:4.0 201:8.0 202:8.0 203:3.0 204:75.0 205:592.0 206:95.0 207:42.0 211:2.0 214:8.0 215:8.0 216:17.0 217:305.0 218:54.0 219:19.0 221:11.0 222:1.0 226:3.0 229:50.0 230:21.0 231:6.0 232:4.0 233:2.0 234:6.0 235:1.0 236:3.0 238:2.0 239:3.0 242:8.0 243:4.0 244:2.0 246:11.0 249:1.0 254:8.0 256:5.0 258:5.0 259:2.0 262:12.0 263:5.0 264:1.0 266:4.0 268:4.0 273:1.0 277:9.0 279:1.0 284:12.0 286:5.0 288:6.0 291:10.0 293:1.0 294:1.0 295:3.0 296:4.0 299:5.0 301:2.0 302:5.0 303:1.0 304:1.0 306:7.0 307:5.0 310:2.0 312:2.0 313:5.0 317:1.0 319:394.0 320:113.0 321:47.0 322:6.0 327:4.0 328:4.0 331:1.0 332:6.0 333:4.0 334:4.0 335:2.0 337:6.0 338:2.0 342:3.0 344:2.0 345:2.0 347:12.0 348:11.0 353:1.0 357:2.0 360:5.0 362:1.0 363:4.0 364:1.0 367:2.0 368:1.0 373:2.0 374:5.0 375:1.0 378:2.0 379:1.0 380:8.0 381:1.0 385:5.0 386:4.0 398:3.0 405:4.0 407:1.0 413:4.0 414:9.0 416:3.0 418:8.0 424:1.0 427:6.0 429:7.0 433:6.0 434:1.0 435:6.0 437:1.0 439:1.0 441:8.0 442:6.0 444:9.0 445:6.0 446:7.0 447:4.0 457:2.0 460:4.0 463:1.0 468:11.0 471:9.0 473:3.0 487:3.0 493:5.0</t>
  </si>
  <si>
    <t>myristic acid</t>
  </si>
  <si>
    <t>634543</t>
  </si>
  <si>
    <t>285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</si>
  <si>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</si>
  <si>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mevalonic acid NIST</t>
  </si>
  <si>
    <t>498738</t>
  </si>
  <si>
    <t>85:4780.0 86:336.0 87:456.0 88:304.0 92:145.0 95:607.0 97:515.0 99:832.0 101:1539.0 102:335.0 103:12348.0 104:893.0 105:287.0 107:344.0 109:80.0 110:39.0 111:901.0 112:391.0 113:1772.0 114:124.0 115:6285.0 116:1774.0 117:5053.0 118:641.0 119:293.0 120:1.0 125:230.0 126:185.0 128:73.0 129:5534.0 130:1550.0 131:2072.0 132:193.0 133:4156.0 134:2024.0 135:349.0 136:178.0 140:76.0 141:437.0 142:76.0 143:6285.0 144:859.0 145:3008.0 146:404.0 147:14361.0 148:1877.0 149:4072.0 150:440.0 151:171.0 152:71.0 153:103.0 155:134.0 156:3169.0 157:2766.0 158:423.0 159:180.0 160:15.0 161:3.0 163:948.0 164:108.0 169:351.0 170:63.0 172:89.0 173:88.0 175:10.0 176:2.0 177:538.0 178:10.0 179:2.0 184:548.0 185:1903.0 186:192.0 187:95.0 189:648.0 190:138.0 191:256.0 192:35.0 197:11.0 203:1063.0 204:953.0 205:370.0 206:4.0 207:67.0 208:2.0 211:1.0 212:9.0 216:18.0 217:1275.0 218:89.0 219:21.0 220:7.0 221:24.0 223:1.0 230:3.0 231:660.0 232:68.0 233:3407.0 234:624.0 235:188.0 246:142.0 247:7498.0 248:1453.0 249:544.0 250:22.0 254:109.0 256:1.0 258:29.0 259:1416.0 260:235.0 261:83.0 269:2.0 271:5.0 274:80.0 278:1.0 279:1.0 293:3.0 295:2.0 306:12.0 319:98.0 320:34.0 321:2.0 348:9.0 349:265.0 350:12.0 351:7.0 383:13.0 385:8.0 500:6.0</t>
  </si>
  <si>
    <t>methylhexadecanoic acid</t>
  </si>
  <si>
    <t>750645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</si>
  <si>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</si>
  <si>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128</t>
  </si>
  <si>
    <t>637775</t>
  </si>
  <si>
    <t>86:65.0 87:5.0 88:44.0 89:23.0 90:94.0 91:111.0 94:5.0 96:5.0 97:95.0 98:12.0 99:29.0 100:441.0 101:64.0 102:125.0 104:54.0 105:40.0 106:10.0 107:1.0 108:8.0 110:129.0 112:71.0 113:34.0 114:65.0 115:19.0 118:43.0 119:33.0 120:5.0 121:1.0 125:2.0 126:6.0 128:2805.0 129:420.0 130:130.0 131:25.0 132:30.0 134:18.0 135:11.0 136:16.0 140:983.0 141:35.0 143:4.0 145:31.0 147:459.0 148:56.0 149:10.0 150:12.0 151:7.0 152:2.0 153:4.0 155:15.0 156:140.0 158:21.0 160:39.0 161:6.0 163:8.0 164:6.0 166:8.0 168:6.0 171:2.0 172:50.0 173:24.0 174:62.0 175:29.0 176:4.0 177:23.0 178:1.0 180:5.0 182:13.0 184:4.0 185:3.0 186:8.0 188:49.0 189:23.0 190:11.0 191:58.0 192:14.0 193:9.0 200:8.0 201:9.0 202:99.0 204:29.0 205:40.0 206:31.0 207:30.0 208:2.0 214:7.0 215:3.0 216:8.0 218:89.0 219:12.0 220:11.0 221:30.0 222:6.0 223:3.0 226:1.0 228:1.0 229:5.0 230:6.0 231:23.0 232:10.0 233:2.0 235:5.0 236:1.0 240:3.0 241:1.0 242:3.0 243:7.0 244:13.0 245:2.0 246:5.0 247:2.0 248:21.0 249:1.0 257:2.0 258:2.0 261:5.0 262:14.0 263:19.0 264:5.0 265:4.0 270:2.0 275:1.0 276:23.0 277:27.0 278:18.0 279:12.0 280:3.0 286:1.0 288:6.0 289:2.0 290:1.0 291:19.0 292:4.0 293:2.0 301:358.0 302:49.0 303:44.0 304:2.0 305:4.0 306:6.0 307:32.0 308:45.0 309:8.0 310:7.0 318:5.0 319:7.0 322:5.0 330:2.0 332:2.0 333:5.0 334:9.0 335:13.0 336:4.0 337:2.0 350:1.0 352:14.0 364:12.0 365:10.0 366:4.0 404:16.0 410:1.0 419:1.0 479:6.0</t>
  </si>
  <si>
    <t>methionine sulfoxide</t>
  </si>
  <si>
    <t>methionine</t>
  </si>
  <si>
    <t>483425</t>
  </si>
  <si>
    <t>176</t>
  </si>
  <si>
    <t>86:21.0 88:3.0 90:8.0 92:12.0 95:10.0 100:164.0 101:1.0 102:9.0 103:70.0 104:5.0 105:26.0 106:4.0 107:16.0 110:25.0 112:1.0 113:3.0 114:41.0 115:3.0 127:6.0 128:694.0 129:60.0 130:54.0 132:10.0 134:7.0 139:4.0 143:1.0 147:79.0 148:18.0 149:2.0 150:2.0 158:1.0 161:1.0 171:1.0 174:2.0 176:685.0 177:74.0 178:29.0 179:4.0 180:1.0 184:1.0 188:16.0 189:2.0 199:2.0 202:19.0 204:1.0 217:42.0 218:20.0 219:46.0 220:2.0 221:4.0 228:3.0 229:2.0 230:1.0 232:127.0 250:11.0 253:1.0 261:6.0 263:2.0 265:3.0 270:1.0 274:6.0 279:2.0 287:1.0 293:10.0 294:1.0 314:6.0 316:3.0 325:1.0 333:6.0 334:1.0 341:1.0 355:4.0 366:5.0 369:2.0 382:4.0 386:1.0 407:1.0 412:1.0 419:1.0 430:2.0 432:1.0 443:4.0 446:3.0 447:4.0 451:2.0 455:2.0 466:1.0 472:3.0 475:3.0 497:4.0</t>
  </si>
  <si>
    <t>mannose-6-phosphate NIST</t>
  </si>
  <si>
    <t>822477</t>
  </si>
  <si>
    <t>387</t>
  </si>
  <si>
    <t>86:92.0 87:86.0 89:258.0 98:250.0 101:1244.0 102:42.0 103:3266.0 110:43.0 115:361.0 116:780.0 117:2591.0 118:197.0 123:51.0 129:2109.0 130:252.0 131:270.0 132:112.0 133:1488.0 134:144.0 135:26.0 143:554.0 144:68.0 147:5395.0 148:904.0 149:294.0 151:17.0 153:42.0 155:59.0 157:552.0 163:48.0 165:6.0 168:6.0 169:197.0 177:4.0 181:20.0 182:58.0 183:256.0 184:118.0 189:405.0 190:20.0 191:447.0 192:97.0 193:151.0 195:107.0 197:29.0 203:61.0 204:964.0 205:1398.0 206:250.0 207:371.0 208:78.0 209:130.0 211:827.0 212:103.0 213:65.0 215:177.0 217:2663.0 218:600.0 219:75.0 225:298.0 227:209.0 228:23.0 229:56.0 230:73.0 231:263.0 232:7.0 233:16.0 240:15.0 243:172.0 244:51.0 246:98.0 251:57.0 253:36.0 255:254.0 256:28.0 257:171.0 259:454.0 260:28.0 261:36.0 264:27.0 265:14.0 269:1.0 272:15.0 276:32.0 277:27.0 283:109.0 284:21.0 285:153.0 286:10.0 288:1.0 289:17.0 291:75.0 292:32.0 298:94.0 299:2984.0 300:783.0 301:347.0 302:41.0 304:20.0 305:119.0 306:15.0 307:87.0 308:41.0 310:28.0 311:21.0 313:67.0 314:160.0 315:1974.0 316:523.0 317:291.0 318:93.0 319:273.0 320:87.0 328:113.0 329:32.0 330:32.0 331:109.0 332:59.0 341:157.0 342:2.0 343:33.0 344:47.0 345:58.0 346:8.0 347:55.0 349:104.0 350:22.0 352:2.0 353:10.0 354:19.0 356:43.0 357:810.0 358:225.0 359:102.0 361:10.0 363:1.0 368:1.0 369:37.0 370:68.0 371:48.0 372:24.0 373:108.0 374:32.0 376:7.0 383:4.0 386:176.0 387:2311.0 388:921.0 389:612.0 390:173.0 391:38.0 395:8.0 407:2.0 409:2.0 421:8.0 425:6.0 430:4.0 431:3.0 434:20.0 437:3.0 445:10.0 457:5.0 459:39.0 460:26.0 461:5.0 463:12.0 465:8.0 470:23.0 471:146.0 472:56.0 473:33.0 475:20.0 481:2.0 483:10.0 496:6.0</t>
  </si>
  <si>
    <t>946798</t>
  </si>
  <si>
    <t>361</t>
  </si>
  <si>
    <t>85:53.0 86:41.0 87:23.0 88:40.0 89:382.0 90:57.0 91:55.0 92:25.0 93:21.0 94:29.0 95:39.0 96:19.0 97:53.0 98:28.0 99:60.0 100:104.0 101:114.0 102:99.0 103:948.0 104:102.0 105:147.0 106:43.0 107:33.0 108:39.0 109:61.0 110:35.0 111:42.0 112:34.0 113:60.0 114:76.0 115:80.0 116:60.0 117:651.0 118:85.0 119:71.0 120:29.0 121:24.0 122:19.0 123:26.0 124:26.0 125:26.0 126:37.0 127:47.0 128:46.0 129:695.0 130:133.0 131:166.0 132:45.0 133:372.0 134:57.0 135:38.0 136:34.0 137:26.0 138:28.0 139:35.0 140:38.0 141:38.0 142:52.0 143:144.0 144:48.0 145:95.0 146:35.0 147:1526.0 148:241.0 149:201.0 150:44.0 151:40.0 152:42.0 153:46.0 154:28.0 155:83.0 156:52.0 157:122.0 158:54.0 159:48.0 160:271.0 161:78.0 162:44.0 163:73.0 164:34.0 165:27.0 166:32.0 167:36.0 168:42.0 169:345.0 170:75.0 171:64.0 172:42.0 173:54.0 174:50.0 175:47.0 176:39.0 177:42.0 178:19.0 179:21.0 180:41.0 181:40.0 182:33.0 183:45.0 184:38.0 185:51.0 186:31.0 187:46.0 188:39.0 189:159.0 190:60.0 191:162.0 192:45.0 193:46.0 194:38.0 195:27.0 196:31.0 197:36.0 198:34.0 199:43.0 200:26.0 201:45.0 202:30.0 203:73.0 204:1013.0 205:427.0 206:138.0 207:81.0 208:26.0 209:31.0 210:55.0 211:30.0 212:63.0 213:36.0 214:46.0 215:38.0 216:60.0 217:705.0 218:160.0 219:93.0 220:41.0 221:58.0 222:27.0 223:43.0 224:34.0 225:33.0 226:40.0 227:33.0 228:38.0 229:77.0 230:41.0 231:99.0 232:51.0 233:58.0 234:43.0 235:34.0 236:28.0 237:29.0 238:35.0 239:20.0 240:32.0 241:50.0 242:106.0 243:174.0 244:74.0 245:76.0 246:48.0 247:49.0 248:23.0 249:24.0 250:31.0 251:26.0 252:29.0 253:34.0 254:40.0 255:37.0 256:30.0 257:36.0 258:24.0 259:46.0 260:46.0 261:37.0 262:44.0 263:40.0 264:35.0 265:32.0 266:24.0 267:13.0 268:41.0 269:41.0 270:45.0 271:139.0 272:66.0 273:52.0 274:41.0 275:31.0 276:43.0 277:34.0 278:27.0 279:39.0 280:28.0 281:21.0 282:28.0 283:31.0 284:40.0 285:29.0 286:35.0 287:37.0 288:26.0 289:27.0 290:27.0 291:38.0 292:45.0 293:29.0 294:25.0 295:31.0 296:29.0 297:26.0 298:28.0 299:25.0 300:63.0 301:36.0 302:29.0 303:34.0 304:34.0 305:46.0 306:41.0 307:37.0 308:33.0 309:26.0 310:22.0 311:39.0 312:31.0 313:39.0 314:63.0 315:36.0 316:35.0 317:35.0 318:32.0 319:141.0 320:70.0 321:49.0 322:43.0 323:25.0 324:28.0 325:36.0 326:23.0 327:31.0 328:28.0 329:26.0 330:31.0 331:53.0 332:51.0 333:33.0 334:28.0 335:29.0 336:28.0 337:29.0 338:43.0 339:30.0 340:31.0 341:24.0 342:27.0 343:34.0 344:27.0 345:36.0 346:42.0 347:28.0 348:27.0 349:28.0 350:28.0 351:32.0 352:39.0 353:29.0 354:29.0 355:39.0 356:22.0 357:28.0 358:29.0 359:35.0 360:60.0 361:618.0 362:258.0 363:137.0 364:61.0 365:34.0 366:41.0 367:27.0 368:23.0 369:34.0 370:29.0 371:27.0 372:26.0 373:34.0 374:24.0 375:30.0 376:30.0 377:28.0 378:32.0 379:34.0 380:37.0 381:19.0 382:32.0 383:25.0 384:35.0 385:32.0 386:31.0 387:29.0 388:28.0 389:32.0 390:29.0 391:30.0 392:34.0 393:31.0 394:28.0 395:25.0 396:30.0 397:27.0 398:26.0 399:30.0 400:33.0 401:16.0 402:32.0 403:24.0 404:26.0 405:27.0 406:33.0 407:27.0 408:35.0 409:27.0 410:22.0 411:22.0 412:27.0 413:26.0 414:33.0 415:27.0 416:27.0 417:28.0 418:35.0 419:24.0 420:40.0 421:34.0 422:34.0 423:29.0 424:27.0 425:36.0 426:25.0 427:44.0 428:27.0 429:31.0 430:35.0 431:31.0 432:28.0 433:26.0 434:35.0 435:39.0 436:26.0 437:43.0 438:20.0 439:26.0 440:24.0 441:31.0 442:33.0 443:31.0 444:27.0 445:24.0 446:22.0 447:24.0 448:29.0 449:36.0 450:31.0 451:40.0 452:38.0 453:33.0 454:33.0 455:19.0 456:30.0 457:42.0 458:28.0 459:33.0 460:27.0 461:38.0 462:31.0 463:21.0 464:41.0 465:33.0 466:32.0 467:39.0 468:26.0 469:34.0 470:30.0 471:34.0 472:20.0 473:30.0 474:25.0 475:29.0 476:21.0 477:34.0 478:30.0 479:27.0 480:49.0 481:50.0 482:42.0 483:20.0 484:27.0 485:40.0 486:28.0 487:32.0 488:28.0 489:29.0 490:23.0 491:24.0 492:34.0 493:21.0 494:30.0 495:28.0 496:36.0 497:25.0 498:31.0 499:29.0 500:25.0</t>
  </si>
  <si>
    <t>malic acid</t>
  </si>
  <si>
    <t>461034</t>
  </si>
  <si>
    <t>233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</si>
  <si>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</si>
  <si>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</si>
  <si>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244928</t>
  </si>
  <si>
    <t>154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</si>
  <si>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</si>
  <si>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540208</t>
  </si>
  <si>
    <t>86:647.0 87:140.0 88:193.0 89:1957.0 90:207.0 91:31.0 97:220.0 100:631.0 101:576.0 103:12445.0 104:1077.0 105:670.0 106:250.0 107:404.0 113:148.0 114:124.0 115:128.0 116:132.0 117:1156.0 118:145.0 119:95.0 127:106.0 129:1044.0 130:497.0 131:639.0 133:989.0 134:540.0 135:220.0 138:9.0 143:249.0 145:69.0 146:171.0 147:2009.0 148:618.0 149:639.0 150:47.0 157:73.0 158:20.0 160:651.0 161:188.0 162:7.0 163:84.0 166:25.0 170:1.0 172:35.0 173:15.0 174:65.0 175:67.0 185:50.0 186:25.0 187:4.0 188:77.0 189:1051.0 190:160.0 191:137.0 192:5.0 193:25.0 198:3.0 199:78.0 201:60.0 203:45.0 204:256.0 205:417.0 206:55.0 207:147.0 214:5.0 215:3.0 216:7.0 217:4400.0 218:743.0 219:371.0 220:31.0 224:1.0 231:17.0 233:219.0 234:79.0 235:9.0 236:1.0 238:9.0 239:12.0 240:10.0 241:10.0 244:9.0 245:11.0 248:10.0 253:3.0 256:12.0 262:38.0 266:5.0 275:24.0 277:296.0 278:40.0 279:19.0 287:32.0 294:12.0 303:11.0 307:1269.0 308:307.0 309:154.0 310:17.0 318:2.0 324:8.0 325:22.0 336:20.0 340:1.0 341:11.0 352:12.0 362:15.0 370:7.0 373:17.0 379:15.0 383:20.0 389:5.0 400:8.0 401:2.0 406:6.0 407:4.0 408:5.0 409:2.0 413:19.0 414:5.0 417:3.0 419:7.0 421:2.0 427:2.0 429:16.0 431:8.0 437:1.0 448:21.0 456:1.0 459:6.0 460:3.0 470:8.0 488:1.0 491:1.0 494:2.0 495:16.0 498:3.0</t>
  </si>
  <si>
    <t>lysine</t>
  </si>
  <si>
    <t>662525</t>
  </si>
  <si>
    <t>86:1341.0 88:487.0 89:509.0 98:24.0 99:84.0 100:1370.0 101:296.0 102:187.0 103:1551.0 105:41.0 107:4.0 110:118.0 112:254.0 113:58.0 114:497.0 115:204.0 117:599.0 118:176.0 120:6.0 123:45.0 126:219.0 128:1256.0 129:179.0 130:1057.0 131:278.0 132:190.0 133:369.0 138:26.0 140:168.0 142:136.0 143:174.0 144:55.0 145:5.0 146:77.0 147:879.0 148:542.0 149:131.0 155:11.0 156:4017.0 157:535.0 158:334.0 163:11.0 166:13.0 168:58.0 170:39.0 172:112.0 173:20.0 174:2963.0 175:476.0 176:234.0 177:36.0 183:15.0 184:161.0 186:65.0 188:50.0 189:202.0 200:320.0 201:19.0 202:39.0 203:1.0 204:243.0 205:149.0 206:62.0 208:36.0 214:37.0 215:13.0 217:24.0 218:53.0 219:32.0 220:20.0 221:79.0 228:171.0 229:9.0 230:650.0 231:133.0 232:61.0 244:19.0 258:50.0 259:9.0 269:13.0 272:9.0 273:14.0 281:138.0 282:53.0 288:95.0 308:11.0 310:2.0 317:611.0 318:183.0 320:5.0 328:5.0 329:19.0 331:2.0 341:135.0 343:10.0 345:11.0 355:16.0 356:6.0 359:1.0 434:18.0 461:14.0</t>
  </si>
  <si>
    <t>levoglucosan</t>
  </si>
  <si>
    <t>569799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</si>
  <si>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</si>
  <si>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</si>
  <si>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346072</t>
  </si>
  <si>
    <t>85:34512.0 86:149407.0 87:41792.0 88:23086.0 89:13601.0 90:4836.0 91:2533.0 92:1249.0 93:1251.0 94:8767.0 95:5569.0 96:19664.0 97:16211.0 98:33287.0 99:57259.0 100:617018.0 101:90578.0 102:1134578.0 103:183427.0 104:49957.0 105:28416.0 106:2960.0 108:364.0 109:877.0 110:13183.0 111:5382.0 112:20993.0 113:15106.0 114:46145.0 115:130234.0 116:200134.0 117:44507.0 118:22908.0 119:28038.0 120:4759.0 121:1802.0 122:1062.0 123:1160.0 124:3679.0 125:2629.0 126:17565.0 127:2111.0 128:118697.0 129:44660.0 130:208310.0 131:99879.0 132:107328.0 133:165830.0 134:23753.0 135:15384.0 136:2115.0 137:1426.0 138:1449.0 139:1868.0 140:5377.0 141:2920.0 142:76030.0 143:19825.0 144:20688.0 145:5146.0 146:14913.0 147:438753.0 148:66211.0 149:33766.0 150:4276.0 151:640.0 152:3740.0 153:1698.0 154:7980.0 155:2071.0 156:17475.0 157:11032.0 158:3910272.0 159:665680.0 160:177698.0 161:20896.0 162:3380.0 163:7543.0 164:2376.0 165:1779.0 166:876.0 167:392.0 168:1929.0 169:1518.0 170:47154.0 171:15019.0 172:10350.0 173:3305.0 175:1048.0 176:13297.0 177:13145.0 178:3521.0 179:822.0 182:214.0 183:276.0 185:660.0 186:4809.0 187:1383.0 188:5269.0 189:1250.0 190:2598.0 191:10365.0 192:2993.0 193:381.0 194:183.0 195:61.0 196:452.0 197:283.0 198:312.0 200:866.0 201:143.0 202:5094.0 203:12010.0 204:6464.0 210:271.0 211:1712.0 212:310.0 213:63.0 214:746.0 215:475.0 216:4840.0 217:2059.0 218:108516.0 219:27282.0 220:10663.0 221:651.0 222:225.0 226:256.0 227:177.0 228:72.0 229:117.0 230:1472.0 231:7795.0 232:139732.0 233:37491.0 234:14661.0 235:2523.0 236:550.0 237:151.0 238:246.0 239:89.0 241:7.0 242:1069.0 243:489.0 244:357.0 245:335.0 246:834.0 247:481.0 248:239.0 250:29.0 251:144.0 252:114.0 253:160.0 254:37.0 255:39.0 257:2600.0 258:1402.0 259:479.0 260:36336.0 261:8328.0 262:3321.0 263:356.0 264:32.0 274:333.0 275:424.0 276:194.0 277:70.0 278:3.0 281:10.0 282:16.0 285:337.0 286:132.0 290:42.0 300:534.0 302:171.0 305:2.0 306:36.0 309:27.0 318:31.0 320:13.0 323:58.0 328:7.0 331:3.0 332:3.0 335:59.0 338:4.0 344:7.0 347:1.0 351:10.0 352:23.0 359:5.0 365:2.0 367:13.0 371:23.0 376:10.0 386:5.0 388:41.0 390:2.0 392:29.0 399:5.0 402:4.0 405:1.0 406:25.0 407:1.0 410:2.0 413:17.0 414:35.0 417:10.0 420:12.0 424:4.0 427:2.0 434:12.0 435:6.0 437:30.0 439:63.0 441:24.0 447:3.0 449:5.0 452:22.0 453:21.0 455:3.0 457:4.0 462:2.0 463:11.0 468:16.0 470:28.0 471:11.0 474:3.0 476:24.0 481:27.0 483:26.0 492:28.0 495:30.0</t>
  </si>
  <si>
    <t>lactic acid</t>
  </si>
  <si>
    <t>215380</t>
  </si>
  <si>
    <t>85:1068.0 86:183.0 89:1393.0 90:432.0 91:326.0 92:736.0 93:602.0 94:101.0 96:44.0 97:26.0 102:3921.0 103:3541.0 104:272.0 105:2212.0 106:1149.0 107:21191.0 108:1940.0 109:1184.0 110:6666.0 111:560.0 112:69.0 114:303.0 115:3026.0 116:220.0 117:75044.0 118:1007.0 119:8844.0 120:768.0 121:626.0 123:27.0 124:33.0 125:21.0 126:995.0 127:3322.0 129:2470.0 130:35089.0 131:481.0 132:2785.0 133:19846.0 134:37530.0 135:3624.0 136:958.0 137:105.0 138:24.0 141:22.0 143:501.0 144:51.0 146:3957.0 147:195325.0 148:34650.0 149:11899.0 150:4424.0 151:1554.0 152:121.0 153:35.0 154:53.0 155:9.0 156:421.0 157:9.0 160:2364.0 162:12.0 166:14.0 169:19.0 170:24.0 171:3.0 173:1.0 175:493.0 176:61.0 180:10.0 183:16.0 184:11361.0 185:446.0 186:363.0 191:13311.0 192:7215.0 193:2055.0 194:388.0 195:10.0 197:1.0 198:5.0 199:1114.0 202:17.0 203:458.0 204:24.0 205:5.0 207:41.0 211:67.0 219:3157.0 220:1358.0 221:848.0 223:1.0 224:2698.0 225:254.0 226:91.0 229:6.0 234:2481.0 235:497.0 236:337.0 237:47.0 238:16.0 239:164.0 240:41.0 241:12.0 242:1.0 243:23.0 248:3.0 249:179.0 250:35.0 251:24.0 265:18.0 266:2.0 267:7.0 276:1.0 292:2.0 293:1.0 295:1.0 296:1.0 300:2.0 304:16.0 312:1.0 316:7.0 318:23.0 322:1.0 329:4.0 337:5.0 356:2.0 359:8.0 362:13.0 376:3.0 377:1.0 390:2.0 415:2.0 419:1.0 420:1.0 442:2.0 445:1.0 446:1.0 460:19.0 468:3.0 474:10.0</t>
  </si>
  <si>
    <t>isothreonic acid</t>
  </si>
  <si>
    <t>489846</t>
  </si>
  <si>
    <t>85:155.0 86:70.0 89:322.0 90:41.0 91:85.0 92:73.0 93:234.0 96:28.0 98:28.0 99:31.0 101:76.0 102:1447.0 103:1824.0 104:203.0 105:115.0 106:38.0 108:13.0 110:10.0 112:44.0 113:75.0 114:25.0 116:110.0 117:2303.0 118:235.0 119:183.0 120:24.0 126:17.0 127:15.0 128:10.0 129:277.0 130:1049.0 131:693.0 132:124.0 133:1049.0 134:148.0 135:93.0 140:32.0 141:15.0 142:3.0 143:122.0 144:19.0 145:53.0 146:61.0 147:6589.0 148:987.0 149:550.0 150:64.0 151:21.0 152:18.0 155:11.0 157:53.0 158:38.0 159:12.0 160:15.0 161:16.0 162:12.0 163:41.0 164:11.0 165:26.0 170:5.0 173:12.0 175:42.0 176:12.0 177:215.0 178:42.0 179:15.0 180:5.0 181:1.0 186:25.0 189:241.0 190:59.0 191:159.0 192:53.0 193:50.0 194:17.0 196:2.0 198:9.0 199:4.0 200:54.0 201:18.0 203:68.0 204:150.0 205:969.0 206:205.0 207:595.0 208:121.0 209:94.0 210:17.0 212:2.0 213:3.0 217:687.0 218:150.0 219:92.0 220:917.0 221:1657.0 222:442.0 223:243.0 224:53.0 225:11.0 226:1.0 231:10.0 233:6.0 235:9.0 236:20.0 238:10.0 239:8.0 241:1.0 242:1.0 245:86.0 246:7.0 247:7.0 248:26.0 249:24.0 250:18.0 251:19.0 252:19.0 253:3.0 254:1.0 255:3.0 256:2.0 257:1.0 260:6.0 261:1.0 262:4.0 263:15.0 264:4.0 265:27.0 266:11.0 267:126.0 268:28.0 269:15.0 270:5.0 271:4.0 272:6.0 274:2.0 275:5.0 276:27.0 277:28.0 278:17.0 279:24.0 281:116.0 282:30.0 283:9.0 284:5.0 285:9.0 286:3.0 287:11.0 288:9.0 289:8.0 290:16.0 291:157.0 292:1226.0 293:388.0 294:178.0 295:264.0 296:80.0 297:28.0 298:3.0 299:2.0 300:4.0 301:2.0 303:9.0 305:13.0 307:10.0 308:1.0 309:5.0 310:6.0 311:21.0 312:9.0 315:4.0 316:7.0 317:3.0 318:9.0 319:96.0 320:25.0 321:29.0 322:8.0 323:19.0 324:16.0 325:116.0 326:42.0 327:25.0 328:19.0 329:3.0 330:8.0 331:9.0 332:3.0 333:6.0 334:1.0 335:4.0 336:1.0 337:10.0 338:8.0 339:14.0 340:16.0 341:194.0 342:46.0 343:38.0 344:14.0 345:6.0 346:3.0 347:3.0 349:6.0 351:5.0 352:8.0 353:8.0 354:11.0 355:100.0 356:39.0 357:21.0 358:19.0 359:3.0 360:6.0 361:12.0 362:7.0 363:7.0 364:5.0 365:4.0 366:2.0 367:14.0 368:9.0 369:12.0 370:6.0 371:7.0 372:8.0 373:9.0 374:4.0 375:4.0 376:4.0 377:8.0 378:12.0 379:29.0 380:9.0 381:16.0 382:12.0 383:5.0 384:7.0 386:3.0 387:5.0 388:3.0 389:2.0 390:5.0 391:2.0 392:2.0 393:9.0 394:13.0 395:6.0 398:6.0 399:2.0 400:9.0 401:7.0 402:5.0 404:4.0 405:13.0 406:7.0 407:5.0 408:10.0 409:39.0 410:26.0 411:7.0 412:4.0 413:1.0 414:10.0 415:7.0 416:10.0 417:4.0 418:6.0 419:6.0 420:8.0 421:4.0 422:5.0 423:7.0 424:2.0 425:6.0 426:11.0 427:3.0 428:5.0 429:18.0 430:12.0 431:4.0 432:1.0 433:2.0 434:11.0 435:1.0 436:14.0 437:5.0 438:8.0 439:6.0 440:4.0 441:5.0 442:13.0 443:4.0 444:7.0 446:14.0 447:12.0 448:6.0 449:6.0 450:2.0 451:12.0 452:3.0 453:4.0 454:10.0 455:8.0 456:7.0 457:2.0 458:7.0 459:12.0 460:5.0 461:4.0 462:6.0 463:6.0 464:12.0 465:14.0 466:6.0 467:8.0 468:6.0 469:6.0 470:5.0 471:14.0 473:10.0 474:1.0 475:10.0 476:14.0 477:2.0 479:2.0 481:18.0 483:11.0 484:8.0 486:11.0 490:11.0 491:4.0 492:1.0 493:6.0 494:7.0 496:5.0 497:1.0 498:8.0 499:4.0 500:1.0</t>
  </si>
  <si>
    <t>isonicotinic acid</t>
  </si>
  <si>
    <t>367074</t>
  </si>
  <si>
    <t>180</t>
  </si>
  <si>
    <t>86:33.0 90:179.0 91:54.0 92:2.0 94:27.0 102:8.0 105:112.0 106:3319.0 107:261.0 109:41.0 111:4.0 112:36.0 114:8.0 120:46.0 121:16.0 122:20.0 123:12.0 135:1.0 136:3703.0 137:519.0 138:137.0 144:5.0 153:1.0 161:4.0 162:12.0 163:1.0 164:24.0 167:48.0 174:8.0 175:180.0 176:24.0 180:3575.0 181:457.0 182:141.0 183:11.0 187:1.0 191:14.0 192:17.0 193:1.0 195:117.0 196:9.0 199:1.0 200:12.0 201:13.0 202:24.0 204:29.0 205:75.0 211:25.0 212:14.0 216:27.0 217:15.0 218:25.0 222:10.0 223:43.0 225:3.0 226:8.0 229:13.0 230:9.0 231:10.0 232:5.0 239:7.0 248:6.0 254:1.0 255:11.0 257:7.0 258:10.0 260:13.0 261:1.0 262:4.0 264:1.0 267:19.0 268:11.0 269:17.0 271:1.0 277:21.0 278:7.0 279:5.0 280:6.0 281:25.0 282:14.0 283:40.0 284:33.0 285:26.0 286:50.0 288:32.0 289:3.0 290:29.0 291:11.0 292:20.0 293:28.0 294:30.0 295:42.0 296:34.0 297:58.0 298:23.0 299:21.0 300:39.0 301:25.0 302:28.0 304:12.0 309:1.0 313:6.0 314:3.0 315:4.0 321:3.0 325:3.0 328:11.0 329:14.0 330:12.0 331:5.0 333:4.0 335:3.0 340:10.0 341:10.0 342:1.0 353:4.0 355:3.0 359:20.0 361:8.0 362:10.0 363:34.0 364:65.0 365:12.0 366:54.0 367:3.0 368:2.0 373:29.0 374:13.0 375:26.0 376:28.0 379:27.0 380:10.0 381:3.0 382:41.0 383:41.0 384:41.0 385:1.0 386:1.0 390:31.0 392:26.0 393:8.0 397:1.0 398:17.0 399:14.0 400:6.0 405:10.0 411:8.0 412:1.0 413:1.0 417:4.0 418:1.0 419:4.0 421:2.0 423:17.0 426:1.0 428:4.0 430:6.0 435:4.0 437:2.0 441:1.0 442:13.0 443:3.0 446:2.0 450:1.0 451:26.0 452:11.0 456:1.0 457:19.0 458:20.0 460:8.0 462:14.0 463:25.0 465:4.0 466:4.0 467:26.0 472:12.0 473:3.0 476:26.0 477:8.0 478:14.0 480:8.0 481:10.0 482:25.0 483:2.0 484:6.0 485:14.0 486:25.0 487:1.0 490:13.0 494:10.0 495:9.0 496:1.0 498:3.0 499:8.0</t>
  </si>
  <si>
    <t>isoleucine</t>
  </si>
  <si>
    <t>356726</t>
  </si>
  <si>
    <t>86:23.0 88:22.0 92:9.0 95:7.0 98:34.0 99:34.0 100:127.0 101:96.0 102:4.0 106:8.0 109:9.0 114:9.0 115:9.0 116:55.0 117:75.0 120:2.0 122:12.0 126:10.0 127:24.0 128:25.0 129:17.0 130:56.0 131:18.0 132:20.0 134:9.0 138:8.0 144:13.0 156:6.0 158:999.0 159:139.0 160:29.0 161:5.0 164:4.0 173:30.0 180:11.0 184:89.0 185:13.0 186:1.0 191:16.0 206:7.0 213:23.0 218:115.0 219:8.0 222:10.0 231:18.0 232:41.0 237:7.0 238:4.0 239:7.0 245:10.0 248:10.0 252:14.0 261:5.0 268:11.0 285:7.0 296:8.0 299:12.0 301:10.0 302:8.0 304:3.0 305:8.0 313:5.0 315:8.0 320:13.0 322:2.0 326:20.0 337:14.0 339:17.0 342:4.0 357:13.0 370:11.0 374:8.0 377:2.0 382:6.0 386:2.0 391:2.0 392:10.0 393:2.0 394:8.0 396:3.0 402:12.0 404:10.0 406:2.0 417:20.0 420:4.0 422:3.0 423:1.0 436:8.0 438:25.0 440:11.0 442:4.0 446:2.0 452:2.0 454:6.0 459:7.0 464:3.0 468:6.0 473:5.0 475:6.0 478:12.0 479:6.0 487:3.0 488:1.0 498:9.0</t>
  </si>
  <si>
    <t>inositol myo-</t>
  </si>
  <si>
    <t>725902</t>
  </si>
  <si>
    <t>305</t>
  </si>
  <si>
    <t>85:19465.0 86:3211.0 87:25429.0 88:7681.0 89:13988.0 90:1589.0 91:2734.0 92:647.0 93:1678.0 94:1471.0 95:3824.0 96:1496.0 97:6022.0 98:4414.0 99:26477.0 100:3864.0 101:57645.0 102:24285.0 103:580989.0 104:58129.0 105:37193.0 106:3058.0 107:1970.0 108:872.0 109:15801.0 110:1184.0 111:34202.0 112:5702.0 113:30968.0 114:6276.0 115:30862.0 116:41623.0 117:67631.0 118:10845.0 119:41412.0 120:5613.0 121:4250.0 122:842.0 123:1562.0 124:981.0 125:8653.0 126:4834.0 127:31162.0 128:8154.0 129:729393.0 130:85670.0 131:247765.0 132:36971.0 133:564741.0 134:76803.0 135:49565.0 136:5055.0 137:3658.0 138:1322.0 139:7634.0 140:3443.0 141:18507.0 142:15514.0 143:176744.0 144:24662.0 145:25389.0 146:8265.0 147:2394412.0 148:402105.0 149:247471.0 150:27955.0 151:17382.0 152:3451.0 153:13077.0 154:4442.0 155:18033.0 156:16167.0 157:65927.0 158:9801.0 159:17912.0 160:3765.0 161:51340.0 162:9552.0 163:21199.0 164:3654.0 165:3285.0 166:1728.0 167:3480.0 168:2099.0 169:16660.0 170:3941.0 171:5563.0 172:2245.0 173:11801.0 174:2673.0 175:34782.0 176:6527.0 177:68099.0 178:12295.0 179:8289.0 180:2126.0 181:10831.0 182:2667.0 183:4998.0 184:974.0 185:8303.0 186:2521.0 187:6888.0 188:1952.0 189:96776.0 190:75788.0 191:1016292.0 192:186799.0 193:92869.0 194:12816.0 195:4219.0 196:1604.0 197:3020.0 198:1514.0 199:3603.0 200:1940.0 201:11712.0 202:3511.0 203:41024.0 204:368114.0 205:107474.0 206:40222.0 207:58084.0 208:12762.0 209:7559.0 210:1429.0 211:2280.0 212:854.0 213:3963.0 214:1529.0 215:27212.0 216:10560.0 217:1616442.0 218:336919.0 219:154116.0 220:22083.0 221:203661.0 222:48761.0 223:27952.0 224:5392.0 225:2488.0 226:1108.0 227:5318.0 228:5783.0 229:11000.0 230:39020.0 231:28020.0 232:8419.0 233:4310.0 234:1367.0 235:6420.0 236:1881.0 237:3280.0 238:1450.0 239:9396.0 240:2873.0 241:4365.0 242:2976.0 243:48242.0 244:12874.0 245:15421.0 246:4707.0 247:3049.0 248:1427.0 249:3939.0 250:1742.0 251:1890.0 252:1277.0 253:1953.0 254:1754.0 255:11481.0 256:3642.0 257:7039.0 258:2506.0 259:1843.0 260:938.0 261:1220.0 262:835.0 263:3086.0 264:2257.0 265:300929.0 266:77706.0 267:41894.0 268:8537.0 269:3820.0 270:3648.0 271:11491.0 272:3470.0 273:1992.0 274:798.0 275:2064.0 276:1005.0 277:6001.0 278:6915.0 279:6090.0 280:2124.0 281:1347.0 282:628.0 283:512.0 284:397.0 285:510.0 286:322.0 287:611.0 288:518.0 289:3480.0 290:1901.0 291:79423.0 292:25463.0 293:31118.0 294:8332.0 295:3579.0 296:964.0 297:631.0 298:338.0 299:496.0 300:350.0 301:1174.0 302:1112.0 303:5207.0 304:18481.0 305:737888.0 306:236260.0 307:123232.0 308:27874.0 309:8114.0 310:1697.0 311:916.0 312:654.0 313:1611.0 314:1027.0 315:1634.0 316:3673.0 317:20756.0 318:519633.0 319:226468.0 320:100219.0 321:27140.0 322:6599.0 323:1523.0 324:516.0 325:446.0 326:392.0 327:3755.0 328:1601.0 329:5280.0 330:2228.0 331:8036.0 332:2937.0 333:1432.0 334:520.0 335:387.0 336:275.0 337:278.0 338:264.0 339:414.0 340:343.0 341:675.0 342:2634.0 343:27111.0 344:10105.0 345:11176.0 346:3386.0 347:1446.0 348:422.0 349:202.0 350:140.0 351:221.0 352:896.0 353:533.0 354:313.0 355:183.0 356:177.0 357:241.0 358:208.0 359:1150.0 360:1103.0 361:625.0 362:251.0 363:277.0 364:240.0 365:2145.0 366:1991.0 367:66286.0 368:25801.0 369:14129.0 370:3839.0 371:1204.0 372:324.0 373:132.0 374:125.0 375:128.0 376:129.0 377:622.0 378:2285.0 379:6329.0 380:3066.0 381:1790.0 382:637.0 383:309.0 384:184.0 385:126.0 386:111.0 387:131.0 388:158.0 389:308.0 390:367.0 391:1918.0 392:7103.0 393:38715.0 394:18800.0 395:9329.0 396:3042.0 397:903.0 398:229.0 399:199.0 400:120.0 401:282.0 402:203.0 403:406.0 404:1009.0 405:2322.0 406:4626.0 407:4328.0 408:1958.0 409:752.0 410:233.0 411:81.0 412:23.0 414:42.0 415:59.0 416:412.0 417:6736.0 418:4289.0 419:15058.0 420:7537.0 421:3813.0 422:1269.0 423:386.0 424:96.0 425:57.0 426:11.0 427:60.0 428:75.0 429:118.0 430:416.0 431:5515.0 432:93270.0 433:81615.0 434:42305.0 435:17080.0 436:5569.0 437:1571.0 438:330.0 439:111.0 440:97.0 441:69.0 442:38.0 443:55.0 444:37.0 446:51.0 448:14.0 449:43.0 450:60.0 451:43.0 452:18.0 453:146.0 454:87.0 455:42.0 456:22.0 457:39.0 458:39.0 459:16.0 460:27.0 461:30.0 462:28.0 464:13.0 466:16.0 469:5.0 470:60.0 472:25.0 473:12.0 474:8.0 479:228.0 480:161.0 481:96.0 482:30.0 491:24.0 492:8.0 493:29.0 494:95.0 495:59.0 496:16.0 497:7.0</t>
  </si>
  <si>
    <t>inositol allo-</t>
  </si>
  <si>
    <t>675911</t>
  </si>
  <si>
    <t>318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</si>
  <si>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</si>
  <si>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inosine</t>
  </si>
  <si>
    <t>897806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</si>
  <si>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</si>
  <si>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hypoxanthine</t>
  </si>
  <si>
    <t>619737</t>
  </si>
  <si>
    <t>265</t>
  </si>
  <si>
    <t>85:1158.0 86:586.0 87:125.0 88:43.0 89:50.0 90:30.0 91:70.0 92:109.0 93:158.0 94:104.0 95:455.0 96:251.0 97:177.0 98:379.0 99:393.0 100:1029.0 101:144.0 102:58.0 103:24.0 104:20.0 106:17.0 107:113.0 108:36.0 109:58.0 110:417.0 111:651.0 112:241.0 113:89.0 114:38.0 115:62.0 116:13.0 117:56.0 118:43.0 119:41.0 120:17.0 121:6.0 122:42.0 123:339.0 124:202.0 125:851.0 126:145.0 127:93.0 128:93.0 129:10.0 130:114.0 131:641.0 132:155.0 133:148.0 134:119.0 135:10.0 136:69.0 137:49.0 138:212.0 139:196.0 140:28.0 141:30.0 142:56.0 143:37.0 144:6.0 145:4.0 146:3.0 147:688.0 148:124.0 149:32.0 150:108.0 151:57.0 152:229.0 153:105.0 154:51.0 155:45.0 156:47.0 157:28.0 158:670.0 159:129.0 160:71.0 162:2.0 163:45.0 164:40.0 165:184.0 166:750.0 167:113.0 168:55.0 169:24.0 170:42.0 171:40.0 172:712.0 173:315.0 174:74.0 175:27.0 176:3.0 177:131.0 178:15.0 179:44.0 180:185.0 181:667.0 182:100.0 183:51.0 184:50.0 185:4.0 190:1.0 191:206.0 192:182.0 193:811.0 194:99.0 195:44.0 196:23.0 197:87.0 198:29.0 199:3.0 202:1.0 204:1.0 205:20.0 206:1039.0 207:544.0 208:241.0 209:45.0 210:12.0 211:96.0 212:38.0 213:3.0 214:1.0 215:1.0 217:5.0 221:12.0 222:111.0 223:103.0 224:59.0 225:15.0 226:4.0 227:1.0 228:2.0 232:3.0 233:1.0 234:6.0 235:67.0 236:42.0 237:34.0 238:327.0 239:130.0 240:39.0 241:3.0 242:2.0 247:2.0 249:182.0 250:22.0 251:24.0 252:23.0 253:4.0 254:1.0 258:3.0 260:1.0 263:14.0 264:68.0 265:8073.0 266:1908.0 267:704.0 268:100.0 269:10.0 274:2.0 275:1.0 276:1.0 277:1.0 279:213.0 280:2547.0 281:564.0 282:211.0 283:15.0 284:3.0 286:2.0 287:2.0 296:2.0 299:1.0 302:1.0 304:2.0 312:1.0 315:2.0 319:3.0 321:1.0 329:2.0 333:3.0 334:3.0 335:2.0 341:1.0 342:2.0 343:1.0 344:1.0 345:1.0 348:2.0 349:3.0 359:5.0 366:2.0 372:2.0 373:1.0 374:2.0 379:2.0 380:4.0 392:1.0 396:1.0 403:1.0 409:1.0 414:1.0 422:2.0 426:1.0 428:4.0 429:5.0 434:2.0 436:2.0 457:1.0 467:2.0 474:2.0 475:1.0 478:5.0 483:3.0 491:1.0 494:2.0 495:6.0 497:1.0</t>
  </si>
  <si>
    <t>hydroxylamine</t>
  </si>
  <si>
    <t>250798</t>
  </si>
  <si>
    <t>85:434.0 86:2886.0 87:1028.0 88:651.0 89:187.0 90:33.0 91:68.0 92:30.0 93:12.0 94:3.0 98:11.0 99:121.0 100:1650.0 101:349.0 102:429.0 103:306.0 104:91.0 105:195.0 106:39.0 107:23.0 108:6.0 110:18.0 112:1.0 113:335.0 114:281.0 115:273.0 116:289.0 117:573.0 118:173.0 119:4192.0 120:469.0 121:207.0 122:13.0 123:2.0 126:6.0 128:1.0 129:21.0 130:1772.0 131:926.0 132:611.0 133:5363.0 134:807.0 135:368.0 136:47.0 143:11.0 144:28.0 145:20.0 146:4049.0 147:2475.0 148:634.0 149:115.0 150:8.0 151:3.0 157:3.0 158:5.0 159:1.0 160:90.0 161:176.0 162:49.0 163:4.0 171:18.0 172:5.0 174:3.0 177:1.0 179:1.0 184:18.0 187:11.0 188:39.0 189:8.0 191:5.0 196:2.0 202:3.0 203:1.0 204:40.0 205:54.0 206:3.0 207:6.0 209:1.0 211:2.0 217:1.0 220:1.0 224:2.0 234:1.0 235:1.0 239:2.0 249:549.0 250:104.0 251:37.0 252:3.0 267:1.0 271:1.0 282:1.0 286:1.0 294:1.0 308:1.0 316:3.0 322:2.0 335:1.0 343:3.0 346:1.0 366:1.0 387:2.0 388:3.0 415:4.0 416:1.0 420:1.0 424:1.0 431:1.0 439:2.0 448:1.0 463:2.0 477:1.0</t>
  </si>
  <si>
    <t>homoserine</t>
  </si>
  <si>
    <t>444244</t>
  </si>
  <si>
    <t>85:2287.0 86:4393.0 87:4016.0 88:1914.0 89:1481.0 90:242.0 91:98.0 92:110.0 95:30.0 96:130.0 97:389.0 98:4977.0 99:1432.0 100:30362.0 101:8893.0 102:13565.0 103:78115.0 104:7992.0 105:4535.0 106:237.0 107:460.0 108:144.0 110:717.0 111:8.0 112:2268.0 113:1014.0 114:4637.0 115:3123.0 116:2284.0 117:4955.0 118:1435.0 119:2239.0 120:288.0 121:82.0 123:30.0 124:6.0 126:1085.0 127:234.0 128:94332.0 129:13378.0 130:15012.0 131:13570.0 132:7483.0 133:15438.0 134:2829.0 135:1300.0 136:147.0 140:483.0 141:82.0 142:1074.0 143:542.0 144:1659.0 145:373.0 146:3125.0 147:33023.0 148:6568.0 149:6969.0 150:830.0 151:320.0 153:17.0 154:22.0 156:1079.0 157:676.0 158:2364.0 159:674.0 160:598.0 161:291.0 162:191.0 163:315.0 164:65.0 165:8.0 166:33.0 168:10.0 170:367.0 171:151.0 172:1880.0 173:528.0 174:4643.0 175:1267.0 176:1105.0 177:1221.0 178:266.0 182:40.0 184:123.0 185:238.0 186:393.0 187:118.0 188:1566.0 189:246.0 190:419.0 191:620.0 192:145.0 193:61.0 194:8.0 199:36.0 200:363.0 201:145.0 202:7788.0 203:1832.0 204:1338.0 205:267.0 206:32.0 210:161.0 213:23.0 214:175.0 215:71.0 216:2102.0 217:1074.0 218:96636.0 219:21328.0 220:8750.0 221:1637.0 222:325.0 223:51.0 228:19.0 229:59.0 230:5067.0 231:1034.0 232:2064.0 233:307.0 234:131.0 235:5.0 236:25.0 238:5.0 244:43.0 245:230.0 246:342.0 247:331.0 248:128.0 249:19.0 257:146.0 262:35.0 267:2.0 272:99.0 276:55.0 281:46.0 290:193.0 291:96.0 292:3330.0 293:970.0 294:476.0 295:67.0 296:48.0 299:11.0 308:10.0 319:1.0 320:1053.0 321:239.0 322:204.0 335:330.0 336:133.0 337:18.0 372:2.0 374:2.0 393:1.0 396:7.0 490:12.0</t>
  </si>
  <si>
    <t>homocystine</t>
  </si>
  <si>
    <t>874579</t>
  </si>
  <si>
    <t>85:248.0 87:2.0 88:1138.0 89:329.0 90:94.0 91:21.0 98:99.0 99:116.0 100:1876.0 101:351.0 102:174.0 103:3266.0 104:712.0 105:285.0 107:377.0 112:2.0 114:831.0 115:83.0 116:257.0 117:2050.0 118:234.0 119:33.0 128:16996.0 129:4351.0 130:938.0 131:261.0 132:55.0 133:511.0 135:92.0 136:22.0 140:36.0 144:81.0 146:136.0 147:4643.0 148:456.0 149:123.0 150:10.0 151:65.0 153:3.0 155:37.0 156:41.0 157:42.0 159:216.0 160:5592.0 161:872.0 162:419.0 163:253.0 164:29.0 172:69.0 173:26.0 174:163.0 184:62.0 186:36.0 187:94.0 188:687.0 189:357.0 190:187.0 191:270.0 192:17.0 197:22.0 202:638.0 203:255.0 204:329.0 205:885.0 206:271.0 208:58.0 209:50.0 214:1.0 216:135.0 217:858.0 218:773.0 219:2536.0 220:501.0 221:71.0 230:492.0 231:187.0 232:458.0 233:89.0 234:65.0 235:6.0 236:7.0 241:5.0 243:201.0 244:484.0 245:446.0 246:411.0 247:170.0 249:87.0 251:21.0 253:35.0 255:2.0 261:61.0 262:152.0 265:5.0 266:16.0 267:208.0 269:40.0 276:18.0 277:692.0 278:1617.0 279:458.0 280:177.0 282:36.0 283:52.0 291:5.0 292:13.0 295:5.0 305:31.0 306:28.0 307:38.0 308:17.0 311:33.0 312:22.0 316:65.0 317:67.0 318:3.0 320:8.0 321:14.0 326:25.0 328:39.0 341:1.0 342:26.0 352:16.0 355:33.0 359:2.0 364:4.0 387:253.0 388:44.0 390:3.0 395:10.0 401:75.0 415:20.0 416:7.0 433:9.0 437:7.0 439:4.0 448:6.0 476:13.0</t>
  </si>
  <si>
    <t>guanosine</t>
  </si>
  <si>
    <t>953584</t>
  </si>
  <si>
    <t>324</t>
  </si>
  <si>
    <t>85:32413.0 86:18575.0 87:25426.0 88:7353.0 89:68494.0 90:6474.0 91:4989.0 92:3171.0 93:3628.0 94:4932.0 95:10587.0 96:3955.0 97:41936.0 98:17616.0 99:96607.0 100:54495.0 101:95564.0 102:22156.0 103:680268.0 104:69284.0 105:37177.0 106:3904.0 107:5634.0 108:2582.0 109:4904.0 110:10136.0 111:37302.0 112:10965.0 113:42545.0 114:10828.0 115:187125.0 116:52414.0 117:149445.0 118:21013.0 119:25568.0 120:4942.0 121:3955.0 122:4041.0 123:5190.0 124:6901.0 125:13899.0 126:16942.0 127:22005.0 128:10297.0 129:192404.0 130:39234.0 131:133023.0 132:38432.0 133:149663.0 134:40160.0 135:18778.0 136:6919.0 137:5301.0 138:16663.0 139:9315.0 140:10828.0 141:38878.0 142:22758.0 143:93166.0 144:25157.0 145:35998.0 146:64011.0 147:571978.0 148:99070.0 149:74046.0 150:13196.0 151:8678.0 152:9166.0 153:32052.0 154:8416.0 155:16322.0 156:11802.0 157:63910.0 158:52811.0 159:18246.0 160:8594.0 161:4825.0 162:6747.0 163:7414.0 164:8131.0 165:23165.0 166:67897.0 167:15992.0 168:12538.0 169:148572.0 170:26679.0 171:76252.0 172:20174.0 173:24506.0 174:7679.0 175:7981.0 176:6791.0 177:7465.0 178:5606.0 179:5827.0 180:17955.0 181:8413.0 182:11319.0 183:6375.0 184:5269.0 185:4251.0 186:2368.0 187:9872.0 188:6458.0 189:49901.0 190:34738.0 191:34885.0 192:15180.0 193:9316.0 194:8430.0 195:5062.0 196:5145.0 197:5779.0 198:10889.0 199:4350.0 200:2154.0 201:4167.0 202:2352.0 203:7577.0 204:11685.0 205:13566.0 206:18037.0 207:10327.0 208:27116.0 209:7008.0 210:9804.0 211:3849.0 212:2685.0 213:1809.0 214:1383.0 215:12883.0 216:4694.0 217:211480.0 218:48679.0 219:29691.0 220:10197.0 221:11674.0 222:13547.0 223:10446.0 224:7222.0 225:3500.0 226:1700.0 227:1360.0 228:1028.0 229:14365.0 230:233799.0 231:69554.0 232:32313.0 233:8059.0 234:9409.0 235:3645.0 236:7262.0 237:7940.0 238:20465.0 239:8384.0 240:4928.0 241:2298.0 242:1479.0 243:184059.0 244:46013.0 245:449215.0 246:111072.0 247:49298.0 248:13355.0 249:4997.0 250:6903.0 251:14109.0 252:8286.0 253:4518.0 254:2583.0 255:1553.0 256:1495.0 257:9756.0 258:10853.0 259:81858.0 260:21445.0 261:9068.0 262:7011.0 263:4446.0 264:79998.0 265:22012.0 266:12733.0 267:4315.0 268:2146.0 269:972.0 270:649.0 271:560.0 272:718.0 273:614.0 274:1097.0 275:1183.0 276:3894.0 277:4390.0 278:26099.0 279:22898.0 280:332547.0 281:107569.0 282:44173.0 283:8772.0 284:2272.0 285:811.0 286:1216.0 287:1102.0 288:1440.0 289:1487.0 290:2809.0 291:3485.0 292:9174.0 293:6785.0 294:53189.0 295:91882.0 296:119164.0 297:35877.0 298:12598.0 299:2933.0 300:1245.0 301:705.0 302:1533.0 303:997.0 304:3402.0 305:2376.0 306:7121.0 307:3552.0 308:24405.0 309:11200.0 310:4958.0 311:1723.0 312:962.0 313:523.0 314:1067.0 315:1178.0 316:1204.0 317:1607.0 318:3041.0 319:4674.0 320:12348.0 321:7287.0 322:8609.0 323:12109.0 324:539152.0 325:163539.0 326:63112.0 327:12261.0 328:2616.0 329:732.0 330:649.0 331:1770.0 332:2101.0 333:4361.0 334:4031.0 335:3462.0 336:6449.0 337:3509.0 338:4367.0 339:1775.0 340:906.0 341:271.0 342:259.0 343:158.0 344:346.0 345:418.0 346:1753.0 347:1506.0 348:19122.0 349:7068.0 350:7252.0 351:4599.0 352:42495.0 353:18723.0 354:10245.0 355:3023.0 356:853.0 357:306.0 358:773.0 359:585.0 360:863.0 361:1240.0 362:1339.0 363:916.0 364:1308.0 365:1204.0 366:10397.0 367:18904.0 368:136369.0 369:54387.0 370:25056.0 371:6886.0 372:2019.0 373:635.0 374:1455.0 375:715.0 376:1002.0 377:581.0 378:2336.0 379:1459.0 380:3497.0 381:2676.0 382:2877.0 383:1951.0 384:974.0 385:429.0 386:205.0 387:120.0 388:184.0 389:159.0 390:337.0 391:552.0 392:2218.0 393:4105.0 394:45485.0 395:22162.0 396:12311.0 397:5106.0 398:2176.0 399:676.0 400:276.0 401:242.0 402:276.0 403:276.0 404:387.0 405:364.0 406:750.0 407:1038.0 408:4757.0 409:11493.0 410:75601.0 411:35069.0 412:15700.0 413:4514.0 414:1213.0 415:377.0 416:97.0 417:156.0 418:347.0 419:321.0 420:968.0 421:1494.0 422:15868.0 423:8181.0 424:5162.0 425:17414.0 426:8522.0 427:3916.0 428:1294.0 429:495.0 430:179.0 431:132.0 432:276.0 433:376.0 434:1363.0 435:1367.0 436:1236.0 437:1239.0 438:1228.0 439:789.0 440:594.0 441:400.0 442:1133.0 443:690.0 444:370.0 445:244.0 446:333.0 447:439.0 448:2934.0 449:1818.0 450:2701.0 451:1542.0 452:946.0 453:501.0 454:383.0 455:283.0 456:452.0 457:267.0 458:176.0 459:176.0 460:227.0 461:290.0 462:600.0 463:1401.0 464:3470.0 465:2181.0 466:1813.0 467:1016.0 468:992.0 469:670.0 470:425.0 471:278.0 472:273.0 473:202.0 474:184.0 475:214.0 476:181.0 477:268.0 478:263.0 479:295.0 480:746.0 481:1234.0 482:5389.0 483:3854.0 484:2731.0 485:1204.0 486:583.0 487:303.0 488:263.0 489:220.0 490:292.0 491:288.0 492:245.0 493:198.0 494:338.0 495:371.0 496:554.0 497:466.0 498:489.0 499:478.0 500:375.0</t>
  </si>
  <si>
    <t>guanine</t>
  </si>
  <si>
    <t>744497</t>
  </si>
  <si>
    <t>352</t>
  </si>
  <si>
    <t>85:338.0 86:179.0 97:46.0 98:112.0 99:820.0 100:517.0 111:247.0 112:63.0 114:110.0 115:142.0 124:29.0 125:68.0 126:58.0 127:52.0 128:17.0 130:39.0 131:300.0 132:169.0 138:46.0 139:54.0 140:26.0 141:88.0 142:69.0 147:123.0 148:110.0 150:24.0 151:72.0 152:51.0 154:49.0 155:82.0 156:264.0 157:135.0 158:487.0 159:62.0 166:48.0 167:29.0 169:174.0 171:255.0 172:129.0 173:164.0 174:42.0 180:176.0 181:24.0 182:34.0 183:23.0 184:18.0 188:9.0 190:105.0 192:25.0 194:41.0 195:46.0 196:2.0 197:11.0 198:28.0 199:5.0 204:68.0 205:24.0 208:29.0 220:9.0 221:16.0 222:45.0 223:44.0 224:15.0 231:17.0 232:26.0 236:6.0 237:77.0 238:319.0 239:78.0 240:28.0 246:10.0 252:15.0 253:6.0 254:2.0 257:6.0 258:15.0 262:109.0 263:49.0 264:554.0 265:114.0 266:29.0 267:21.0 268:18.0 278:157.0 279:68.0 280:74.0 281:31.0 282:3.0 293:56.0 294:79.0 295:11.0 302:8.0 307:86.0 315:5.0 336:67.0 337:14.0 338:14.0 351:125.0 352:3885.0 353:1519.0 354:633.0 355:95.0 361:5.0 366:46.0 367:823.0 368:286.0 369:124.0 370:16.0 408:12.0 438:7.0 463:5.0</t>
  </si>
  <si>
    <t>glycylglycine NIST</t>
  </si>
  <si>
    <t>659898</t>
  </si>
  <si>
    <t>86:2920.0 87:6.0 89:168.0 91:96.0 100:1908.0 101:296.0 102:4.0 107:399.0 108:94.0 110:78.0 112:2.0 113:80.0 114:103.0 116:180.0 117:565.0 118:5.0 126:69.0 128:1.0 129:6.0 130:361.0 131:230.0 133:435.0 135:185.0 137:4.0 138:4.0 142:6.0 144:568.0 145:73.0 146:49.0 147:3749.0 148:319.0 157:60.0 158:79.0 159:45.0 160:135.0 171:17.0 172:202.0 173:48.0 174:9676.0 175:1785.0 176:588.0 177:77.0 188:648.0 189:39.0 193:35.0 200:51.0 202:37.0 204:10.0 205:11.0 212:38.0 213:16.0 214:22.0 216:2.0 217:374.0 218:77.0 225:5.0 228:26.0 232:17.0 234:7.0 235:12.0 237:41.0 241:7.0 243:73.0 246:9.0 248:211.0 253:12.0 254:104.0 255:42.0 257:10.0 260:267.0 261:76.0 263:38.0 273:10.0 280:1.0 282:34.0 288:14.0 289:354.0 290:51.0 299:42.0 301:443.0 302:118.0 303:68.0 306:10.0 307:18.0 308:3.0 311:2.0 312:58.0 314:36.0 316:2.0 319:4.0 323:29.0 325:20.0 326:43.0 329:8.0 334:170.0 335:28.0 336:46.0 355:4.0 360:18.0 364:15.0 365:8.0 371:11.0 375:22.0 384:17.0 386:9.0 391:11.0 392:4.0 394:3.0 404:3.0 405:435.0 406:224.0 407:89.0 409:18.0 412:4.0 413:9.0 415:35.0 419:8.0 426:6.0 435:10.0 444:1.0 445:10.0 449:44.0 450:36.0 451:18.0 456:7.0 459:15.0 462:1.0 468:11.0 469:5.0 475:6.0 498:4.0</t>
  </si>
  <si>
    <t>glycolic acid</t>
  </si>
  <si>
    <t>229810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</si>
  <si>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</si>
  <si>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glycine</t>
  </si>
  <si>
    <t>364262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</si>
  <si>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</si>
  <si>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glycerol-alpha-phosphate</t>
  </si>
  <si>
    <t>591357</t>
  </si>
  <si>
    <t>299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</si>
  <si>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</si>
  <si>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</si>
  <si>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803554</t>
  </si>
  <si>
    <t>85:124.0 89:669.0 99:195.0 101:2858.0 102:90.0 103:11903.0 104:601.0 105:217.0 109:189.0 111:216.0 113:217.0 115:113.0 116:1129.0 117:2765.0 119:18.0 124:4.0 129:5225.0 130:291.0 131:1903.0 133:1995.0 142:58.0 143:525.0 147:7954.0 148:644.0 149:699.0 151:38.0 152:20.0 155:140.0 157:234.0 158:16.0 169:622.0 170:196.0 171:84.0 172:12.0 173:47.0 174:9.0 175:154.0 177:31.0 183:52.0 189:1122.0 190:183.0 191:1247.0 192:82.0 195:7.0 197:116.0 203:612.0 204:19859.0 205:4025.0 206:1657.0 207:348.0 209:10.0 210:9.0 214:25.0 215:17.0 217:3539.0 218:1106.0 219:1524.0 220:302.0 221:213.0 222:6.0 225:17.0 227:36.0 229:51.0 230:65.0 231:291.0 232:13.0 233:64.0 243:306.0 244:95.0 245:64.0 246:295.0 247:143.0 248:54.0 249:115.0 252:18.0 256:18.0 258:17.0 259:17.0 263:5.0 267:4.0 268:4.0 269:2.0 271:230.0 272:84.0 273:29.0 274:25.0 275:4.0 284:41.0 289:10.0 290:2.0 291:225.0 292:40.0 293:93.0 294:56.0 296:15.0 304:40.0 305:226.0 306:61.0 307:64.0 313:17.0 317:32.0 318:17.0 319:94.0 320:34.0 321:10.0 322:2.0 323:117.0 324:8.0 330:7.0 331:44.0 332:112.0 336:2.0 337:1618.0 338:593.0 339:293.0 340:42.0 346:34.0 350:105.0 353:22.0 361:585.0 362:99.0 363:79.0 367:1.0 378:15.0 386:2.0 391:3.0 394:14.0 401:48.0 403:10.0 415:20.0 435:6.0 437:6.0 451:6.0 453:17.0 468:2.0 491:16.0 492:4.0</t>
  </si>
  <si>
    <t>glyceric acid</t>
  </si>
  <si>
    <t>377001</t>
  </si>
  <si>
    <t>189</t>
  </si>
  <si>
    <t>85:436.0 86:199.0 87:994.0 88:641.0 89:3582.0 90:289.0 91:14.0 93:232.0 94:5.0 95:41.0 96:4.0 97:10.0 98:21.0 99:454.0 100:61.0 101:5994.0 102:17844.0 103:18969.0 104:2377.0 105:1520.0 106:148.0 107:101.0 108:34.0 109:2.0 110:31.0 113:172.0 114:32.0 115:1803.0 116:1937.0 117:10984.0 118:1264.0 119:2117.0 120:230.0 121:139.0 122:21.0 123:18.0 124:12.0 125:3.0 127:38.0 129:315.0 130:5001.0 131:4080.0 132:807.0 133:20051.0 134:2712.0 135:2066.0 136:175.0 137:66.0 138:8.0 139:3.0 141:8.0 142:137.0 143:364.0 144:142.0 145:121.0 146:44.0 147:37969.0 148:6047.0 149:3779.0 150:413.0 151:242.0 152:15.0 153:11.0 154:1.0 156:12.0 157:38.0 158:12.0 159:109.0 160:82.0 161:99.0 162:38.0 163:361.0 164:39.0 165:38.0 167:3.0 168:4.0 169:11.0 170:4.0 172:2.0 173:232.0 174:38.0 175:1708.0 176:256.0 177:975.0 178:139.0 179:43.0 181:20.0 182:7.0 183:6.0 184:12.0 185:3.0 186:23.0 187:4.0 188:8.0 189:20317.0 190:4162.0 191:2350.0 192:309.0 193:102.0 194:21.0 195:6.0 197:1.0 198:2.0 199:4.0 202:2.0 203:17.0 204:488.0 205:4311.0 206:787.0 207:549.0 208:62.0 209:33.0 210:3.0 211:1.0 212:2.0 214:1.0 215:17.0 216:6.0 217:1252.0 218:231.0 219:487.0 220:97.0 221:571.0 222:115.0 223:46.0 224:7.0 225:4.0 227:2.0 228:2.0 231:27.0 232:65.0 233:13.0 234:5.0 235:2.0 236:5.0 238:6.0 239:3.0 242:5.0 243:1.0 244:1.0 245:6.0 246:18.0 247:5.0 248:9.0 249:4.0 252:1.0 260:2.0 261:16.0 262:4.0 263:16.0 264:7.0 265:72.0 266:5.0 267:7.0 269:1.0 270:5.0 273:1.0 276:3.0 277:5.0 278:1.0 279:51.0 280:9.0 281:3.0 282:1.0 285:4.0 286:12.0 288:2.0 289:1.0 290:3.0 291:50.0 292:6255.0 293:1867.0 294:894.0 295:164.0 296:31.0 297:10.0 298:8.0 299:5.0 300:1.0 301:1.0 302:3.0 303:3.0 305:6.0 306:8.0 307:1100.0 308:318.0 309:154.0 310:18.0 311:7.0 312:4.0 313:2.0 314:2.0 315:5.0 316:2.0 319:1.0 320:1.0 321:1.0 322:88.0 323:13.0 324:1.0 325:4.0 326:1.0 327:1.0 328:1.0 332:2.0 340:2.0 342:1.0 344:1.0 345:2.0 349:1.0 351:1.0 355:3.0 356:1.0 365:4.0 366:4.0 374:1.0 375:1.0 377:8.0 379:1.0 380:3.0 381:4.0 383:3.0 385:2.0 386:2.0 389:3.0 390:6.0 391:3.0 392:5.0 394:1.0 395:2.0 396:3.0 400:2.0 401:1.0 402:1.0 405:1.0 407:2.0 412:2.0 415:1.0 418:2.0 430:7.0 435:2.0 437:2.0 438:2.0 442:1.0 443:1.0 444:4.0 446:4.0 448:1.0 453:1.0 455:3.0 457:4.0 460:1.0 462:5.0 468:4.0 469:3.0 470:6.0 472:2.0 475:2.0 476:1.0 478:5.0 484:2.0 485:3.0 486:1.0 488:1.0 490:1.0 492:2.0 494:6.0 499:3.0</t>
  </si>
  <si>
    <t>glutamine</t>
  </si>
  <si>
    <t>600452</t>
  </si>
  <si>
    <t>85:177.0 86:247.0 87:91.0 88:20.0 89:36.0 90:14.0 92:11.0 93:3.0 94:6.0 95:10.0 96:7.0 97:5.0 98:138.0 99:366.0 100:947.0 101:207.0 102:139.0 103:205.0 104:21.0 105:8.0 106:4.0 107:25.0 108:7.0 110:32.0 111:14.0 112:252.0 113:161.0 114:557.0 115:453.0 116:472.0 117:200.0 118:51.0 119:40.0 120:2.0 123:2.0 124:5.0 126:252.0 127:256.0 128:966.0 129:276.0 130:377.0 131:829.0 132:285.0 133:578.0 134:82.0 135:22.0 136:3.0 138:4.0 139:641.0 140:255.0 141:61.0 142:205.0 143:44.0 144:79.0 145:328.0 146:86.0 147:1916.0 148:360.0 149:323.0 150:28.0 151:3.0 152:1.0 153:7.0 154:30.0 155:2951.0 156:8687.0 157:1277.0 158:378.0 159:34.0 160:10.0 161:6.0 162:20.0 163:3.0 164:3.0 167:30.0 170:9.0 171:2.0 172:67.0 173:45.0 174:23.0 182:7.0 183:22.0 184:22.0 185:3.0 186:3.0 188:123.0 189:27.0 190:12.0 191:2.0 192:1.0 193:4.0 194:1.0 195:2.0 196:4.0 200:8.0 202:20.0 203:498.0 204:152.0 205:44.0 206:7.0 207:5.0 210:6.0 211:14.0 212:1.0 213:3.0 214:33.0 215:6.0 216:66.0 217:39.0 218:156.0 219:49.0 220:14.0 221:25.0 222:2.0 226:1.0 227:72.0 228:24.0 229:242.0 230:150.0 231:32.0 232:95.0 233:15.0 234:1.0 236:2.0 241:1.0 242:1.0 243:2.0 244:41.0 245:782.0 246:153.0 247:69.0 248:5.0 249:4.0 250:2.0 251:3.0 255:1.0 257:30.0 258:9.0 259:4.0 260:1.0 264:2.0 268:2.0 269:1.0 270:2.0 271:5.0 272:4.0 273:53.0 274:21.0 275:5.0 276:4.0 277:1.0 279:2.0 285:6.0 286:4.0 287:4.0 289:3.0 292:1.0 294:4.0 299:1.0 301:62.0 302:24.0 303:4.0 304:4.0 308:2.0 310:1.0 311:1.0 317:4.0 318:2.0 322:3.0 328:3.0 329:7.0 334:2.0 335:4.0 337:2.0 343:3.0 344:5.0 346:3.0 347:104.0 348:49.0 349:1.0 350:2.0 351:2.0 352:2.0 353:1.0 359:1.0 362:22.0 363:4.0 364:1.0 365:3.0 368:1.0 372:2.0 383:1.0 386:2.0 389:3.0 390:2.0 397:2.0 399:2.0 406:1.0 407:4.0 411:2.0 413:1.0 414:1.0 422:2.0 424:1.0 430:2.0 437:1.0 440:6.0 442:4.0 443:1.0 448:2.0 453:2.0 459:1.0 461:3.0 462:3.0 470:3.0 472:2.0 473:3.0 475:5.0 477:3.0 479:1.0 480:2.0 483:1.0 489:2.0 490:1.0 491:3.0</t>
  </si>
  <si>
    <t>glutamic acid</t>
  </si>
  <si>
    <t>527101</t>
  </si>
  <si>
    <t>246</t>
  </si>
  <si>
    <t>85:357.0 86:526.0 87:203.0 88:137.0 91:2.0 95:16.0 96:64.0 98:361.0 99:127.0 100:1856.0 101:834.0 102:139.0 106:42.0 110:308.0 112:138.0 113:259.0 114:407.0 115:392.0 116:128.0 117:786.0 119:204.0 126:14.0 128:6367.0 129:1190.0 130:1088.0 131:692.0 132:559.0 133:968.0 134:416.0 135:125.0 139:47.0 140:569.0 141:18.0 142:90.0 143:123.0 144:284.0 147:4706.0 148:711.0 149:648.0 150:2.0 151:28.0 156:3653.0 157:609.0 158:785.0 159:234.0 160:51.0 170:1.0 172:69.0 174:335.0 175:55.0 181:1.0 184:88.0 185:15.0 186:44.0 187:23.0 188:8.0 189:88.0 190:25.0 198:18.0 199:10.0 201:10.0 202:133.0 203:67.0 204:2009.0 205:182.0 206:132.0 212:1.0 214:85.0 215:7.0 216:42.0 217:24.0 218:396.0 219:124.0 230:1456.0 231:287.0 232:181.0 233:21.0 235:13.0 241:2.0 245:604.0 246:7193.0 247:1587.0 248:658.0 258:124.0 259:20.0 260:28.0 262:1001.0 263:210.0 264:100.0 274:50.0 288:6.0 291:28.0 292:10.0 294:6.0 300:2.0 305:12.0 322:6.0 332:22.0 333:43.0 334:15.0 348:236.0 349:49.0 350:55.0 363:155.0 380:2.0 426:6.0 431:3.0 437:1.0 497:9.0 498:2.0</t>
  </si>
  <si>
    <t>806065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</si>
  <si>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</si>
  <si>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glucose-1-phosphate</t>
  </si>
  <si>
    <t>594823</t>
  </si>
  <si>
    <t>85:269.0 86:53.0 87:340.0 88:128.0 90:16.0 91:60.0 92:39.0 93:4.0 94:12.0 95:129.0 96:6.0 97:28.0 99:345.0 100:23.0 101:954.0 102:82.0 103:1518.0 104:100.0 105:139.0 107:22.0 109:58.0 110:7.0 111:252.0 112:8.0 113:466.0 114:44.0 115:401.0 116:421.0 117:1411.0 118:142.0 119:325.0 120:31.0 121:1.0 124:3.0 125:43.0 127:224.0 128:79.0 129:1683.0 130:207.0 131:914.0 132:129.0 133:1804.0 134:243.0 135:221.0 136:12.0 137:4.0 138:2.0 139:39.0 140:2.0 141:101.0 142:147.0 143:668.0 144:221.0 145:128.0 146:31.0 147:7750.0 148:1255.0 149:1126.0 150:100.0 151:111.0 152:13.0 153:82.0 154:26.0 155:185.0 156:78.0 157:143.0 158:6.0 159:132.0 160:15.0 161:52.0 162:16.0 163:188.0 164:17.0 165:26.0 166:2.0 167:31.0 168:13.0 169:778.0 170:96.0 171:58.0 173:23.0 174:6.0 175:57.0 176:9.0 177:91.0 179:1.0 181:35.0 182:10.0 183:51.0 184:19.0 185:32.0 186:6.0 187:14.0 188:8.0 189:102.0 190:12.0 191:1035.0 192:150.0 193:112.0 194:12.0 195:21.0 196:3.0 199:14.0 201:11.0 202:1.0 203:401.0 204:99.0 205:95.0 206:12.0 207:50.0 208:13.0 209:5.0 210:2.0 211:35.0 212:1.0 213:14.0 215:78.0 216:27.0 217:17998.0 218:4180.0 219:1690.0 220:238.0 221:111.0 222:23.0 223:5.0 224:9.0 225:26.0 226:11.0 227:44.0 229:32.0 230:49.0 231:130.0 232:1447.0 233:333.0 234:147.0 235:24.0 236:1.0 237:9.0 238:6.0 239:23.0 241:7.0 242:7.0 243:199.0 244:39.0 245:159.0 246:48.0 248:5.0 252:2.0 253:1.0 255:60.0 256:7.0 257:420.0 258:96.0 259:46.0 260:1.0 261:1.0 262:1.0 264:3.0 265:2.0 270:20.0 271:38.0 272:8.0 273:3.0 274:6.0 275:2.0 279:2.0 285:2.0 287:1.0 288:1.0 289:10.0 290:3.0 291:25.0 299:87.0 300:23.0 303:5.0 304:1.0 305:369.0 306:133.0 307:42.0 308:13.0 309:14.0 315:9.0 316:2.0 317:57.0 318:56.0 319:25.0 320:13.0 322:2.0 324:2.0 325:1.0 329:2.0 331:32.0 332:3.0 336:4.0 337:3.0 339:1.0 340:9.0 342:3.0 345:32.0 346:11.0 347:13.0 348:2.0 349:13.0 350:4.0 353:7.0 356:2.0 357:55.0 358:17.0 360:12.0 361:12.0 362:9.0 363:3.0 366:9.0 368:1.0 370:7.0 371:7.0 374:3.0 375:3.0 376:2.0 378:4.0 379:4.0 380:6.0 383:6.0 385:1.0 394:3.0 396:2.0 398:2.0 400:1.0 401:1.0 402:1.0 405:1.0 406:2.0 407:14.0 420:4.0 425:1.0 426:3.0 431:1.0 433:1.0 435:13.0 436:1.0 437:3.0 438:5.0 441:5.0 442:4.0 444:5.0 446:3.0 447:8.0 448:1.0 449:44.0 450:305.0 451:198.0 452:92.0 453:39.0 454:12.0 455:2.0 456:2.0 461:2.0 464:1.0 467:1.0 472:3.0 475:5.0 476:7.0 478:1.0 481:1.0 483:4.0 484:2.0 488:1.0 493:5.0 494:11.0 498:8.0 499:1.0 500:1.0</t>
  </si>
  <si>
    <t>650726</t>
  </si>
  <si>
    <t>160</t>
  </si>
  <si>
    <t>85:3389.0 86:4354.0 87:4281.0 88:3036.0 89:39786.0 90:3547.0 91:1939.0 92:284.0 93:195.0 94:338.0 95:583.0 96:507.0 97:1525.0 98:1052.0 99:3423.0 100:8456.0 101:12206.0 102:6586.0 103:75440.0 104:7606.0 105:20049.0 106:2177.0 107:1066.0 108:364.0 109:257.0 110:782.0 111:1536.0 112:1318.0 113:2651.0 114:8185.0 115:5616.0 116:4264.0 117:55860.0 118:6063.0 119:5805.0 120:558.0 121:295.0 122:89.0 123:92.0 124:179.0 125:327.0 126:1054.0 127:2168.0 128:2354.0 129:60855.0 130:11918.0 131:16978.0 132:3005.0 133:36602.0 134:4930.0 135:3121.0 136:334.0 137:128.0 138:292.0 139:260.0 140:555.0 141:1131.0 142:2687.0 143:7825.0 144:1413.0 145:3860.0 146:912.0 147:158611.0 148:25141.0 149:16022.0 150:1838.0 151:917.0 152:473.0 153:308.0 154:396.0 155:786.0 156:663.0 157:36599.0 158:6812.0 159:2912.0 160:73800.0 161:12589.0 162:3617.0 163:4551.0 164:741.0 165:347.0 166:190.0 167:130.0 168:662.0 169:1205.0 170:717.0 171:407.0 172:1494.0 173:2015.0 174:433.0 175:2299.0 176:486.0 177:2151.0 178:433.0 179:293.0 180:332.0 181:228.0 182:295.0 183:157.0 184:316.0 185:294.0 186:1247.0 187:568.0 188:497.0 189:13982.0 190:4076.0 191:6783.0 192:1299.0 193:655.0 194:79.0 195:106.0 196:363.0 197:101.0 198:180.0 199:180.0 200:576.0 201:3036.0 202:878.0 203:2076.0 204:12680.0 205:70630.0 206:14600.0 207:7624.0 208:1084.0 209:382.0 210:1248.0 211:253.0 212:211.0 213:120.0 214:479.0 215:1259.0 216:3847.0 217:39036.0 218:8354.0 219:3821.0 220:561.0 221:2764.0 222:641.0 223:366.0 224:95.0 225:87.0 226:134.0 227:108.0 228:456.0 229:9200.0 230:2855.0 231:4618.0 232:1841.0 233:1898.0 234:1359.0 235:399.0 236:178.0 237:168.0 238:84.0 239:30.0 240:369.0 241:181.0 242:289.0 243:667.0 244:1205.0 245:549.0 246:1097.0 247:504.0 248:250.0 249:143.0 250:95.0 251:57.0 252:58.0 253:99.0 254:161.0 255:133.0 256:476.0 257:167.0 258:110.0 259:312.0 260:299.0 261:198.0 262:1509.0 263:387.0 264:172.0 265:232.0 266:106.0 267:55.0 268:346.0 269:764.0 270:380.0 271:99.0 272:110.0 273:40.0 274:1701.0 275:484.0 276:391.0 277:1718.0 278:721.0 279:287.0 280:82.0 282:3.0 284:8.0 285:8.0 286:53.0 287:33.0 288:51.0 289:77.0 290:188.0 291:3177.0 292:918.0 293:527.0 294:98.0 295:19.0 297:159.0 298:58.0 299:11.0 300:579.0 301:144.0 302:272.0 304:256.0 305:2047.0 306:880.0 307:1794.0 308:476.0 309:229.0 310:27.0 314:32.0 315:43.0 316:55.0 317:124.0 318:1031.0 319:45293.0 320:14424.0 321:6973.0 322:1440.0 323:326.0 324:62.0 325:42.0 326:23.0 328:38.0 329:27.0 330:100.0 331:134.0 332:210.0 333:225.0 334:90.0 335:36.0 336:44.0 337:19.0 338:2.0 342:105.0 343:442.0 344:328.0 345:130.0 346:73.0 347:10.0 348:9.0 350:6.0 351:10.0 354:3.0 357:2.0 358:156.0 359:86.0 360:31.0 362:6.0 363:43.0 364:953.0 365:407.0 366:173.0 367:37.0 370:14.0 372:6.0 373:9.0 374:419.0 375:187.0 376:299.0 377:69.0 378:55.0 379:20.0 381:24.0 389:48.0 390:85.0 391:37.0 392:17.0 393:17.0 403:20.0 405:6.0 407:7.0 408:13.0 412:6.0 417:1.0 420:7.0 421:10.0 432:35.0 433:20.0 434:25.0 435:2.0 443:1.0 448:35.0 449:45.0 453:8.0 458:1.0 464:78.0 465:70.0 466:96.0 467:59.0 468:23.0 476:2.0 479:1.0 483:5.0 486:3.0 492:5.0 498:8.0</t>
  </si>
  <si>
    <t>glucosamine NIST</t>
  </si>
  <si>
    <t>704105</t>
  </si>
  <si>
    <t>203</t>
  </si>
  <si>
    <t>87:498.0 93:188.0 94:227.0 99:256.0 100:2091.0 101:169.0 103:233.0 104:90.0 105:79.0 111:92.0 114:341.0 115:289.0 116:124.0 117:1277.0 124:38.0 126:23.0 128:943.0 129:1337.0 130:824.0 131:3523.0 132:402.0 133:138.0 140:83.0 142:544.0 143:296.0 144:300.0 145:3.0 147:1148.0 152:296.0 154:245.0 155:95.0 156:10.0 157:235.0 159:143.0 160:59.0 168:39.0 171:89.0 172:297.0 173:145.0 175:148.0 179:254.0 182:89.0 187:146.0 188:698.0 189:111.0 190:46.0 193:1.0 200:490.0 201:160.0 202:26.0 203:22180.0 204:4978.0 205:1321.0 206:288.0 214:151.0 216:1440.0 217:605.0 218:774.0 219:63.0 220:93.0 229:8.0 230:110.0 231:194.0 232:363.0 233:162.0 240:8.0 241:10.0 242:88.0 244:52.0 245:41.0 246:19.0 247:2.0 254:40.0 260:5.0 264:44.0 271:16.0 272:52.0 274:44.0 278:16.0 280:31.0 290:181.0 291:241.0 297:40.0 301:21.0 302:53.0 304:661.0 305:368.0 307:51.0 316:65.0 317:17.0 319:8.0 321:45.0 331:12.0 332:62.0 342:2.0 344:8.0 355:36.0 376:21.0 378:16.0 404:114.0 405:14.0 412:11.0 442:3.0 461:2.0 494:6.0 496:5.0</t>
  </si>
  <si>
    <t>1018547</t>
  </si>
  <si>
    <t>85:205.0 86:75.0 87:194.0 88:80.0 89:287.0 90:31.0 91:28.0 92:12.0 93:17.0 94:22.0 95:39.0 96:21.0 97:102.0 98:45.0 99:171.0 100:40.0 101:731.0 102:156.0 103:4860.0 104:446.0 105:231.0 106:17.0 107:21.0 108:16.0 109:176.0 110:25.0 111:157.0 112:31.0 113:243.0 114:59.0 115:193.0 116:446.0 117:949.0 118:102.0 119:166.0 120:18.0 121:16.0 122:13.0 123:37.0 124:4.0 125:40.0 126:28.0 127:166.0 128:56.0 129:5073.0 130:566.0 131:996.0 132:146.0 133:1674.0 134:223.0 135:148.0 136:27.0 137:19.0 138:12.0 139:65.0 141:95.0 142:141.0 143:1046.0 144:139.0 145:199.0 146:36.0 147:8991.0 148:1482.0 149:1069.0 150:113.0 151:84.0 152:31.0 153:126.0 154:38.0 155:229.0 156:91.0 157:389.0 158:67.0 159:93.0 160:22.0 161:134.0 162:32.0 163:168.0 164:57.0 165:21.0 166:14.0 167:45.0 168:18.0 169:593.0 170:120.0 171:92.0 172:21.0 173:142.0 174:55.0 175:158.0 176:32.0 177:204.0 178:45.0 179:33.0 180:10.0 181:65.0 182:37.0 183:85.0 184:23.0 185:48.0 186:16.0 187:59.0 188:20.0 189:834.0 190:416.0 191:4767.0 192:890.0 193:449.0 194:70.0 195:27.0 196:26.0 197:45.0 198:46.0 199:52.0 200:22.0 201:80.0 202:28.0 203:281.0 204:24360.0 205:4785.0 206:2178.0 207:492.0 208:119.0 209:61.0 210:26.0 211:42.0 212:25.0 213:31.0 214:5.0 215:133.0 216:44.0 217:4391.0 218:1156.0 219:470.0 220:102.0 221:578.0 222:131.0 223:89.0 224:28.0 225:15.0 226:16.0 227:47.0 228:12.0 229:120.0 230:831.0 231:357.0 232:125.0 233:187.0 234:69.0 235:44.0 236:25.0 237:20.0 238:17.0 239:73.0 240:26.0 241:44.0 242:47.0 243:475.0 244:124.0 245:128.0 246:73.0 247:73.0 248:24.0 249:40.0 250:17.0 251:4.0 252:6.0 253:10.0 254:4.0 255:67.0 256:23.0 257:68.0 258:23.0 259:52.0 260:30.0 261:23.0 262:20.0 263:44.0 264:20.0 265:380.0 266:113.0 267:78.0 268:21.0 269:24.0 270:21.0 271:231.0 272:78.0 273:51.0 274:35.0 275:23.0 276:19.0 277:30.0 278:37.0 279:38.0 280:10.0 281:36.0 282:3.0 283:5.0 284:6.0 285:10.0 286:10.0 287:16.0 288:25.0 289:48.0 290:27.0 291:190.0 292:69.0 293:293.0 294:83.0 295:49.0 296:19.0 297:2.0 298:4.0 299:16.0 300:7.0 301:13.0 302:25.0 303:18.0 304:91.0 305:514.0 306:237.0 307:119.0 308:30.0 309:18.0 310:4.0 311:20.0 312:6.0 313:21.0 314:1.0 315:6.0 316:14.0 317:84.0 318:340.0 319:317.0 320:122.0 321:56.0 322:17.0 323:22.0 324:10.0 325:14.0 326:3.0 327:10.0 328:5.0 329:22.0 330:14.0 331:87.0 332:83.0 333:51.0 334:26.0 335:13.0 336:13.0 337:6.0 338:6.0 339:16.0 340:3.0 341:18.0 342:18.0 343:103.0 344:76.0 345:90.0 346:36.0 347:18.0 348:23.0 349:12.0 350:20.0 351:11.0 352:9.0 353:11.0 354:9.0 355:5.0 356:20.0 357:12.0 358:9.0 359:41.0 360:55.0 361:449.0 362:176.0 363:89.0 364:17.0 365:31.0 366:18.0 367:31.0 368:22.0 369:3.0 370:10.0 371:10.0 372:11.0 373:12.0 374:6.0 375:7.0 376:15.0 377:3.0 379:17.0 380:7.0 381:28.0 382:21.0 383:16.0 384:14.0 385:18.0 386:13.0 387:10.0 388:8.0 389:23.0 390:10.0 391:15.0 392:9.0 393:23.0 394:25.0 395:17.0 396:8.0 397:5.0 398:16.0 399:19.0 400:7.0 401:12.0 402:12.0 403:22.0 404:18.0 405:17.0 406:14.0 407:19.0 408:16.0 409:6.0 410:13.0 411:22.0 412:12.0 413:19.0 414:8.0 415:9.0 416:12.0 417:41.0 418:23.0 419:26.0 420:17.0 421:14.0 422:7.0 423:26.0 424:12.0 425:5.0 426:21.0 427:4.0 428:9.0 429:13.0 430:9.0 431:7.0 432:50.0 433:259.0 434:142.0 435:98.0 436:48.0 437:22.0 438:9.0 439:8.0 440:15.0 441:10.0 442:10.0 443:16.0 444:15.0 445:10.0 446:11.0 447:4.0 448:18.0 449:17.0 450:23.0 451:12.0 452:16.0 453:9.0 454:10.0 455:4.0 456:7.0 457:11.0 458:14.0 459:13.0 460:9.0 461:16.0 462:10.0 463:25.0 464:12.0 465:16.0 466:8.0 467:11.0 468:17.0 469:15.0 470:14.0 471:6.0 472:14.0 473:8.0 474:16.0 475:9.0 476:5.0 477:8.0 478:10.0 479:5.0 480:22.0 481:13.0 482:10.0 483:10.0 484:11.0 485:13.0 486:13.0 487:6.0 488:7.0 489:6.0 490:4.0 491:4.0 492:19.0 493:28.0 494:21.0 495:6.0 496:20.0 497:14.0 498:5.0 499:6.0 500:11.0</t>
  </si>
  <si>
    <t>GABA</t>
  </si>
  <si>
    <t>488308</t>
  </si>
  <si>
    <t>85:933.0 86:1947.0 87:44405.0 88:353.0 89:14.0 91:213.0 93:505.0 95:64.0 96:533.0 97:1597.0 98:720.0 99:350.0 100:1266.0 101:854.0 102:246.0 103:517.0 104:198.0 105:18.0 106:19.0 107:304.0 109:73.0 110:327.0 112:257.0 113:327.0 114:248.0 115:971.0 117:752.0 118:144.0 119:194.0 120:18.0 121:276.0 122:80.0 123:156.0 125:262.0 126:11.0 127:24.0 129:93.0 130:1441.0 131:900.0 132:180.0 133:1181.0 134:601.0 135:402.0 137:55.0 138:127.0 139:58.0 140:366.0 141:78.0 142:579.0 146:602.0 147:7297.0 148:1191.0 149:668.0 150:102.0 151:10.0 152:132.0 153:79.0 154:67.0 155:6.0 157:137.0 158:140.0 159:85.0 160:111.0 161:89.0 162:101.0 163:94.0 164:99.0 165:69.0 167:47.0 168:81.0 169:22.0 170:141.0 171:699.0 172:197.0 174:6403.0 175:1199.0 176:650.0 177:253.0 178:86.0 181:29.0 182:1.0 183:281.0 184:25.0 187:58.0 188:46.0 189:150.0 190:78.0 191:378.0 192:144.0 193:157.0 194:29.0 195:5.0 196:113.0 198:85.0 200:13.0 201:6.0 202:38.0 203:49.0 204:74.0 205:246.0 206:87.0 207:1598.0 208:311.0 209:265.0 210:104.0 211:61.0 212:9.0 213:26.0 216:503.0 217:220.0 218:100.0 219:50.0 220:224.0 221:3650.0 222:1080.0 223:605.0 224:170.0 225:27.0 226:11.0 228:21.0 230:142.0 231:3.0 232:44.0 235:7.0 236:66.0 237:199.0 238:101.0 239:19.0 240:63.0 241:5.0 245:63.0 246:194.0 247:91.0 248:91.0 249:133.0 250:11.0 251:61.0 252:85.0 253:78.0 254:11.0 256:31.0 258:45.0 259:39.0 262:9.0 263:43.0 264:40.0 265:154.0 266:67.0 267:503.0 268:144.0 269:59.0 270:44.0 271:5.0 272:17.0 274:27.0 275:63.0 276:60.0 277:17.0 279:67.0 280:33.0 281:231.0 282:134.0 283:102.0 284:9.0 285:45.0 286:44.0 288:13.0 289:27.0 291:39.0 292:171.0 293:112.0 294:84.0 295:551.0 296:134.0 297:168.0 299:15.0 300:29.0 303:29.0 304:795.0 305:158.0 306:175.0 307:88.0 308:33.0 312:85.0 313:35.0 318:25.0 319:76.0 322:20.0 323:145.0 324:29.0 325:245.0 326:108.0 327:19.0 328:23.0 330:23.0 332:47.0 333:21.0 334:21.0 335:35.0 339:84.0 340:13.0 341:519.0 342:198.0 343:105.0 344:25.0 345:23.0 346:45.0 348:45.0 349:35.0 350:59.0 354:62.0 355:322.0 356:129.0 357:93.0 358:68.0 364:45.0 366:45.0 370:11.0 372:38.0 373:5.0 376:15.0 378:45.0 379:7.0 380:44.0 381:62.0 382:33.0 386:20.0 387:47.0 388:37.0 389:39.0 395:15.0 396:7.0 397:13.0 398:51.0 400:25.0 404:37.0 406:21.0 407:54.0 410:22.0 411:29.0 412:3.0 413:8.0 414:23.0 415:13.0 416:25.0 418:23.0 419:9.0 420:17.0 422:17.0 424:53.0 427:29.0 428:29.0 429:101.0 431:49.0 434:29.0 436:73.0 438:25.0 439:17.0 445:3.0 446:22.0 448:13.0 452:31.0 453:31.0 456:17.0 457:21.0 458:35.0 459:82.0 465:15.0 466:5.0 469:11.0 470:57.0 471:69.0 472:1.0 474:63.0 475:35.0 479:7.0 481:21.0 483:13.0 484:49.0 487:5.0 489:5.0 491:27.0 495:37.0 497:1.0 498:33.0 499:53.0</t>
  </si>
  <si>
    <t>fumaric acid</t>
  </si>
  <si>
    <t>390988</t>
  </si>
  <si>
    <t>245</t>
  </si>
  <si>
    <t>86:137.0 87:847.0 88:59.0 89:12.0 91:3.0 92:46.0 94:3.0 96:13.0 97:11.0 98:108.0 99:48.0 101:132.0 103:6.0 105:15.0 106:12.0 107:6.0 108:15.0 109:11.0 110:20.0 113:71.0 114:4.0 115:416.0 116:20.0 117:28.0 118:40.0 119:20.0 121:2.0 124:1.0 126:5.0 127:112.0 128:83.0 129:11.0 130:58.0 131:37.0 132:15.0 133:600.0 134:87.0 135:46.0 141:33.0 142:42.0 143:1017.0 144:69.0 145:33.0 146:7.0 147:2997.0 148:417.0 149:390.0 150:18.0 151:23.0 152:2.0 153:10.0 155:322.0 156:43.0 157:149.0 158:7.0 159:10.0 163:1.0 164:1.0 170:20.0 171:59.0 173:43.0 183:3.0 185:4.0 190:3.0 193:2.0 194:6.0 195:6.0 199:5.0 201:38.0 202:4.0 203:13.0 209:16.0 210:6.0 211:6.0 212:4.0 213:2.0 214:3.0 215:18.0 216:3.0 217:164.0 218:15.0 219:17.0 220:2.0 221:2.0 222:1.0 223:4.0 225:1.0 226:1.0 228:15.0 229:3.0 231:4.0 232:10.0 233:6.0 234:4.0 235:4.0 236:3.0 237:9.0 238:2.0 239:1.0 240:1.0 242:9.0 244:1.0 245:3214.0 246:582.0 247:249.0 248:39.0 249:4.0 250:3.0 251:8.0 254:9.0 256:4.0 258:3.0 261:6.0 263:4.0 264:1.0 265:2.0 266:2.0 267:2.0 268:1.0 269:2.0 270:3.0 271:2.0 272:2.0 273:5.0 274:4.0 275:7.0 276:1.0 278:6.0 280:4.0 281:7.0 283:3.0 284:4.0 287:2.0 288:1.0 290:9.0 291:1.0 294:12.0 296:3.0 297:5.0 298:2.0 299:7.0 301:11.0 304:4.0 305:3.0 306:4.0 307:2.0 311:7.0 314:5.0 317:2.0 320:9.0 321:14.0 322:2.0 324:4.0 325:2.0 326:2.0 327:2.0 328:5.0 332:4.0 333:2.0 335:6.0 336:1.0 337:7.0 338:1.0 340:6.0 341:5.0 343:2.0 344:5.0 345:7.0 346:4.0 347:1.0 348:2.0 352:4.0 353:8.0 355:5.0 358:1.0 360:5.0 361:9.0 362:5.0 364:4.0 365:4.0 366:1.0 368:4.0 369:3.0 370:3.0 371:1.0 376:6.0 377:3.0 378:1.0 381:3.0 382:1.0 383:4.0 384:9.0 386:3.0 388:3.0 390:1.0 391:1.0 393:2.0 394:2.0 395:3.0 396:1.0 398:1.0 399:4.0 400:4.0 401:5.0 403:13.0 404:4.0 405:2.0 406:1.0 407:6.0 408:5.0 410:2.0 411:3.0 412:13.0 413:1.0 417:9.0 418:3.0 419:10.0 420:6.0 425:13.0 426:1.0 427:1.0 428:2.0 431:1.0 433:1.0 434:1.0 435:3.0 436:1.0 437:3.0 438:3.0 439:2.0 441:4.0 443:2.0 445:10.0 446:6.0 447:3.0 449:10.0 450:7.0 452:1.0 453:7.0 456:2.0 458:1.0 462:5.0 464:2.0 466:4.0 467:12.0 468:6.0 469:2.0 470:3.0 472:4.0 473:10.0 474:1.0 475:5.0 478:5.0 479:1.0 480:1.0 481:3.0 482:2.0 483:9.0 484:1.0 485:1.0 488:1.0 489:1.0 490:3.0 492:4.0 494:2.0 495:2.0 497:2.0 498:10.0 499:2.0 500:1.0</t>
  </si>
  <si>
    <t>fucose 1 + rhamnose 2</t>
  </si>
  <si>
    <t>577861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</si>
  <si>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</si>
  <si>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640798</t>
  </si>
  <si>
    <t>85:1834.0 86:744.0 87:1240.0 88:1039.0 89:18724.0 90:1456.0 91:540.0 92:62.0 94:170.0 98:359.0 99:847.0 100:2729.0 101:3894.0 102:1200.0 103:108806.0 104:10099.0 105:6342.0 106:240.0 107:69.0 109:39.0 110:208.0 111:287.0 112:75.0 113:1440.0 114:7962.0 115:2103.0 116:1660.0 117:13810.0 118:1806.0 119:2417.0 120:251.0 121:46.0 124:68.0 125:93.0 126:344.0 127:456.0 128:918.0 129:9598.0 130:2066.0 131:5259.0 132:690.0 133:12636.0 134:1413.0 135:811.0 138:40.0 140:330.0 141:148.0 142:1363.0 143:1775.0 144:437.0 145:851.0 146:149.0 147:41696.0 148:6524.0 149:4255.0 150:393.0 151:118.0 152:70.0 153:49.0 154:126.0 155:114.0 156:527.0 157:1703.0 158:548.0 159:441.0 160:75.0 161:268.0 162:10.0 163:1526.0 164:148.0 165:75.0 166:56.0 167:21.0 168:361.0 169:123.0 170:544.0 171:163.0 172:1681.0 173:2863.0 174:878.0 175:1305.0 176:184.0 177:425.0 178:61.0 179:84.0 180:256.0 181:56.0 182:101.0 183:43.0 184:109.0 185:47.0 186:282.0 187:162.0 189:5409.0 190:1324.0 191:3592.0 192:620.0 193:244.0 194:42.0 195:31.0 196:318.0 197:40.0 198:596.0 199:156.0 200:338.0 201:1493.0 202:1334.0 203:1013.0 204:3461.0 205:4965.0 206:1141.0 207:697.0 208:99.0 209:23.0 210:26.0 212:50.0 214:328.0 215:158.0 216:1146.0 217:49387.0 218:10355.0 219:4621.0 220:611.0 221:1349.0 222:292.0 223:141.0 224:19.0 226:28.0 227:2.0 228:124.0 229:291.0 230:321.0 231:981.0 232:365.0 233:141.0 234:28.0 235:40.0 236:9.0 239:14.0 240:195.0 241:58.0 242:73.0 243:163.0 244:923.0 245:385.0 246:204.0 247:110.0 248:64.0 249:4.0 251:63.0 253:61.0 254:97.0 255:77.0 256:353.0 257:95.0 258:38.0 259:32.0 260:236.0 261:83.0 262:2576.0 263:1273.0 264:437.0 265:183.0 266:55.0 267:48.0 268:259.0 269:14.0 270:242.0 271:64.0 272:103.0 273:49.0 274:38.0 275:126.0 276:269.0 277:3585.0 278:957.0 279:470.0 280:70.0 281:65.0 282:7.0 284:22.0 286:82.0 287:3.0 288:168.0 289:53.0 290:5.0 291:547.0 292:175.0 293:95.0 294:40.0 297:38.0 298:8.0 299:31.0 300:149.0 301:67.0 302:94.0 303:94.0 304:111.0 305:283.0 306:270.0 307:15689.0 308:4613.0 309:2190.0 310:388.0 311:107.0 312:2.0 314:6.0 315:7.0 316:13.0 317:2.0 318:190.0 319:474.0 320:120.0 321:48.0 323:22.0 326:10.0 327:26.0 328:63.0 329:5.0 330:208.0 331:67.0 332:74.0 333:378.0 334:334.0 335:753.0 336:328.0 337:112.0 338:32.0 339:8.0 341:18.0 342:35.0 343:25.0 344:70.0 345:61.0 346:32.0 348:21.0 350:131.0 351:82.0 352:16.0 355:22.0 356:8.0 358:87.0 359:44.0 360:100.0 363:24.0 364:1796.0 365:551.0 366:303.0 367:39.0 369:4.0 375:10.0 376:127.0 377:86.0 378:37.0 379:19.0 380:4.0 384:11.0 387:5.0 388:13.0 389:37.0 390:103.0 391:67.0 392:34.0 393:9.0 394:9.0 399:7.0 401:13.0 404:18.0 405:3.0 406:2.0 407:2.0 408:16.0 410:14.0 417:16.0 420:9.0 421:3.0 427:23.0 432:26.0 433:53.0 434:62.0 435:42.0 436:3.0 437:22.0 442:5.0 443:6.0 445:2.0 448:23.0 463:25.0 464:87.0 465:47.0 466:86.0 467:18.0 468:22.0 470:11.0 472:7.0 476:6.0 488:5.0 489:7.0 492:19.0 495:9.0</t>
  </si>
  <si>
    <t>147</t>
  </si>
  <si>
    <t>erythritol</t>
  </si>
  <si>
    <t>471274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</si>
  <si>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</si>
  <si>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elaidic acid</t>
  </si>
  <si>
    <t>780799</t>
  </si>
  <si>
    <t>85:2151.0 86:797.0 87:573.0 88:397.0 89:1577.0 90:207.0 91:2424.0 92:549.0 93:3414.0 94:1799.0 95:8497.0 96:9929.0 97:6494.0 98:6521.0 99:1786.0 100:274.0 101:745.0 102:140.0 103:279.0 104:38.0 105:1778.0 106:396.0 107:1700.0 108:972.0 109:3692.0 110:3528.0 111:2465.0 112:1218.0 113:334.0 114:57.0 115:256.0 116:3241.0 117:28379.0 118:3045.0 119:2239.0 120:443.0 121:1566.0 122:487.0 123:2175.0 124:1408.0 125:839.0 126:310.0 127:199.0 128:247.0 129:24020.0 130:3086.0 131:5575.0 132:5188.0 133:2358.0 134:1042.0 135:970.0 136:253.0 137:1257.0 138:954.0 139:397.0 140:94.0 141:189.0 142:136.0 143:1510.0 144:235.0 145:7718.0 146:1067.0 147:889.0 148:404.0 149:421.0 150:200.0 151:840.0 152:1041.0 153:270.0 154:49.0 155:660.0 156:164.0 157:604.0 158:184.0 159:595.0 160:82.0 161:241.0 162:92.0 163:114.0 164:119.0 165:392.0 166:545.0 167:193.0 168:98.0 169:536.0 170:156.0 171:1189.0 172:336.0 173:389.0 174:133.0 175:149.0 176:47.0 177:33.0 178:45.0 179:220.0 180:823.0 181:235.0 182:42.0 183:551.0 184:126.0 185:1830.0 186:338.0 187:337.0 188:175.0 189:104.0 190:14.0 191:97.0 192:5.0 193:179.0 194:93.0 195:25.0 196:1.0 197:91.0 198:8.0 199:1762.0 200:285.0 201:429.0 202:191.0 203:92.0 204:43.0 205:1.0 206:2.0 207:156.0 208:86.0 209:10.0 210:1.0 211:109.0 212:9.0 213:295.0 214:49.0 215:88.0 216:15.0 217:43.0 218:1.0 219:21.0 220:142.0 221:275.0 222:891.0 223:157.0 224:1.0 225:47.0 227:252.0 228:72.0 229:67.0 230:33.0 231:2.0 232:2.0 235:113.0 236:134.0 237:2.0 238:2.0 239:31.0 240:5.0 241:219.0 242:44.0 243:67.0 244:5.0 245:4.0 246:51.0 249:2.0 253:15.0 254:2.0 255:161.0 256:10.0 257:103.0 258:41.0 259:3.0 264:684.0 265:128.0 267:14.0 269:65.0 271:55.0 272:53.0 273:5.0 274:4.0 281:26.0 283:20.0 285:16.0 286:21.0 287:1.0 291:7.0 295:56.0 296:16.0 297:1.0 299:49.0 300:4.0 304:2.0 309:4.0 310:1.0 311:83.0 312:29.0 313:12.0 314:1.0 318:1.0 323:5.0 324:2.0 325:1.0 335:14.0 337:4.0 338:122.0 339:3572.0 340:1510.0 341:344.0 342:62.0 343:2.0 352:2.0 354:194.0 355:81.0 356:13.0 357:55.0 358:7.0 359:2.0 366:1.0 370:1.0 372:1.0 373:1.0 375:1.0 381:1.0 382:1.0 386:1.0 390:1.0 397:1.0 402:1.0 405:1.0 407:2.0 421:1.0 424:1.0 431:1.0 435:1.0 446:1.0 449:3.0 450:1.0 456:1.0 457:2.0 459:1.0 462:3.0 471:1.0 491:1.0 495:2.0 498:2.0</t>
  </si>
  <si>
    <t>dodecanol</t>
  </si>
  <si>
    <t>508488</t>
  </si>
  <si>
    <t>243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</si>
  <si>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</si>
  <si>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dodecane</t>
  </si>
  <si>
    <t>247379</t>
  </si>
  <si>
    <t>98</t>
  </si>
  <si>
    <t>85:7706.0 86:1554.0 87:672.0 88:810.0 89:230.0 93:103.0 94:200.0 95:91.0 96:489.0 97:374.0 98:3532.0 99:315.0 100:1610.0 101:263.0 102:140.0 103:534.0 105:279.0 107:79.0 108:33.0 109:6.0 110:3339.0 111:97.0 112:212.0 113:1715.0 117:32.0 120:258.0 121:117.0 122:12.0 125:19.0 126:174.0 127:718.0 130:2.0 131:1128.0 132:536.0 133:163.0 147:7143.0 155:2979.0 156:233.0 167:28.0 170:1.0 174:52.0 182:313.0 184:23.0 187:73.0 200:6.0 201:2.0 209:65.0 228:9.0 360:1.0 384:1.0 386:4.0 426:6.0 441:5.0 452:3.0 498:5.0</t>
  </si>
  <si>
    <t>dihydroabietic acid</t>
  </si>
  <si>
    <t>849610</t>
  </si>
  <si>
    <t>239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</si>
  <si>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</si>
  <si>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cysteine-glycine</t>
  </si>
  <si>
    <t>715639</t>
  </si>
  <si>
    <t>220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</si>
  <si>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</si>
  <si>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</si>
  <si>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501345</t>
  </si>
  <si>
    <t>85:5.0 86:61.0 87:3.0 88:13.0 89:12.0 90:535.0 91:23042.0 92:11300.0 93:1648.0 94:6.0 95:68.0 97:8.0 98:71.0 99:30.0 100:3492.0 101:362.0 102:221.0 103:170.0 104:21.0 105:88.0 106:337.0 107:4408.0 108:388.0 109:45.0 110:1655.0 114:118.0 115:326.0 116:1010.0 117:143.0 118:73.0 119:133.0 120:8.0 121:4.0 127:879.0 128:17.0 130:385.0 131:193.0 132:1166.0 133:451.0 134:6097.0 135:15.0 136:76.0 139:5.0 144:19.0 145:6.0 146:358.0 147:1396.0 148:306.0 149:185.0 150:32.0 153:2.0 155:108.0 156:18.0 158:6.0 159:6.0 160:25.0 161:2.0 163:59.0 164:5.0 165:1.0 172:4.0 173:31.0 174:12.0 178:1.0 179:2.0 180:1.0 183:1.0 184:1162.0 188:9.0 190:15.0 199:8.0 203:27.0 204:137.0 205:68.0 206:10.0 209:1.0 218:3381.0 219:522.0 220:3777.0 221:735.0 222:336.0 223:37.0 224:14.0 225:3.0 232:44.0 233:5.0 234:12.0 236:1.0 240:4.0 246:1.0 250:1.0 251:1.0 254:3.0 256:3.0 257:1.0 264:4.0 268:1.0 270:1.0 271:3.0 275:7.0 277:1.0 279:2.0 280:2.0 288:16.0 292:3.0 294:78.0 295:9.0 296:9.0 300:1.0 301:3.0 306:4.0 309:1.0 319:1.0 322:21.0 323:4.0 324:2.0 326:2.0 330:1.0 331:1.0 333:1.0 338:1.0 341:1.0 342:1.0 344:2.0 348:1.0 350:1.0 353:2.0 354:1.0 356:3.0 362:1.0 363:4.0 378:1.0 381:1.0 385:2.0 386:11.0 387:1.0 392:2.0 393:3.0 394:5.0 402:1.0 403:1.0 406:1.0 409:6.0 410:1.0 416:1.0 417:1.0 419:1.0 420:1.0 426:1.0 428:2.0 429:4.0 430:2.0 431:1.0 432:1.0 433:1.0 436:2.0 442:1.0 444:1.0 446:1.0 448:2.0 450:2.0 451:1.0 452:2.0 454:4.0 457:4.0 462:2.0 465:2.0 468:2.0 471:6.0 472:1.0 475:1.0 479:1.0 484:7.0 486:2.0 487:2.0 493:1.0 495:1.0 497:1.0 499:2.0 500:8.0</t>
  </si>
  <si>
    <t>citrulline</t>
  </si>
  <si>
    <t>622308</t>
  </si>
  <si>
    <t>157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</si>
  <si>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</si>
  <si>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citric acid</t>
  </si>
  <si>
    <t>618455</t>
  </si>
  <si>
    <t>273</t>
  </si>
  <si>
    <t>85:348.0 86:278.0 87:352.0 88:83.0 89:315.0 90:60.0 92:9.0 94:25.0 95:328.0 97:321.0 99:1403.0 100:223.0 101:579.0 102:249.0 103:268.0 104:36.0 105:73.0 110:40.0 111:744.0 113:228.0 114:66.0 115:1522.0 116:484.0 117:1187.0 118:169.0 119:277.0 120:19.0 124:68.0 125:27.0 128:123.0 129:2216.0 130:299.0 131:1409.0 132:147.0 133:3773.0 134:614.0 135:321.0 136:11.0 139:283.0 141:592.0 142:13.0 143:1218.0 144:160.0 145:65.0 147:19030.0 148:2778.0 149:2973.0 150:357.0 151:289.0 152:71.0 153:38.0 155:28.0 157:438.0 158:33.0 159:105.0 160:2.0 161:151.0 162:26.0 163:330.0 164:49.0 165:45.0 169:206.0 171:391.0 172:69.0 173:120.0 175:47.0 177:51.0 183:2816.0 184:587.0 185:918.0 186:119.0 187:56.0 188:30.0 189:319.0 190:196.0 191:245.0 192:16.0 193:20.0 199:47.0 201:166.0 203:2.0 204:127.0 205:243.0 206:9.0 207:346.0 208:27.0 209:5.0 211:3018.0 212:561.0 213:572.0 214:72.0 215:490.0 216:104.0 217:846.0 218:143.0 219:104.0 220:7.0 221:1232.0 222:299.0 223:156.0 225:8.0 226:34.0 229:354.0 230:41.0 231:691.0 232:177.0 233:56.0 235:15.0 237:44.0 243:47.0 244:51.0 245:179.0 246:82.0 247:13.0 251:17.0 253:5.0 254:1.0 256:7.0 257:1561.0 258:398.0 259:253.0 260:68.0 263:5.0 266:4.0 272:53.0 273:9861.0 274:2239.0 275:1132.0 276:242.0 277:39.0 280:5.0 285:368.0 286:88.0 287:99.0 289:45.0 291:82.0 292:51.0 293:25.0 300:52.0 301:238.0 303:270.0 304:93.0 305:615.0 306:155.0 307:101.0 309:17.0 315:1.0 319:117.0 320:47.0 321:21.0 322:22.0 331:52.0 332:1.0 333:122.0 334:34.0 335:11.0 336:13.0 338:7.0 340:5.0 343:2.0 345:2.0 346:62.0 347:1901.0 348:710.0 349:368.0 350:99.0 351:34.0 363:1266.0 364:481.0 365:231.0 366:97.0 374:39.0 375:1640.0 376:537.0 377:275.0 378:26.0 397:5.0 413:11.0 420:1.0 434:18.0 437:4.0 438:21.0 440:3.0 441:5.0 448:3.0 453:10.0 458:1.0 460:11.0 464:61.0 465:493.0 466:236.0 467:123.0 468:50.0 469:5.0 472:28.0 479:1.0 485:11.0 490:7.0 498:13.0</t>
  </si>
  <si>
    <t>cholesterol</t>
  </si>
  <si>
    <t>1075918</t>
  </si>
  <si>
    <t>85:4019.0 86:469.0 87:800.0 88:347.0 89:2410.0 90:354.0 91:30157.0 92:5186.0 93:23035.0 94:4352.0 95:29508.0 96:2762.0 97:6466.0 98:646.0 99:1820.0 100:271.0 101:3342.0 102:681.0 103:2908.0 104:1985.0 105:26861.0 106:5928.0 107:20064.0 108:4033.0 109:12508.0 110:1814.0 111:4006.0 112:430.0 113:1270.0 114:303.0 115:5233.0 116:2990.0 117:10086.0 118:3291.0 119:21290.0 120:9611.0 121:17207.0 122:3022.0 123:5196.0 124:519.0 125:1704.0 126:223.0 127:1343.0 128:3353.0 129:55011.0 130:9612.0 131:13485.0 132:4145.0 133:11379.0 134:2981.0 135:7264.0 136:1315.0 137:2184.0 138:310.0 139:773.0 140:138.0 141:2003.0 142:1841.0 143:9325.0 144:3233.0 145:16281.0 146:4294.0 147:7773.0 148:2473.0 149:4089.0 150:744.0 151:1560.0 152:417.0 153:944.0 154:411.0 155:3663.0 156:1319.0 157:4343.0 158:2248.0 159:9207.0 160:6138.0 161:7056.0 162:1935.0 163:4752.0 164:824.0 165:1548.0 166:396.0 167:658.0 168:707.0 169:1682.0 170:552.0 171:2775.0 172:1057.0 173:4121.0 174:1822.0 175:2889.0 176:481.0 177:1934.0 178:427.0 179:1222.0 180:277.0 181:1197.0 182:698.0 183:870.0 184:417.0 185:2110.0 186:620.0 187:1494.0 188:576.0 189:1921.0 190:359.0 191:1063.0 192:218.0 193:1125.0 194:383.0 195:538.0 196:500.0 197:934.0 198:408.0 199:2076.0 200:854.0 201:1831.0 202:462.0 203:2275.0 204:464.0 205:906.0 206:607.0 207:1312.0 208:437.0 209:527.0 210:143.0 211:331.0 212:220.0 213:3605.0 214:1122.0 215:1721.0 216:380.0 217:1660.0 218:436.0 219:1366.0 220:346.0 221:396.0 222:107.0 223:46.0 224:76.0 225:133.0 226:76.0 227:757.0 228:673.0 229:823.0 230:232.0 231:478.0 232:105.0 233:1460.0 234:301.0 235:289.0 236:54.0 237:103.0 238:54.0 239:192.0 240:57.0 241:581.0 242:224.0 243:287.0 244:132.0 245:765.0 246:417.0 247:2969.0 248:605.0 249:361.0 250:158.0 251:150.0 252:6.0 253:206.0 254:228.0 255:3406.0 256:783.0 257:314.0 258:109.0 259:775.0 260:486.0 261:370.0 262:35.0 263:44.0 264:38.0 265:53.0 267:99.0 268:66.0 269:103.0 270:92.0 271:124.0 272:119.0 273:377.0 274:419.0 275:808.0 276:183.0 277:23.0 278:9.0 280:44.0 281:286.0 282:49.0 283:283.0 284:116.0 285:80.0 286:49.0 287:197.0 288:59.0 289:119.0 290:68.0 291:141.0 292:28.0 293:4.0 294:9.0 295:7.0 297:169.0 298:27.0 299:266.0 300:206.0 301:651.0 302:182.0 303:70.0 304:23.0 306:16.0 311:235.0 312:62.0 313:271.0 314:178.0 315:121.0 316:20.0 317:29.0 318:29.0 319:12.0 320:7.0 325:189.0 326:509.0 327:598.0 328:1809.0 329:6876.0 330:2757.0 331:476.0 332:65.0 337:2.0 338:8.0 339:124.0 340:317.0 341:123.0 342:102.0 343:106.0 344:12.0 345:49.0 346:59.0 347:6.0 348:13.0 349:22.0 351:23.0 352:73.0 353:3003.0 354:1505.0 355:321.0 356:82.0 357:34.0 358:11.0 361:21.0 362:2.0 364:4.0 365:6.0 366:20.0 367:289.0 368:5873.0 369:2918.0 370:619.0 371:85.0 372:5.0 373:34.0 377:13.0 385:1.0 390:7.0 395:13.0 401:25.0 402:6.0 415:31.0 416:52.0 417:25.0 423:11.0 425:1.0 426:14.0 429:18.0 430:86.0 431:44.0 433:14.0 434:16.0 442:34.0 443:676.0 444:533.0 445:186.0 455:4.0 456:14.0 457:230.0 458:2041.0 459:1372.0 460:502.0 461:176.0 487:3.0 489:13.0</t>
  </si>
  <si>
    <t>capric acid</t>
  </si>
  <si>
    <t>451122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</si>
  <si>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</si>
  <si>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butyrolactam NIST</t>
  </si>
  <si>
    <t>277000</t>
  </si>
  <si>
    <t>85:517.0 86:1069.0 87:115.0 88:10.0 89:106.0 90:30.0 91:2470.0 92:2177.0 93:54.0 94:15.0 96:87.0 97:268.0 98:542.0 99:876.0 100:5600.0 101:617.0 102:271.0 104:17.0 105:12.0 107:50.0 108:7.0 111:20.0 112:594.0 113:125.0 114:104.0 115:414.0 116:114.0 118:46.0 120:1.0 124:30.0 125:14.0 126:100.0 127:43.0 128:25.0 131:16.0 136:13.0 139:14.0 140:474.0 142:19027.0 143:2398.0 144:886.0 145:33.0 147:65.0 149:22.0 152:48.0 154:2.0 155:31.0 156:1029.0 157:2812.0 158:315.0 159:74.0 160:7.0 162:7.0 165:7.0 166:5.0 173:2.0 180:3.0 184:206.0 190:7.0 193:5.0 194:5.0 195:17.0 197:2.0 199:2.0 200:7.0 203:2.0 212:5.0 213:5.0 218:10.0 223:2.0 226:5.0 230:1.0 232:5.0 235:5.0 245:5.0 248:5.0 253:2.0 254:2.0 257:13.0 258:7.0 259:5.0 262:2.0 263:2.0 269:2.0 273:5.0 280:2.0 283:5.0 297:5.0 298:5.0 301:2.0 302:2.0 309:2.0 312:12.0 313:5.0 316:5.0 322:16.0 324:10.0 331:2.0 333:5.0 334:11.0 337:8.0 340:8.0 344:2.0 346:5.0 350:5.0 352:1.0 356:10.0 360:5.0 369:3.0 370:2.0 371:10.0 373:4.0 374:2.0 379:2.0 382:5.0 383:2.0 384:1.0 390:6.0 391:2.0 403:7.0 404:2.0 406:1.0 408:5.0 409:5.0 411:8.0 417:7.0 419:7.0 421:2.0 429:3.0 433:5.0 437:2.0 439:2.0 441:1.0 445:5.0 448:5.0 449:2.0 459:2.0 464:2.0 466:3.0 471:2.0 475:2.0 481:2.0 489:7.0 494:5.0 496:10.0 497:8.0 498:7.0 500:13.0</t>
  </si>
  <si>
    <t>beta-glycerolphosphate</t>
  </si>
  <si>
    <t>574153</t>
  </si>
  <si>
    <t>85:166.0 86:319.0 89:60.0 90:116.0 100:265.0 101:2177.0 102:185.0 103:2118.0 104:74.0 105:73.0 112:110.0 113:308.0 114:5.0 115:384.0 116:262.0 117:309.0 118:165.0 119:70.0 121:1.0 129:2705.0 130:253.0 131:866.0 133:1508.0 134:78.0 135:294.0 137:99.0 141:65.0 144:520.0 145:4.0 147:4596.0 148:627.0 149:444.0 151:39.0 153:152.0 154:91.0 155:374.0 156:142.0 157:284.0 158:38.0 165:9.0 167:14.0 168:66.0 169:163.0 170:84.0 180:17.0 181:717.0 182:94.0 183:169.0 187:1.0 188:24.0 190:122.0 191:702.0 192:150.0 193:391.0 195:272.0 196:784.0 197:241.0 202:6.0 203:182.0 207:588.0 208:106.0 209:124.0 210:24.0 211:4244.0 212:705.0 213:634.0 214:53.0 217:83.0 218:210.0 219:49.0 220:30.0 223:11.0 225:210.0 226:21.0 227:801.0 228:64.0 230:5.0 237:23.0 238:19.0 239:5.0 241:252.0 242:36.0 243:5537.0 244:999.0 245:499.0 246:69.0 253:54.0 255:155.0 257:149.0 258:161.0 259:18.0 266:14.0 269:118.0 271:13.0 280:13.0 282:6.0 283:39.0 285:510.0 286:70.0 287:39.0 293:291.0 294:81.0 295:31.0 296:339.0 297:143.0 298:42.0 299:3477.0 300:894.0 301:539.0 302:83.0 308:28.0 311:225.0 312:48.0 313:372.0 314:157.0 315:756.0 316:72.0 317:38.0 327:5.0 329:14.0 341:43.0 342:3.0 344:7.0 357:135.0 358:26.0 359:44.0 360:15.0 373:272.0 374:94.0 375:52.0 376:5.0 387:32.0 388:5.0 389:440.0 390:141.0 391:83.0 401:13.0 402:4.0 403:5.0 407:40.0 408:6.0 415:77.0 416:6.0 445:235.0 446:90.0 447:30.0</t>
  </si>
  <si>
    <t>975549</t>
  </si>
  <si>
    <t>85:2659.0 86:1555.0 87:1603.0 88:587.0 89:19146.0 90:1687.0 91:1410.0 92:122.0 93:491.0 94:265.0 95:671.0 97:1318.0 98:320.0 99:2749.0 100:5371.0 101:17294.0 102:4413.0 103:57192.0 104:5129.0 105:10006.0 106:668.0 107:808.0 108:27.0 109:1680.0 110:16.0 111:1818.0 112:846.0 113:2809.0 114:2329.0 115:3871.0 116:7957.0 117:27935.0 118:2820.0 119:3369.0 120:599.0 121:700.0 122:100.0 123:269.0 124:538.0 125:301.0 126:261.0 127:917.0 128:1153.0 129:49109.0 130:7303.0 131:11775.0 132:1871.0 133:23679.0 134:2928.0 135:4246.0 136:375.0 137:93.0 138:273.0 139:522.0 140:368.0 141:1455.0 142:3882.0 143:9569.0 144:1574.0 145:3480.0 146:1230.0 147:76362.0 148:12393.0 149:10328.0 150:998.0 151:880.0 152:407.0 153:1131.0 154:485.0 155:6457.0 156:1693.0 157:7782.0 158:2316.0 159:1721.0 160:23136.0 161:17474.0 162:3027.0 163:3378.0 164:573.0 165:599.0 166:101.0 167:222.0 168:451.0 169:23832.0 170:3789.0 171:2716.0 172:1249.0 173:2753.0 174:1073.0 175:2053.0 176:361.0 177:1876.0 178:434.0 179:980.0 180:303.0 181:313.0 182:228.0 183:1026.0 184:488.0 185:504.0 186:2194.0 187:763.0 188:277.0 189:13025.0 190:3262.0 191:45368.0 192:8068.0 193:9888.0 194:1726.0 195:1143.0 196:497.0 197:505.0 198:405.0 199:582.0 200:487.0 201:1138.0 202:311.0 203:3101.0 204:83747.0 205:26185.0 206:8768.0 207:9450.0 208:2410.0 209:998.0 210:689.0 211:245.0 212:128.0 213:126.0 214:303.0 215:1292.0 216:1954.0 217:56937.0 218:13485.0 219:6387.0 220:1061.0 221:1370.0 222:99.0 223:148.0 224:45.0 225:17.0 226:32.0 227:703.0 228:3198.0 229:2984.0 230:1702.0 231:3530.0 232:1360.0 233:2360.0 234:855.0 235:495.0 236:141.0 237:263.0 238:150.0 239:194.0 240:161.0 241:735.0 242:353.0 243:8107.0 244:2757.0 245:2111.0 246:2116.0 247:1750.0 248:497.0 249:914.0 250:107.0 251:547.0 252:102.0 253:1018.0 254:222.0 255:322.0 256:474.0 257:657.0 258:197.0 259:2892.0 260:669.0 261:554.0 262:885.0 263:555.0 264:57.0 265:516.0 266:331.0 267:861.0 268:603.0 269:1869.0 270:840.0 271:6433.0 272:1551.0 273:1057.0 274:911.0 275:837.0 276:497.0 277:852.0 278:331.0 279:293.0 280:115.0 281:231.0 282:15.0 283:227.0 284:25.0 285:39.0 286:84.0 287:119.0 288:105.0 289:213.0 290:186.0 291:2302.0 292:759.0 293:502.0 294:150.0 295:164.0 298:89.0 299:28.0 300:4877.0 301:1110.0 302:574.0 303:285.0 304:281.0 305:3751.0 306:1226.0 307:4812.0 308:1445.0 309:779.0 310:240.0 311:387.0 312:85.0 313:404.0 314:78.0 315:104.0 316:36.0 317:516.0 318:596.0 319:6583.0 320:2025.0 321:986.0 322:147.0 323:19.0 324:100.0 325:243.0 326:222.0 327:1902.0 328:570.0 329:294.0 330:173.0 331:1955.0 332:929.0 333:642.0 334:161.0 335:281.0 336:55.0 337:54.0 338:1.0 340:11.0 341:948.0 342:432.0 343:388.0 344:176.0 345:378.0 346:146.0 347:146.0 348:103.0 349:285.0 350:69.0 351:88.0 352:2.0 353:8.0 355:224.0 357:163.0 358:129.0 359:393.0 360:1135.0 361:22594.0 362:8106.0 363:3760.0 364:1186.0 365:345.0 366:68.0 367:87.0 371:52.0 373:72.0 374:61.0 376:51.0 377:144.0 378:83.0 379:47.0 382:26.0 383:77.0 384:43.0 385:190.0 386:65.0 387:366.0 388:76.0 389:212.0 390:2666.0 391:1031.0 392:428.0 393:119.0 394:62.0 395:24.0 396:1.0 397:4.0 398:5.0 399:100.0 400:105.0 401:880.0 402:322.0 403:149.0 404:1.0 405:41.0 406:31.0 409:126.0 410:19.0 411:4.0 414:33.0 415:789.0 416:548.0 417:334.0 418:79.0 419:28.0 420:37.0 421:16.0 423:65.0 424:64.0 432:55.0 433:53.0 435:65.0 436:48.0 438:18.0 445:29.0 446:44.0 448:242.0 449:204.0 450:233.0 451:518.0 452:222.0 453:116.0 456:11.0 457:11.0 459:63.0 460:61.0 461:376.0 462:322.0 463:43.0 464:43.0 465:17.0 466:61.0 467:74.0 468:44.0 471:3.0 474:102.0 475:591.0 476:313.0 477:150.0 478:126.0 479:226.0 480:2078.0 481:1273.0 482:560.0 483:149.0 484:12.0 487:4.0 488:48.0 489:500.0 490:437.0 491:284.0 492:26.0 493:106.0 494:19.0 496:5.0</t>
  </si>
  <si>
    <t>beta-alanine</t>
  </si>
  <si>
    <t>435375</t>
  </si>
  <si>
    <t>248</t>
  </si>
  <si>
    <t>86:21789.0 87:7246.0 88:5778.0 89:4138.0 90:624.0 91:11715.0 92:587.0 93:1760.0 97:3377.0 98:1347.0 99:5303.0 100:17860.0 101:5739.0 102:5352.0 103:7699.0 104:22951.0 105:3353.0 106:134.0 107:3441.0 108:294.0 109:5375.0 110:4964.0 113:3606.0 114:774.0 115:3726.0 116:5435.0 117:9899.0 118:5074.0 119:2195.0 120:1029.0 121:86.0 123:906.0 124:2343.0 125:467.0 127:802.0 128:3624.0 129:2296.0 130:10682.0 131:4364.0 132:2046.0 133:17475.0 134:10254.0 135:44.0 136:1945.0 137:301.0 138:421.0 140:425.0 141:245.0 142:2047.0 143:944.0 144:313.0 146:966.0 147:28461.0 148:5122.0 149:3406.0 150:407.0 151:18.0 152:11.0 156:1302.0 157:1465.0 158:339.0 159:16.0 160:2247.0 161:777.0 162:1277.0 163:346.0 164:126.0 165:89.0 166:199.0 167:1021.0 169:343.0 170:382.0 171:121.0 172:1067.0 173:15.0 174:19451.0 175:4600.0 176:2771.0 177:1408.0 178:170.0 181:5688.0 182:577.0 183:86.0 185:673.0 187:210.0 188:1546.0 189:3200.0 190:636.0 191:1511.0 192:285.0 193:236.0 194:69.0 195:1037.0 196:287.0 197:2293.0 198:495.0 200:1608.0 201:321.0 202:1410.0 203:2912.0 204:621.0 205:347.0 206:250.0 207:3701.0 208:616.0 210:49.0 211:485.0 213:165.0 215:228.0 216:97.0 217:703.0 218:570.0 219:8950.0 220:1350.0 221:551.0 222:1721.0 223:119.0 224:102.0 225:21.0 229:20.0 230:186.0 231:955.0 232:980.0 233:2404.0 234:450.0 235:269.0 236:95.0 237:138.0 238:120.0 239:20406.0 240:4050.0 241:1129.0 242:771.0 244:14.0 245:480.0 246:582.0 247:131.0 248:15803.0 249:3812.0 250:1340.0 251:229.0 252:116.0 253:239.0 254:43.0 255:32.0 258:45.0 261:112.0 262:51.0 263:18.0 264:9.0 265:288.0 266:39.0 268:33.0 271:26.0 275:63.0 276:38.0 277:493.0 278:73.0 279:19.0 283:265.0 285:20.0 286:49.0 287:14.0 288:48.0 289:149.0 290:3153.0 291:1171.0 292:22.0 293:1265.0 294:330.0 295:138.0 301:358.0 302:188.0 303:50.0 304:213.0 306:16.0 307:333.0 308:62.0 310:4.0 311:10.0 314:89.0 315:514.0 316:132.0 317:41.0 319:1.0 321:265.0 322:112.0 323:23.0 325:3.0 330:37.0 332:97.0 333:79.0 334:31.0 335:25.0 336:38.0 342:84.0 346:19.0 349:118.0 350:11.0 358:27.0 362:5.0 377:30.0 378:5.0 441:18.0 446:16.0 485:18.0</t>
  </si>
  <si>
    <t>338714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</si>
  <si>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</si>
  <si>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behenic acid</t>
  </si>
  <si>
    <t>919675</t>
  </si>
  <si>
    <t>85:443.0 86:84.0 87:239.0 88:45.0 89:113.0 90:5.0 91:86.0 92:19.0 93:75.0 94:6.0 95:310.0 96:111.0 97:661.0 98:211.0 99:150.0 100:28.0 101:378.0 102:25.0 103:1615.0 104:96.0 105:114.0 106:5.0 107:39.0 109:98.0 110:13.0 111:239.0 112:35.0 113:56.0 114:9.0 115:109.0 116:344.0 117:3631.0 118:306.0 119:133.0 121:48.0 122:2.0 123:33.0 124:12.0 125:74.0 126:7.0 127:25.0 129:1845.0 130:580.0 131:757.0 132:1237.0 133:495.0 134:55.0 135:50.0 137:4.0 138:4.0 139:30.0 140:5.0 141:3.0 143:119.0 144:8.0 145:892.0 146:211.0 147:949.0 148:169.0 149:126.0 150:4.0 151:4.0 152:2.0 153:15.0 155:5.0 156:59.0 157:35.0 158:10.0 159:51.0 160:3.0 163:11.0 164:4.0 166:2.0 167:4.0 168:2.0 169:5.0 170:1.0 171:39.0 172:1.0 173:6.0 174:164.0 175:48.0 176:2.0 177:10.0 178:4.0 181:1.0 182:3.0 183:1.0 185:68.0 187:24.0 188:15.0 189:33.0 195:1.0 196:4.0 198:2.0 199:7.0 201:110.0 202:7.0 203:4.0 204:59.0 205:314.0 206:45.0 207:32.0 208:7.0 211:5.0 213:9.0 215:2.0 217:5.0 218:43.0 219:51.0 220:15.0 221:4.0 225:2.0 227:5.0 228:2.0 231:1.0 232:1.0 233:2.0 235:5.0 242:2.0 243:5.0 246:1.0 247:6.0 249:6.0 250:7.0 252:1.0 253:4.0 254:1.0 258:3.0 260:2.0 262:1.0 264:2.0 265:1.0 266:2.0 268:3.0 269:1.0 271:10.0 279:1.0 283:4.0 284:6.0 286:2.0 288:2.0 289:3.0 293:6.0 294:2.0 297:1.0 299:27.0 300:7.0 301:5.0 303:3.0 304:2.0 306:1.0 308:1.0 310:1.0 311:2.0 313:3.0 314:6.0 320:1.0 321:2.0 324:3.0 326:1.0 327:2.0 329:1.0 332:1.0 334:1.0 338:7.0 339:11.0 340:13.0 343:3.0 345:3.0 348:1.0 349:1.0 350:1.0 353:11.0 354:2.0 355:1.0 356:4.0 358:4.0 360:1.0 363:3.0 364:2.0 365:2.0 368:2.0 369:6.0 370:5.0 372:1.0 374:5.0 376:3.0 380:3.0 381:3.0 384:1.0 386:3.0 387:2.0 389:1.0 396:7.0 397:189.0 398:119.0 399:26.0 400:2.0 401:1.0 404:1.0 407:2.0 408:1.0 409:1.0 410:2.0 412:22.0 413:9.0 414:4.0 417:1.0 418:2.0 419:2.0 420:3.0 425:5.0 426:6.0 427:1.0 428:3.0 429:3.0 433:3.0 434:1.0 435:4.0 437:2.0 442:3.0 448:1.0 449:1.0 451:1.0 453:1.0 455:4.0 457:4.0 458:2.0 459:4.0 460:4.0 463:6.0 465:2.0 469:2.0 470:4.0 472:3.0 477:1.0 478:3.0 481:1.0 483:2.0 484:1.0 486:2.0 487:2.0 490:6.0 491:1.0 494:5.0 495:2.0 498:3.0</t>
  </si>
  <si>
    <t>aspartic acid</t>
  </si>
  <si>
    <t>480543</t>
  </si>
  <si>
    <t>232</t>
  </si>
  <si>
    <t>85:102.0 86:172.0 87:46.0 88:27.0 89:23.0 90:5.0 91:18.0 92:1.0 93:25.0 95:10.0 96:2.0 98:114.0 99:75.0 100:3517.0 101:373.0 102:175.0 103:206.0 104:21.0 105:16.0 106:1.0 107:17.0 108:3.0 109:7.0 110:18.0 112:4.0 113:11.0 114:46.0 115:150.0 116:123.0 117:760.0 118:75.0 119:101.0 120:12.0 121:5.0 123:2.0 124:7.0 125:3.0 126:6.0 127:5.0 128:67.0 129:37.0 130:297.0 131:260.0 132:207.0 133:535.0 134:45.0 135:38.0 136:5.0 139:4.0 140:34.0 141:2.0 142:151.0 143:41.0 144:68.0 145:11.0 146:46.0 147:1595.0 148:247.0 149:256.0 150:11.0 151:4.0 152:3.0 153:4.0 155:27.0 156:8.0 157:51.0 158:95.0 159:17.0 160:48.0 161:8.0 162:6.0 163:137.0 164:17.0 165:12.0 166:4.0 167:5.0 168:1.0 169:25.0 170:1.0 171:23.0 172:61.0 173:30.0 174:101.0 175:20.0 176:27.0 177:44.0 178:7.0 179:7.0 182:3.0 183:6.0 184:7.0 185:8.0 186:37.0 187:4.0 188:396.0 189:105.0 190:41.0 191:24.0 192:15.0 193:3.0 194:3.0 195:9.0 197:4.0 199:4.0 200:13.0 201:8.0 202:374.0 203:80.0 204:108.0 205:33.0 206:15.0 207:4.0 208:2.0 209:5.0 210:4.0 211:1.0 212:2.0 213:3.0 214:4.0 215:1.0 216:178.0 217:40.0 218:675.0 219:136.0 220:57.0 221:28.0 222:13.0 223:19.0 224:2.0 225:13.0 226:5.0 227:7.0 229:10.0 230:8.0 231:9.0 232:3382.0 233:643.0 234:251.0 235:55.0 236:2.0 237:3.0 238:2.0 239:12.0 240:12.0 241:6.0 242:2.0 243:8.0 244:27.0 245:43.0 246:15.0 247:10.0 248:3.0 249:3.0 250:2.0 251:3.0 252:10.0 253:4.0 254:2.0 256:3.0 257:3.0 259:4.0 260:7.0 261:8.0 262:5.0 263:16.0 264:4.0 265:6.0 266:17.0 267:5.0 268:5.0 269:7.0 270:11.0 271:1.0 272:6.0 273:2.0 274:2.0 275:6.0 276:3.0 277:9.0 278:4.0 279:12.0 280:11.0 281:5.0 282:7.0 283:3.0 284:5.0 285:3.0 286:6.0 288:6.0 289:7.0 290:11.0 291:2.0 292:44.0 293:8.0 294:11.0 295:1.0 296:5.0 297:2.0 298:3.0 299:3.0 300:4.0 301:9.0 302:9.0 304:2.0 305:3.0 306:68.0 307:26.0 308:13.0 309:5.0 310:5.0 311:3.0 312:8.0 313:5.0 314:9.0 315:2.0 316:5.0 317:11.0 318:4.0 319:1.0 320:10.0 321:2.0 322:1.0 323:11.0 324:1.0 325:12.0 326:3.0 327:4.0 328:5.0 329:14.0 330:8.0 332:6.0 333:3.0 334:36.0 335:17.0 336:6.0 337:15.0 338:5.0 339:2.0 340:9.0 341:7.0 342:1.0 343:4.0 344:9.0 345:9.0 347:14.0 348:6.0 349:19.0 350:21.0 351:12.0 352:1.0 353:8.0 354:7.0 355:10.0 356:1.0 357:6.0 358:8.0 359:3.0 360:2.0 361:2.0 362:10.0 363:3.0 364:7.0 365:7.0 366:2.0 368:3.0 369:2.0 370:1.0 371:3.0 372:5.0 373:15.0 374:8.0 375:11.0 376:8.0 377:9.0 378:6.0 379:10.0 380:7.0 381:5.0 382:6.0 383:4.0 384:3.0 385:8.0 386:5.0 387:4.0 388:9.0 389:3.0 390:3.0 391:5.0 392:4.0 395:2.0 396:6.0 397:9.0 398:3.0 399:5.0 400:13.0 401:5.0 402:7.0 403:2.0 404:4.0 405:10.0 406:3.0 407:4.0 408:14.0 409:7.0 410:1.0 411:5.0 412:5.0 413:1.0 414:18.0 415:4.0 416:7.0 417:2.0 418:8.0 419:5.0 420:3.0 421:5.0 422:6.0 423:12.0 424:1.0 425:10.0 426:12.0 427:6.0 428:1.0 429:3.0 430:11.0 431:6.0 432:10.0 433:5.0 434:3.0 435:9.0 436:4.0 437:11.0 438:3.0 439:10.0 441:9.0 442:10.0 443:5.0 444:13.0 445:4.0 447:8.0 448:12.0 449:3.0 451:7.0 452:12.0 453:10.0 454:9.0 455:8.0 456:10.0 457:9.0 458:3.0 459:3.0 460:8.0 461:6.0 462:7.0 464:9.0 465:9.0 466:13.0 467:4.0 468:8.0 469:6.0 471:1.0 472:4.0 473:2.0 474:8.0 476:6.0 477:9.0 478:6.0 479:5.0 480:1.0 481:13.0 483:4.0 484:6.0 485:2.0 486:1.0 487:2.0 488:2.0 489:10.0 490:4.0 491:9.0 492:9.0 493:8.0 494:2.0 495:14.0 496:1.0 497:6.0 498:2.0 499:6.0 500:12.0</t>
  </si>
  <si>
    <t>476542</t>
  </si>
  <si>
    <t>85:52.0 86:126.0 87:10.0 88:1.0 89:8.0 91:233.0 92:2.0 93:107.0 94:2.0 95:9.0 97:1.0 98:80.0 99:21.0 100:2700.0 101:199.0 102:110.0 103:3.0 106:1.0 107:3.0 108:4.0 110:12.0 114:32.0 115:1891.0 116:482.0 117:12.0 118:5.0 119:2.0 123:5.0 126:6.0 127:10.0 128:1085.0 129:70.0 130:57.0 131:129.0 132:9.0 133:9.0 134:14.0 136:1.0 139:1.0 142:80.0 144:5.0 147:133.0 148:7.0 149:9.0 150:2.0 153:2.0 158:140.0 159:3.0 160:9.0 161:3.0 166:1.0 167:10.0 168:1.0 174:3.0 190:2.0 193:2.0 199:1.0 201:89.0 202:6.0 215:3.0 217:3.0 227:1.0 233:3.0 241:1.0 243:694.0 244:146.0 245:35.0 248:1.0 250:1.0 266:2.0 273:3.0 274:5.0 275:1.0 279:2.0 288:2.0 289:2.0 294:1.0 297:2.0 302:1.0 313:1.0 316:1.0 317:1.0 318:4.0 324:3.0 362:1.0 364:2.0 370:6.0 383:1.0 385:1.0 390:2.0 400:2.0 401:2.0 410:2.0 418:1.0 438:1.0 440:1.0 445:2.0 461:2.0 465:2.0 481:2.0 483:1.0 486:1.0 494:2.0 498:1.0</t>
  </si>
  <si>
    <t>arginine + ornithine</t>
  </si>
  <si>
    <t>619420</t>
  </si>
  <si>
    <t>85:16.0 86:326.0 87:20.0 89:2.0 90:3.0 91:42.0 92:24.0 93:6.0 94:2.0 95:5.0 96:10.0 99:8.0 100:288.0 101:27.0 102:107.0 103:10.0 104:2.0 105:1.0 107:15.0 108:5.0 109:3.0 110:11.0 112:6.0 113:27.0 114:51.0 115:4.0 116:25.0 117:19.0 118:8.0 119:3.0 122:6.0 123:4.0 124:2.0 125:3.0 126:35.0 127:4.0 128:62.0 129:9.0 130:115.0 131:61.0 132:37.0 133:20.0 134:67.0 135:3.0 136:2.0 137:6.0 139:1.0 140:9.0 141:40.0 142:1746.0 143:203.0 144:84.0 145:9.0 146:53.0 147:175.0 148:26.0 149:32.0 150:5.0 152:15.0 153:1.0 154:2.0 156:23.0 157:2.0 158:4.0 159:2.0 160:9.0 161:4.0 162:3.0 165:1.0 167:4.0 168:6.0 169:5.0 170:6.0 172:54.0 173:6.0 174:511.0 175:77.0 176:29.0 177:2.0 178:2.0 182:6.0 184:6.0 187:6.0 188:4.0 189:18.0 190:2.0 191:2.0 192:3.0 194:3.0 195:2.0 196:5.0 199:3.0 200:88.0 201:19.0 202:5.0 204:13.0 207:1.0 208:6.0 209:6.0 211:2.0 214:38.0 215:10.0 216:52.0 217:8.0 218:9.0 222:1.0 223:4.0 225:1.0 226:8.0 227:2.0 229:4.0 230:6.0 232:12.0 233:2.0 236:1.0 237:5.0 240:3.0 241:4.0 242:10.0 243:2.0 244:2.0 245:2.0 246:3.0 247:1.0 249:4.0 251:1.0 253:6.0 254:2.0 255:1.0 256:9.0 258:26.0 259:29.0 260:5.0 261:3.0 262:6.0 263:1.0 264:8.0 265:2.0 266:1.0 267:2.0 268:4.0 271:6.0 273:1.0 274:2.0 275:3.0 279:1.0 282:18.0 284:3.0 285:2.0 286:2.0 287:3.0 288:3.0 289:5.0 290:11.0 291:2.0 292:3.0 293:6.0 294:3.0 295:4.0 296:4.0 298:2.0 299:3.0 303:2.0 304:1.0 305:6.0 307:1.0 309:2.0 310:2.0 312:2.0 313:1.0 314:2.0 315:6.0 316:4.0 319:1.0 323:3.0 324:4.0 325:1.0 326:6.0 328:4.0 332:1.0 337:3.0 340:1.0 343:9.0 344:2.0 351:4.0 353:2.0 354:4.0 357:6.0 358:2.0 359:5.0 360:1.0 361:3.0 363:2.0 364:2.0 365:2.0 367:3.0 368:1.0 369:10.0 372:2.0 375:1.0 376:2.0 377:3.0 379:5.0 380:2.0 381:4.0 383:3.0 384:2.0 385:10.0 386:5.0 387:1.0 388:3.0 389:1.0 392:2.0 393:4.0 394:1.0 395:1.0 396:13.0 397:2.0 399:6.0 401:5.0 402:1.0 403:6.0 405:2.0 406:3.0 408:5.0 410:11.0 412:6.0 413:3.0 414:4.0 415:1.0 417:2.0 418:1.0 419:4.0 420:8.0 421:2.0 422:9.0 423:1.0 424:8.0 425:6.0 426:5.0 429:8.0 431:5.0 432:2.0 433:2.0 434:3.0 436:5.0 438:1.0 439:1.0 440:3.0 442:5.0 443:4.0 445:6.0 446:4.0 448:2.0 449:3.0 450:5.0 451:2.0 452:1.0 453:2.0 454:1.0 455:2.0 456:4.0 457:1.0 459:3.0 460:6.0 461:4.0 462:3.0 466:8.0 467:1.0 468:6.0 469:1.0 472:3.0 473:5.0 474:2.0 475:4.0 477:9.0 482:4.0 484:4.0 485:2.0 487:4.0 488:6.0 489:1.0 494:1.0 495:4.0 496:4.0 498:2.0 499:4.0</t>
  </si>
  <si>
    <t>arachidic acid</t>
  </si>
  <si>
    <t>856203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</si>
  <si>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</si>
  <si>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arabitol</t>
  </si>
  <si>
    <t>572456</t>
  </si>
  <si>
    <t>85:149.0 86:57.0 87:35.0 88:80.0 89:728.0 90:269.0 91:70.0 99:11.0 100:106.0 101:271.0 103:6456.0 104:737.0 105:117.0 107:46.0 113:105.0 115:88.0 116:75.0 117:2820.0 118:416.0 119:18.0 129:2728.0 130:484.0 131:651.0 133:985.0 134:500.0 135:125.0 136:38.0 141:28.0 142:20.0 143:150.0 146:39.0 147:5498.0 148:752.0 149:370.0 150:112.0 151:4.0 152:7.0 153:84.0 154:29.0 155:215.0 156:79.0 157:357.0 158:43.0 159:96.0 160:2.0 163:36.0 164:9.0 166:3.0 167:43.0 169:6.0 170:83.0 171:52.0 173:113.0 174:24.0 175:121.0 177:101.0 179:17.0 180:188.0 181:23.0 182:89.0 184:171.0 189:912.0 190:140.0 191:512.0 192:194.0 197:118.0 198:14.0 199:58.0 200:19.0 203:334.0 204:923.0 205:2459.0 206:563.0 207:200.0 209:10.0 215:51.0 217:5987.0 218:1320.0 219:624.0 220:114.0 221:329.0 222:72.0 224:21.0 225:11.0 229:57.0 230:11.0 231:12.0 235:144.0 237:73.0 241:103.0 242:20.0 243:114.0 244:29.0 255:12.0 265:26.0 267:44.0 268:131.0 270:83.0 271:17.0 272:111.0 273:1.0 277:260.0 278:72.0 279:14.0 291:91.0 293:13.0 300:9.0 301:8.0 303:5.0 305:46.0 306:83.0 307:941.0 308:282.0 309:97.0 310:30.0 316:12.0 317:49.0 318:43.0 319:720.0 320:236.0 321:50.0 332:61.0 333:44.0 355:39.0 393:10.0 395:7.0 396:25.0 399:11.0 401:10.0 446:6.0 459:6.0 476:6.0 477:1.0 491:5.0 500:8.0</t>
  </si>
  <si>
    <t>arabinose</t>
  </si>
  <si>
    <t>546892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</si>
  <si>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</si>
  <si>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</si>
  <si>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455266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</si>
  <si>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</si>
  <si>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116</t>
  </si>
  <si>
    <t>188</t>
  </si>
  <si>
    <t>alanine</t>
  </si>
  <si>
    <t>243537</t>
  </si>
  <si>
    <t>86:338.0 87:58.0 88:38.0 89:51.0 94:193.0 95:163.0 96:74.0 98:5.0 99:16.0 100:675.0 101:170.0 102:149.0 103:505.0 104:54.0 105:49.0 106:2.0 108:4.0 109:43.0 110:115.0 111:143.0 114:92.0 115:220.0 116:11231.0 117:1549.0 118:416.0 123:15.0 128:108.0 129:28.0 130:20.0 131:259.0 132:101.0 133:202.0 145:1.0 147:2192.0 148:320.0 149:150.0 150:9.0 152:1.0 154:6.0 155:4.0 167:1.0 168:3.0 169:1.0 177:1.0 180:1.0 190:319.0 191:50.0 194:6.0 195:4.0 203:3.0 206:1.0 209:6.0 213:1.0 218:66.0 228:2.0 237:3.0 241:1.0 247:3.0 260:1.0 267:1.0 271:1.0 276:2.0 286:1.0 294:2.0 298:6.0 315:2.0 319:3.0 325:1.0 326:1.0 328:1.0 330:4.0 339:1.0 341:1.0 349:1.0 358:3.0 359:1.0 369:1.0 378:1.0 380:2.0 390:1.0 395:1.0 400:1.0 401:1.0 405:1.0 406:1.0 407:7.0 411:3.0 413:3.0 415:2.0 416:1.0 424:2.0 425:2.0 429:1.0 430:1.0 438:4.0 448:6.0 451:1.0 464:3.0 470:2.0 473:1.0 475:1.0 477:1.0 481:1.0 488:3.0 491:1.0</t>
  </si>
  <si>
    <t>adipic acid</t>
  </si>
  <si>
    <t>475399</t>
  </si>
  <si>
    <t>111</t>
  </si>
  <si>
    <t>85:15.0 86:93.0 94:8.0 95:78.0 96:4.0 99:123.0 102:79.0 107:140.0 109:4.0 111:2899.0 112:116.0 113:68.0 114:100.0 116:84.0 117:256.0 120:3.0 121:6.0 123:9.0 124:32.0 125:23.0 126:70.0 129:429.0 130:50.0 131:111.0 132:49.0 135:6.0 136:2.0 139:26.0 140:7.0 141:1155.0 142:126.0 143:86.0 144:25.0 145:58.0 147:257.0 148:18.0 149:40.0 151:32.0 155:1.0 156:14.0 157:226.0 159:205.0 164:4.0 165:3.0 170:51.0 171:78.0 172:499.0 173:83.0 174:33.0 180:11.0 181:8.0 184:58.0 185:304.0 186:88.0 189:2.0 191:13.0 192:3.0 193:3.0 196:2.0 201:1.0 208:1.0 215:42.0 217:102.0 218:4.0 221:31.0 222:3.0 228:1.0 233:1.0 236:2.0 238:2.0 241:3.0 248:1.0 249:2.0 253:1.0 254:1.0 255:1.0 258:80.0 259:36.0 265:1.0 271:3.0 272:10.0 273:1.0 274:11.0 275:141.0 276:48.0 282:2.0 283:1.0 284:1.0 285:6.0 286:1.0 287:1.0 295:8.0 296:7.0 304:2.0 306:8.0 307:8.0 313:8.0 314:2.0 328:1.0 330:3.0 331:1.0 340:12.0 341:2.0 352:1.0 356:1.0 390:6.0 392:8.0 421:1.0 433:1.0 472:4.0 485:10.0 491:2.0</t>
  </si>
  <si>
    <t>adenosine-5-phosphate</t>
  </si>
  <si>
    <t>1041517</t>
  </si>
  <si>
    <t>169</t>
  </si>
  <si>
    <t>86:26.0 94:93.0 96:25.0 99:62.0 101:166.0 102:76.0 106:17.0 108:29.0 115:11.0 116:17.0 120:88.0 121:35.0 122:79.0 123:37.0 124:11.0 125:31.0 126:80.0 128:25.0 129:309.0 133:226.0 134:116.0 135:331.0 136:382.0 137:54.0 140:130.0 141:159.0 142:145.0 143:129.0 145:17.0 149:39.0 150:27.0 151:29.0 152:17.0 154:17.0 157:74.0 158:42.0 163:103.0 164:163.0 165:2.0 167:22.0 168:39.0 169:3294.0 170:463.0 171:203.0 172:35.0 173:89.0 174:6.0 175:21.0 177:20.0 178:2.0 179:49.0 181:32.0 182:26.0 183:93.0 186:11.0 189:37.0 192:94.0 193:240.0 194:134.0 195:150.0 203:52.0 207:238.0 208:359.0 209:62.0 210:22.0 211:686.0 214:47.0 215:83.0 216:63.0 218:38.0 219:23.0 220:2.0 222:34.0 223:57.0 225:143.0 226:43.0 227:132.0 229:40.0 230:761.0 231:285.0 232:81.0 234:128.0 235:39.0 236:54.0 237:23.0 239:141.0 241:4.0 243:430.0 244:188.0 245:83.0 247:79.0 248:13.0 249:13.0 250:118.0 251:65.0 252:4.0 258:424.0 259:129.0 262:8.0 265:183.0 267:3.0 268:52.0 270:30.0 271:6.0 281:164.0 282:105.0 284:58.0 285:16.0 291:16.0 293:39.0 297:33.0 299:641.0 300:204.0 304:78.0 305:40.0 306:15.0 307:4.0 308:24.0 310:12.0 314:43.0 315:1375.0 316:398.0 317:163.0 318:10.0 320:15.0 323:2.0 324:12.0 325:27.0 326:54.0 327:71.0 328:45.0 334:6.0 339:6.0 341:106.0 342:12.0 353:2.0 357:12.0 361:19.0 365:9.0 367:37.0 371:94.0 372:18.0 379:5.0 380:2.0 382:151.0 383:46.0 386:17.0 387:50.0 388:2.0 390:8.0 394:58.0 395:22.0 403:12.0 430:1.0 445:25.0 461:38.0 462:20.0 468:10.0 476:17.0 479:23.0 485:1.0 489:42.0 491:6.0 493:4.0</t>
  </si>
  <si>
    <t>adenosine</t>
  </si>
  <si>
    <t>917818</t>
  </si>
  <si>
    <t>236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</si>
  <si>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</si>
  <si>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</si>
  <si>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646247</t>
  </si>
  <si>
    <t>264</t>
  </si>
  <si>
    <t>85:6141.0 86:2655.0 88:119.0 91:29.0 92:234.0 93:1127.0 94:217.0 95:1003.0 96:232.0 97:903.0 98:987.0 99:6447.0 100:5646.0 101:11.0 102:475.0 106:66.0 108:302.0 109:492.0 110:985.0 111:4481.0 112:594.0 121:464.0 122:476.0 123:1618.0 124:605.0 125:1080.0 126:44.0 127:199.0 128:89.0 130:1786.0 132:356.0 134:2.0 135:302.0 136:444.0 137:987.0 138:1231.0 139:309.0 141:285.0 142:181.0 146:95.0 149:7738.0 150:1005.0 151:881.0 152:580.0 153:163.0 154:201.0 155:606.0 156:422.0 157:1252.0 160:2296.0 161:258.0 162:296.0 164:1167.0 165:4695.0 166:803.0 167:787.0 168:192.0 169:300.0 176:959.0 177:42.0 178:316.0 179:885.0 180:1445.0 181:106.0 182:231.0 183:15.0 188:512.0 191:212.0 192:12437.0 193:1734.0 194:831.0 195:91.0 196:192.0 197:229.0 198:32.0 200:130.0 205:726.0 206:2385.0 207:252.0 208:286.0 209:172.0 210:356.0 211:160.0 212:24.0 213:27.0 215:72.0 220:313.0 222:460.0 223:295.0 224:59.0 228:94.0 229:732.0 232:35.0 234:359.0 236:333.0 237:1524.0 238:788.0 239:167.0 240:216.0 241:40.0 242:27.0 243:322.0 245:141.0 246:294.0 248:1176.0 249:10.0 250:53.0 251:120.0 252:29.0 253:6.0 254:9.0 258:121.0 259:51.0 261:52.0 263:428.0 264:54588.0 265:12539.0 266:4940.0 267:666.0 268:100.0 269:28.0 270:80.0 271:109.0 272:55.0 273:49.0 276:78.0 278:718.0 279:10227.0 280:2994.0 281:964.0 282:141.0 283:65.0 285:39.0 286:48.0 288:736.0 289:21.0 290:115.0 294:11.0 298:34.0 300:96.0 301:23.0 305:144.0 309:78.0 313:6.0 314:7.0 316:2037.0 317:338.0 318:65.0 319:2345.0 320:682.0 321:335.0 322:87.0 323:25.0 324:6.0 327:7.0 328:14.0 329:60.0 330:1.0 331:236.0 332:19.0 333:258.0 334:145.0 335:123.0 336:60.0 341:6.0 343:24.0 347:17.0 348:33.0 359:2.0 361:124.0 365:24.0 371:15.0 374:39.0 377:9.0 378:15.0 379:26.0 381:33.0 382:1.0 384:5.0 387:48.0 391:20.0 392:19.0 400:19.0 401:13.0 402:5.0 403:9.0 404:51.0 407:12.0 409:16.0 410:2.0 414:2.0 422:19.0 424:4.0 428:17.0 431:27.0 435:16.0 436:3.0 440:4.0 445:2.0 448:8.0 451:15.0 455:8.0 459:4.0 461:26.0 464:8.0 465:3.0 466:51.0 467:25.0 475:38.0 484:11.0 488:7.0</t>
  </si>
  <si>
    <t>acetophenone NIST</t>
  </si>
  <si>
    <t>238719</t>
  </si>
  <si>
    <t>105</t>
  </si>
  <si>
    <t>89:112.0 91:60.0 102:191.0 105:6347.0 106:446.0 112:1.0 113:11.0 114:6.0 117:4.0 120:1676.0 121:117.0 124:6.0 126:3.0 139:41.0 148:16.0 154:13.0 155:4.0 158:3.0 170:69.0 173:2.0 177:2.0 179:3.0 188:5.0 191:6.0 192:4.0 193:5.0 194:2.0 198:27.0 201:3.0 204:1.0 206:1.0 224:4.0 228:13.0 241:1.0 244:16.0 251:1.0 253:6.0 256:12.0 258:1.0 261:3.0 264:1.0 265:7.0 266:3.0 270:1.0 273:2.0 275:1.0 289:6.0 290:3.0 292:2.0 293:1.0 295:2.0 296:1.0 298:5.0 302:2.0 309:7.0 312:4.0 313:2.0 314:3.0 316:1.0 319:1.0 321:1.0 322:3.0 332:2.0 334:3.0 337:1.0 338:2.0 339:1.0 343:4.0 346:4.0 351:4.0 353:10.0 355:5.0 358:7.0 359:4.0 365:1.0 369:1.0 370:1.0 371:5.0 374:1.0 380:3.0 383:6.0 384:5.0 385:5.0 389:1.0 396:2.0 398:11.0 404:1.0 406:1.0 410:3.0 412:8.0 413:4.0 415:3.0 416:1.0 417:5.0 422:1.0 425:9.0 435:3.0 436:5.0 441:2.0 442:7.0 443:1.0 447:2.0 450:1.0 454:2.0 456:1.0 458:1.0 462:2.0 465:10.0 469:2.0 470:3.0 475:5.0 477:6.0 478:5.0 479:1.0 480:1.0 489:1.0 491:10.0 494:5.0 495:2.0 499:3.0</t>
  </si>
  <si>
    <t>5'-deoxy-5'-methylthioadenosine</t>
  </si>
  <si>
    <t>967673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</si>
  <si>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</si>
  <si>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5-aminovaleric acid</t>
  </si>
  <si>
    <t>536304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</si>
  <si>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</si>
  <si>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4-hydroxyphenylacetic acid</t>
  </si>
  <si>
    <t>541685</t>
  </si>
  <si>
    <t>296</t>
  </si>
  <si>
    <t>85:1982.0 87:1171.0 88:824.0 89:16207.0 90:6843.0 91:5836.0 92:714.0 93:1458.0 94:15.0 95:530.0 96:870.0 97:1727.0 101:376.0 103:3051.0 104:3307.0 105:6659.0 106:770.0 107:2665.0 109:891.0 110:3570.0 111:967.0 112:203.0 113:1733.0 115:560.0 117:7113.0 118:1656.0 119:1157.0 121:1880.0 122:446.0 123:759.0 124:137.0 125:231.0 126:407.0 127:238.0 128:111.0 131:2788.0 133:12974.0 134:2841.0 135:8060.0 136:1167.0 137:1661.0 139:317.0 140:3.0 142:201.0 145:620.0 146:135.0 147:6947.0 148:606.0 149:17128.0 150:2917.0 151:1002.0 153:263.0 156:524.0 159:20.0 161:4564.0 162:1125.0 163:14429.0 164:48365.0 165:9455.0 166:2377.0 167:238.0 170:98.0 176:385.0 177:6081.0 178:2048.0 179:56507.0 180:9166.0 181:2784.0 182:400.0 183:307.0 184:598.0 185:181.0 186:14.0 191:5577.0 192:1154.0 193:1486.0 194:274.0 195:430.0 196:88.0 197:53.0 198:557.0 199:75.0 200:4.0 201:14.0 205:987.0 206:2150.0 207:143.0 208:674.0 209:1921.0 210:651.0 211:227.0 214:128.0 215:19.0 219:368.0 220:432.0 221:989.0 223:452.0 224:2.0 225:2408.0 226:402.0 227:210.0 232:348.0 234:105.0 235:358.0 236:372.0 237:2083.0 238:400.0 239:195.0 242:14.0 245:219.0 247:142.0 249:214.0 251:96.0 252:26048.0 253:9118.0 254:2881.0 255:540.0 257:284.0 263:132.0 264:5.0 265:1348.0 266:342.0 267:219.0 268:62.0 272:13.0 278:136.0 280:514.0 281:16768.0 282:3952.0 283:2334.0 284:41.0 285:961.0 286:209.0 287:391.0 288:155.0 290:109.0 292:947.0 294:114.0 295:278.0 296:18054.0 297:3920.0 298:1579.0 299:92.0 302:74.0 306:918.0 307:116.0 308:199.0 309:48.0 311:18.0 312:28.0 314:50.0 317:51.0 318:28.0 319:6.0 320:7.0 321:313.0 322:41.0 323:52.0 326:18.0 327:132.0 333:114.0 334:292.0 335:499.0 336:176.0 337:85.0 339:7.0 345:102.0 346:73.0 348:186.0 349:58.0 350:16.0 351:13.0 352:54.0 353:394.0 355:36.0 356:1.0 357:54.0 362:9.0 363:5.0 364:17.0 365:5.0 367:2.0 368:18.0 372:23.0 373:2024.0 374:733.0 375:304.0 377:44.0 378:3.0 379:23.0 389:34.0 390:60.0 395:20.0 419:15.0 420:1.0 421:5.0 422:2.0 424:48.0 425:88.0 426:28.0 427:219.0 428:27.0 447:1.0 452:35.0 454:2.0 456:1.0 460:2.0 463:18.0 467:12.0 468:29.0 472:7.0 475:4.0 476:2.0 477:1.0 478:17.0 487:5.0 492:44.0 494:23.0 497:7.0</t>
  </si>
  <si>
    <t>272</t>
  </si>
  <si>
    <t>409621</t>
  </si>
  <si>
    <t>878484</t>
  </si>
  <si>
    <t>132</t>
  </si>
  <si>
    <t>86:234.0 89:561.0 90:18.0 91:463.0 93:55.0 94:55.0 100:405.0 102:195.0 103:1354.0 104:89.0 105:793.0 115:2.0 117:788.0 118:97.0 122:2.0 129:244.0 130:353.0 131:101.0 132:5069.0 133:868.0 139:58.0 140:1.0 141:1.0 142:317.0 143:74.0 145:98.0 147:1579.0 148:226.0 149:205.0 150:33.0 151:1.0 153:174.0 156:1701.0 157:262.0 158:2414.0 159:345.0 160:72.0 168:28.0 169:17.0 170:21.0 172:121.0 173:30.0 174:476.0 177:68.0 181:43.0 185:2.0 186:57.0 188:36.0 189:20.0 190:41.0 191:73.0 192:5.0 193:3.0 194:50.0 201:54.0 202:64.0 203:35.0 204:985.0 205:399.0 206:111.0 207:65.0 208:6.0 209:28.0 214:54.0 216:92.0 217:138.0 218:152.0 224:1.0 227:35.0 228:24.0 230:43.0 231:4.0 232:141.0 234:72.0 241:37.0 242:110.0 243:38.0 244:51.0 245:18.0 246:24.0 253:15.0 254:68.0 255:1.0 258:43.0 267:108.0 273:78.0 274:20.0 278:35.0 279:13.0 281:16.0 282:8.0 293:20.0 294:27.0 298:3.0 299:1.0 300:37.0 304:10.0 308:27.0 310:14.0 317:17.0 318:1.0 322:290.0 323:61.0 329:41.0 332:1.0 341:23.0 342:38.0 345:18.0 347:5.0 350:2.0 351:1.0 357:168.0 358:46.0 359:21.0 366:9.0 367:4.0 370:6.0 380:47.0 381:8.0 385:15.0 386:4.0 390:28.0 391:10.0 402:19.0 403:7.0 406:10.0 408:13.0 409:8.0 411:8.0 417:3.0 418:5.0 420:7.0 422:6.0 427:19.0 431:19.0 434:10.0 439:6.0 440:27.0 441:5.0 444:2.0 445:3.0 447:58.0 448:32.0 450:1.0 452:1.0 458:27.0 466:15.0 473:2.0 477:2.0 482:17.0 484:2.0 489:16.0 490:27.0 493:26.0</t>
  </si>
  <si>
    <t>409620</t>
  </si>
  <si>
    <t>790264</t>
  </si>
  <si>
    <t>197</t>
  </si>
  <si>
    <t>90:66.0 91:1235.0 92:129.0 98:108.0 99:111.0 100:608.0 102:131.0 103:342.0 104:536.0 107:160.0 108:17.0 109:23.0 110:47.0 111:1.0 113:15.0 118:34.0 124:18.0 125:104.0 127:47.0 128:75.0 131:82.0 132:8.0 137:11.0 140:16.0 142:25.0 147:27.0 152:12.0 153:213.0 154:129.0 155:34.0 156:268.0 157:13.0 160:99.0 170:227.0 172:12.0 174:772.0 175:96.0 181:113.0 182:59.0 189:24.0 196:36.0 197:4085.0 198:588.0 199:243.0 200:129.0 201:111.0 204:14.0 209:729.0 210:125.0 212:4.0 216:29.0 221:94.0 222:22.0 224:24.0 225:3237.0 226:585.0 227:107.0 228:18.0 232:31.0 237:20.0 245:12.0 246:48.0 273:79.0 281:94.0 289:11.0 295:65.0 297:39.0 301:308.0 302:70.0 308:5.0 316:428.0 317:157.0 320:17.0 325:53.0 327:11.0 339:12.0 341:24.0 342:8.0 344:7.0 347:35.0 370:10.0 373:9.0 375:5.0 376:9.0 378:9.0 379:11.0 380:10.0 382:7.0 396:1.0 398:30.0 401:28.0 418:13.0 426:2.0 427:2.0 428:7.0 432:11.0 437:6.0 443:21.0 453:31.0 461:15.0 466:5.0 467:2.0 469:5.0 478:2.0 482:28.0 483:12.0 492:19.0 497:53.0</t>
  </si>
  <si>
    <t>409597</t>
  </si>
  <si>
    <t>863690</t>
  </si>
  <si>
    <t>86:174.0 95:46.0 98:9.0 99:44.0 100:55.0 102:40.0 110:20.0 114:1.0 116:18.0 129:3.0 130:29.0 134:2.0 140:15.0 143:15.0 144:2422.0 145:276.0 153:13.0 156:386.0 162:1.0 170:3.0 177:9.0 180:1.0 186:99.0 194:4.0 198:18.0 208:74.0 209:29.0 214:10.0 215:1.0 226:3.0 236:11.0 238:23.0 244:7.0 256:6.0 264:38.0 265:4.0 301:12.0 321:9.0 327:3.0 338:1.0 351:14.0 355:60.0 358:7.0 365:15.0 375:6.0 397:46.0 400:15.0 411:12.0 428:3.0 429:10.0 431:2.0 433:10.0 436:3.0 437:18.0 442:22.0 466:20.0 467:7.0 469:5.0 481:12.0 495:2.0 499:13.0</t>
  </si>
  <si>
    <t>409593</t>
  </si>
  <si>
    <t>872752</t>
  </si>
  <si>
    <t>85:247.0 86:2133.0 87:110.0 88:457.0 89:994.0 90:115.0 91:538.0 94:48.0 96:429.0 97:134.0 98:2783.0 99:316.0 100:1158.0 101:553.0 102:836.0 103:3895.0 104:234.0 105:92.0 107:15.0 109:126.0 110:99.0 111:3.0 112:222.0 113:132.0 114:351.0 115:92.0 116:367.0 117:2202.0 118:261.0 119:134.0 123:66.0 126:230.0 127:175.0 128:507.0 129:781.0 130:634.0 131:563.0 132:104.0 133:897.0 135:22.0 137:48.0 138:14.0 140:299.0 141:87.0 142:559.0 143:122.0 144:355.0 145:112.0 146:357.0 147:3964.0 148:510.0 149:518.0 150:24.0 153:17.0 154:502.0 155:241.0 156:4880.0 157:622.0 158:443.0 159:51.0 160:129.0 161:119.0 162:54.0 165:4.0 167:139.0 168:176.0 169:129.0 170:119.0 171:94.0 172:292.0 173:623.0 174:3150.0 175:671.0 176:154.0 177:23.0 178:10.0 179:202.0 182:29.0 183:93.0 184:73.0 185:54.0 186:235.0 187:35.0 189:426.0 190:18.0 191:125.0 195:13.0 196:36.0 197:35.0 200:198.0 201:643.0 202:70.0 203:51.0 204:170.0 205:803.0 206:99.0 207:183.0 208:63.0 209:90.0 212:28.0 213:39.0 214:277.0 217:1157.0 218:253.0 219:120.0 220:14.0 221:70.0 224:4.0 225:71.0 226:115.0 227:62.0 228:208.0 229:26.0 232:36.0 233:6.0 237:25.0 239:82.0 240:55.0 241:54.0 242:74.0 243:32.0 244:32.0 246:45.0 251:138.0 252:25.0 253:35.0 256:100.0 257:92.0 258:138.0 259:44.0 260:26.0 261:51.0 269:197.0 270:4.0 277:12.0 281:32.0 283:23.0 294:181.0 298:9.0 300:25.0 310:68.0 311:276.0 312:65.0 313:14.0 315:7.0 317:47.0 318:23.0 322:2.0 329:1.0 341:57.0 343:16.0 345:12.0 347:8.0 355:65.0 356:30.0 382:80.0 384:10.0 386:8.0 388:23.0 389:10.0 400:192.0 401:68.0 402:29.0 412:65.0 413:8.0 430:92.0 431:48.0 433:2.0 442:15.0 445:3.0 446:18.0 491:4.0</t>
  </si>
  <si>
    <t>409521</t>
  </si>
  <si>
    <t>722520</t>
  </si>
  <si>
    <t>114</t>
  </si>
  <si>
    <t>85:53.0 86:118.0 87:57.0 88:5.0 91:50.0 94:27.0 95:53.0 96:19.0 100:186.0 101:48.0 102:219.0 107:30.0 110:24.0 111:46.0 112:115.0 113:141.0 114:3114.0 115:300.0 116:179.0 117:23.0 124:26.0 126:65.0 128:25.0 129:206.0 130:86.0 141:262.0 142:183.0 143:279.0 144:53.0 151:19.0 153:41.0 154:30.0 157:298.0 159:67.0 165:52.0 167:150.0 169:55.0 170:194.0 174:218.0 182:38.0 184:55.0 185:41.0 186:70.0 189:10.0 198:692.0 199:84.0 200:28.0 201:154.0 204:84.0 205:3.0 209:755.0 210:48.0 211:9.0 212:34.0 217:101.0 224:289.0 225:36.0 239:212.0 240:35.0 244:3.0 252:14.0 264:3.0 283:28.0 287:7.0 294:51.0 295:22.0 299:394.0 300:22.0 314:156.0 315:19.0 338:22.0 365:3.0 372:17.0 380:18.0 382:163.0 383:30.0 398:9.0 407:6.0 409:22.0 451:1.0 460:3.0 467:21.0 470:5.0 477:17.0 489:13.0 495:17.0</t>
  </si>
  <si>
    <t>409349</t>
  </si>
  <si>
    <t>762401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</si>
  <si>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</si>
  <si>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409263</t>
  </si>
  <si>
    <t>979656</t>
  </si>
  <si>
    <t>85:61.0 86:195.0 88:36.0 89:111.0 93:137.0 97:6.0 99:180.0 100:254.0 101:73.0 103:149.0 106:44.0 111:70.0 112:72.0 113:237.0 114:123.0 115:66.0 116:225.0 118:63.0 120:33.0 122:3.0 124:60.0 126:25.0 127:83.0 128:28.0 129:197.0 130:94.0 135:60.0 137:59.0 138:17.0 139:7.0 140:152.0 141:89.0 142:637.0 143:129.0 144:137.0 150:33.0 152:42.0 153:48.0 154:116.0 155:167.0 156:7246.0 157:1528.0 158:422.0 159:77.0 160:114.0 162:1.0 164:51.0 170:29.0 174:8.0 179:92.0 180:17.0 181:42.0 182:33.0 183:24.0 184:10.0 189:71.0 193:26.0 195:62.0 196:19.0 198:26.0 201:1.0 204:186.0 205:8.0 206:85.0 207:106.0 208:54.0 209:172.0 211:44.0 212:10.0 214:13.0 217:232.0 218:2.0 221:60.0 225:75.0 226:31.0 227:12.0 230:82.0 231:21.0 232:30.0 233:7.0 237:86.0 239:67.0 240:13.0 245:10.0 250:41.0 251:74.0 253:618.0 254:82.0 255:50.0 260:6.0 265:59.0 267:132.0 268:20.0 274:30.0 275:16.0 280:91.0 281:350.0 282:88.0 283:135.0 286:24.0 291:30.0 295:26.0 299:173.0 303:40.0 314:49.0 318:14.0 327:74.0 328:4.0 332:7.0 335:22.0 337:8.0 339:16.0 340:8.0 341:58.0 342:59.0 344:28.0 346:2.0 347:16.0 350:21.0 351:12.0 361:31.0 363:4.0 366:9.0 371:66.0 372:33.0 374:1.0 375:49.0 384:32.0 393:6.0 396:28.0 398:26.0 400:107.0 401:33.0 410:7.0 416:49.0 418:28.0 419:17.0 421:4.0 429:3.0 434:13.0 443:14.0 446:1.0 448:11.0 453:15.0 462:38.0 465:10.0 468:59.0 470:3.0 477:19.0 490:19.0 492:22.0 497:21.0 500:15.0</t>
  </si>
  <si>
    <t>409212</t>
  </si>
  <si>
    <t>748068</t>
  </si>
  <si>
    <t>85:401.0 86:117.0 89:561.0 90:28.0 95:15.0 96:13.0 98:201.0 99:331.0 100:64.0 101:2827.0 102:406.0 103:4644.0 104:463.0 105:182.0 106:11.0 107:174.0 109:144.0 110:277.0 111:142.0 113:367.0 114:170.0 115:532.0 116:1752.0 117:2178.0 118:210.0 119:360.0 121:52.0 123:10.0 125:4.0 127:313.0 128:113.0 129:5631.0 130:807.0 131:1560.0 132:227.0 133:2675.0 134:253.0 135:324.0 137:139.0 138:21.0 139:17.0 141:49.0 142:219.0 143:241.0 145:129.0 147:5297.0 148:769.0 149:880.0 150:34.0 151:259.0 152:11.0 153:74.0 154:36.0 155:382.0 156:103.0 157:699.0 158:191.0 159:98.0 161:34.0 163:159.0 164:11.0 168:3.0 169:147.0 170:763.0 171:430.0 172:89.0 173:168.0 175:21.0 177:318.0 178:21.0 179:34.0 181:141.0 183:103.0 184:41.0 185:94.0 187:20.0 188:28.0 189:427.0 190:156.0 191:704.0 192:108.0 193:355.0 194:62.0 195:201.0 200:23.0 201:48.0 203:242.0 204:493.0 205:359.0 207:207.0 208:68.0 209:81.0 211:829.0 212:96.0 213:1.0 215:56.0 216:21.0 217:4686.0 218:1286.0 219:539.0 220:118.0 221:52.0 224:1.0 225:241.0 226:45.0 227:163.0 228:6.0 230:25.0 231:18.0 232:58.0 234:7.0 236:5.0 242:131.0 243:539.0 244:103.0 245:48.0 246:84.0 247:225.0 248:23.0 253:10.0 256:10.0 261:48.0 267:38.0 269:56.0 271:43.0 274:17.0 278:2.0 283:130.0 284:20.0 285:95.0 286:9.0 287:15.0 289:8.0 292:5.0 298:7.0 299:3657.0 300:1034.0 301:474.0 302:95.0 303:17.0 304:7.0 306:38.0 307:70.0 308:9.0 310:23.0 313:53.0 314:432.0 315:1919.0 316:531.0 317:246.0 318:19.0 323:1.0 328:18.0 329:7.0 332:28.0 333:3.0 341:32.0 348:13.0 350:9.0 351:17.0 356:51.0 357:718.0 358:245.0 359:79.0 363:3.0 364:1.0 366:1.0 369:42.0 370:201.0 371:23.0 372:66.0 374:37.0 375:8.0 385:15.0 386:34.0 387:645.0 388:216.0 389:168.0 390:17.0 394:21.0 396:28.0 399:23.0 403:6.0 414:8.0 417:33.0 426:7.0 431:7.0 432:20.0 434:2.0 440:2.0 443:30.0 444:24.0 445:14.0 447:12.0 449:20.0 454:3.0 456:14.0 459:51.0 460:5.0 468:8.0 471:7.0 472:11.0 477:14.0 485:44.0 490:1.0 500:33.0</t>
  </si>
  <si>
    <t>409131</t>
  </si>
  <si>
    <t>735592</t>
  </si>
  <si>
    <t>85:52.0 86:269.0 90:3.0 95:30.0 96:13.0 97:94.0 99:121.0 100:551.0 101:68.0 102:5.0 103:123.0 104:3.0 108:24.0 112:577.0 113:23.0 114:90.0 116:185.0 117:270.0 124:25.0 127:209.0 128:26.0 129:447.0 130:164.0 131:249.0 133:59.0 140:112.0 142:382.0 143:77.0 144:31.0 147:1550.0 148:132.0 149:136.0 154:185.0 155:136.0 156:4046.0 157:566.0 158:328.0 167:9.0 168:173.0 170:80.0 172:66.0 174:56.0 181:50.0 182:43.0 184:99.0 185:7.0 188:46.0 195:55.0 196:50.0 197:11.0 203:4.0 204:22.0 205:49.0 209:123.0 211:30.0 214:63.0 217:141.0 222:51.0 223:61.0 224:55.0 225:177.0 226:3.0 228:175.0 229:388.0 230:368.0 231:8.0 232:26.0 238:319.0 239:203.0 240:45.0 241:39.0 254:1.0 256:66.0 257:28.0 258:4.0 267:6.0 269:199.0 270:52.0 273:2.0 274:516.0 275:60.0 283:29.0 286:81.0 293:17.0 299:29.0 325:2.0 341:137.0 343:31.0 345:7.0 356:48.0 371:26.0 382:12.0 387:109.0 388:6.0 400:9.0 415:182.0 416:16.0 417:29.0 443:61.0 459:24.0 464:5.0</t>
  </si>
  <si>
    <t>409106</t>
  </si>
  <si>
    <t>325795</t>
  </si>
  <si>
    <t>85:629.0 86:2550.0 88:88.0 90:56.0 95:155.0 96:9.0 98:414.0 99:476.0 100:50495.0 101:4665.0 102:2184.0 107:722.0 108:19.0 109:726.0 111:543.0 112:102.0 113:521.0 114:2000.0 115:542.0 116:427.0 122:1.0 123:627.0 124:53.0 125:560.0 129:191.0 130:1475.0 132:46.0 136:57.0 137:2699.0 138:217.0 139:3149.0 140:1150.0 141:143.0 142:38.0 145:3.0 151:6.0 152:41.0 153:3.0 154:58.0 158:138.0 159:53.0 164:191.0 165:14.0 166:223.0 168:13.0 169:194.0 171:223.0 172:730.0 173:167.0 174:5054.0 175:968.0 176:240.0 178:181.0 180:218.0 181:64.0 182:87.0 183:29.0 184:89.0 186:18.0 188:4238.0 189:849.0 190:311.0 194:235.0 195:167.0 196:288.0 197:206.0 199:94.0 213:19.0 220:3.0 237:1.0 252:117.0 254:32.0 267:29.0 269:86.0 278:92.0 301:25.0 330:3.0 349:18.0 352:3.0 360:10.0 362:13.0 377:4.0 390:5.0 392:9.0 394:4.0 397:1.0 399:17.0 432:30.0 443:12.0 493:2.0 499:25.0</t>
  </si>
  <si>
    <t>409052</t>
  </si>
  <si>
    <t>841135</t>
  </si>
  <si>
    <t>341</t>
  </si>
  <si>
    <t>86:55.0 98:18.0 99:62.0 100:465.0 101:178.0 102:43.0 103:23.0 109:59.0 110:47.0 111:12.0 112:70.0 114:57.0 115:373.0 116:344.0 117:57.0 121:2.0 124:2.0 125:7.0 128:100.0 129:470.0 130:65.0 137:101.0 138:35.0 140:47.0 142:378.0 143:45.0 144:82.0 146:5.0 147:644.0 149:79.0 156:688.0 157:99.0 158:10.0 159:275.0 160:42.0 168:21.0 169:2.0 172:10.0 173:11.0 174:212.0 175:2.0 179:12.0 181:49.0 182:12.0 183:1.0 184:81.0 191:5.0 194:5.0 195:69.0 196:2.0 197:196.0 200:8.0 207:100.0 208:2.0 209:90.0 211:157.0 217:5.0 223:31.0 224:8.0 228:20.0 229:28.0 230:23.0 232:7.0 233:5.0 235:5.0 237:10.0 239:60.0 241:15.0 242:23.0 244:66.0 245:17.0 246:20.0 248:4.0 253:33.0 254:28.0 256:10.0 258:20.0 260:5.0 261:21.0 265:20.0 276:4.0 281:2.0 287:11.0 299:61.0 306:42.0 308:8.0 309:10.0 313:27.0 317:2.0 325:35.0 327:123.0 328:156.0 329:59.0 330:5.0 337:25.0 340:73.0 341:2787.0 342:730.0 343:262.0 344:27.0 346:25.0 347:10.0 350:14.0 360:10.0 362:17.0 365:19.0 367:17.0 390:27.0 401:10.0 402:2.0 411:20.0 420:1.0 422:8.0 423:5.0 425:10.0 429:5.0 434:17.0 436:10.0 437:10.0 442:1.0 455:31.0 456:16.0 467:21.0 476:21.0 482:23.0 488:2.0 494:27.0</t>
  </si>
  <si>
    <t>409045</t>
  </si>
  <si>
    <t>668679</t>
  </si>
  <si>
    <t>85:401.0 86:23.0 89:456.0 90:9.0 91:93.0 93:14.0 94:21.0 95:334.0 96:141.0 99:1.0 100:547.0 101:1182.0 102:121.0 103:1076.0 104:80.0 105:97.0 107:199.0 108:62.0 110:293.0 111:347.0 113:133.0 114:231.0 115:715.0 116:164.0 117:424.0 118:85.0 119:19.0 121:32.0 122:72.0 123:5.0 126:54.0 127:21.0 128:601.0 129:1330.0 130:351.0 131:814.0 132:86.0 133:405.0 134:65.0 135:21.0 136:7.0 138:64.0 140:56.0 141:41.0 142:134.0 143:1692.0 144:18.0 145:2.0 147:2287.0 148:240.0 149:237.0 151:69.0 157:343.0 158:243.0 159:1612.0 160:154.0 161:7.0 162:3.0 163:24.0 164:17.0 165:22.0 167:10.0 168:81.0 169:30.0 170:40.0 171:80.0 173:62.0 175:80.0 176:41.0 177:85.0 178:10.0 182:79.0 184:196.0 185:563.0 188:150.0 189:206.0 190:22.0 191:76.0 192:31.0 193:15.0 195:31.0 196:29.0 199:112.0 201:154.0 202:58.0 203:4098.0 204:948.0 205:1275.0 206:184.0 207:96.0 213:91.0 214:58.0 215:50.0 216:482.0 217:840.0 219:74.0 223:24.0 225:23.0 227:404.0 229:188.0 231:50.0 232:73.0 234:26.0 235:14.0 237:14.0 238:27.0 239:111.0 240:32.0 241:221.0 242:11.0 244:67.0 256:19.0 258:18.0 270:559.0 272:34.0 278:24.0 291:25.0 296:17.0 297:5.0 302:29.0 304:144.0 305:63.0 306:78.0 316:25.0 317:2.0 319:344.0 320:5.0 321:58.0 323:36.0 330:24.0 332:20.0 345:4.0 355:17.0 357:9.0 361:7.0 373:12.0 380:4.0 382:1.0 386:18.0 400:6.0 408:5.0 413:35.0 416:29.0 432:39.0 436:8.0 443:48.0 447:2.0 449:2.0 468:17.0 476:17.0 477:10.0 487:20.0 489:1.0</t>
  </si>
  <si>
    <t>409031</t>
  </si>
  <si>
    <t>478576</t>
  </si>
  <si>
    <t>159</t>
  </si>
  <si>
    <t>85:352.0 87:382.0 91:55.0 93:15.0 95:641.0 96:599.0 97:6298.0 98:418.0 99:791.0 101:247.0 103:108.0 109:904.0 110:219.0 111:1465.0 112:91.0 113:613.0 115:77.0 116:499.0 117:3557.0 118:266.0 119:36.0 121:394.0 122:23.0 124:20.0 125:1552.0 126:66.0 127:1242.0 128:14.0 129:1851.0 130:482.0 131:299.0 132:418.0 134:30.0 137:204.0 139:1826.0 140:154.0 141:472.0 143:4348.0 144:562.0 145:702.0 146:110.0 153:62.0 155:4158.0 156:366.0 157:248.0 159:7758.0 160:1137.0 161:218.0 172:50.0 173:187.0 181:7.0 182:5.0 183:13.0 184:49.0 185:140.0 186:41.0 195:2.0 200:7.0 201:166.0 209:7.0 210:6.0 211:2.0 213:608.0 214:145.0 215:1054.0 216:1304.0 217:240.0 218:45.0 229:192.0 230:33.0 231:415.0 233:21.0 243:9.0 245:926.0 246:203.0 247:15.0 263:6.0 268:9.0 293:19.0 299:107.0 300:5.0 315:18.0 320:6.0 388:1.0 410:11.0 426:4.0 431:1.0 443:10.0 453:14.0 459:4.0 497:9.0</t>
  </si>
  <si>
    <t>408911</t>
  </si>
  <si>
    <t>1046745</t>
  </si>
  <si>
    <t>114:63.0 116:19.0 125:12.0 129:28.0 130:112.0 136:7.0 141:43.0 142:33.0 143:48.0 154:24.0 155:21.0 156:310.0 157:63.0 158:82.0 169:50.0 189:32.0 191:50.0 193:60.0 194:2.0 198:1.0 200:83.0 201:40.0 202:2298.0 203:406.0 204:470.0 206:55.0 207:643.0 208:283.0 209:254.0 214:11.0 215:9.0 223:28.0 224:10.0 228:13.0 233:5.0 237:27.0 239:46.0 242:34.0 248:10.0 249:45.0 252:41.0 253:34.0 255:19.0 256:1.0 265:31.0 267:39.0 280:8.0 281:22.0 298:11.0 313:38.0 316:28.0 327:92.0 329:29.0 330:14.0 331:207.0 332:58.0 333:27.0 337:6.0 341:6.0 342:33.0 357:35.0 362:68.0 365:6.0 369:1.0 384:15.0 386:4.0 388:39.0 389:25.0 397:1.0 400:7.0 409:11.0 410:24.0 418:22.0 440:10.0 459:24.0 461:11.0 462:9.0 464:7.0 469:6.0 475:14.0 478:43.0 480:1.0 490:16.0</t>
  </si>
  <si>
    <t>408892</t>
  </si>
  <si>
    <t>686321</t>
  </si>
  <si>
    <t>86:95.0 89:3.0 90:5.0 94:313.0 98:236.0 99:1.0 100:842.0 102:33.0 103:986.0 113:338.0 114:63.0 115:160.0 117:84.0 120:3.0 122:65.0 123:48.0 125:111.0 127:358.0 128:403.0 131:2.0 132:5.0 133:10.0 134:46.0 140:262.0 141:51.0 142:23919.0 143:3399.0 144:1383.0 147:1585.0 149:893.0 151:87.0 152:92.0 153:61.0 154:464.0 155:150.0 156:45.0 157:458.0 158:743.0 159:11.0 160:123.0 166:197.0 167:29.0 173:108.0 181:118.0 182:57.0 188:54.0 197:1.0 198:2.0 200:799.0 201:63.0 202:82.0 205:205.0 217:10.0 227:1.0 229:8.0 232:91.0 236:45.0 237:21.0 238:27.0 241:64.0 244:40.0 267:57.0 268:1.0 269:154.0 271:24.0 272:507.0 273:86.0 280:50.0 282:23.0 284:4.0 288:54.0 290:17.0 292:1.0 298:4.0 299:34.0 309:32.0 313:7.0 314:61.0 319:138.0 321:10.0 331:8.0 337:2.0 340:5.0 345:15.0 355:9.0 357:62.0 368:51.0 369:52.0 370:30.0 385:1.0 402:41.0 409:4.0 410:7.0 421:55.0 423:10.0 439:35.0 444:38.0 449:6.0 452:13.0 459:26.0 465:20.0 472:42.0 480:34.0 483:17.0 495:12.0</t>
  </si>
  <si>
    <t>408856</t>
  </si>
  <si>
    <t>921483</t>
  </si>
  <si>
    <t>85:1.0 86:22.0 89:1.0 101:69.0 103:236.0 104:1.0 111:1.0 113:1.0 115:2.0 126:87.0 129:34.0 133:3.0 142:3013.0 143:342.0 144:113.0 147:10.0 148:1.0 149:102.0 155:18.0 162:10.0 165:2.0 176:89.0 177:10.0 178:261.0 179:238.0 181:51.0 189:1.0 191:3.0 192:10.0 193:49.0 204:24.0 206:19.0 207:211.0 208:6.0 217:81.0 218:2.0 219:18.0 221:149.0 235:20.0 237:3.0 238:1.0 243:6.0 253:13.0 258:1.0 259:1.0 264:1.0 279:36.0 280:2.0 281:76.0 295:23.0 306:1.0 312:1.0 322:1.0 341:35.0 343:7.0 358:6.0 359:7.0 361:27.0 383:31.0 387:17.0 445:7.0</t>
  </si>
  <si>
    <t>408849</t>
  </si>
  <si>
    <t>659067</t>
  </si>
  <si>
    <t>86:112.0 89:145.0 98:46.0 99:110.0 101:1.0 102:107.0 103:472.0 107:128.0 114:20.0 116:82.0 117:296.0 118:9.0 128:30.0 129:464.0 130:34.0 133:261.0 134:189.0 142:7137.0 143:1296.0 144:687.0 147:1218.0 148:99.0 149:51.0 154:35.0 156:33.0 157:214.0 158:384.0 159:57.0 160:340.0 169:69.0 170:60.0 171:101.0 173:24.0 174:260.0 175:31.0 185:3.0 189:62.0 203:344.0 204:268.0 205:462.0 206:49.0 215:13.0 217:509.0 229:29.0 231:39.0 232:9.0 233:18.0 253:27.0 281:18.0 299:9.0 304:31.0 305:15.0 315:29.0 318:4.0 319:245.0 320:60.0 321:7.0 325:6.0 333:39.0 342:2.0 343:14.0 344:19.0 348:9.0 350:6.0 363:18.0 368:7.0 386:24.0 407:3.0 412:30.0 418:7.0 425:17.0 436:16.0 439:26.0 450:4.0 473:5.0 479:2.0 488:16.0 490:5.0</t>
  </si>
  <si>
    <t>408836</t>
  </si>
  <si>
    <t>796000</t>
  </si>
  <si>
    <t>85:183.0 86:107.0 89:130.0 95:4.0 98:160.0 99:41.0 100:118.0 101:74.0 103:592.0 107:165.0 114:46.0 115:15.0 116:137.0 117:117.0 126:192.0 127:17.0 128:9.0 129:410.0 130:67.0 131:53.0 133:128.0 134:47.0 136:156.0 140:12.0 141:23.0 142:3310.0 143:469.0 144:194.0 146:19.0 147:1362.0 148:142.0 151:29.0 153:122.0 154:289.0 157:6.0 166:112.0 168:31.0 169:131.0 173:1.0 174:172.0 179:66.0 181:18.0 184:62.0 193:47.0 195:9.0 197:97.0 203:13.0 204:26.0 205:106.0 210:22.0 211:30.0 217:832.0 218:130.0 219:19.0 223:6.0 224:75.0 225:184.0 226:37.0 240:51.0 241:24.0 243:10.0 252:3.0 255:5.0 257:30.0 258:24.0 269:672.0 270:94.0 282:16.0 290:18.0 293:25.0 308:25.0 321:4.0 332:7.0 340:45.0 356:44.0 368:79.0 408:4.0 409:72.0 410:27.0 429:14.0 431:1.0 440:6.0</t>
  </si>
  <si>
    <t>408797</t>
  </si>
  <si>
    <t>561840</t>
  </si>
  <si>
    <t>178</t>
  </si>
  <si>
    <t>86:128.0 89:85.0 93:157.0 95:88.0 99:150.0 100:551.0 101:131.0 102:11.0 103:1.0 104:14.0 105:141.0 106:532.0 107:132.0 108:24.0 113:44.0 128:12.0 130:669.0 132:135.0 134:171.0 142:13.0 144:213.0 145:5.0 146:106.0 147:100.0 149:1896.0 150:206.0 151:71.0 153:38.0 155:48.0 156:18.0 158:36.0 162:147.0 163:26.0 169:4.0 171:261.0 172:121.0 173:10.0 174:399.0 176:126.0 178:3884.0 179:610.0 180:198.0 187:1.0 200:8.0 201:9.0 202:6.0 204:28.0 214:32.0 215:18.0 217:162.0 218:556.0 219:118.0 221:102.0 230:71.0 244:40.0 252:39.0 254:25.0 264:19.0 274:9.0 275:8.0 281:23.0 291:32.0 293:18.0 294:26.0 314:13.0 317:16.0 333:51.0 334:2.0 336:20.0 337:3.0 348:1.0 350:9.0 360:22.0 372:6.0 393:8.0 399:2.0 405:13.0 408:9.0 433:7.0 442:5.0 460:10.0 462:11.0 478:9.0 490:6.0 496:9.0 498:45.0 500:1.0</t>
  </si>
  <si>
    <t>408790</t>
  </si>
  <si>
    <t>718148</t>
  </si>
  <si>
    <t>257</t>
  </si>
  <si>
    <t>85:758.0 86:860.0 87:497.0 88:24.0 89:2.0 94:171.0 95:181.0 97:173.0 98:173.0 99:310.0 100:810.0 101:987.0 102:329.0 103:181.0 107:19.0 108:62.0 111:162.0 112:148.0 113:315.0 114:218.0 115:838.0 116:293.0 117:21510.0 118:1942.0 119:892.0 121:46.0 124:32.0 125:34.0 127:50.0 128:268.0 129:1353.0 130:1242.0 131:1059.0 132:386.0 133:1506.0 134:8.0 135:106.0 137:3.0 139:8.0 140:291.0 141:232.0 142:392.0 143:690.0 144:224.0 145:187.0 146:54.0 147:4290.0 148:736.0 149:643.0 151:118.0 152:201.0 153:193.0 154:132.0 155:75.0 157:6.0 158:214.0 159:90.0 161:6.0 166:110.0 167:267.0 168:307.0 169:467.0 170:102.0 171:27.0 172:142.0 173:110.0 174:936.0 175:24.0 176:89.0 179:162.0 180:23.0 181:117.0 182:313.0 183:231.0 184:95.0 185:149.0 186:12.0 190:41.0 193:33.0 194:24.0 195:181.0 196:68.0 198:60.0 207:44.0 211:510.0 212:84.0 213:77.0 214:33.0 215:39.0 217:787.0 218:1538.0 219:252.0 220:55.0 221:44.0 223:46.0 225:137.0 226:131.0 227:273.0 228:59.0 229:60.0 230:84.0 231:54.0 232:8.0 237:67.0 239:244.0 240:136.0 241:3109.0 242:940.0 243:409.0 244:36.0 251:9.0 253:124.0 254:10.0 255:341.0 256:131.0 257:7635.0 258:1974.0 259:697.0 260:25.0 267:293.0 268:48.0 269:463.0 270:182.0 271:188.0 272:31.0 281:30.0 282:6.0 283:176.0 284:88.0 285:108.0 286:4.0 293:3.0 294:3.0 295:17.0 297:637.0 298:139.0 299:94.0 311:1933.0 312:495.0 313:244.0 314:95.0 315:54.0 323:2.0 329:434.0 330:215.0 331:55.0 339:392.0 340:87.0 341:18.0 371:99.0 373:14.0 385:46.0 386:14.0 387:87.0 399:25.0 400:99.0 401:2709.0 402:2044.0 403:763.0 404:211.0 405:29.0 413:113.0 459:29.0</t>
  </si>
  <si>
    <t>408762</t>
  </si>
  <si>
    <t>325700</t>
  </si>
  <si>
    <t>85:650.0 86:2776.0 87:129.0 88:358.0 92:20.0 93:88.0 95:190.0 98:346.0 99:660.0 100:50724.0 101:5101.0 102:2015.0 107:354.0 108:17.0 109:822.0 111:476.0 113:573.0 114:1993.0 115:558.0 116:392.0 122:60.0 123:502.0 124:64.0 125:609.0 127:56.0 129:62.0 130:1431.0 131:144.0 132:38.0 137:2944.0 138:150.0 139:3020.0 140:40.0 141:43.0 151:66.0 152:130.0 155:8.0 157:1.0 158:137.0 159:91.0 160:80.0 164:149.0 165:10.0 166:322.0 167:116.0 171:159.0 172:687.0 173:182.0 174:7381.0 175:1141.0 176:445.0 177:56.0 178:223.0 180:258.0 181:3.0 182:44.0 184:28.0 185:33.0 187:20.0 188:4332.0 189:837.0 190:321.0 194:226.0 195:298.0 196:376.0 197:330.0 198:5.0 199:57.0 207:6.0 209:17.0 210:10.0 211:8.0 212:8.0 214:3.0 227:1.0 229:21.0 238:27.0 246:1.0 252:87.0 261:18.0 262:19.0 266:5.0 267:66.0 269:103.0 277:2.0 278:188.0 279:25.0 280:17.0 287:16.0 288:34.0 292:33.0 303:25.0 306:3.0 310:5.0 314:7.0 322:18.0 324:9.0 336:18.0 341:1.0 347:25.0 351:19.0 352:11.0 359:16.0 366:17.0 380:9.0 381:26.0 383:9.0 392:15.0 399:19.0 404:10.0 405:1.0 406:1.0 409:5.0 410:3.0 415:49.0 418:5.0 423:19.0 430:33.0 437:13.0 443:11.0 446:24.0 448:12.0 453:6.0 458:12.0 465:4.0 471:12.0 477:2.0 478:6.0 483:1.0 495:2.0 496:22.0 499:23.0 500:4.0</t>
  </si>
  <si>
    <t>408756</t>
  </si>
  <si>
    <t>691686</t>
  </si>
  <si>
    <t>85:212.0 86:303.0 87:179.0 88:18.0 89:67.0 94:21.0 95:82.0 97:219.0 98:113.0 99:137.0 100:1772.0 101:408.0 102:167.0 103:142.0 105:26.0 108:4.0 110:72.0 111:369.0 112:48.0 113:102.0 114:35.0 115:10.0 116:155.0 117:153.0 118:37.0 122:25.0 123:3.0 125:36.0 127:56.0 128:46.0 129:353.0 130:210.0 131:234.0 132:48.0 135:12.0 138:104.0 139:31.0 141:36.0 143:82.0 144:49.0 150:6.0 153:39.0 157:89.0 158:170.0 159:140.0 160:163.0 161:8.0 166:60.0 169:79.0 170:3.0 171:108.0 172:159.0 173:57.0 175:70.0 176:25.0 179:13.0 181:39.0 182:47.0 183:4.0 184:15.0 185:143.0 186:50.0 188:16.0 192:7.0 195:16.0 196:27.0 199:6.0 202:6.0 203:3.0 210:53.0 211:89.0 212:13.0 213:9.0 220:9.0 222:10.0 223:59.0 224:35.0 225:41.0 226:30.0 227:58.0 228:84.0 229:204.0 230:6.0 231:13.0 234:8.0 235:48.0 237:22.0 238:116.0 239:13.0 240:38.0 242:26.0 243:44.0 247:20.0 251:13.0 252:15.0 253:114.0 254:48.0 255:31.0 256:20.0 258:3.0 259:2.0 262:31.0 263:22.0 264:5.0 265:190.0 266:94.0 267:31.0 268:5.0 272:12.0 273:1.0 275:30.0 277:13.0 278:5.0 279:30.0 280:55.0 281:100.0 282:41.0 283:22.0 284:44.0 285:15.0 286:6.0 287:1.0 291:33.0 294:14.0 295:74.0 296:58.0 298:11.0 300:4.0 303:3.0 304:34.0 306:33.0 307:2.0 308:13.0 309:42.0 310:26.0 312:67.0 314:26.0 315:11.0 321:4.0 322:1.0 323:18.0 324:12.0 326:9.0 329:36.0 330:1.0 333:35.0 334:13.0 335:32.0 337:18.0 339:11.0 343:31.0 344:26.0 347:15.0 349:3.0 351:53.0 352:132.0 353:2757.0 354:932.0 355:391.0 356:123.0 357:48.0 358:2.0 359:18.0 360:12.0 363:65.0 364:9.0 367:74.0 368:562.0 369:145.0 370:125.0 371:44.0 375:25.0 376:28.0 379:28.0 381:22.0 388:8.0 395:7.0 396:26.0 398:28.0 401:22.0 402:4.0 403:29.0 406:2.0 410:16.0 413:1.0 415:7.0 417:14.0 418:16.0 421:20.0 428:2.0 429:4.0 431:14.0 432:1.0 434:10.0 435:20.0 437:21.0 439:13.0 440:43.0 442:9.0 443:7.0 446:3.0 447:20.0 449:5.0 450:13.0 451:17.0 455:6.0 457:8.0 458:17.0 463:34.0 465:14.0 468:40.0 471:8.0 473:31.0 476:16.0 477:24.0 479:18.0 480:8.0 482:13.0 483:4.0 485:32.0 488:2.0 497:8.0 498:14.0 499:16.0</t>
  </si>
  <si>
    <t>408731</t>
  </si>
  <si>
    <t>397310</t>
  </si>
  <si>
    <t>97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</si>
  <si>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</si>
  <si>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408593</t>
  </si>
  <si>
    <t>408385</t>
  </si>
  <si>
    <t>85:240.0 86:52.0 88:21.0 89:2.0 93:80.0 95:46.0 97:121.0 99:908.0 100:517.0 101:231.0 102:167.0 104:23.0 108:50.0 109:21.0 111:29.0 113:98.0 114:29.0 115:1480.0 116:284.0 117:76.0 120:37.0 122:17.0 127:4.0 130:425.0 132:42.0 136:16.0 141:146.0 143:26.0 145:54.0 148:235.0 155:18.0 157:36.0 158:20.0 169:42.0 170:23.0 171:3996.0 172:693.0 173:259.0 175:3.0 177:4.0 181:5.0 185:43.0 186:85.0 187:32.0 188:78.0 189:35.0 219:23.0 221:4.0 230:960.0 231:199.0 232:97.0 257:51.0 267:5.0 275:8.0 282:4.0 284:163.0 285:17.0 286:5.0 287:104.0 289:9.0 291:8.0 299:17.0 300:59.0 302:36.0 309:10.0 314:9.0 326:18.0 337:1.0 345:16.0 348:3.0 354:6.0 357:18.0 372:6.0 375:34.0 409:3.0 410:11.0 427:1.0 433:5.0 438:6.0 446:5.0 450:15.0 451:13.0 467:1.0 473:8.0 482:15.0 483:5.0 484:6.0 488:19.0 495:2.0 497:8.0</t>
  </si>
  <si>
    <t>408504</t>
  </si>
  <si>
    <t>848671</t>
  </si>
  <si>
    <t>85:40.0 86:294.0 91:22.0 95:232.0 98:150.0 99:52.0 100:562.0 102:76.0 107:164.0 108:15.0 109:11.0 110:41.0 112:36.0 113:84.0 114:154.0 115:585.0 116:161.0 117:20.0 122:33.0 124:136.0 125:168.0 126:242.0 129:153.0 131:88.0 132:157.0 139:190.0 140:81.0 141:340.0 142:10838.0 143:1415.0 144:592.0 146:83.0 147:868.0 148:462.0 149:313.0 152:66.0 154:90.0 156:554.0 157:75.0 167:66.0 168:742.0 169:520.0 170:212.0 174:23.0 175:12.0 178:4.0 182:117.0 183:17.0 184:1332.0 185:171.0 186:61.0 197:1.0 208:8.0 209:36.0 210:25.0 215:8.0 216:32.0 230:39.0 240:169.0 241:139.0 242:2.0 243:799.0 244:197.0 245:75.0 249:6.0 255:37.0 256:1217.0 257:218.0 258:167.0 259:2.0 268:22.0 270:2.0 287:5.0 294:2.0 299:40.0 311:35.0 313:25.0 354:30.0 366:20.0 382:110.0 383:4.0 426:4.0</t>
  </si>
  <si>
    <t>408490</t>
  </si>
  <si>
    <t>968624</t>
  </si>
  <si>
    <t>185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</si>
  <si>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</si>
  <si>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102</t>
  </si>
  <si>
    <t>3-phosphoglycerate</t>
  </si>
  <si>
    <t>609618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</si>
  <si>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</si>
  <si>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3-phenyllactic acid</t>
  </si>
  <si>
    <t>516416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</si>
  <si>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</si>
  <si>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3-hydroxypropionic acid</t>
  </si>
  <si>
    <t>269559</t>
  </si>
  <si>
    <t>87:277.0 90:65.0 93:10.0 94:10.0 98:62.0 100:5.0 101:462.0 102:52.0 105:17.0 107:58.0 110:19.0 113:1.0 116:366.0 121:3.0 122:20.0 125:29.0 129:92.0 130:108.0 140:89.0 146:28.0 147:6230.0 148:971.0 149:461.0 169:36.0 177:1596.0 178:145.0 179:77.0 184:13.0 203:1.0 219:798.0 232:6.0 233:2.0 267:11.0 317:3.0 345:9.0 404:2.0 431:2.0 453:2.0 456:7.0</t>
  </si>
  <si>
    <t>398950</t>
  </si>
  <si>
    <t>729998</t>
  </si>
  <si>
    <t>442</t>
  </si>
  <si>
    <t>85:1795.0 86:3180.0 87:1428.0 88:287.0 89:83.0 90:120.0 94:119.0 98:1437.0 99:2314.0 100:18381.0 101:2011.0 102:1604.0 103:1481.0 105:875.0 110:567.0 111:888.0 112:692.0 113:1005.0 114:1313.0 115:1300.0 116:919.0 117:3705.0 118:491.0 119:928.0 120:72.0 121:177.0 122:63.0 123:85.0 125:937.0 126:427.0 127:1118.0 128:467.0 129:1149.0 130:2164.0 131:10236.0 132:2367.0 133:4836.0 134:794.0 135:238.0 136:11.0 137:159.0 138:123.0 139:380.0 140:521.0 141:2257.0 142:923.0 143:643.0 144:937.0 145:480.0 146:466.0 147:39309.0 148:6931.0 149:2490.0 150:454.0 151:526.0 152:335.0 153:546.0 155:524.0 156:913.0 157:1218.0 158:4153.0 159:1051.0 160:1722.0 161:117.0 164:215.0 165:92.0 167:532.0 168:646.0 169:884.0 170:420.0 171:4567.0 172:4977.0 173:817.0 174:3072.0 175:757.0 176:377.0 177:192.0 178:103.0 179:175.0 180:89.0 181:647.0 182:965.0 183:935.0 184:539.0 185:797.0 186:599.0 187:364.0 188:1000.0 189:125.0 190:282.0 191:682.0 193:146.0 194:28.0 195:742.0 196:394.0 197:468.0 198:642.0 199:2223.0 200:572.0 201:547.0 202:70.0 203:336.0 204:881.0 205:377.0 206:345.0 207:396.0 208:578.0 210:370.0 211:496.0 212:284.0 213:386.0 214:298.0 215:406.0 216:472.0 217:844.0 220:139.0 221:552.0 222:239.0 223:398.0 224:827.0 225:60.0 226:435.0 227:83.0 228:331.0 229:130.0 231:359.0 232:74.0 233:90.0 234:75.0 235:153.0 236:42.0 237:87.0 238:388.0 239:9.0 240:347.0 241:212.0 242:98.0 244:63.0 245:1056.0 246:181.0 247:142.0 248:34.0 249:31.0 251:185.0 252:911.0 253:301.0 254:442.0 255:523.0 256:270.0 258:68.0 262:113.0 264:2.0 265:301.0 266:781.0 267:378.0 268:480.0 269:493.0 270:337.0 271:151.0 272:120.0 273:3.0 274:96.0 275:19.0 276:103.0 277:33.0 278:142.0 279:826.0 280:258.0 281:363.0 282:115.0 283:177.0 284:183.0 285:222.0 289:78.0 291:153.0 292:86.0 293:252.0 294:437.0 295:472.0 296:338.0 297:246.0 298:103.0 300:128.0 304:254.0 306:457.0 308:284.0 309:499.0 310:509.0 311:386.0 312:372.0 313:10.0 314:255.0 315:196.0 316:14.0 317:35.0 318:433.0 319:209.0 321:34.0 323:288.0 324:204.0 325:599.0 326:1974.0 327:800.0 328:1242.0 329:502.0 330:211.0 334:68.0 335:8.0 336:95.0 338:102.0 339:177.0 340:217.0 341:422.0 342:265.0 343:212.0 345:53.0 346:92.0 351:1171.0 352:631.0 353:2587.0 354:1015.0 355:566.0 356:266.0 359:16.0 361:56.0 362:73.0 363:42.0 364:70.0 365:51.0 366:1291.0 367:7818.0 368:4022.0 369:2072.0 370:1046.0 371:152.0 372:26.0 373:57.0 374:331.0 376:10.0 377:198.0 378:97.0 380:266.0 381:456.0 382:11085.0 383:4924.0 384:2629.0 385:1193.0 386:81.0 387:62.0 391:36.0 392:123.0 394:70.0 398:28.0 400:8.0 401:43.0 402:9.0 404:124.0 406:45.0 407:71.0 408:58.0 410:133.0 411:77.0 412:222.0 413:252.0 414:17.0 415:87.0 416:2.0 417:141.0 419:187.0 421:23.0 422:31.0 423:70.0 424:175.0 425:713.0 426:469.0 427:58.0 429:50.0 432:86.0 435:123.0 436:33.0 437:49.0 438:90.0 439:259.0 440:2673.0 441:28012.0 442:16087.0 443:7571.0 444:2943.0 445:1062.0 446:328.0 447:116.0 448:69.0 449:225.0 450:358.0 451:89.0 452:197.0 453:140.0 454:62.0 455:3090.0 456:20627.0 457:11032.0 458:5206.0 459:2033.0 460:515.0 461:269.0 464:30.0 485:2.0</t>
  </si>
  <si>
    <t>388098</t>
  </si>
  <si>
    <t>391894</t>
  </si>
  <si>
    <t>140</t>
  </si>
  <si>
    <t>85:575.0 86:95.0 90:144.0 93:31.0 97:3.0 99:128.0 100:55.0 103:68.0 106:140.0 107:209.0 108:17.0 110:140.0 113:42.0 114:13.0 126:26.0 127:208.0 131:75.0 134:331.0 140:1843.0 141:139.0 147:6.0 169:474.0 171:21.0 183:113.0 184:63.0 186:4.0 215:7.0 231:39.0 299:8.0 313:3.0 335:15.0 336:3.0 389:14.0 426:5.0 439:4.0 460:8.0 498:10.0</t>
  </si>
  <si>
    <t>228</t>
  </si>
  <si>
    <t>227</t>
  </si>
  <si>
    <t>382318</t>
  </si>
  <si>
    <t>271210</t>
  </si>
  <si>
    <t>85:159.0 86:670.0 87:116.0 88:43.0 89:88.0 90:11.0 99:24.0 100:2753.0 101:117.0 102:264.0 110:140.0 113:137.0 114:120.0 116:133.0 117:90.0 119:5080.0 120:506.0 121:278.0 126:1.0 127:3.0 128:27.0 130:1178.0 131:468.0 132:390.0 133:1124.0 134:101.0 135:76.0 140:46.0 141:57.0 146:6143.0 147:1907.0 148:498.0 155:79.0 156:1.0 161:555.0 162:536.0 163:23.0 174:12.0 177:18.0 214:8.0 233:307.0 234:60.0 236:17.0 238:7.0 248:26.0 261:16.0 262:22.0 272:4.0 290:2.0 303:26.0 314:9.0 340:28.0 381:20.0 398:28.0 400:5.0 408:17.0 421:1.0 426:10.0 428:4.0 448:4.0 451:13.0 453:20.0 459:11.0 468:8.0 474:5.0 495:3.0</t>
  </si>
  <si>
    <t>374786</t>
  </si>
  <si>
    <t>678641</t>
  </si>
  <si>
    <t>85:450.0 86:66.0 87:2218.0 88:237.0 89:1422.0 90:319.0 91:629.0 94:293.0 95:86.0 97:613.0 98:4035.0 99:650.0 100:171.0 101:2356.0 102:409.0 103:10831.0 104:801.0 105:458.0 108:135.0 109:293.0 110:1577.0 111:552.0 112:59.0 113:477.0 114:252.0 115:732.0 116:1042.0 117:6463.0 118:1054.0 119:1294.0 120:38.0 122:115.0 124:6.0 127:7.0 128:67.0 129:7652.0 130:769.0 131:3071.0 132:852.0 133:6118.0 134:1117.0 135:406.0 136:17.0 138:36.0 140:842.0 141:344.0 142:342.0 143:4277.0 144:912.0 145:686.0 146:330.0 147:16781.0 148:2478.0 149:1911.0 150:157.0 151:158.0 152:16.0 153:153.0 154:55.0 155:2181.0 156:329.0 157:1762.0 158:154.0 159:691.0 161:433.0 162:36.0 163:81.0 167:86.0 168:114.0 169:1335.0 170:538.0 171:265.0 172:20.0 173:166.0 174:78.0 175:487.0 177:201.0 178:36.0 180:116.0 182:147.0 183:51.0 184:403.0 186:61.0 187:158.0 188:129.0 189:5756.0 190:1784.0 191:26226.0 192:5030.0 193:2047.0 194:134.0 195:104.0 197:204.0 198:119.0 199:287.0 200:245.0 201:501.0 202:132.0 203:1405.0 204:52407.0 205:12119.0 206:4700.0 207:407.0 209:1.0 211:71.0 212:169.0 213:129.0 214:12.0 215:253.0 217:10339.0 218:2714.0 219:1343.0 220:182.0 221:246.0 222:248.0 224:21.0 227:120.0 228:93.0 229:424.0 230:322.0 231:1363.0 232:626.0 233:197.0 235:72.0 238:115.0 239:39.0 241:86.0 242:177.0 243:860.0 244:198.0 245:212.0 246:55.0 247:163.0 248:11.0 252:139.0 255:4.0 256:24.0 257:168.0 258:7.0 259:368.0 260:91.0 261:57.0 262:52.0 263:131.0 266:137.0 268:142.0 269:55.0 270:60.0 271:448.0 272:71.0 273:266.0 274:123.0 275:76.0 277:101.0 278:122.0 279:125.0 280:24.0 287:90.0 288:958.0 289:137.0 290:170.0 291:652.0 292:810.0 293:325.0 294:67.0 296:1.0 297:15.0 300:51.0 301:175.0 302:53.0 303:76.0 304:32.0 305:820.0 306:245.0 307:363.0 308:51.0 313:3.0 314:55.0 315:43.0 316:139.0 317:471.0 318:188.0 319:1007.0 320:154.0 321:121.0 324:14.0 330:16.0 331:156.0 332:233.0 333:829.0 334:276.0 335:157.0 336:33.0 337:73.0 339:13.0 341:1.0 342:129.0 345:323.0 346:171.0 347:98.0 349:9.0 350:3.0 353:29.0 357:54.0 359:62.0 361:228.0 362:67.0 365:30.0 372:1.0 374:25.0 376:50.0 377:24.0 379:152.0 380:43.0 389:5.0 391:13.0 393:119.0 394:13.0 395:59.0 400:311.0 401:95.0 402:39.0 405:28.0 407:8.0 418:1.0 420:3.0 421:16.0 422:12.0 424:24.0 425:2.0 427:11.0 433:77.0 434:14.0 435:396.0 436:164.0 437:111.0 438:8.0 439:15.0 440:4.0 443:23.0 450:5.0 453:21.0 462:25.0 468:21.0 470:6.0</t>
  </si>
  <si>
    <t>373725</t>
  </si>
  <si>
    <t>659917</t>
  </si>
  <si>
    <t>85:2004.0 86:2266.0 87:447.0 88:818.0 89:7575.0 90:1090.0 91:74.0 92:216.0 93:244.0 94:449.0 95:57.0 96:618.0 97:166.0 98:926.0 99:2049.0 100:21982.0 101:8243.0 102:5575.0 103:19845.0 104:2395.0 105:1616.0 106:270.0 107:259.0 108:1248.0 109:197.0 110:742.0 111:958.0 112:1106.0 113:1722.0 114:1650.0 115:5940.0 116:4980.0 117:18848.0 118:2721.0 119:2261.0 120:227.0 121:186.0 122:90.0 123:6.0 124:196.0 125:231.0 126:766.0 127:352.0 128:7049.0 129:10771.0 130:6729.0 131:20546.0 132:5143.0 133:13761.0 134:3165.0 135:1012.0 136:220.0 138:40.0 139:163.0 140:930.0 141:866.0 142:3739.0 143:3034.0 144:2294.0 145:1891.0 146:3051.0 147:48657.0 148:7882.0 149:5987.0 150:929.0 151:380.0 152:2520.0 153:641.0 154:1090.0 155:419.0 156:2486.0 157:761.0 158:1153.0 159:403.0 161:189.0 162:2364.0 163:696.0 164:358.0 165:206.0 166:96.0 167:11.0 168:1045.0 169:486.0 170:752.0 171:443.0 172:2724.0 173:1599.0 174:1521.0 175:750.0 176:330.0 177:1343.0 178:179.0 179:71.0 180:462.0 181:183.0 182:512.0 183:141.0 184:240.0 185:125.0 186:45.0 187:1282.0 188:6186.0 189:4835.0 190:2471.0 191:4739.0 192:1066.0 193:504.0 194:93.0 195:148.0 196:249.0 198:394.0 199:109.0 200:3354.0 201:1063.0 202:2290.0 203:158645.0 204:35604.0 205:15843.0 206:3288.0 207:1016.0 208:379.0 209:152.0 211:73.0 213:93.0 214:1218.0 215:993.0 216:18308.0 217:19700.0 218:8548.0 219:2725.0 220:822.0 221:1446.0 222:263.0 223:114.0 224:95.0 225:111.0 226:448.0 227:144.0 228:650.0 229:390.0 230:847.0 231:2486.0 232:871.0 233:514.0 234:255.0 235:73.0 238:86.0 240:632.0 241:346.0 242:448.0 243:255.0 244:251.0 245:266.0 246:110.0 247:204.0 248:86.0 249:3.0 250:3.0 252:14.0 254:96.0 255:115.0 256:281.0 257:40.0 258:133.0 259:82.0 260:87.0 261:95.0 262:323.0 263:32.0 265:288.0 266:101.0 270:225.0 271:6.0 272:260.0 273:140.0 274:113.0 275:20.0 276:51.0 277:236.0 279:115.0 288:218.0 289:60.0 290:1259.0 291:1229.0 292:483.0 293:135.0 294:3.0 297:19.0 301:9.0 302:296.0 303:317.0 304:7953.0 305:3095.0 306:1782.0 307:419.0 308:40.0 311:26.0 314:25.0 315:41.0 316:442.0 317:317.0 318:139.0 320:28.0 324:58.0 326:29.0 328:126.0 329:68.0 330:302.0 331:689.0 332:316.0 333:187.0 334:248.0 336:18.0 337:33.0 338:58.0 342:149.0 344:671.0 345:150.0 346:227.0 349:9.0 350:11.0 351:19.0 352:5.0 354:20.0 358:43.0 360:154.0 361:24.0 362:55.0 364:25.0 366:6.0 369:11.0 372:3.0 377:87.0 378:82.0 381:9.0 384:1.0 385:48.0 386:3.0 388:20.0 391:22.0 392:110.0 394:47.0 397:25.0 402:3.0 403:24.0 406:82.0 407:73.0 411:33.0 412:17.0 415:21.0 416:25.0 421:33.0 423:12.0 424:21.0 428:13.0 433:52.0 434:1069.0 435:488.0 436:273.0 437:156.0 438:47.0 440:19.0 449:62.0 450:10.0 451:5.0 465:9.0 470:17.0 472:10.0 473:9.0 475:17.0 479:7.0 480:57.0 482:48.0 485:30.0 496:28.0 498:1.0 499:34.0</t>
  </si>
  <si>
    <t>184</t>
  </si>
  <si>
    <t>369728</t>
  </si>
  <si>
    <t>600172</t>
  </si>
  <si>
    <t>85:123.0 86:66.0 87:76.0 90:71.0 98:12.0 100:643.0 101:1206.0 102:394.0 103:1893.0 105:4.0 110:15.0 113:76.0 114:92.0 115:429.0 116:903.0 117:463.0 119:64.0 121:197.0 128:41.0 129:454.0 130:672.0 131:701.0 132:84.0 133:2964.0 134:253.0 135:769.0 136:22.0 137:335.0 139:35.0 142:208.0 143:1444.0 144:226.0 145:1.0 146:309.0 147:4498.0 148:325.0 149:794.0 150:139.0 151:109.0 154:11.0 155:295.0 156:840.0 157:93.0 158:53.0 160:13.0 165:15.0 166:37.0 167:12.0 169:14.0 172:13.0 174:147.0 177:58.0 179:1.0 181:512.0 182:29.0 183:179.0 185:21.0 188:19.0 189:354.0 191:390.0 193:304.0 195:390.0 196:54.0 197:53.0 203:34.0 204:336.0 205:21.0 207:580.0 208:19.0 209:22.0 210:2.0 211:2670.0 212:363.0 213:294.0 214:45.0 215:32.0 216:9.0 217:2268.0 218:992.0 219:287.0 220:115.0 221:14.0 225:459.0 226:26.0 227:361.0 230:97.0 231:84.0 232:79.0 238:18.0 243:124.0 245:121.0 247:6.0 252:121.0 253:54.0 254:54.0 255:86.0 256:19.0 269:162.0 270:20.0 273:39.0 281:30.0 283:38.0 285:593.0 286:140.0 287:99.0 291:5.0 292:82.0 293:20.0 298:488.0 299:3386.0 300:1130.0 301:509.0 302:75.0 309:5.0 314:33.0 315:1567.0 316:284.0 317:264.0 318:9.0 319:24.0 330:3.0 334:9.0 341:160.0 342:60.0 343:42.0 345:3.0 357:65.0 358:19.0 361:1.0 368:48.0 369:1375.0 370:403.0 371:292.0 372:39.0 373:63.0 374:19.0 384:15.0 386:107.0 387:874.0 388:341.0 389:244.0 390:2.0 391:16.0 415:9.0 416:74.0 417:54.0 418:23.0 431:25.0 432:4.0 434:50.0 436:1.0 444:180.0 445:20.0 449:11.0 450:1.0 451:2.0 458:79.0 459:861.0 460:390.0 461:180.0</t>
  </si>
  <si>
    <t>369638</t>
  </si>
  <si>
    <t>644843</t>
  </si>
  <si>
    <t>278</t>
  </si>
  <si>
    <t>86:92.0 89:698.0 95:264.0 96:629.0 100:191.0 101:58.0 103:174.0 104:98.0 109:139.0 113:13.0 116:137.0 117:423.0 125:7.0 129:372.0 130:144.0 135:35.0 136:82.0 137:142.0 138:47.0 140:4.0 143:150.0 149:308.0 151:34.0 153:2029.0 154:531.0 155:160.0 156:125.0 157:938.0 158:133.0 159:5.0 166:30.0 167:76.0 168:295.0 169:15.0 172:54.0 173:1157.0 174:443.0 180:138.0 181:11.0 183:43.0 184:111.0 194:25.0 196:26.0 199:26.0 204:239.0 218:123.0 220:51.0 227:117.0 239:30.0 244:20.0 245:138.0 246:87.0 254:39.0 258:72.0 260:32.0 262:7.0 265:17.0 267:35.0 271:6.0 274:79.0 276:11.0 277:60.0 278:2677.0 279:512.0 280:142.0 283:24.0 284:4.0 285:2.0 292:29.0 299:33.0 303:92.0 307:76.0 308:21.0 310:17.0 312:2.0 314:19.0 316:152.0 317:41.0 326:7.0 330:17.0 336:7.0 364:26.0 367:10.0 373:1.0 380:249.0 381:13.0 382:33.0 395:59.0 396:20.0 398:4.0 427:15.0 471:4.0 474:2.0 500:5.0</t>
  </si>
  <si>
    <t>260</t>
  </si>
  <si>
    <t>367932</t>
  </si>
  <si>
    <t>380080</t>
  </si>
  <si>
    <t>170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</si>
  <si>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</si>
  <si>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367905</t>
  </si>
  <si>
    <t>663715</t>
  </si>
  <si>
    <t>85:2348.0 86:3547.0 87:54.0 90:316.0 92:486.0 93:154.0 94:463.0 95:54.0 96:628.0 97:28.0 98:2643.0 99:903.0 100:17525.0 101:3329.0 102:823.0 103:2040.0 104:144.0 105:129.0 107:543.0 108:286.0 110:325.0 111:1505.0 112:3820.0 113:683.0 114:707.0 116:1014.0 117:7701.0 119:687.0 120:273.0 123:544.0 124:659.0 125:984.0 126:3122.0 128:1373.0 129:2891.0 131:2344.0 132:6601.0 133:2555.0 135:140.0 136:11.0 137:242.0 138:436.0 139:1312.0 140:322.0 141:979.0 142:137.0 144:545.0 145:1146.0 146:183.0 147:10465.0 148:832.0 149:1.0 150:739.0 151:266.0 152:475.0 153:7047.0 154:268852.0 155:57937.0 156:18008.0 157:2639.0 158:895.0 160:244.0 162:138.0 163:287.0 164:11.0 165:311.0 166:4156.0 167:1486.0 168:372.0 169:205.0 170:86.0 171:96.0 172:213.0 173:111.0 174:4165.0 175:815.0 176:72.0 178:26.0 179:3.0 180:397.0 181:398.0 182:2431.0 183:1166.0 186:354.0 188:47.0 189:474.0 192:20.0 194:86.0 197:133.0 201:288.0 202:617.0 203:376.0 205:369.0 206:239.0 208:26.0 211:648.0 212:209.0 213:240.0 214:237.0 215:115.0 217:362.0 218:13322.0 219:2200.0 220:839.0 222:48.0 223:118.0 224:234.0 225:466.0 226:3717.0 227:1051.0 228:888.0 229:520.0 230:1321.0 233:45.0 234:53.0 236:56.0 237:286.0 238:8653.0 239:2429.0 240:864.0 241:508.0 242:27.0 243:54.0 244:7.0 247:66.0 248:40.0 252:186.0 253:121.0 254:46427.0 255:11001.0 256:4638.0 257:3279.0 258:730.0 259:172.0 265:35.0 266:2305.0 267:515.0 268:141.0 269:92.0 270:11.0 273:112.0 274:61.0 276:104.0 278:13.0 280:46.0 282:156.0 284:73.0 285:38.0 286:48.0 288:42.0 291:48.0 296:5.0 298:48.0 299:1018.0 300:139.0 301:48.0 312:1.0 314:166.0 318:33.0 319:669.0 320:49.0 321:88.0 328:1213.0 329:327.0 330:359.0 331:88.0 333:21.0 335:5.0 338:433.0 339:176.0 340:82.0 349:2.0 356:4222.0 357:1585.0 358:782.0 360:1.0 362:22.0 363:167.0 369:1.0 371:934.0 372:418.0 373:173.0 374:17.0 386:2.0 394:3.0 405:3.0 408:2.0 412:2.0 419:17.0 425:1.0 427:1.0 432:2.0 441:2.0 445:1.0 466:25.0 469:1.0 471:3.0 480:2.0 485:1.0 487:1.0</t>
  </si>
  <si>
    <t>362084</t>
  </si>
  <si>
    <t>637040</t>
  </si>
  <si>
    <t>85:317.0 87:516.0 88:955.0 94:296.0 97:95.0 98:237.0 99:317.0 100:13546.0 101:1488.0 102:1663.0 110:79.0 112:264.0 113:276.0 114:3426.0 115:770.0 116:4405.0 118:217.0 119:15.0 120:93.0 124:59.0 126:111.0 127:233.0 128:1349.0 130:1904.0 131:826.0 132:3307.0 133:275.0 134:498.0 135:59.0 140:220.0 142:456.0 143:308.0 144:95.0 146:640.0 147:2293.0 148:557.0 149:9.0 152:33.0 154:66.0 155:105.0 156:3112.0 157:806.0 158:21.0 160:112.0 161:43.0 162:32.0 165:103.0 166:116.0 167:195.0 168:938.0 169:246.0 170:120.0 171:196.0 172:649.0 173:39.0 174:16577.0 175:3052.0 176:1287.0 177:192.0 179:9.0 182:8.0 183:39.0 184:147.0 186:415.0 187:34.0 188:16892.0 189:2748.0 190:2789.0 191:163.0 192:121.0 196:92.0 197:82.0 200:3630.0 201:885.0 202:292.0 203:4.0 204:440.0 206:24.0 209:20.0 211:16.0 212:31.0 214:70.0 215:132.0 216:272.0 222:5.0 227:50.0 228:54.0 230:393.0 231:116.0 233:2.0 234:1.0 236:35.0 237:7.0 239:73.0 242:162.0 243:339.0 244:101.0 246:470.0 247:138.0 248:44.0 250:2.0 256:69.0 257:98.0 258:864.0 259:275.0 260:46.0 265:25.0 271:288.0 272:85.0 273:109.0 274:7.0 284:36.0 287:38.0 289:100.0 290:23.0 292:3.0 298:14.0 299:25.0 301:38.0 311:3.0 315:57.0 317:3.0 323:2.0 327:41.0 333:9.0 334:3.0 344:13.0 347:7.0 349:4.0 350:1.0 354:7.0 359:2.0 360:17.0 361:770.0 362:434.0 363:214.0 364:67.0 399:1.0 433:4.0 441:1.0 447:14.0 493:5.0</t>
  </si>
  <si>
    <t>362036</t>
  </si>
  <si>
    <t>400863</t>
  </si>
  <si>
    <t>85:1.0 87:22.0 92:41.0 100:624.0 101:174.0 102:85.0 103:20.0 105:29.0 106:52.0 107:86.0 108:24.0 109:3.0 110:78.0 112:2.0 114:115.0 115:35.0 116:3.0 117:6.0 118:93.0 119:52.0 125:6.0 126:62.0 127:247.0 128:16.0 129:41.0 130:699.0 131:52.0 133:54.0 134:505.0 135:5.0 136:2.0 137:6.0 143:1.0 144:5148.0 145:448.0 146:238.0 148:62.0 149:1.0 152:47.0 158:4.0 159:25.0 163:6.0 171:14.0 173:11.0 174:4.0 175:9.0 180:15.0 181:9.0 183:88.0 184:110.0 189:1.0 190:3.0 191:19.0 196:1.0 199:16.0 211:37.0 216:5.0 218:34.0 224:18.0 227:20.0 245:49.0 246:19.0 263:16.0 264:12.0 271:6.0 284:2.0 288:3.0 290:18.0 299:51.0 300:14.0 301:29.0 310:1.0 357:9.0 374:10.0 392:9.0 393:3.0 412:4.0 447:10.0 475:9.0</t>
  </si>
  <si>
    <t>362010</t>
  </si>
  <si>
    <t>778295</t>
  </si>
  <si>
    <t>85:635.0 86:2222.0 87:214.0 88:508.0 89:440.0 90:92.0 94:38.0 95:40.0 97:142.0 98:180.0 99:313.0 100:2564.0 101:1020.0 102:1206.0 103:387.0 106:87.0 107:30.0 110:162.0 111:122.0 112:232.0 113:155.0 114:923.0 115:832.0 116:15403.0 117:1911.0 118:794.0 120:34.0 123:22.0 124:32.0 125:84.0 126:107.0 128:598.0 129:2519.0 130:578.0 131:380.0 132:2315.0 133:1103.0 134:249.0 135:45.0 137:11.0 139:175.0 140:370.0 141:260.0 142:608.0 143:390.0 144:399.0 145:89.0 147:770.0 148:334.0 149:565.0 150:43.0 151:3.0 152:12.0 153:76.0 154:33.0 155:139.0 156:1206.0 157:608.0 158:19697.0 159:3305.0 160:1603.0 161:229.0 162:58.0 163:24.0 167:190.0 168:100.0 169:208.0 170:313.0 171:14.0 172:190.0 173:61.0 174:636.0 175:138.0 176:35.0 177:57.0 179:69.0 180:26.0 181:26.0 183:56.0 184:112.0 185:10.0 186:143.0 187:56.0 188:738.0 189:131.0 190:187.0 191:71.0 193:112.0 194:9.0 195:82.0 196:29.0 197:196.0 198:65.0 199:87.0 200:140.0 201:83.0 202:150.0 203:677.0 204:15346.0 205:3037.0 206:1934.0 207:62.0 208:156.0 209:6.0 210:6.0 211:203.0 212:119.0 213:41.0 214:164.0 216:765.0 217:232.0 218:72.0 220:19.0 221:18.0 224:33.0 225:78.0 227:16.0 229:75.0 230:236.0 231:82.0 232:104.0 233:10.0 234:11.0 236:27.0 239:267.0 240:31.0 241:55.0 242:90.0 243:78.0 244:41.0 245:55.0 247:44.0 252:1.0 253:22.0 255:13.0 256:34.0 257:104.0 258:106.0 259:33.0 260:65.0 261:2.0 262:4.0 269:23.0 270:23.0 271:6.0 273:101.0 274:316.0 275:234.0 276:156.0 277:46.0 278:8.0 279:20.0 282:10.0 285:36.0 286:75.0 287:124.0 288:16.0 290:2.0 291:1.0 299:93.0 300:49.0 301:102.0 302:40.0 304:27.0 306:2.0 310:14.0 311:103.0 312:5.0 313:60.0 315:32.0 316:11.0 317:17.0 318:25.0 323:8.0 324:69.0 325:42.0 326:35.0 327:37.0 328:35.0 329:219.0 330:67.0 337:31.0 341:9.0 343:7.0 345:6.0 346:8.0 347:36.0 348:12.0 349:8.0 353:7.0 354:10.0 355:13.0 357:40.0 359:35.0 361:8.0 362:4.0 372:3.0 373:27.0 376:41.0 377:7.0 382:25.0 385:25.0 387:10.0 390:56.0 392:34.0 397:3.0 400:21.0 401:2.0 402:5.0 417:45.0 418:88.0 419:568.0 420:214.0 421:94.0 422:19.0 423:6.0 427:7.0 434:1.0 435:1.0 442:23.0 446:19.0 461:285.0 462:67.0 469:8.0 472:33.0 473:2.0 489:4.0 492:15.0 494:18.0 496:4.0</t>
  </si>
  <si>
    <t>359713</t>
  </si>
  <si>
    <t>731359</t>
  </si>
  <si>
    <t>86:171.0 93:8.0 100:33.0 101:10.0 116:93.0 126:28.0 128:19.0 129:478.0 136:26.0 140:60.0 141:26.0 142:85.0 143:81.0 147:85.0 155:5.0 156:4581.0 157:786.0 158:793.0 159:5.0 160:15.0 161:14.0 168:24.0 171:15.0 173:3.0 181:11.0 184:19.0 188:86.0 195:6.0 199:10.0 208:7.0 211:106.0 216:14.0 217:231.0 218:66.0 227:30.0 245:2.0 246:8.0 247:27.0 251:20.0 262:6.0 269:119.0 270:34.0 277:9.0 289:35.0 290:219.0 291:79.0 292:5.0 299:238.0 300:40.0 301:7.0 314:30.0 315:357.0 316:87.0 317:45.0 325:13.0 330:31.0 331:1.0 350:2.0 357:41.0 360:5.0 371:33.0 388:14.0 395:20.0 417:17.0 426:3.0 435:4.0</t>
  </si>
  <si>
    <t>359697</t>
  </si>
  <si>
    <t>759397</t>
  </si>
  <si>
    <t>85:5.0 86:517.0 87:31.0 90:3.0 97:12.0 98:20.0 99:131.0 100:516.0 102:248.0 106:17.0 112:12.0 113:12.0 116:346.0 117:60.0 118:11.0 122:3.0 125:3.0 127:6.0 128:127.0 129:228.0 130:30.0 133:262.0 135:4.0 139:28.0 140:107.0 141:199.0 142:160.0 144:91.0 145:1.0 147:223.0 148:3.0 151:3.0 152:2.0 154:117.0 155:159.0 156:5346.0 157:1154.0 158:661.0 159:17.0 165:2.0 167:12.0 168:67.0 169:80.0 170:4.0 171:24.0 172:84.0 173:15.0 174:3042.0 175:533.0 176:614.0 177:4.0 179:1.0 181:137.0 182:49.0 183:115.0 184:4.0 188:34.0 192:4.0 193:39.0 194:40.0 195:101.0 196:146.0 197:30.0 202:26.0 203:25.0 207:50.0 208:2.0 209:488.0 210:108.0 211:251.0 212:93.0 213:3.0 214:28.0 215:1.0 216:41.0 217:157.0 218:199.0 223:17.0 224:14.0 225:323.0 226:123.0 227:20.0 229:66.0 230:5.0 231:69.0 232:25.0 233:2.0 236:33.0 237:46.0 239:139.0 240:65.0 242:23.0 243:42.0 244:17.0 245:94.0 247:1.0 253:14.0 255:24.0 256:24.0 259:39.0 261:1.0 265:873.0 266:209.0 267:9.0 268:29.0 269:1.0 270:1.0 272:1.0 273:24.0 274:21.0 275:31.0 277:12.0 278:1.0 280:235.0 281:37.0 283:81.0 284:91.0 285:62.0 287:9.0 291:10.0 296:2.0 297:54.0 299:125.0 300:143.0 301:29.0 302:29.0 305:37.0 306:13.0 307:1.0 308:14.0 310:78.0 311:30.0 312:7.0 314:21.0 315:162.0 316:39.0 317:26.0 321:2.0 324:4.0 331:1.0 332:7.0 336:5.0 338:1.0 342:32.0 343:8.0 347:1.0 350:1.0 353:1.0 356:44.0 371:15.0 372:6.0 373:4.0 374:12.0 375:30.0 385:3.0 386:2.0 395:1.0 398:31.0 401:2.0 402:24.0 413:2.0 417:125.0 419:24.0 427:4.0 430:1.0 435:11.0 437:1.0 446:5.0 447:5.0 449:1.0 451:3.0 459:1.0 463:104.0 464:111.0 465:17.0 469:9.0 472:26.0 473:1.0 477:1.0 498:1.0</t>
  </si>
  <si>
    <t>359687</t>
  </si>
  <si>
    <t>920316</t>
  </si>
  <si>
    <t>86:2075.0 88:52.0 90:3.0 91:116.0 100:764.0 101:99.0 102:318.0 113:61.0 114:65.0 117:17.0 118:51.0 130:87.0 142:177.0 144:20.0 145:21.0 146:251.0 151:79.0 154:14.0 156:147.0 158:154.0 159:9.0 161:12.0 163:125.0 165:11.0 166:9.0 167:10.0 172:151.0 174:8282.0 175:1576.0 176:1261.0 177:472.0 178:92.0 179:1226.0 180:43.0 181:13.0 185:40.0 187:74.0 190:27.0 191:12.0 192:48.0 193:1.0 201:5.0 202:138.0 205:78.0 214:51.0 217:122.0 218:57.0 219:110.0 220:68.0 226:1.0 234:58.0 236:11.0 239:3.0 241:8.0 249:10.0 251:22.0 255:49.0 256:14.0 264:39.0 273:1.0 276:34.0 281:35.0 283:2.0 285:17.0 293:167.0 294:22.0 301:36.0 305:21.0 307:17.0 308:932.0 309:197.0 310:87.0 311:18.0 314:2.0 315:1.0 325:17.0 327:21.0 328:12.0 342:8.0 347:30.0 357:19.0 374:4.0 393:2.0 409:3.0 429:9.0 432:1.0 499:1.0</t>
  </si>
  <si>
    <t>359567</t>
  </si>
  <si>
    <t>876296</t>
  </si>
  <si>
    <t>89:5.0 91:376.0 96:47.0 100:2.0 101:68.0 103:49.0 104:109.0 105:6.0 116:206.0 120:3.0 124:16.0 131:30.0 140:67.0 141:3.0 142:42.0 147:427.0 154:27.0 155:168.0 156:5930.0 157:1425.0 158:1287.0 159:89.0 166:51.0 169:17.0 170:44.0 171:49.0 177:48.0 181:18.0 182:36.0 183:49.0 184:11.0 188:37.0 192:5.0 194:35.0 196:9.0 207:30.0 208:52.0 211:6.0 212:19.0 213:2.0 214:12.0 215:120.0 217:30.0 219:55.0 220:9.0 222:45.0 224:14.0 231:47.0 233:26.0 236:23.0 239:8.0 240:2.0 243:106.0 244:80.0 249:49.0 254:52.0 263:7.0 271:9.0 281:16.0 290:14.0 296:14.0 297:29.0 298:1.0 299:275.0 300:51.0 301:21.0 303:234.0 304:31.0 305:17.0 306:5.0 309:2.0 310:6.0 315:30.0 329:38.0 332:3.0 336:5.0 347:1.0 357:10.0 358:38.0 371:4.0 372:20.0 373:1.0 375:4.0 383:4.0 387:12.0 389:2.0 405:135.0 406:9.0 415:14.0 420:45.0 421:25.0 422:16.0 424:10.0 447:5.0 466:1.0</t>
  </si>
  <si>
    <t>359513</t>
  </si>
  <si>
    <t>678220</t>
  </si>
  <si>
    <t>86:245.0 89:3.0 93:13.0 100:173.0 102:97.0 107:72.0 110:43.0 114:26.0 116:1405.0 118:113.0 128:3.0 129:12.0 130:15.0 131:29.0 134:85.0 140:82.0 142:74.0 144:75.0 147:134.0 156:4082.0 157:709.0 158:1743.0 159:221.0 160:28.0 169:5.0 172:34.0 173:14.0 176:28.0 182:13.0 183:9.0 184:122.0 191:1.0 197:9.0 204:61.0 211:48.0 216:7.0 227:145.0 232:70.0 234:27.0 239:7.0 246:39.0 247:3.0 248:5.0 258:4.0 275:16.0 277:3.0 296:64.0 299:56.0 300:9.0 301:38.0 329:79.0 330:25.0 367:22.0 382:1.0 404:22.0 408:9.0 412:4.0 419:3.0 422:3.0 425:1.0 474:4.0 494:13.0</t>
  </si>
  <si>
    <t>249</t>
  </si>
  <si>
    <t>357010</t>
  </si>
  <si>
    <t>877637</t>
  </si>
  <si>
    <t>85:268.0 86:5352.0 87:128.0 93:6.0 95:38.0 97:83.0 99:5.0 100:364.0 103:55.0 106:102.0 112:70.0 113:8.0 114:32.0 117:176.0 123:4.0 124:18.0 125:4.0 131:250.0 133:276.0 134:101.0 141:33.0 145:64.0 149:108.0 155:48.0 156:20.0 157:25.0 163:3.0 165:15.0 167:15.0 183:8.0 187:94.0 202:12.0 209:12.0 211:28.0 219:14.0 224:23.0 225:27.0 229:9.0 252:7.0 292:1.0 297:9.0 314:10.0 327:2.0 335:4.0 339:36.0 396:8.0 418:5.0 454:4.0</t>
  </si>
  <si>
    <t>356985</t>
  </si>
  <si>
    <t>542812</t>
  </si>
  <si>
    <t>85:496.0 86:1746.0 87:746.0 88:3145.0 89:668.0 90:446.0 91:5.0 95:8.0 97:109.0 98:233.0 99:184.0 100:844.0 101:290.0 102:51963.0 103:4555.0 104:1962.0 105:20.0 106:108.0 107:81.0 109:13.0 111:10.0 112:8.0 113:72.0 114:542.0 115:176.0 116:426.0 118:11.0 123:17.0 126:258.0 127:37.0 128:276.0 133:24.0 142:84.0 144:152.0 147:205.0 148:653.0 154:9.0 158:191.0 159:44.0 164:2.0 170:17.0 172:32.0 175:46.0 176:12.0 179:16.0 184:126.0 186:20.0 200:1.0 214:27.0 215:5.0 242:1327.0 243:335.0 244:38.0 252:27.0 254:2.0 256:81.0 257:236.0 258:36.0 315:7.0 323:8.0 353:9.0 379:2.0 386:1.0 408:5.0 416:18.0 418:1.0 456:16.0 497:16.0</t>
  </si>
  <si>
    <t>229</t>
  </si>
  <si>
    <t>356938</t>
  </si>
  <si>
    <t>895137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</si>
  <si>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</si>
  <si>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356925</t>
  </si>
  <si>
    <t>648085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</si>
  <si>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</si>
  <si>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354038</t>
  </si>
  <si>
    <t>319018</t>
  </si>
  <si>
    <t>91:59.0 93:49.0 100:45.0 104:86.0 109:71.0 118:312.0 119:13.0 120:192.0 126:31.0 127:296.0 130:159.0 134:30.0 144:25.0 146:7.0 149:69.0 150:22.0 158:4.0 176:24.0 178:2194.0 179:310.0 180:19.0 184:25.0 193:379.0 194:15.0 247:18.0 492:2.0</t>
  </si>
  <si>
    <t>352980</t>
  </si>
  <si>
    <t>795269</t>
  </si>
  <si>
    <t>290</t>
  </si>
  <si>
    <t>86:57.0 89:530.0 97:4.0 99:31.0 101:166.0 102:36.0 103:958.0 104:104.0 111:1.0 113:3.0 115:8.0 117:508.0 119:1.0 125:7.0 126:59.0 127:1.0 129:266.0 130:270.0 133:1563.0 134:58.0 140:69.0 141:33.0 142:51.0 143:70.0 147:1599.0 151:25.0 154:23.0 156:381.0 157:422.0 158:12.0 160:13.0 163:2.0 170:32.0 172:185.0 173:1.0 182:2.0 185:1.0 186:99.0 189:116.0 190:145.0 191:16.0 192:36.0 200:84.0 203:12.0 204:352.0 205:602.0 206:171.0 214:97.0 215:28.0 216:1.0 217:633.0 218:47.0 219:45.0 224:16.0 228:5.0 229:87.0 230:35.0 232:10.0 233:1.0 234:58.0 240:28.0 244:24.0 246:259.0 247:49.0 249:30.0 250:65.0 255:4.0 257:14.0 259:18.0 261:40.0 262:1.0 265:1.0 271:12.0 273:39.0 277:5.0 288:23.0 290:1689.0 291:401.0 292:169.0 293:106.0 305:63.0 306:22.0 307:25.0 312:15.0 315:1.0 316:6.0 318:1.0 319:643.0 320:112.0 321:114.0 331:6.0 340:13.0 341:64.0 342:3.0 345:1.0 349:4.0 358:27.0 363:19.0 364:44.0 386:5.0 391:5.0 392:65.0 404:72.0 405:28.0 406:27.0 420:6.0 426:10.0 447:8.0 491:10.0 492:1.0</t>
  </si>
  <si>
    <t>339455</t>
  </si>
  <si>
    <t>319899</t>
  </si>
  <si>
    <t>85:58.0 88:217.0 89:49.0 91:8.0 94:37.0 96:145.0 97:47.0 98:30.0 100:1141.0 101:6.0 102:93.0 103:436.0 104:62.0 106:2.0 107:526.0 111:34.0 112:87.0 113:18.0 114:7.0 115:286.0 116:128.0 117:231.0 118:148.0 121:9.0 122:1.0 125:5.0 128:58.0 129:1027.0 130:573.0 133:61.0 134:267.0 135:3.0 136:39.0 139:22.0 143:303.0 144:124.0 147:1427.0 149:421.0 151:1.0 152:98.0 156:6503.0 157:858.0 158:2639.0 159:131.0 160:23.0 161:3.0 162:1.0 163:23.0 169:62.0 171:1.0 172:64.0 173:9.0 174:652.0 175:73.0 177:477.0 178:2.0 184:818.0 186:457.0 189:3.0 190:2.0 191:2.0 193:847.0 194:105.0 201:1.0 203:13.0 205:303.0 206:23.0 219:37.0 225:5.0 227:25.0 231:12.0 232:42.0 233:119.0 234:1.0 240:16.0 247:424.0 248:44.0 255:146.0 256:22.0 278:1.0 318:20.0 340:2.0 446:3.0 452:3.0</t>
  </si>
  <si>
    <t>330609</t>
  </si>
  <si>
    <t>475526</t>
  </si>
  <si>
    <t>85:372.0 86:495.0 87:839.0 88:97.0 89:2335.0 90:218.0 91:515.0 92:120.0 95:461.0 97:161.0 98:68.0 99:2118.0 100:1119.0 101:15163.0 102:945.0 103:22841.0 104:2006.0 105:952.0 107:181.0 108:124.0 109:27.0 110:1861.0 111:2122.0 113:1314.0 114:701.0 115:498.0 116:10842.0 117:4923.0 118:151.0 119:425.0 120:435.0 121:117.0 122:2648.0 123:84.0 124:20.0 125:2.0 126:51.0 127:609.0 128:304.0 129:31403.0 130:4292.0 131:8191.0 132:1224.0 133:8681.0 134:1513.0 135:1169.0 137:52.0 138:39.0 141:1223.0 142:499.0 143:4182.0 144:549.0 145:621.0 146:49.0 147:25383.0 148:2689.0 149:4423.0 150:639.0 151:462.0 152:17.0 153:8.0 154:33.0 155:1256.0 156:804.0 160:56.0 161:204.0 163:422.0 164:15.0 165:148.0 166:57.0 169:1236.0 170:7368.0 171:3021.0 172:3303.0 173:680.0 174:1301.0 175:516.0 176:1167.0 177:3722.0 178:609.0 179:440.0 181:92.0 184:201.0 185:301.0 186:280.0 187:2.0 188:45.0 189:2280.0 190:567.0 191:4105.0 192:879.0 193:208.0 195:5.0 196:130.0 197:62.0 198:7.0 201:195.0 202:109.0 203:1502.0 204:2513.0 205:435.0 206:204.0 207:446.0 208:945.0 209:405.0 210:66.0 211:5.0 212:92.0 215:159.0 216:89.0 217:31815.0 218:8102.0 219:4266.0 220:553.0 221:45.0 222:34.0 223:1236.0 224:299.0 225:105.0 227:30.0 228:99.0 230:57.0 234:20.0 237:15.0 238:38.0 239:63.0 240:68.0 241:6.0 243:259.0 244:47.0 245:423.0 246:42.0 247:1456.0 248:303.0 249:35.0 251:34.0 252:25.0 253:121.0 254:5.0 255:54.0 258:14.0 260:232.0 261:793.0 262:78.0 263:52.0 264:54.0 267:46.0 268:74.0 269:146.0 270:10.0 271:4.0 277:59.0 278:15.0 280:3.0 282:31.0 283:33.0 284:225.0 286:19.0 288:2.0 304:1.0 305:2.0 306:158.0 307:61.0 309:8.0 311:147.0 312:22.0 313:7.0 315:6.0 325:22.0 326:86.0 328:10.0 329:266.0 332:7.0 333:6.0 335:96.0 349:90.0 353:3.0 358:1.0 366:14.0 367:18.0 368:34.0 369:143.0 370:25.0 387:2.0 388:1.0 398:2.0 403:67.0 418:62.0 419:18.0 421:9.0 422:2.0 423:3.0 433:1.0 434:1.0 435:2.0 436:2.0 440:1.0 452:2.0 467:8.0 469:1.0 477:10.0 492:1.0 494:1.0 500:4.0</t>
  </si>
  <si>
    <t>321692</t>
  </si>
  <si>
    <t>434434</t>
  </si>
  <si>
    <t>85:459.0 86:12.0 87:82.0 89:31.0 91:182.0 92:34.0 93:9.0 96:18.0 97:477.0 98:94.0 99:316.0 101:768.0 102:85.0 103:515.0 104:196.0 105:112.0 107:233.0 108:72.0 110:1348.0 111:27.0 113:88.0 114:9450.0 115:921.0 116:650.0 117:1971.0 118:104.0 120:11.0 125:7.0 127:454.0 129:297.0 130:1092.0 131:558.0 132:118.0 133:110.0 134:474.0 136:346.0 139:130.0 140:18.0 142:10.0 143:704.0 144:255.0 145:129.0 146:82.0 147:2087.0 148:721.0 153:45.0 154:8.0 165:22.0 171:262.0 180:1.0 184:644.0 189:66.0 191:520.0 198:35.0 213:116.0 217:206.0 227:35.0 228:1140.0 229:48.0 243:1.0 255:71.0 259:59.0 260:4.0 261:209.0 262:21.0 276:34.0 301:115.0 302:18.0 314:48.0 456:5.0 476:13.0</t>
  </si>
  <si>
    <t>319168</t>
  </si>
  <si>
    <t>336739</t>
  </si>
  <si>
    <t>85:2776.0 86:2924.0 87:569.0 88:621.0 89:418.0 90:290.0 92:46.0 95:4.0 97:18.0 98:8549.0 99:3160.0 100:4995.0 103:28.0 104:402.0 105:35.0 106:1.0 113:1522.0 114:710.0 118:219.0 120:5147.0 121:979.0 122:176.0 124:1.0 125:7.0 127:24.0 128:6355.0 129:52.0 130:76.0 131:22.0 132:20.0 134:3218.0 139:45.0 141:10.0 142:78.0 143:1148.0 146:7.0 149:12.0 151:181.0 155:2.0 156:29.0 157:44961.0 158:5233.0 159:1253.0 160:138.0 161:611.0 165:101.0 170:1688.0 171:10051.0 172:383.0 173:741.0 174:55.0 179:352.0 180:5.0 184:2681.0 185:176.0 186:746.0 189:742.0 193:1.0 194:3.0 201:1.0 204:2.0 211:482.0 218:1.0 219:9.0 221:3.0 224:196.0 226:168.0 229:165.0 234:4.0 248:28.0 249:311.0 250:29.0 251:3.0 252:12.0 259:1636.0 260:2876.0 261:505.0 262:183.0 275:2.0 291:15.0 299:9.0 300:119.0 301:4.0 302:7.0 305:1.0 314:396.0 315:62.0 317:11.0 328:23.0 329:28.0 330:32.0 345:12.0 346:34.0 347:12.0 359:7.0 363:25.0 364:12.0 365:4.0 371:5.0 377:1.0 378:28.0 379:57.0 380:6.0 381:14.0 382:1.0 383:1.0 384:11.0 391:17.0 393:50.0 394:34.0 395:9.0 396:21.0 397:1.0 399:10.0 409:4.0 410:48.0 411:1.0 413:37.0 414:7.0 416:40.0 417:1.0 418:12.0 420:4.0 422:20.0 424:17.0 427:9.0 434:1.0 436:1.0 438:23.0 439:3.0 442:2.0 443:3.0 444:44.0 446:34.0 447:1.0 449:5.0 450:6.0 456:16.0 457:13.0 463:1.0 464:22.0 465:1.0 466:31.0 470:35.0 471:22.0 472:20.0 473:1.0 474:2.0 476:12.0 480:7.0 481:5.0 482:33.0 483:9.0 484:26.0 485:1.0 486:22.0 488:10.0 489:8.0 491:23.0 492:6.0 493:5.0 496:2.0 497:19.0 498:14.0</t>
  </si>
  <si>
    <t>314770</t>
  </si>
  <si>
    <t>700265</t>
  </si>
  <si>
    <t>85:107.0 86:452.0 89:2406.0 91:183.0 93:9.0 94:148.0 98:232.0 99:231.0 100:1912.0 101:452.0 102:611.0 103:2032.0 105:49.0 108:294.0 109:114.0 112:2.0 113:241.0 114:93.0 116:174.0 117:884.0 118:33.0 124:2.0 128:64.0 129:2126.0 130:259.0 131:117.0 132:627.0 133:1240.0 134:330.0 135:161.0 136:33.0 137:30.0 142:60.0 143:680.0 144:7.0 145:359.0 146:291.0 147:2187.0 148:1166.0 149:475.0 150:64.0 152:1.0 153:11.0 154:22.0 155:1.0 157:791.0 158:207.0 161:20.0 162:26.0 169:352.0 170:45.0 172:225.0 173:57.0 182:22.0 183:28.0 187:84.0 189:1166.0 190:225.0 191:240.0 193:153.0 195:89.0 196:54.0 197:214.0 198:17.0 200:54.0 202:82.0 203:89.0 204:12382.0 205:3186.0 206:1346.0 207:3.0 209:43.0 217:2686.0 218:743.0 219:506.0 220:2441.0 222:188.0 223:29.0 227:4.0 229:51.0 230:13.0 231:128.0 233:368.0 234:80.0 235:42.0 237:6.0 239:56.0 241:54.0 242:10.0 243:139.0 244:11.0 245:62.0 247:21.0 255:2.0 259:81.0 261:20.0 262:9.0 265:104.0 269:62.0 271:96.0 273:2.0 287:4.0 292:14.0 293:3.0 296:4.0 304:16.0 305:37.0 306:26.0 307:132.0 309:58.0 313:3.0 318:33.0 319:1639.0 320:480.0 321:131.0 322:2.0 329:3.0 330:17.0 331:6.0 333:11.0 338:6.0 341:40.0 344:15.0 350:12.0 352:17.0 355:2.0 357:151.0 361:8.0 364:24.0 382:6.0 388:4.0 391:22.0 395:7.0 398:25.0 403:10.0 404:4.0 406:52.0 407:11.0 410:3.0 415:4.0 416:26.0 418:59.0 422:5.0 427:5.0 428:5.0 431:27.0 438:1.0 440:1.0 441:6.0 450:5.0 452:8.0 458:6.0 460:4.0 474:15.0 478:4.0 479:43.0 481:23.0 482:4.0 484:3.0 491:3.0 495:2.0 497:3.0 498:2.0 500:8.0</t>
  </si>
  <si>
    <t>312139</t>
  </si>
  <si>
    <t>742841</t>
  </si>
  <si>
    <t>85:253.0 86:998.0 89:20.0 94:39.0 95:46.0 98:350.0 99:501.0 100:59.0 102:354.0 107:141.0 110:250.0 112:360.0 113:27.0 115:76.0 116:949.0 117:1379.0 118:191.0 123:106.0 129:613.0 135:214.0 136:17.0 139:51.0 140:1135.0 141:405.0 142:671.0 143:1012.0 144:502.0 145:169.0 152:20.0 154:387.0 155:536.0 156:46742.0 157:8414.0 158:7150.0 159:986.0 161:57.0 162:25.0 167:194.0 168:79.0 169:104.0 170:116.0 171:301.0 172:97.0 173:82.0 174:338.0 183:179.0 186:100.0 196:1.0 197:84.0 198:67.0 199:25.0 200:83.0 201:69.0 202:49.0 203:15.0 204:571.0 206:16.0 212:32.0 213:13.0 214:83.0 218:45.0 219:66.0 220:3.0 225:81.0 226:12.0 229:121.0 230:98.0 231:150.0 232:6.0 234:13.0 243:47.0 245:120.0 246:82.0 247:3.0 253:45.0 259:47.0 261:30.0 263:51.0 264:22.0 266:43.0 269:2586.0 270:539.0 271:136.0 272:1.0 273:57.0 274:22.0 283:22.0 285:72.0 286:12.0 287:12.0 288:146.0 289:28.0 291:10.0 296:45.0 299:7.0 301:32.0 302:5.0 304:50.0 305:422.0 306:113.0 307:64.0 308:77.0 310:56.0 311:54.0 312:2.0 313:1.0 317:35.0 318:16.0 319:78.0 320:49.0 326:4.0 331:176.0 338:7.0 341:94.0 342:88.0 344:18.0 345:213.0 346:114.0 349:6.0 351:7.0 352:711.0 353:322.0 354:102.0 357:13.0 362:27.0 363:5.0 365:1.0 368:49.0 369:52.0 370:5.0 371:542.0 372:118.0 373:254.0 383:9.0 386:125.0 387:93.0 388:43.0 391:10.0 392:23.0 395:18.0 397:20.0 399:2.0 402:3.0 403:65.0 405:7.0 406:2.0 407:12.0 408:4.0 411:5.0 412:25.0 414:25.0 416:13.0 418:1.0 421:6.0 423:5.0 426:10.0 428:21.0 433:29.0 435:92.0 436:47.0 437:50.0 445:20.0 447:5.0 448:44.0 449:4.0 453:30.0 454:3.0 456:4.0 457:1.0 458:7.0 459:22.0 461:1.0 463:75.0 464:39.0 465:7.0 467:10.0 477:25.0 495:27.0</t>
  </si>
  <si>
    <t>310006</t>
  </si>
  <si>
    <t>422523</t>
  </si>
  <si>
    <t>219</t>
  </si>
  <si>
    <t>85:401.0 87:154.0 88:117.0 92:23.0 94:8.0 99:270.0 100:67.0 101:2071.0 102:474.0 103:37562.0 104:3393.0 105:1516.0 106:13.0 107:117.0 108:1.0 111:8.0 112:21.0 113:143.0 114:55.0 115:897.0 116:124.0 117:1664.0 118:30.0 119:490.0 125:91.0 126:7.0 127:287.0 128:5.0 129:6983.0 130:1849.0 131:2267.0 132:194.0 133:3635.0 134:1225.0 135:256.0 140:278.0 141:120.0 142:2.0 143:1643.0 144:232.0 145:338.0 147:12538.0 148:1019.0 149:2088.0 150:18.0 151:11.0 153:121.0 157:145.0 158:14.0 159:142.0 163:86.0 171:3.0 174:5.0 175:296.0 177:907.0 178:140.0 179:44.0 184:383.0 185:23.0 188:1.0 189:647.0 190:361.0 191:177.0 199:24.0 200:1.0 203:1080.0 204:243.0 205:88.0 206:11.0 209:2.0 211:49.0 215:1287.0 216:194.0 217:2116.0 218:454.0 219:7281.0 220:2345.0 221:1057.0 222:175.0 223:57.0 227:36.0 229:45.0 230:438.0 231:266.0 232:13.0 233:107.0 235:25.0 236:10.0 237:19.0 239:262.0 240:38.0 241:47.0 246:71.0 254:180.0 259:8.0 262:1.0 263:48.0 270:2.0 272:8.0 278:5.0 291:209.0 292:34.0 293:156.0 294:12.0 309:1.0 311:3.0 321:434.0 322:89.0 323:41.0 330:1.0 332:1.0 339:13.0 343:5.0 347:16.0 357:5.0 362:1.0 387:1.0 391:7.0 412:6.0 413:4.0 449:19.0 469:10.0 499:6.0</t>
  </si>
  <si>
    <t>309642</t>
  </si>
  <si>
    <t>227707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</si>
  <si>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</si>
  <si>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309540</t>
  </si>
  <si>
    <t>741287</t>
  </si>
  <si>
    <t>85:862.0 86:114.0 88:37.0 89:965.0 91:108.0 93:722.0 95:2787.0 96:258.0 97:2929.0 98:1690.0 99:1030.0 100:67.0 101:110.0 105:1168.0 107:543.0 108:2.0 109:930.0 110:136.0 111:1011.0 112:273.0 113:11.0 114:25.0 115:117.0 116:1879.0 117:37278.0 118:3193.0 119:1398.0 121:471.0 123:267.0 124:61.0 125:135.0 128:12.0 129:15249.0 130:1728.0 131:5718.0 132:13172.0 133:2127.0 134:353.0 135:140.0 138:71.0 139:32.0 140:173.0 141:11.0 143:1121.0 144:118.0 145:8613.0 146:1286.0 149:62.0 153:82.0 154:63.0 155:15.0 157:208.0 158:63.0 159:796.0 160:120.0 169:54.0 171:509.0 172:36.0 173:461.0 174:167.0 184:36.0 185:706.0 186:41.0 187:540.0 188:238.0 190:81.0 191:7.0 196:38.0 199:79.0 201:1615.0 202:253.0 203:29.0 204:117.0 213:62.0 214:2.0 215:149.0 216:268.0 217:85.0 223:110.0 227:276.0 229:74.0 230:40.0 235:17.0 236:9.0 238:10.0 241:148.0 243:340.0 244:94.0 245:43.0 247:14.0 251:7.0 255:41.0 257:346.0 258:58.0 264:21.0 269:47.0 271:86.0 283:234.0 284:36.0 285:126.0 286:3.0 290:14.0 292:13.0 297:53.0 298:11.0 299:339.0 300:61.0 302:5.0 306:7.0 308:14.0 312:2.0 313:155.0 314:51.0 316:28.0 326:77.0 327:3824.0 328:1315.0 329:273.0 330:50.0 334:10.0 336:1.0 342:407.0 343:154.0 344:14.0 347:28.0 356:6.0 363:7.0 369:11.0 370:2.0 379:2.0 380:14.0 384:5.0 391:10.0 396:31.0 400:10.0 405:8.0 412:9.0 413:7.0 418:25.0 438:7.0 447:11.0 448:7.0 452:1.0 453:11.0 473:9.0 475:23.0 476:7.0 479:1.0 482:11.0 488:22.0 494:14.0 500:5.0</t>
  </si>
  <si>
    <t>308208</t>
  </si>
  <si>
    <t>684065</t>
  </si>
  <si>
    <t>311</t>
  </si>
  <si>
    <t>85:657.0 87:325.0 88:2.0 89:126.0 92:37.0 94:446.0 95:279.0 96:6.0 97:421.0 99:164.0 101:69.0 103:98.0 106:266.0 107:67.0 109:1243.0 110:99.0 111:51.0 112:77.0 114:324.0 116:9.0 117:479.0 118:33.0 122:70.0 123:353.0 124:3.0 125:4.0 128:265.0 129:934.0 130:27.0 132:31.0 133:1193.0 139:137.0 140:66.0 141:103.0 142:583.0 143:801.0 144:1.0 145:78.0 146:105.0 147:2382.0 148:261.0 150:123.0 151:330.0 152:89.0 153:45.0 154:655.0 155:46.0 156:1159.0 158:52.0 159:62.0 166:43.0 167:195.0 168:283.0 169:155.0 170:121.0 171:64.0 172:31.0 178:1.0 180:31.0 181:2.0 182:182.0 183:63.0 184:101.0 185:115.0 186:151.0 187:320.0 188:61.0 189:362.0 190:173.0 192:11.0 194:53.0 196:14.0 198:88.0 199:39.0 200:28.0 203:343.0 204:1395.0 205:60.0 208:3.0 209:90.0 211:82.0 212:434.0 213:31.0 214:105.0 215:202.0 216:154.0 217:3101.0 218:764.0 219:162.0 221:38.0 224:174.0 225:94.0 226:51.0 227:2.0 228:48.0 229:151.0 230:1049.0 231:191.0 232:376.0 233:804.0 234:142.0 235:91.0 236:9.0 237:68.0 238:31.0 239:267.0 240:8.0 241:888.0 242:272.0 243:78.0 244:71.0 246:57.0 251:46.0 252:58.0 253:50.0 254:45.0 255:296.0 256:52.0 257:283.0 258:36.0 259:82.0 265:45.0 268:36.0 269:735.0 270:59.0 271:270.0 272:60.0 274:23.0 275:51.0 276:17.0 279:45.0 281:53.0 282:58.0 283:202.0 284:82.0 285:121.0 287:10.0 290:12.0 295:16.0 296:68.0 297:338.0 298:20.0 299:24.0 300:5.0 301:35.0 303:3.0 304:2.0 305:30.0 309:23.0 310:41.0 311:5140.0 312:1234.0 313:482.0 314:219.0 315:42.0 316:55.0 323:21.0 324:8.0 326:57.0 329:74.0 339:126.0 340:54.0 343:52.0 344:1.0 345:5.0 348:24.0 349:5.0 350:3.0 353:52.0 354:16.0 363:25.0 367:9.0 368:34.0 373:2.0 375:5.0 376:16.0 383:38.0 384:132.0 385:70.0 386:55.0 389:8.0 393:26.0 399:3.0 400:100.0 401:3098.0 402:1201.0 403:574.0 404:128.0 405:161.0 406:16.0 415:80.0 416:15.0 418:10.0 419:4.0 420:1.0 427:12.0 428:44.0 429:24.0 441:6.0 443:305.0 444:90.0 445:73.0 446:13.0 449:5.0 451:2.0 456:32.0 457:55.0 462:1.0 465:1.0 476:2.0 488:1.0</t>
  </si>
  <si>
    <t>308198</t>
  </si>
  <si>
    <t>453238</t>
  </si>
  <si>
    <t>85:75.0 87:158.0 88:937.0 89:415.0 93:261.0 98:393.0 99:332.0 100:3668.0 101:1479.0 102:1161.0 103:258.0 107:336.0 109:21.0 110:458.0 112:44.0 113:356.0 114:1678.0 115:1859.0 116:9426.0 117:1833.0 118:1910.0 119:54.0 120:138.0 121:155.0 124:42.0 126:95.0 127:18.0 128:120.0 129:415.0 130:1117.0 131:1372.0 132:825.0 133:1871.0 134:123.0 136:28.0 139:44.0 140:57.0 141:183.0 143:29.0 144:287.0 146:283.0 147:7210.0 148:1115.0 149:587.0 156:34.0 158:166.0 159:425.0 160:298.0 164:187.0 165:219.0 167:80.0 169:46.0 170:215.0 171:245.0 175:72.0 177:3.0 178:57.0 179:132.0 181:95.0 183:111.0 184:293.0 199:41.0 200:180.0 202:167.0 203:193.0 204:23175.0 205:4965.0 206:2074.0 207:459.0 208:198.0 213:27.0 215:343.0 216:237.0 217:1137.0 225:13.0 226:143.0 227:56.0 228:100.0 230:45.0 232:74.0 233:13.0 240:100.0 246:86.0 248:1335.0 249:272.0 250:134.0 254:45.0 255:1921.0 256:602.0 257:303.0 258:88.0 259:17.0 260:8.0 261:75.0 263:355.0 264:55.0 265:24.0 271:39.0 273:29.0 278:238.0 279:37.0 280:32.0 281:391.0 282:107.0 283:90.0 284:4.0 287:14.0 288:75.0 289:14.0 298:16.0 300:14.0 301:815.0 302:181.0 303:152.0 304:514.0 305:566.0 306:89.0 307:68.0 308:16.0 320:56.0 321:16.0 335:2.0 338:11.0 351:23.0 353:12.0 355:188.0 375:6.0 378:28.0 397:3.0 482:4.0</t>
  </si>
  <si>
    <t>119</t>
  </si>
  <si>
    <t>301584</t>
  </si>
  <si>
    <t>247575</t>
  </si>
  <si>
    <t>85:1329.0 86:1584.0 87:148.0 88:3040.0 89:559.0 90:655.0 91:2104.0 92:478.0 93:121.0 95:338.0 96:341.0 97:331.0 99:370.0 100:1257.0 102:52.0 103:657.0 104:867.0 106:274.0 107:20038.0 108:2360.0 109:635.0 110:8267.0 111:374.0 112:182.0 114:297.0 116:267.0 118:3480.0 119:717.0 120:63.0 123:12.0 124:52.0 125:141.0 126:483.0 127:2480.0 130:25440.0 131:345.0 132:785.0 133:108.0 134:32537.0 135:3471.0 136:1263.0 137:13.0 138:197.0 139:80.0 140:36.0 143:1587.0 144:241.0 145:124.0 146:1821.0 147:15415.0 148:2198.0 150:111.0 152:11.0 154:60.0 155:522.0 156:108.0 159:60.0 160:292.0 162:41.0 163:99.0 166:82.0 167:14.0 168:21.0 169:27.0 170:50.0 172:41.0 173:9.0 175:71.0 176:147.0 177:10.0 178:106.0 183:124.0 184:13506.0 185:1336.0 186:420.0 187:31.0 188:50.0 189:23.0 190:3.0 192:103.0 196:13.0 197:5.0 199:1259.0 200:276.0 201:73.0 202:44.0 206:2.0 210:51.0 214:17.0 215:3.0 221:37.0 222:18.0 225:189.0 226:46.0 227:8.0 228:20.0 229:25.0 233:5.0 234:3.0 236:19.0 238:66.0 240:184.0 241:26.0 242:3.0 243:12.0 247:27.0 251:8.0 252:1.0 257:4.0 258:8.0 260:3.0 261:15.0 262:4.0 263:6.0 270:25.0 271:1.0 272:14.0 274:16.0 277:25.0 278:138.0 279:8.0 280:19.0 282:91.0 287:5.0 288:20.0 297:10.0 300:27.0 305:25.0 306:20.0 308:38.0 309:20.0 310:17.0 311:10.0 312:31.0 313:4.0 318:5.0 322:18.0 327:51.0 328:6.0 329:26.0 332:95.0 333:58.0 334:10.0 335:26.0 336:36.0 344:12.0 346:23.0 347:19.0 349:8.0 350:28.0 351:7.0 357:37.0 360:8.0 364:10.0 367:1.0 369:19.0 373:1.0 374:10.0 376:20.0 377:15.0 380:36.0 381:15.0 383:37.0 384:4.0 389:20.0 390:11.0 391:28.0 392:24.0 393:49.0 395:8.0 396:23.0 398:31.0 401:22.0 403:21.0 404:11.0 405:24.0 406:1.0 407:11.0 408:3.0 409:13.0 411:7.0 412:3.0 421:18.0 422:15.0 423:28.0 425:1.0 426:23.0 427:20.0 434:16.0 435:14.0 437:17.0 439:37.0 440:4.0 441:15.0 444:28.0 446:18.0 448:2.0 451:19.0 452:12.0 453:2.0 456:7.0 459:5.0 461:12.0 463:1.0 464:16.0 465:15.0 468:12.0 469:4.0 470:9.0 471:22.0 472:41.0 473:16.0 474:19.0 476:6.0 478:12.0 479:11.0 480:18.0 481:10.0 482:4.0 483:7.0 484:15.0 485:25.0 486:17.0 487:1.0 490:14.0 494:21.0 496:8.0 498:31.0 499:4.0 500:6.0</t>
  </si>
  <si>
    <t>301399</t>
  </si>
  <si>
    <t>298718</t>
  </si>
  <si>
    <t>85:356.0 88:122.0 89:117.0 90:46.0 91:39.0 93:120.0 94:64.0 98:76.0 99:159.0 100:257.0 102:500.0 103:758.0 104:198.0 106:251.0 107:991.0 108:780.0 109:213.0 110:1268.0 112:69.0 114:68.0 118:212.0 124:71.0 125:6.0 126:289.0 127:358.0 128:10.0 130:515.0 132:316.0 134:637.0 136:213.0 137:3.0 138:18.0 143:49.0 144:169.0 146:50.0 147:333.0 148:214.0 151:100.0 152:65.0 153:14.0 155:2.0 156:12.0 159:54.0 161:9.0 162:83.0 168:3.0 172:418.0 176:259.0 177:3478.0 178:240.0 181:8.0 184:540.0 185:115.0 186:28.0 196:5.0 197:2162.0 198:307.0 199:172.0 200:5.0 210:31.0 218:24.0 224:12.0 251:46.0 274:2.0 275:13.0 308:3.0 316:7.0 319:2.0 329:7.0 331:9.0 332:2.0 351:17.0 359:14.0 376:13.0 380:12.0 381:1.0 391:8.0 395:12.0 398:11.0 399:8.0 417:17.0 420:6.0 421:2.0 422:5.0 426:1.0 435:2.0 439:6.0 450:2.0 475:16.0 476:5.0 479:3.0 494:5.0 499:1.0</t>
  </si>
  <si>
    <t>85</t>
  </si>
  <si>
    <t>2-methylglyceric acid NIST</t>
  </si>
  <si>
    <t>372132</t>
  </si>
  <si>
    <t>85:18628.0 87:7876.0 88:4929.0 89:9992.0 90:1840.0 91:1863.0 92:492.0 93:629.0 94:501.0 95:20.0 96:2643.0 97:473.0 99:5589.0 101:27534.0 102:1171.0 103:140740.0 104:15787.0 105:13899.0 106:799.0 107:3828.0 108:105.0 109:198.0 110:4625.0 111:914.0 112:714.0 113:4484.0 115:62903.0 116:62008.0 117:30985.0 118:5880.0 119:16982.0 120:2395.0 121:1806.0 122:377.0 124:1690.0 125:133.0 127:2949.0 128:1365.0 129:214926.0 130:30858.0 131:190655.0 132:23647.0 133:172225.0 134:34339.0 135:17790.0 136:1891.0 137:588.0 139:350.0 140:530.0 141:1034.0 143:3017.0 144:2528.0 145:9075.0 146:1355.0 147:357861.0 148:55387.0 149:84229.0 150:11049.0 151:9794.0 152:1742.0 153:739.0 156:1407.0 157:2683.0 158:298.0 159:1741.0 161:973.0 162:602.0 163:66835.0 164:11412.0 165:5422.0 166:520.0 168:100.0 170:45.0 171:16.0 173:493.0 177:12755.0 178:1791.0 179:1181.0 181:62.0 182:24.0 184:1824.0 186:652.0 187:875.0 189:59778.0 190:12441.0 191:4499.0 195:257.0 196:16.0 197:6.0 198:1703.0 199:606.0 201:221.0 203:97975.0 204:18058.0 205:16177.0 206:2526.0 207:3255.0 208:1323.0 211:2209.0 212:236.0 213:298.0 214:185.0 215:542.0 216:294.0 217:1489.0 218:6217.0 219:233559.0 220:47732.0 221:28560.0 222:4594.0 223:1654.0 224:97.0 225:102.0 226:302.0 227:225.0 228:2240.0 229:530.0 230:392.0 231:14436.0 232:2749.0 233:63843.0 234:13156.0 235:5444.0 236:751.0 237:236.0 238:166.0 239:82.0 240:133.0 242:113.0 254:313.0 263:106.0 265:2734.0 266:658.0 267:266.0 268:7.0 269:77.0 270:14.0 272:9.0 277:1534.0 279:187.0 280:33.0 285:18.0 288:13.0 292:71.0 293:11679.0 294:3942.0 295:1906.0 296:461.0 298:129.0 300:194.0 303:17.0 304:25.0 305:386.0 306:14727.0 307:4088.0 308:2189.0 309:507.0 310:141.0 314:8.0 317:2.0 319:154.0 320:318.0 321:10649.0 322:3162.0 323:1694.0 324:145.0 325:48.0 336:243.0 337:5.0 341:9.0 342:12.0 343:40.0 345:3.0 355:5.0 361:1.0 400:1.0 401:17.0 429:12.0 475:1.0</t>
  </si>
  <si>
    <t>310629</t>
  </si>
  <si>
    <t>200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</si>
  <si>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</si>
  <si>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</si>
  <si>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506359</t>
  </si>
  <si>
    <t>85:1029.0 86:15.0 87:26.0 88:38.0 89:66.0 94:4.0 95:73.0 96:3.0 99:36.0 100:66.0 101:209.0 102:15.0 103:13.0 113:11.0 115:200.0 116:267.0 117:71.0 120:3.0 123:1.0 129:4161.0 130:483.0 131:419.0 132:27.0 133:817.0 134:30.0 135:48.0 147:2431.0 148:475.0 149:842.0 150:79.0 151:27.0 156:23.0 157:894.0 158:75.0 159:101.0 162:7.0 163:44.0 166:1.0 167:1.0 169:15.0 170:5.0 189:5.0 194:8.0 195:2.0 203:642.0 204:140.0 205:24.0 207:7.0 208:2.0 209:1.0 211:1.0 212:6.0 218:19.0 220:7.0 221:3.0 225:3.0 226:2.0 227:1.0 228:1.0 230:1.0 231:212.0 232:28.0 233:13.0 234:2.0 235:4.0 240:4.0 243:11.0 244:11.0 247:938.0 248:157.0 249:43.0 250:9.0 254:4.0 255:1.0 257:3.0 259:1.0 263:2.0 281:8.0 284:2.0 285:3.0 287:1.0 290:5.0 298:1.0 313:5.0 315:2.0 321:10.0 322:8.0 324:6.0 327:4.0 330:9.0 331:4.0 333:2.0 338:5.0 342:7.0 343:3.0 346:1.0 347:6.0 348:4.0 349:95.0 350:17.0 351:2.0 359:3.0 360:6.0 361:1.0 365:1.0 369:7.0 372:7.0 380:1.0 381:2.0 387:1.0 389:4.0 392:5.0 394:1.0 397:5.0 402:1.0 403:2.0 407:7.0 409:3.0 410:4.0 411:2.0 418:2.0 419:4.0 420:2.0 423:1.0 424:1.0 426:2.0 427:1.0 436:1.0 438:6.0 440:1.0 443:3.0 445:5.0 450:5.0 451:4.0 452:1.0 454:9.0 455:1.0 458:1.0 466:4.0 467:1.0 468:4.0 469:4.0 471:4.0 472:1.0 474:2.0 480:1.0 481:1.0 482:6.0 484:2.0 486:1.0 488:2.0 489:3.0 493:4.0 497:4.0 498:5.0</t>
  </si>
  <si>
    <t>2-aminoadipic acid</t>
  </si>
  <si>
    <t>572700</t>
  </si>
  <si>
    <t>85:864.0 86:878.0 87:624.0 88:261.0 89:926.0 90:176.0 91:6.0 94:25.0 96:235.0 97:3.0 98:936.0 99:564.0 100:4884.0 101:1366.0 102:334.0 103:4605.0 104:443.0 105:319.0 106:102.0 108:362.0 109:99.0 110:48.0 111:67.0 112:444.0 113:191.0 114:432.0 115:2603.0 116:1046.0 117:6551.0 118:885.0 119:443.0 120:68.0 121:5.0 123:7.0 126:97.0 127:108.0 128:6631.0 129:7354.0 130:1338.0 131:2214.0 132:783.0 133:2815.0 134:386.0 135:155.0 136:6.0 138:68.0 139:35.0 140:84.0 141:126.0 142:197.0 143:461.0 144:89.0 145:280.0 146:78.0 147:9619.0 148:1741.0 149:1405.0 150:242.0 151:123.0 152:149.0 153:159.0 154:750.0 155:59.0 157:351.0 158:39.0 159:86.0 160:763.0 161:247.0 162:37.0 163:456.0 164:78.0 165:85.0 170:1296.0 171:188.0 172:392.0 174:1750.0 175:397.0 176:116.0 177:6.0 178:18.0 179:4.0 180:30.0 181:8.0 182:62.0 185:27.0 186:44.0 188:270.0 189:1022.0 190:257.0 191:628.0 192:90.0 193:10.0 195:4.0 196:6.0 197:168.0 198:77.0 201:49.0 202:178.0 203:580.0 204:993.0 205:1553.0 206:334.0 207:246.0 208:53.0 212:79.0 213:15.0 214:7.0 216:98.0 217:10868.0 218:3306.0 219:1393.0 220:191.0 221:439.0 222:26.0 223:43.0 227:7.0 228:190.0 230:56.0 231:58.0 232:7.0 233:65.0 237:16.0 238:7.0 239:26.0 240:42.0 241:11.0 242:16.0 243:161.0 244:1901.0 245:480.0 246:236.0 247:47.0 248:45.0 254:5.0 255:9.0 257:69.0 259:37.0 260:7940.0 261:1895.0 262:793.0 263:105.0 264:22.0 265:5.0 268:15.0 276:6.0 277:395.0 278:56.0 279:19.0 280:23.0 281:13.0 286:3.0 287:28.0 288:112.0 289:24.0 290:2.0 291:248.0 292:68.0 293:18.0 302:18.0 305:49.0 306:96.0 307:470.0 308:114.0 309:94.0 313:2.0 317:41.0 318:26.0 319:319.0 320:114.0 321:72.0 322:27.0 324:1.0 325:4.0 332:43.0 333:42.0 334:83.0 335:28.0 336:10.0 337:3.0 341:1.0 343:9.0 344:48.0 353:1.0 356:18.0 359:6.0 361:8.0 362:237.0 363:60.0 364:49.0 367:9.0 368:10.0 377:134.0 378:42.0 379:5.0 387:2.0 388:22.0 389:1.0 392:9.0 393:11.0 395:13.0 398:8.0 400:5.0 402:2.0 403:1.0 417:15.0 418:4.0 426:7.0 432:9.0 447:5.0 450:15.0 451:1.0 462:1.0 464:8.0 467:15.0 469:11.0 470:14.0 472:13.0 475:14.0 479:11.0 482:6.0 488:10.0 490:5.0 493:5.0 500:3.0</t>
  </si>
  <si>
    <t>299421</t>
  </si>
  <si>
    <t>873698</t>
  </si>
  <si>
    <t>85:98.0 88:57.0 89:214.0 96:115.0 98:160.0 100:252.0 101:402.0 102:37.0 103:881.0 104:1297.0 105:210.0 112:125.0 114:18.0 116:343.0 117:833.0 118:91.0 128:80.0 129:267.0 130:1207.0 131:213.0 134:97.0 140:19.0 142:71.0 143:23.0 144:592.0 145:22.0 146:42.0 154:50.0 157:287.0 158:184.0 160:2883.0 161:264.0 162:56.0 163:124.0 165:6.0 166:69.0 168:53.0 169:71.0 171:8.0 172:126.0 173:82.0 174:243.0 175:87.0 177:18.0 179:5.0 181:4.0 182:74.0 189:59.0 190:2.0 191:37.0 192:23.0 193:118.0 195:90.0 196:100.0 197:33.0 198:18.0 201:20.0 203:2.0 204:235.0 205:355.0 206:40.0 207:304.0 208:194.0 209:143.0 210:113.0 214:13.0 216:24.0 217:326.0 218:65.0 219:35.0 221:308.0 222:39.0 226:5.0 228:6.0 229:44.0 232:9.0 235:25.0 236:3.0 237:7.0 239:36.0 240:12.0 243:30.0 244:7.0 247:84.0 248:59.0 249:37.0 251:50.0 252:28.0 253:56.0 256:14.0 257:34.0 260:5.0 262:277.0 263:111.0 264:2.0 265:17.0 266:69.0 267:72.0 268:33.0 269:44.0 270:6.0 271:124.0 272:26.0 273:28.0 282:22.0 284:34.0 287:10.0 291:16.0 293:1.0 298:3.0 299:27.0 303:14.0 307:11.0 312:46.0 313:42.0 315:7.0 317:27.0 319:40.0 325:8.0 326:21.0 328:32.0 329:43.0 330:12.0 341:79.0 342:72.0 344:12.0 345:15.0 346:21.0 348:8.0 350:2.0 352:23.0 353:20.0 354:35.0 355:167.0 356:2492.0 357:1001.0 358:222.0 359:57.0 360:10.0 361:4.0 362:5.0 368:5.0 372:5.0 378:11.0 382:18.0 384:15.0 391:4.0 394:6.0 395:18.0 410:32.0 412:8.0 415:117.0 416:32.0 418:10.0 419:8.0 428:35.0 429:4.0 431:21.0 433:49.0 437:6.0 438:5.0 439:7.0 442:18.0 443:3.0 444:138.0 445:112.0 446:34.0 447:19.0 449:2.0 457:8.0 458:32.0 459:45.0 461:16.0 463:2.0 467:11.0 469:20.0 470:1.0 473:7.0 475:10.0 477:11.0 482:3.0 483:1.0 489:83.0 493:28.0 496:2.0</t>
  </si>
  <si>
    <t>295010</t>
  </si>
  <si>
    <t>292802</t>
  </si>
  <si>
    <t>88</t>
  </si>
  <si>
    <t>86:800.0 87:24.0 88:9489.0 89:295.0 90:388.0 91:84.0 99:296.0 100:456.0 102:343.0 104:8.0 108:121.0 109:37.0 110:88.0 111:168.0 114:51.0 116:292.0 119:4.0 120:169.0 122:7.0 126:70.0 127:51.0 128:27.0 129:40.0 131:539.0 132:122.0 134:1040.0 139:1.0 144:146.0 145:4300.0 146:832.0 147:3064.0 148:126.0 149:20.0 151:9.0 152:10.0 154:2.0 155:8.0 157:120.0 159:3.0 160:331.0 168:11.0 171:1398.0 172:106.0 173:479.0 174:12.0 179:15.0 184:901.0 185:165.0 186:123.0 187:260.0 188:49.0 193:32.0 194:11.0 198:34.0 199:192.0 202:3.0 204:272.0 210:22.0 212:2.0 217:5.0 224:8.0 233:2.0 245:720.0 246:168.0 247:28.0 254:24.0 261:694.0 262:157.0 263:62.0 276:182.0 277:10.0 278:1.0 282:5.0 295:18.0 297:5.0 303:5.0 305:4.0 312:15.0 321:6.0 330:8.0 336:1.0 341:4.0 346:5.0 351:7.0 354:16.0 357:12.0 362:17.0 368:7.0 371:3.0 375:10.0 382:15.0 385:4.0 391:10.0 403:9.0 405:4.0 411:11.0 414:9.0 417:13.0 423:14.0 428:20.0 432:21.0 438:6.0 441:1.0 447:15.0 451:1.0 456:3.0 458:3.0 460:5.0 463:2.0 470:6.0 471:8.0 475:4.0 479:8.0 483:1.0 487:4.0 489:10.0 490:7.0 496:1.0 499:3.0</t>
  </si>
  <si>
    <t>294511</t>
  </si>
  <si>
    <t>832273</t>
  </si>
  <si>
    <t>85:5201.0 86:362.0 87:3305.0 91:3934.0 92:157.0 93:5012.0 94:3556.0 95:14256.0 96:18687.0 97:26079.0 98:18863.0 99:5994.0 100:2397.0 101:3618.0 105:1126.0 106:415.0 107:2342.0 108:1905.0 109:7351.0 110:8617.0 111:11475.0 112:3908.0 113:1424.0 114:2822.0 115:2108.0 119:1568.0 120:360.0 121:2742.0 122:1091.0 123:6354.0 124:4182.0 125:4565.0 126:1290.0 127:2828.0 128:515.0 129:1036.0 132:113.0 133:1435.0 134:1461.0 135:1968.0 136:589.0 137:4151.0 138:2929.0 139:2321.0 140:614.0 141:263.0 142:458.0 147:502.0 148:897.0 149:591.0 150:427.0 151:2435.0 152:2880.0 153:1399.0 154:273.0 155:408.0 161:700.0 162:142.0 163:407.0 164:303.0 165:1759.0 166:1657.0 167:640.0 168:111.0 169:1355.0 170:176.0 171:523.0 172:267.0 175:86.0 176:37.0 178:74.0 179:1067.0 180:2472.0 181:436.0 183:1412.0 184:263.0 185:321.0 193:94.0 194:301.0 195:2.0 196:44.0 204:2044.0 208:182.0 211:183.0 212:36.0 213:87.0 217:790.0 218:121.0 220:432.0 221:224.0 222:1743.0 223:438.0 227:6.0 235:287.0 236:242.0 237:98.0 239:341.0 240:4.0 242:24.0 243:64.0 244:40.0 245:440.0 246:530.0 247:220.0 249:27.0 253:1.0 255:1.0 256:1.0 258:3.0 260:155.0 263:315.0 264:3600.0 265:3830.0 266:708.0 267:17.0 271:82.0 282:13.0 283:311.0 285:1.0 286:24.0 287:77.0 288:19.0 290:20.0 296:49.0 297:18.0 298:25.0 299:344.0 300:55.0 301:115.0 303:303.0 305:69.0 312:1.0 313:1.0 315:140.0 316:12.0 317:100.0 318:263.0 319:76.0 320:80.0 325:44.0 327:35.0 334:123.0 335:59.0 336:10.0 338:326.0 339:84.0 342:4.0 343:105.0 350:55.0 361:79.0 364:27.0 366:3.0 387:85.0 388:52.0 396:6.0 401:22.0 445:66.0 446:45.0 450:8.0 451:6.0 455:1.0 460:5.0 466:1.0 468:7.0 479:8.0 480:2.0</t>
  </si>
  <si>
    <t>289052</t>
  </si>
  <si>
    <t>515010</t>
  </si>
  <si>
    <t>186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</si>
  <si>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</si>
  <si>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288810</t>
  </si>
  <si>
    <t>274062</t>
  </si>
  <si>
    <t>152</t>
  </si>
  <si>
    <t>85:119.0 86:425.0 88:672.0 90:224.0 91:243.0 92:190.0 98:54.0 99:113.0 100:5723.0 106:92.0 107:7504.0 108:889.0 109:592.0 110:762.0 111:92.0 113:13.0 114:16.0 119:318.0 122:214.0 124:11.0 126:107.0 127:752.0 130:1928.0 132:240.0 134:2164.0 136:664.0 139:36.0 143:165.0 144:112.0 146:221.0 150:623.0 151:111.0 152:5641.0 153:589.0 154:161.0 160:13.0 165:170.0 167:1502.0 168:180.0 169:11.0 172:52.0 174:179.0 180:131.0 184:1786.0 185:178.0 199:338.0 201:51.0 228:28.0 246:6.0 281:37.0 294:1.0 298:5.0 304:18.0 321:1.0 322:14.0 330:2.0 331:15.0 350:8.0 363:1.0 383:10.0 388:2.0 390:11.0 399:3.0 406:1.0 409:8.0 421:13.0 447:6.0 460:12.0 479:4.0 484:4.0 496:10.0 499:6.0</t>
  </si>
  <si>
    <t>357</t>
  </si>
  <si>
    <t>284389</t>
  </si>
  <si>
    <t>535751</t>
  </si>
  <si>
    <t>85:132.0 86:73.0 89:237.0 90:14.0 98:129.0 99:72.0 102:140.0 103:1320.0 104:25.0 107:1100.0 109:3.0 110:205.0 114:118.0 115:2366.0 116:344.0 117:558.0 118:97.0 119:181.0 122:9.0 123:28.0 128:141.0 129:828.0 130:370.0 133:330.0 134:1479.0 135:91.0 136:63.0 139:55.0 140:71.0 141:184.0 143:1080.0 144:227.0 146:156.0 147:2603.0 152:26.0 153:76.0 155:243.0 156:76.0 157:108.0 169:43.0 171:174.0 172:50.0 173:1.0 177:11.0 179:27.0 180:26.0 184:280.0 185:42.0 187:117.0 188:3.0 189:553.0 191:521.0 193:130.0 196:1.0 198:1.0 199:115.0 203:52.0 205:79.0 207:2173.0 208:345.0 209:230.0 212:13.0 213:70.0 215:292.0 216:65.0 217:7704.0 218:325.0 219:478.0 221:630.0 222:126.0 223:22.0 226:11.0 228:164.0 229:110.0 230:301.0 237:1.0 241:41.0 243:150.0 244:38.0 245:124.0 246:263.0 247:70.0 249:47.0 251:19.0 254:102.0 255:42.0 256:210.0 257:89.0 259:97.0 260:69.0 261:47.0 262:25.0 267:55.0 269:18.0 271:15.0 275:712.0 276:177.0 277:83.0 278:1.0 281:388.0 282:39.0 283:12.0 292:25.0 297:27.0 299:20.0 300:1.0 303:1.0 305:65.0 306:27.0 307:12.0 312:6.0 313:28.0 314:36.0 315:24.0 327:160.0 328:71.0 329:192.0 330:115.0 331:5.0 332:45.0 333:49.0 334:12.0 341:26.0 342:36.0 346:5.0 354:21.0 355:720.0 356:254.0 357:150.0 358:96.0 373:3.0 377:1.0 381:2.0 385:36.0 395:5.0 396:2.0 399:48.0 400:14.0 401:146.0 402:55.0 403:4.0 404:53.0 415:21.0 416:31.0 417:40.0 430:7.0 483:2.0</t>
  </si>
  <si>
    <t>155</t>
  </si>
  <si>
    <t>281926</t>
  </si>
  <si>
    <t>266383</t>
  </si>
  <si>
    <t>85:1588.0 86:2334.0 88:301.0 90:1095.0 91:399.0 97:304.0 98:622.0 100:2674.0 102:3117.0 103:840.0 104:789.0 105:400.0 106:249.0 107:3384.0 108:332.0 110:2671.0 114:674.0 116:12562.0 117:2202.0 118:1690.0 119:582.0 120:1994.0 121:150.0 123:81.0 126:639.0 127:2662.0 130:1106.0 131:1667.0 132:856.0 133:5502.0 134:9898.0 135:1967.0 136:422.0 140:1375.0 141:53.0 143:462.0 144:103.0 146:548.0 147:11229.0 148:2480.0 149:1794.0 150:192.0 160:859.0 161:183.0 162:267.0 163:66.0 167:52.0 169:110.0 174:105.0 175:15.0 176:6.0 184:6457.0 185:705.0 186:665.0 189:470.0 190:536.0 191:329.0 192:42.0 198:56.0 199:166.0 200:152.0 205:417.0 206:56.0 207:496.0 208:107.0 220:1134.0 221:345.0 222:369.0 227:3048.0 228:353.0 229:78.0 236:47.0 237:178.0 242:435.0 243:19.0 246:8.0 248:11.0 249:7.0 251:3.0 252:3.0 262:5.0 267:843.0 268:103.0 269:29.0 285:49.0 310:11.0 322:3.0 332:7.0 355:258.0 356:88.0 357:18.0 358:25.0 363:19.0 406:6.0 414:2.0 417:4.0 443:3.0 495:8.0</t>
  </si>
  <si>
    <t>279691</t>
  </si>
  <si>
    <t>191484</t>
  </si>
  <si>
    <t>113</t>
  </si>
  <si>
    <t>85:2037.0 86:280.0 90:286.0 91:287.0 93:364.0 94:40.0 95:885.0 96:890.0 97:5891.0 98:1986.0 99:2370.0 100:365.0 101:341.0 102:29.0 103:6798.0 106:2192.0 107:1946.0 108:105.0 110:1143.0 111:319.0 112:745.0 113:19137.0 114:1989.0 115:453.0 116:39.0 118:310.0 119:87.0 122:45.0 123:14.0 125:121.0 126:338.0 128:2620.0 129:69.0 130:2939.0 131:20.0 133:844.0 134:5139.0 135:1373.0 136:5821.0 137:428.0 138:29.0 140:43.0 143:257.0 146:84.0 147:4777.0 150:54.0 151:48.0 152:16.0 153:34.0 154:195.0 155:25.0 156:30.0 157:12.0 161:251.0 162:10.0 163:423.0 164:22.0 168:445.0 169:280.0 170:39.0 180:8.0 182:3.0 184:499.0 185:120.0 187:33.0 189:214.0 191:858.0 192:40.0 196:118.0 199:519.0 200:53.0 207:3504.0 208:693.0 209:295.0 213:23.0 214:1.0 218:125.0 237:84.0 238:7.0 240:1.0 242:122.0 256:1.0 261:4.0 279:8.0 280:1.0 295:342.0 296:93.0 297:32.0 410:15.0 428:12.0 445:1.0 450:3.0 456:5.0 472:1.0</t>
  </si>
  <si>
    <t>274189</t>
  </si>
  <si>
    <t>790139</t>
  </si>
  <si>
    <t>86:1554.0 98:180.0 99:132.0 100:1134.0 101:518.0 102:331.0 103:175.0 110:20.0 112:85.0 128:68.0 129:310.0 130:22.0 132:295.0 134:72.0 140:111.0 154:52.0 155:163.0 160:61.0 170:19.0 171:112.0 172:38.0 174:4228.0 175:686.0 176:287.0 184:250.0 185:72.0 186:56.0 188:79.0 194:39.0 196:35.0 197:34.0 200:15.0 202:28.0 204:86.0 207:244.0 211:22.0 212:26.0 216:8.0 217:98.0 221:305.0 222:51.0 223:83.0 227:603.0 228:113.0 229:52.0 237:36.0 253:6.0 254:7.0 256:28.0 258:33.0 259:1.0 260:16.0 281:1.0 282:69.0 283:12.0 286:8.0 295:100.0 296:10.0 297:30.0 324:33.0 327:1.0 330:15.0 340:10.0 342:16.0 356:28.0 369:32.0 371:32.0 375:9.0 387:5.0 399:33.0 400:11.0</t>
  </si>
  <si>
    <t>273925</t>
  </si>
  <si>
    <t>183424</t>
  </si>
  <si>
    <t>85:8925.0 86:4793.0 87:2279.0 88:2174.0 89:512.0 91:2429.0 93:589.0 94:177.0 95:2332.0 96:1381.0 97:13033.0 98:1936.0 99:9413.0 100:1745.0 101:2586.0 102:188.0 103:571.0 104:1153.0 106:559.0 107:12636.0 108:1173.0 109:1928.0 110:4072.0 111:4987.0 112:925.0 113:6896.0 114:904.0 115:15063.0 116:1673.0 117:617.0 118:1585.0 119:1014.0 120:70.0 121:39.0 123:106.0 124:123.0 125:2724.0 126:1196.0 127:13131.0 128:1552.0 129:576.0 130:21760.0 131:1857.0 132:1174.0 134:25612.0 135:2644.0 136:703.0 137:3056.0 138:629.0 139:6436.0 140:1403.0 141:880.0 142:242.0 143:1335.0 144:203.0 146:1407.0 147:6172.0 148:917.0 153:214.0 154:182.0 155:109104.0 156:15592.0 157:4602.0 158:286.0 161:106.0 162:56.0 163:227.0 164:29.0 167:58.0 168:118.0 169:701.0 170:20610.0 171:3029.0 172:910.0 173:12.0 183:31.0 184:1649.0 185:109.0 191:564.0 192:51.0 195:7.0 198:1.0 199:233.0 212:1.0 213:132.0 244:17.0 325:10.0 372:15.0 443:7.0 449:5.0</t>
  </si>
  <si>
    <t>273745</t>
  </si>
  <si>
    <t>317543</t>
  </si>
  <si>
    <t>211</t>
  </si>
  <si>
    <t>86:245.0 90:31.0 92:51.0 93:2.0 94:1.0 97:127.0 98:42.0 100:165.0 101:275.0 103:8.0 104:13.0 107:107.0 111:298.0 112:811.0 115:13.0 118:294.0 120:1.0 121:7.0 123:8.0 124:41.0 126:296.0 127:74.0 128:663.0 130:2171.0 133:267.0 134:611.0 136:214.0 137:210.0 138:47.0 139:103.0 143:224.0 145:407.0 146:13.0 153:21.0 158:305.0 167:23.0 168:111.0 169:51.0 170:6.0 174:21.0 175:3.0 181:259.0 184:621.0 185:699.0 186:123.0 189:8.0 195:210.0 196:1.0 199:145.0 201:18.0 205:2.0 211:2775.0 212:35.0 213:94.0 214:30.0 215:590.0 220:15.0 222:4.0 223:7.0 225:20.0 226:43.0 227:299.0 228:4.0 229:2.0 238:2.0 243:64.0 244:2.0 245:6.0 246:7.0 248:22.0 255:431.0 256:27.0 257:169.0 270:148.0 279:2.0 299:67.0 308:2.0 327:3.0 352:6.0 382:5.0 389:1.0 397:5.0 404:13.0 414:9.0 420:1.0 476:8.0 485:6.0 491:5.0</t>
  </si>
  <si>
    <t>272849</t>
  </si>
  <si>
    <t>221925</t>
  </si>
  <si>
    <t>115</t>
  </si>
  <si>
    <t>85:3283.0 86:1365.0 87:220.0 88:1088.0 89:629.0 90:466.0 91:1009.0 92:148.0 93:1.0 95:1.0 96:429.0 97:1464.0 98:2036.0 99:2310.0 100:6474.0 101:2615.0 102:365.0 104:163.0 105:4955.0 106:655.0 107:9796.0 108:11386.0 109:1103.0 110:62560.0 111:2201.0 112:532.0 113:1462.0 114:667.0 115:34968.0 116:4176.0 118:2274.0 120:40.0 121:43.0 123:51.0 125:40.0 126:1323.0 127:5276.0 128:969.0 129:4836.0 130:16035.0 131:101443.0 132:12199.0 133:1990.0 134:47156.0 135:2853.0 136:1659.0 138:34.0 140:8.0 141:13.0 143:1809.0 144:264.0 145:24789.0 146:3806.0 150:377.0 154:18.0 158:114.0 162:2104.0 163:147.0 166:241.0 167:155.0 168:7814.0 169:511.0 170:30.0 171:86.0 172:432.0 173:105.0 180:24.0 182:10.0 183:57.0 184:36813.0 185:4165.0 186:1404.0 187:651.0 188:137.0 189:2.0 190:1865.0 199:190.0 200:23334.0 201:2557.0 202:782.0 203:1683.0 204:286.0 205:95.0 212:1192.0 213:111.0 214:33.0 216:10.0 218:860.0 223:1.0 226:3.0 242:2631.0 243:277.0 244:87.0 255:37.0 259:10.0 263:1.0 268:12.0 278:12.0 289:40.0 321:7.0 325:8.0 333:9.0 335:13.0 371:2.0 426:4.0 466:21.0 495:5.0 497:3.0</t>
  </si>
  <si>
    <t>271416</t>
  </si>
  <si>
    <t>593932</t>
  </si>
  <si>
    <t>86:87.0 89:378.0 90:155.0 91:328.0 98:4.0 99:213.0 106:147.0 112:75.0 115:785.0 125:65.0 126:323.0 127:499.0 128:818.0 129:346.0 139:250.0 140:23.0 141:1495.0 142:31.0 150:60.0 151:384.0 152:1218.0 153:2268.0 154:836.0 155:4489.0 156:508.0 163:2.0 165:1058.0 166:204.0 167:298.0 168:93.0 169:597.0 170:132.0 178:1.0 179:120.0 181:199.0 182:50.0 189:10.0 197:5220.0 198:849.0 212:2109.0 213:300.0 214:14.0 238:25.0 241:25.0 248:31.0 250:5.0 267:62.0 276:5.0 288:7.0 289:6.0 308:1.0 309:8.0 327:6.0 333:5.0 341:72.0 345:16.0 348:11.0 355:11.0 360:6.0 365:1.0 396:1.0 399:21.0 411:4.0 421:11.0 425:12.0 429:40.0 434:19.0 449:21.0 456:19.0 458:13.0 468:48.0 470:36.0 471:5.0 472:9.0 474:1.0 479:24.0 480:4.0 492:7.0</t>
  </si>
  <si>
    <t>270066</t>
  </si>
  <si>
    <t>288528</t>
  </si>
  <si>
    <t>85:4403.0 86:559.0 87:1297.0 88:4452.0 89:551.0 90:126.0 94:132.0 95:4677.0 96:294.0 97:511.0 99:896.0 100:246.0 101:4237.0 102:704.0 103:610.0 104:95.0 105:301.0 108:286.0 109:56.0 110:27.0 111:278.0 113:2721.0 114:312.0 115:9405.0 116:1399.0 117:55973.0 118:5829.0 119:2799.0 120:212.0 126:171.0 127:284.0 129:32.0 130:1372.0 131:94419.0 132:11432.0 133:8645.0 134:1601.0 135:413.0 136:207.0 139:17.0 140:9.0 141:185.0 143:351.0 145:9.0 147:36576.0 148:5360.0 149:3794.0 150:401.0 151:40.0 152:191.0 155:41.0 157:13875.0 158:1900.0 159:707.0 160:102.0 171:24.0 172:2017.0 173:318.0 174:71.0 175:60.0 184:409.0 185:56.0 186:4.0 189:95.0 191:2454.0 192:422.0 193:153.0 205:2837.0 206:472.0 207:58.0 231:154.0 247:793.0 248:131.0 249:5.0 263:3.0 365:11.0 377:6.0</t>
  </si>
  <si>
    <t>269927</t>
  </si>
  <si>
    <t>602597</t>
  </si>
  <si>
    <t>275</t>
  </si>
  <si>
    <t>85:30103.0 86:22141.0 87:17833.0 88:31791.0 89:35769.0 90:4782.0 91:3089.0 92:368.0 93:245.0 94:1857.0 95:934.0 96:5352.0 97:5266.0 98:11136.0 99:16299.0 100:21428.0 101:32919.0 102:34937.0 103:286613.0 104:33225.0 105:17623.0 106:1802.0 108:1988.0 109:955.0 110:1345.0 111:5363.0 112:41858.0 113:30031.0 114:48816.0 115:24263.0 116:32227.0 117:39697.0 118:7584.0 119:14878.0 120:3563.0 121:1475.0 122:163.0 124:1374.0 125:3639.0 126:6949.0 127:11454.0 128:98039.0 129:247274.0 130:46381.0 131:51624.0 132:68472.0 133:108901.0 134:10654.0 135:12571.0 136:1141.0 137:839.0 138:476.0 139:577.0 140:11353.0 141:8245.0 142:95855.0 143:46363.0 144:57119.0 145:10602.0 146:4436.0 147:364765.0 148:54911.0 149:50464.0 150:6256.0 151:3690.0 152:2535.0 153:897.0 154:7009.0 155:2458.0 156:258093.0 157:43735.0 158:40898.0 159:8379.0 160:290660.0 161:41865.0 162:14541.0 163:12795.0 164:2460.0 165:1810.0 166:500.0 167:13.0 168:7120.0 169:2832.0 170:14007.0 171:2660.0 172:11319.0 173:3260.0 174:3888.0 175:3189.0 176:7840.0 177:10041.0 178:2537.0 179:1247.0 180:529.0 181:274.0 182:3882.0 183:1028.0 184:57562.0 185:11187.0 186:12421.0 187:4640.0 188:4554.0 189:15213.0 190:5857.0 191:13354.0 192:3006.0 193:1197.0 194:432.0 195:93.0 196:247.0 197:539.0 198:4976.0 199:129.0 200:1799.0 201:1920.0 202:5992.0 203:55330.0 204:13117.0 205:10556.0 206:2023.0 207:4425.0 208:112.0 209:470.0 210:69.0 211:337.0 212:228.0 213:393.0 214:2673.0 215:9417.0 216:14689.0 217:123177.0 218:32590.0 219:16817.0 220:10901.0 221:11775.0 222:3174.0 223:975.0 224:355.0 225:492.0 226:345.0 227:115.0 228:882.0 229:4469.0 230:39598.0 231:14022.0 232:24430.0 233:5233.0 234:3799.0 235:708.0 236:412.0 237:830.0 238:222.0 239:147.0 240:374.0 241:307.0 242:1083.0 243:414.0 244:7244.0 245:2042.0 246:14846.0 247:4865.0 248:2512.0 249:1082.0 250:299.0 251:1744.0 252:461.0 253:740.0 254:332.0 255:201.0 256:176.0 257:557.0 258:25954.0 259:8353.0 260:6866.0 261:1747.0 262:1642.0 263:686.0 264:336.0 265:828.0 266:472.0 267:8675.0 268:1825.0 269:829.0 270:285.0 271:220.0 272:12519.0 273:4635.0 274:405118.0 275:104224.0 276:48850.0 277:8252.0 278:2189.0 279:303.0 280:291.0 281:279.0 285:61.0 286:860.0 287:124.0 288:2228.0 289:575.0 290:1274.0 291:911.0 292:449.0 293:115.0 294:169.0 296:36.0 298:186.0 300:59.0 301:118.0 302:107.0 304:349.0 305:3395.0 306:4300.0 307:1336.0 308:753.0 309:432.0 310:494.0 311:357.0 312:407.0 313:291.0 314:379.0 315:81.0 316:569.0 317:276.0 318:599.0 319:230.0 320:535.0 321:617.0 322:526.0 323:506.0 324:514.0 325:362.0 326:477.0 327:448.0 328:416.0 329:277.0 330:374.0 331:306.0 332:986.0 333:314.0 334:829.0 335:427.0 336:400.0 337:438.0 338:448.0 339:497.0 340:370.0 342:77.0 343:1377.0 344:260.0 345:21.0 346:115.0 347:65.0 348:1012.0 349:951.0 350:3964.0 351:1478.0 352:682.0 353:49.0 356:25.0 357:890.0 358:146.0 359:167.0 361:130.0 362:1939.0 363:8204.0 364:280466.0 365:99301.0 366:47214.0 367:11083.0 368:2225.0 369:550.0 370:202.0 371:8.0 373:85.0 374:84.0 375:82.0 376:213.0 377:239.0 378:59.0 379:591.0 380:114.0 381:84.0 383:1.0 384:23.0 385:16.0 387:71.0 388:88.0 391:176.0 398:36.0 399:10.0 405:26.0 416:61.0 417:75.0 418:34.0 422:68.0 423:51.0 424:241.0 425:136.0 426:102.0 432:63.0 433:18.0 440:31.0 441:49.0 442:13.0 446:7.0 451:625.0 452:8812.0 453:4726.0 454:2433.0 455:636.0 456:193.0 460:90.0 462:43.0 466:17.0 473:16.0 475:104.0 477:27.0</t>
  </si>
  <si>
    <t>269331</t>
  </si>
  <si>
    <t>491394</t>
  </si>
  <si>
    <t>85:158.0 87:321.0 88:233.0 91:284.0 92:14.0 95:16.0 96:84.0 97:184.0 98:463.0 99:34.0 100:7.0 107:629.0 108:111.0 109:74.0 110:594.0 111:39.0 113:270.0 114:69.0 118:235.0 122:7.0 124:11.0 125:31.0 126:422.0 127:31.0 130:331.0 134:708.0 135:101.0 140:2064.0 141:175.0 142:20.0 143:180.0 147:2214.0 148:484.0 151:47.0 154:39.0 157:86.0 158:55.0 162:10.0 165:10.0 166:20.0 168:53.0 170:48.0 172:27.0 174:161.0 183:2.0 184:317.0 185:120.0 186:37.0 196:1185.0 197:139.0 198:22.0 199:36.0 201:62.0 202:10.0 207:1.0 211:117.0 212:9.0 214:30.0 215:1.0 219:8.0 221:5.0 223:29.0 224:9.0 226:104.0 227:6.0 228:8.0 229:71.0 232:9.0 233:22.0 235:1.0 238:11.0 240:7.0 241:10.0 247:2.0 248:21.0 249:17.0 250:16.0 253:13.0 258:9.0 259:26.0 260:14.0 261:16.0 263:3.0 268:11.0 274:9.0 282:22.0 288:3.0 291:17.0 292:2.0 298:15.0 299:29.0 300:65.0 302:79.0 303:11.0 306:2.0 314:36.0 318:9.0 319:5.0 325:3.0 332:7.0 334:19.0 338:138.0 339:41.0 342:34.0 345:21.0 346:5.0 353:7.0 356:29.0 357:16.0 358:584.0 359:216.0 360:88.0 361:9.0 363:10.0 365:60.0 368:15.0 372:11.0 380:1.0 384:18.0 396:6.0 397:3.0 400:16.0 403:6.0 405:15.0 412:27.0 413:14.0 419:22.0 421:10.0 426:9.0 427:6.0 435:9.0 448:5.0 449:6.0 456:1.0 459:16.0 464:9.0 465:5.0 466:13.0 468:1.0 469:7.0 473:4.0 477:1.0 478:19.0 482:14.0 485:9.0 487:13.0 488:1.0 493:13.0 497:19.0</t>
  </si>
  <si>
    <t>269294</t>
  </si>
  <si>
    <t>766330</t>
  </si>
  <si>
    <t>99:227.0 100:598.0 101:257.0 102:60.0 103:110.0 107:269.0 108:2.0 111:41.0 112:180.0 113:12.0 114:112.0 115:8.0 116:681.0 117:4019.0 118:451.0 124:21.0 127:13.0 128:236.0 130:269.0 131:625.0 132:113.0 134:91.0 138:71.0 140:518.0 141:416.0 142:252.0 143:171.0 144:11.0 146:6.0 147:681.0 154:96.0 155:112.0 156:16853.0 157:2678.0 158:2866.0 159:332.0 160:58.0 170:8.0 172:4.0 181:338.0 182:67.0 183:145.0 184:42.0 188:38.0 189:58.0 190:6.0 196:60.0 200:18.0 203:82.0 204:410.0 206:45.0 208:30.0 209:27.0 215:5.0 217:333.0 218:678.0 219:108.0 220:45.0 224:13.0 225:126.0 226:120.0 228:125.0 229:69.0 230:143.0 231:105.0 232:72.0 240:191.0 243:13.0 246:8.0 251:3.0 254:7.0 256:126.0 257:41.0 258:83.0 264:36.0 266:10.0 273:43.0 283:60.0 285:29.0 288:25.0 293:1.0 297:104.0 298:1.0 299:365.0 300:159.0 303:5.0 307:5.0 311:3.0 312:113.0 313:66.0 314:70.0 319:3.0 329:146.0 330:355.0 331:70.0 332:15.0 341:26.0 343:1.0 348:12.0 349:26.0 358:5.0 362:1.0 368:29.0 373:5.0 394:4.0 398:5.0 400:12.0 402:626.0 403:238.0 404:66.0 405:30.0 413:36.0 421:5.0 422:8.0 431:321.0 432:113.0 436:6.0 454:2.0 495:3.0 497:5.0</t>
  </si>
  <si>
    <t>269272</t>
  </si>
  <si>
    <t>644989</t>
  </si>
  <si>
    <t>86:899.0 88:35.0 93:4.0 98:144.0 99:174.0 100:395.0 101:44.0 102:98.0 106:3.0 107:175.0 108:18.0 114:95.0 116:9.0 127:6.0 129:87.0 130:438.0 134:105.0 142:104.0 143:112.0 144:48.0 153:185.0 157:346.0 158:6699.0 159:973.0 160:728.0 168:6.0 170:45.0 172:51.0 173:9.0 174:836.0 175:64.0 184:155.0 186:1.0 197:1.0 199:258.0 205:233.0 211:78.0 212:22.0 215:8.0 217:10.0 224:10.0 227:5.0 234:43.0 239:1.0 241:7.0 242:15.0 246:1.0 248:6.0 256:5.0 271:78.0 274:168.0 275:25.0 278:137.0 279:3.0 282:1.0 287:18.0 299:102.0 300:162.0 301:113.0 314:16.0 316:35.0 317:20.0 319:189.0 321:30.0 329:1.0 334:4.0 359:8.0 360:22.0 368:11.0 373:33.0 387:20.0 398:7.0 399:21.0 402:7.0 428:5.0 461:8.0 462:6.0 463:23.0 498:4.0</t>
  </si>
  <si>
    <t>269157</t>
  </si>
  <si>
    <t>446009</t>
  </si>
  <si>
    <t>86:3594.0 87:177.0 88:148.0 89:189.0 90:2.0 91:5.0 94:360.0 95:45.0 96:942.0 100:1671.0 101:420.0 102:393.0 104:16.0 106:42.0 107:275.0 108:63.0 109:39.0 110:19.0 111:29.0 112:90.0 113:747.0 114:330.0 115:33.0 116:117.0 117:1.0 118:94.0 126:38.0 127:237.0 128:157.0 130:657.0 131:116.0 132:55.0 134:86.0 139:15.0 140:51.0 142:67.0 144:17.0 146:125.0 150:2.0 152:13.0 158:37.0 160:41.0 161:24.0 168:1519.0 169:391.0 170:231.0 171:10.0 172:197.0 174:2877.0 175:461.0 176:139.0 183:20.0 184:117.0 185:45.0 186:24.0 188:17.0 190:124.0 197:4.0 200:88.0 214:15.0 215:51.0 216:2.0 229:1.0 237:8.0 240:9.0 241:130.0 242:42.0 243:270.0 244:54.0 257:214.0 258:47.0 259:17.0 277:7.0 317:16.0 350:8.0 353:15.0 359:11.0 369:7.0 376:1.0 400:1.0 403:9.0 405:1.0 412:1.0 418:22.0 422:9.0 437:12.0 444:5.0 449:10.0 460:17.0 469:8.0 476:8.0</t>
  </si>
  <si>
    <t>268585</t>
  </si>
  <si>
    <t>209918</t>
  </si>
  <si>
    <t>123</t>
  </si>
  <si>
    <t>85:1425.0 86:219.0 87:4685.0 88:5630.0 89:1007.0 90:503.0 92:4675.0 93:200011.0 94:16480.0 95:76414.0 96:5029.0 97:3783.0 99:5184.0 101:13579.0 102:2057.0 103:41482.0 104:4492.0 105:1831.0 107:279.0 108:994.0 109:1061.0 110:931.0 111:487.0 113:313.0 114:247.0 120:198.0 121:1596.0 122:530.0 123:236335.0 124:19561.0 125:83112.0 126:6111.0 127:2218.0 128:121.0 129:2755.0 137:195.0 138:3.0 143:447.0 144:234.0 145:5.0 151:26.0 154:54.0 155:11.0 156:2.0 157:134.0 161:18.0 162:7.0 165:14734.0 166:1712.0 167:4865.0 168:401.0 169:152.0 173:203.0 174:4.0 175:8.0 179:112.0 181:56.0 192:162.0 193:230.0 194:99.0 195:12.0 200:1.0 221:430.0 222:18.0 223:241.0 224:83.0 225:61.0 229:11.0 231:3.0 233:22.0 235:675.0 236:187.0 237:101.0 239:7.0 240:1.0 247:14.0 249:161.0 250:27.0 251:6.0 252:3.0 280:72.0 322:18.0 332:1.0 348:1.0 355:13.0 360:4.0 381:1.0 387:26.0 391:1.0 393:8.0 398:2.0 420:19.0 440:9.0 448:3.0 475:3.0 488:3.0</t>
  </si>
  <si>
    <t>268461</t>
  </si>
  <si>
    <t>203944</t>
  </si>
  <si>
    <t>85:389.0 86:35.0 87:249.0 88:1038.0 90:247.0 91:281.0 92:24.0 93:4181.0 94:211.0 95:1745.0 97:471.0 98:9577.0 99:812.0 100:676.0 101:70.0 102:1.0 103:23.0 104:2.0 105:1.0 108:259.0 109:24.0 111:73.0 112:145.0 114:88.0 117:1.0 118:414.0 123:5471.0 124:355.0 125:1792.0 127:102.0 128:5.0 130:1574.0 131:270.0 134:2659.0 142:351.0 143:370.0 146:134.0 152:192.0 154:275.0 165:134.0 174:29.0 176:5.0 184:350.0 185:160.0 186:152.0 199:487.0 200:105.0 207:442.0 295:8.0 354:5.0 399:10.0 409:1.0 415:2.0 498:15.0</t>
  </si>
  <si>
    <t>268399</t>
  </si>
  <si>
    <t>330456</t>
  </si>
  <si>
    <t>86:110.0 88:3950.0 91:369.0 92:27.0 97:27.0 98:67.0 99:189.0 100:115.0 107:1340.0 110:3465.0 111:50.0 120:53.0 123:2.0 129:406.0 134:2194.0 135:16.0 136:225.0 137:215.0 140:34.0 141:52.0 142:19.0 144:207.0 151:63.0 154:2.0 155:157.0 157:97.0 161:2.0 163:2.0 170:11.0 177:78.0 179:10.0 181:76.0 184:627.0 185:28.0 186:59.0 191:1015.0 192:152.0 193:392.0 194:7.0 195:196.0 196:19.0 197:81.0 198:37.0 199:238.0 203:7.0 207:3500.0 208:797.0 209:315.0 210:3.0 211:1039.0 212:145.0 213:182.0 215:36.0 218:2.0 219:11.0 225:88.0 226:38.0 227:1.0 228:396.0 229:3187.0 230:582.0 231:565.0 232:63.0 233:30.0 238:4.0 240:3.0 241:4.0 249:126.0 251:9.0 255:3.0 257:37.0 265:26.0 279:155.0 281:95.0 283:1.0 286:45.0 288:7.0 299:15.0 302:1.0 314:2066.0 315:405.0 316:142.0 317:22.0 318:21.0 328:14.0 329:1.0 337:7.0 343:90.0 351:2.0 352:791.0 353:262.0 354:85.0 405:18.0 406:993.0 407:394.0 408:180.0 409:11.0</t>
  </si>
  <si>
    <t>268313</t>
  </si>
  <si>
    <t>315878</t>
  </si>
  <si>
    <t>212</t>
  </si>
  <si>
    <t>85:294.0 86:277.0 90:192.0 91:10.0 93:305.0 94:178.0 98:773.0 99:271.0 100:427.0 104:13.0 106:61.0 107:1440.0 108:347.0 109:102.0 112:71.0 114:159.0 117:90.0 118:222.0 119:15.0 120:31.0 122:4969.0 123:507.0 124:614.0 125:7.0 127:156.0 128:119.0 130:1434.0 134:969.0 135:183.0 136:193.0 138:30.0 139:97.0 140:97.0 142:55.0 143:155.0 147:583.0 148:24.0 150:91.0 154:6.0 155:950.0 156:383.0 174:20.0 182:3.0 183:30.0 184:130.0 185:89.0 186:114.0 196:193.0 198:9.0 212:5558.0 213:870.0 214:230.0 227:10.0 312:3.0 319:7.0 336:3.0 359:12.0 382:5.0 398:1.0 487:1.0</t>
  </si>
  <si>
    <t>268306</t>
  </si>
  <si>
    <t>427619</t>
  </si>
  <si>
    <t>85:239.0 86:66.0 87:154.0 88:438.0 89:32.0 90:75.0 91:257.0 92:129.0 94:214.0 95:590.0 96:281.0 97:860.0 98:242.0 100:468.0 102:2.0 104:33.0 106:210.0 107:221.0 109:259.0 110:4480.0 111:122.0 112:10.0 113:185.0 114:24.0 118:339.0 120:10.0 122:35.0 123:207.0 124:54.0 125:39.0 126:343.0 127:127.0 128:233.0 130:1379.0 132:181.0 134:516.0 137:87.0 138:12.0 139:76.0 140:45.0 141:44.0 144:99.0 150:17.0 152:6.0 153:85.0 154:309.0 155:130.0 157:95.0 158:3.0 159:30.0 160:9.0 163:134.0 164:53.0 166:20.0 167:50.0 168:10.0 177:471.0 178:582.0 184:342.0 185:173.0 186:37.0 192:19.0 196:1.0 197:65.0 198:53.0 199:170.0 200:59.0 206:179.0 207:11172.0 208:1031.0 211:106.0 213:24.0 215:170.0 225:175.0 226:90.0 227:11752.0 228:1707.0 229:448.0 230:3.0 238:4.0 240:1.0 265:2.0 272:3.0 282:4.0 285:6.0 289:5.0 294:35.0 296:18.0 328:14.0 330:13.0 360:10.0 374:5.0 402:2.0 409:13.0 427:7.0 440:6.0 442:2.0 451:11.0 453:13.0 462:17.0 465:5.0 473:3.0 479:12.0 481:6.0 493:16.0</t>
  </si>
  <si>
    <t>267904</t>
  </si>
  <si>
    <t>846150</t>
  </si>
  <si>
    <t>86:1003.0 87:412.0 91:128.0 92:37.0 94:149.0 95:80.0 97:6.0 98:174.0 99:555.0 100:434.0 102:36.0 106:23.0 107:72.0 109:60.0 110:119.0 111:486.0 112:422.0 113:235.0 114:467.0 116:327.0 117:116.0 118:27.0 119:250.0 124:398.0 128:682.0 129:1056.0 130:521.0 131:166.0 134:902.0 136:6.0 139:240.0 140:1316.0 141:1116.0 151:40.0 152:51.0 154:399.0 155:191.0 156:35595.0 157:7422.0 158:2269.0 159:349.0 160:364.0 161:10.0 162:129.0 164:19.0 166:30.0 167:37.0 168:570.0 169:581.0 170:318.0 171:120.0 172:14.0 174:1101.0 175:133.0 176:62.0 178:55.0 179:17.0 180:137.0 181:117.0 182:418.0 183:437.0 186:1.0 188:22.0 196:36.0 198:164.0 202:84.0 204:265.0 207:46.0 208:3.0 210:46.0 212:45.0 214:146.0 216:199.0 218:28.0 221:66.0 222:25.0 223:34.0 224:18.0 226:114.0 227:16.0 228:34.0 230:561.0 231:100.0 232:441.0 233:196.0 234:17.0 235:39.0 236:128.0 237:229.0 238:29.0 240:23.0 241:72.0 242:181.0 244:160.0 250:26.0 251:394.0 252:46.0 253:18.0 255:3.0 260:39.0 261:53.0 262:16.0 263:9.0 264:22.0 265:7.0 267:38.0 271:73.0 274:261.0 275:137.0 276:202.0 277:43.0 278:187.0 279:137.0 280:17.0 281:53.0 282:69.0 284:5.0 286:55.0 289:47.0 290:23.0 291:84.0 293:6.0 296:50.0 297:63.0 298:26.0 299:187.0 300:110.0 304:299.0 306:50.0 309:174.0 310:79.0 311:11.0 312:75.0 313:80.0 315:83.0 316:10.0 318:100.0 320:59.0 321:4.0 322:30.0 324:10.0 325:78.0 327:154.0 328:51.0 329:46.0 334:37.0 335:37.0 339:10.0 340:106.0 341:281.0 342:8.0 344:48.0 346:46.0 347:9.0 348:4.0 349:3.0 350:5.0 352:10.0 353:99.0 354:20.0 355:122.0 358:1.0 359:51.0 360:40.0 362:103.0 363:41.0 364:17.0 365:27.0 366:111.0 368:107.0 369:73.0 370:18.0 371:7.0 372:12.0 374:2.0 375:532.0 376:193.0 377:68.0 378:38.0 380:5.0 381:6.0 382:26.0 383:13.0 387:43.0 388:36.0 389:55.0 390:12.0 396:8.0 399:9.0 401:5.0 403:7.0 404:3.0 406:4.0 414:4.0 415:44.0 416:62.0 417:1.0 418:4.0 420:6.0 422:1.0 423:29.0 424:13.0 426:4.0 429:15.0 430:23.0 440:31.0 442:83.0 443:1349.0 444:585.0 445:262.0 446:57.0 447:5.0 448:15.0 449:2.0 450:3.0 451:19.0 454:10.0 455:5.0 458:141.0 459:76.0 465:15.0 469:30.0 479:17.0 483:3.0 487:13.0 488:5.0 492:32.0 493:8.0 495:9.0 499:7.0</t>
  </si>
  <si>
    <t>267742</t>
  </si>
  <si>
    <t>658726</t>
  </si>
  <si>
    <t>85:1079.0 87:281.0 88:111.0 89:3015.0 90:233.0 91:927.0 95:559.0 99:884.0 100:6721.0 101:793.0 102:765.0 103:145.0 104:1322.0 107:724.0 108:1034.0 109:350.0 110:1256.0 111:56.0 112:1074.0 113:1224.0 114:2033.0 115:2049.0 116:915.0 117:3955.0 118:599.0 122:163.0 123:69.0 126:579.0 128:5604.0 129:17873.0 130:4277.0 131:1226.0 132:1749.0 133:1088.0 137:306.0 140:79.0 141:251.0 142:1960.0 144:1048.0 145:313.0 146:706.0 149:298.0 150:902.0 156:303.0 158:505.0 159:287.0 161:872.0 162:764.0 164:238.0 168:68.0 172:646.0 173:904.0 176:135.0 178:233.0 179:106.0 180:79.0 182:9.0 184:78.0 185:411.0 186:961.0 187:98.0 188:2086.0 189:722.0 190:553.0 195:194.0 200:753.0 202:262.0 203:36733.0 204:7309.0 205:4323.0 206:15.0 211:109.0 212:63.0 213:126.0 214:547.0 215:86.0 216:4372.0 217:3116.0 218:1800.0 219:488.0 220:230.0 227:70.0 228:205.0 230:439.0 231:353.0 233:92.0 236:172.0 237:160.0 239:9.0 240:246.0 241:18.0 243:289.0 244:132.0 252:38.0 253:55.0 254:1.0 256:43.0 258:313.0 260:17.0 261:104.0 264:171.0 265:83.0 267:192.0 270:339.0 271:109.0 272:30.0 273:177.0 274:468.0 275:72.0 279:44.0 280:46.0 287:131.0 289:33.0 290:306.0 291:207.0 292:293.0 293:154.0 294:54.0 299:230.0 301:133.0 303:70.0 304:1994.0 305:771.0 306:1341.0 307:1113.0 308:254.0 309:6.0 312:7.0 313:95.0 314:54.0 315:211.0 316:220.0 318:214.0 322:316.0 325:50.0 326:58.0 328:43.0 329:227.0 330:467.0 331:78.0 332:27.0 335:51.0 336:28.0 337:6.0 339:52.0 343:33.0 344:54.0 346:39.0 347:421.0 348:93.0 349:148.0 351:24.0 353:6.0 356:31.0 357:1791.0 358:360.0 359:330.0 360:56.0 361:11.0 367:2.0 368:4.0 371:4.0 375:30.0 380:69.0 382:1.0 383:3.0 385:29.0 386:35.0 387:32.0 392:34.0 398:49.0 399:25.0 400:127.0 401:9.0 413:7.0 415:30.0 416:29.0 420:295.0 421:174.0 422:118.0 428:82.0 430:86.0 434:221.0 435:171.0 436:37.0 438:4.0 439:24.0 443:27.0 446:15.0 447:17.0 448:14.0 449:192.0 450:15.0 451:66.0 452:21.0 453:30.0 456:16.0 457:24.0 459:8.0 460:41.0 463:34.0 468:16.0 469:2.0 472:1.0 476:3.0 477:1.0 483:10.0 484:2.0 486:27.0 489:13.0</t>
  </si>
  <si>
    <t>267692</t>
  </si>
  <si>
    <t>810107</t>
  </si>
  <si>
    <t>85:210.0 86:5.0 89:62.0 91:747.0 93:6.0 95:53.0 98:274.0 99:25.0 100:58.0 101:15.0 102:61.0 103:441.0 105:3257.0 106:305.0 107:47.0 108:66.0 110:1.0 112:103.0 113:227.0 116:152.0 117:26.0 122:21.0 123:31.0 124:67.0 129:724.0 133:39.0 137:44.0 140:346.0 143:27.0 144:139.0 145:449.0 146:28.0 147:656.0 148:80.0 151:62.0 152:47.0 153:2.0 154:60.0 155:302.0 156:8976.0 157:1678.0 158:1067.0 159:104.0 160:4.0 161:75.0 168:25.0 169:168.0 170:269.0 171:609.0 172:155.0 173:109.0 174:10.0 176:4.0 179:107.0 182:84.0 184:52.0 186:36.0 187:112.0 188:116.0 200:4.0 201:5.0 202:78.0 203:52.0 204:59.0 207:58.0 211:26.0 212:22.0 214:21.0 215:33.0 217:1916.0 218:486.0 219:72.0 220:45.0 225:8.0 226:3.0 229:11.0 230:124.0 231:81.0 234:22.0 235:26.0 236:8.0 238:15.0 240:44.0 243:105.0 244:60.0 245:102.0 246:1.0 247:24.0 248:20.0 249:26.0 253:53.0 256:3.0 259:295.0 260:88.0 261:46.0 262:21.0 267:32.0 273:15.0 274:22.0 277:26.0 278:195.0 281:9.0 282:2.0 289:86.0 290:47.0 291:69.0 292:52.0 293:106.0 296:6.0 298:6.0 300:19.0 301:12.0 304:5.0 305:19.0 306:25.0 307:10.0 308:6.0 310:15.0 312:1.0 313:51.0 314:47.0 319:2.0 321:20.0 323:1.0 325:5.0 327:36.0 328:5.0 329:53.0 330:36.0 331:6.0 333:10.0 334:12.0 335:91.0 336:11.0 343:45.0 344:3.0 347:64.0 355:11.0 357:36.0 359:32.0 360:9.0 366:6.0 368:7.0 370:14.0 375:137.0 376:23.0 377:12.0 378:4.0 380:39.0 385:10.0 387:44.0 391:11.0 395:2.0 396:1.0 398:4.0 402:8.0 405:4.0 409:1.0 413:1.0 415:1.0 423:1.0 442:2.0 444:22.0 445:121.0 446:92.0 448:17.0 449:5.0 450:2.0 451:19.0 459:4.0 460:11.0 462:6.0 471:4.0 481:5.0 482:1.0 494:3.0 495:2.0 496:1.0 497:5.0 500:2.0</t>
  </si>
  <si>
    <t>242417</t>
  </si>
  <si>
    <t>374883</t>
  </si>
  <si>
    <t>283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</si>
  <si>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</si>
  <si>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241668</t>
  </si>
  <si>
    <t>890409</t>
  </si>
  <si>
    <t>85:38.0 86:394.0 87:82.0 88:23.0 90:57.0 91:317.0 93:12.0 94:69.0 95:67.0 96:5.0 97:4.0 98:109.0 99:96.0 100:425.0 101:49.0 102:123.0 108:7.0 110:59.0 111:4.0 112:2.0 114:121.0 115:11.0 117:8.0 118:6.0 121:6.0 122:1.0 124:48.0 125:1.0 126:14.0 127:186.0 128:17.0 130:70.0 131:12.0 134:9.0 135:13.0 138:39.0 139:6.0 140:29.0 141:5.0 142:87.0 145:1.0 148:12.0 149:6.0 152:1.0 153:8.0 154:26.0 156:129.0 158:34.0 159:1.0 160:6.0 163:67.0 164:78.0 165:2.0 166:1.0 168:60.0 169:5.0 171:4.0 172:86.0 174:2507.0 175:304.0 176:66.0 179:7662.0 180:1191.0 181:285.0 182:44.0 184:108.0 185:21.0 186:32.0 187:63.0 193:41.0 194:89.0 195:3.0 196:31.0 197:297.0 198:37.0 199:17.0 201:3.0 202:3.0 204:13.0 205:2.0 207:69.0 208:134.0 209:149.0 212:9.0 214:18.0 215:1.0 218:115.0 219:1.0 221:152.0 223:5.0 225:112.0 227:13.0 228:6.0 229:48.0 239:4.0 241:94.0 242:1.0 246:14.0 247:3.0 250:1.0 253:19.0 254:2.0 255:3.0 256:1.0 257:70.0 258:5.0 262:1.0 266:40.0 267:1.0 269:19.0 270:4.0 272:49.0 274:1.0 275:24.0 277:4.0 278:2.0 281:92.0 282:106.0 283:132.0 284:21.0 290:5.0 295:194.0 296:69.0 297:202.0 298:1303.0 299:453.0 300:186.0 301:64.0 302:46.0 305:4.0 306:3.0 310:14.0 311:145.0 312:17.0 313:11.0 315:18.0 318:29.0 324:6.0 325:157.0 326:6.0 327:2.0 328:37.0 330:14.0 331:32.0 340:17.0 341:176.0 343:39.0 348:11.0 354:84.0 355:1.0 357:78.0 358:10.0 376:10.0 379:13.0 385:45.0 386:146.0 387:124.0 388:53.0 389:144.0 390:31.0 391:51.0 395:2.0 399:54.0 401:123.0 402:11.0 404:36.0 405:2.0 410:3.0 422:5.0 427:11.0 429:50.0 430:67.0 431:20.0 435:12.0 438:15.0 445:10.0 451:1.0 460:7.0 462:6.0 463:11.0 465:12.0 467:2.0 475:69.0 476:36.0 480:7.0 483:12.0 486:6.0 489:64.0 490:2.0 491:4.0 492:2.0</t>
  </si>
  <si>
    <t>241661</t>
  </si>
  <si>
    <t>656922</t>
  </si>
  <si>
    <t>225</t>
  </si>
  <si>
    <t>85:479.0 86:473.0 87:47.0 88:258.0 89:73.0 91:63.0 92:158.0 94:148.0 95:97.0 96:317.0 98:647.0 99:475.0 100:807.0 101:607.0 102:604.0 103:2294.0 104:117.0 106:63.0 107:175.0 109:71.0 112:147.0 113:474.0 114:299.0 115:267.0 117:14.0 121:166.0 123:225.0 124:83.0 126:37.0 127:340.0 128:186.0 129:11.0 130:170.0 131:241.0 132:1.0 134:1397.0 137:6.0 138:167.0 139:12.0 140:278.0 141:141.0 142:358.0 143:267.0 144:471.0 146:73.0 149:335.0 151:77.0 152:230.0 153:297.0 154:412.0 155:68.0 156:67.0 157:99.0 160:45.0 161:1.0 166:90.0 167:2.0 168:261.0 169:239.0 170:1155.0 171:199.0 172:84.0 173:42.0 179:47.0 180:5.0 181:363.0 182:155.0 183:13.0 184:698.0 185:238.0 186:221.0 187:112.0 188:284.0 190:70.0 195:107.0 196:757.0 197:1513.0 198:460.0 199:42.0 201:11.0 203:7.0 204:6.0 208:23.0 209:4729.0 210:847.0 211:276.0 212:155.0 213:453.0 214:78.0 215:33.0 216:327.0 217:110.0 220:25.0 222:10.0 223:338.0 224:97.0 225:7267.0 226:1353.0 227:596.0 228:59.0 229:16.0 230:79.0 231:58.0 237:67.0 238:233.0 239:141.0 240:30.0 241:116.0 242:4.0 243:87.0 244:36.0 245:73.0 246:13.0 247:44.0 248:41.0 255:546.0 256:15.0 258:148.0 260:43.0 261:18.0 262:63.0 263:24.0 269:185.0 270:55.0 271:723.0 272:230.0 273:287.0 277:16.0 278:16.0 283:107.0 285:316.0 286:214.0 287:36.0 288:8.0 291:3.0 292:9.0 293:1.0 294:3.0 295:1.0 296:22.0 297:3912.0 298:2653.0 299:961.0 300:356.0 301:139.0 302:12.0 303:28.0 304:1.0 305:32.0 307:1.0 311:116.0 313:1235.0 314:405.0 315:148.0 316:46.0 317:11.0 320:7.0 321:2.0 322:1.0 324:30.0 327:29.0 328:2795.0 329:806.0 330:263.0 331:93.0 333:50.0 338:12.0 340:23.0 341:1.0 345:8.0 347:14.0 349:42.0 350:16.0 354:2.0 356:9.0 357:1.0 358:67.0 359:112.0 360:14.0 362:11.0 363:4.0 365:149.0 366:37.0 369:4.0 374:9.0 376:17.0 377:6.0 379:28.0 380:37.0 381:12.0 383:9.0 394:27.0 398:2.0 400:1.0 402:4.0 405:11.0 407:14.0 409:30.0 410:10.0 411:9.0 412:16.0 413:29.0 414:16.0 416:38.0 417:69.0 420:14.0 422:20.0 423:19.0 424:39.0 425:9.0 429:5.0 430:100.0 431:11.0 432:36.0 433:36.0 438:9.0 439:33.0 441:10.0 443:5.0 445:129.0 446:48.0 447:2.0 448:27.0 449:41.0 450:36.0 451:24.0 456:8.0 457:14.0 461:8.0 463:67.0 465:17.0 466:21.0 467:7.0 469:27.0 470:19.0 471:18.0 473:1.0 477:12.0 479:16.0 481:17.0 482:1.0 483:11.0 484:25.0 485:9.0 486:2.0 487:17.0 491:9.0 492:10.0 495:39.0 496:5.0 498:16.0 500:22.0</t>
  </si>
  <si>
    <t>241658</t>
  </si>
  <si>
    <t>857305</t>
  </si>
  <si>
    <t>86:2444.0 88:25.0 95:1.0 98:13.0 100:1385.0 101:45.0 102:378.0 108:11.0 114:124.0 116:300.0 128:351.0 129:95.0 130:200.0 131:148.0 132:95.0 139:77.0 142:250.0 143:43.0 144:90.0 154:45.0 156:837.0 157:16.0 158:102.0 160:55.0 170:45.0 172:252.0 174:9849.0 175:1582.0 176:807.0 181:118.0 183:110.0 187:36.0 188:152.0 200:21.0 201:10.0 202:15.0 209:188.0 213:32.0 218:88.0 227:16.0 228:17.0 229:6.0 231:2.0 239:15.0 243:3.0 251:15.0 252:30.0 255:198.0 256:67.0 267:69.0 271:60.0 272:10.0 275:14.0 281:109.0 292:13.0 295:104.0 306:20.0 312:300.0 317:135.0 318:82.0 319:6.0 326:38.0 330:8.0 331:5.0 339:8.0 341:111.0 342:91.0 343:97.0 354:95.0 357:22.0 374:38.0 385:51.0 398:2.0 399:5.0 400:6.0 419:29.0 427:13.0 428:12.0 429:29.0 430:2.0 431:56.0 438:7.0 442:19.0 443:18.0 444:1003.0 445:483.0 446:158.0 447:5.0 448:1.0 451:8.0 459:55.0 468:22.0 469:10.0 476:16.0 483:4.0 491:58.0 492:15.0</t>
  </si>
  <si>
    <t>190</t>
  </si>
  <si>
    <t>241271</t>
  </si>
  <si>
    <t>615712</t>
  </si>
  <si>
    <t>85:11547.0 86:488101.0 87:49330.0 88:21686.0 89:3076.0 90:969.0 93:48.0 94:96.0 95:594.0 96:859.0 98:1914.0 99:6351.0 100:278432.0 101:37299.0 102:86368.0 103:23058.0 104:6071.0 105:4526.0 107:282.0 109:64.0 110:303.0 111:1871.0 112:2492.0 113:8782.0 114:21753.0 115:20740.0 116:31289.0 117:41368.0 118:12322.0 119:11349.0 120:1539.0 121:1528.0 122:331.0 123:328.0 124:118.0 125:771.0 126:1197.0 128:9306.0 129:14381.0 130:81143.0 131:36289.0 132:16114.0 133:36167.0 134:5562.0 135:1148.0 136:1198.0 137:219.0 138:708.0 139:1338.0 140:1453.0 141:1392.0 142:6803.0 143:13496.0 144:23905.0 145:3441.0 146:17569.0 147:195535.0 148:28632.0 149:24753.0 150:4354.0 151:579.0 152:1788.0 153:478.0 155:19604.0 156:12352.0 157:6262.0 158:34150.0 159:7804.0 160:36540.0 161:8841.0 162:3771.0 163:296.0 164:124.0 165:243.0 166:741.0 167:2575.0 168:198.0 169:462.0 170:1395.0 172:32848.0 173:7255.0 174:1136486.0 175:240648.0 176:222801.0 177:36151.0 178:12807.0 179:2330.0 180:789.0 181:686.0 182:181.0 183:7797.0 184:2892.0 185:2678.0 186:61.0 187:15057.0 188:8947.0 190:5492.0 192:483.0 193:579.0 194:16.0 196:325.0 197:463.0 198:78.0 199:933.0 200:2674.0 201:9369.0 202:7535.0 203:2063.0 204:1724.0 205:73.0 206:1213.0 207:2921.0 209:1143.0 210:82.0 211:344.0 212:280.0 213:6929.0 214:1672.0 215:2181.0 216:1661.0 217:2149.0 218:4839.0 220:628.0 222:149.0 223:320.0 224:61.0 225:757.0 226:151.0 227:990.0 228:9934.0 229:31213.0 230:9376.0 231:2197.0 232:1279.0 233:71.0 234:288.0 237:340.0 238:189.0 239:425.0 240:32.0 241:1903.0 242:349.0 243:986.0 244:964.0 245:4686.0 246:4005.0 247:865.0 248:1697.0 249:666.0 250:375.0 252:305.0 253:334.0 254:179.0 255:57.0 256:266.0 257:38113.0 258:10729.0 259:7431.0 260:1145.0 262:221.0 264:367.0 265:123.0 266:292.0 267:177.0 268:192.0 269:4.0 271:68.0 272:692.0 273:6723.0 274:7154.0 275:291.0 276:494.0 277:447.0 280:134.0 282:1.0 284:246.0 285:1424.0 286:418.0 287:375.0 289:643.0 290:123.0 291:561.0 293:1246.0 294:1103.0 295:278.0 297:112.0 298:154.0 301:1391.0 302:348.0 304:475.0 305:1208.0 306:440.0 307:869.0 308:421.0 309:107.0 310:61.0 311:147.0 312:227.0 313:342.0 314:41.0 315:103.0 317:206.0 320:332.0 321:148.0 322:363.0 324:41.0 326:130.0 328:641.0 329:1383.0 331:2528.0 332:855.0 333:227.0 334:443.0 335:264.0 344:142.0 345:173.0 346:1226.0 347:77408.0 348:25606.0 349:11072.0 350:2141.0 351:862.0 353:14.0 354:14.0 356:16.0 358:60.0 359:27.0 362:517.0 363:2620.0 369:1.0 370:212.0 372:179.0 373:424.0 374:267.0 375:13.0 378:312.0 379:223.0 380:107.0 381:88.0 384:101.0 385:123.0 386:35.0 387:216.0 388:19.0 389:202.0 393:14.0 397:170.0 398:9.0 399:130.0 402:97.0 407:25.0 408:26.0 409:38.0 411:49.0 412:100.0 413:151.0 414:128.0 417:5.0 418:175.0 419:155.0 421:154.0 422:347.0 423:34.0 424:19.0 427:56.0 429:181.0 430:59.0 431:87.0 432:50.0 433:182.0 434:144.0 435:27.0 437:1157.0 438:410.0 440:59.0 441:16.0 442:103.0 443:123.0 444:59.0 445:52.0 446:30.0 447:92.0 448:33.0 449:46.0 452:15.0 453:42.0 454:41.0 455:10.0 456:55.0 459:8.0 462:45.0 464:208.0 465:645.0 468:109.0 470:5.0 472:3.0 479:2.0 496:1.0 498:7.0</t>
  </si>
  <si>
    <t>241090</t>
  </si>
  <si>
    <t>1067805</t>
  </si>
  <si>
    <t>85:13167.0 86:4436.0 87:4749.0 88:515.0 89:1191.0 90:524.0 91:30927.0 92:10446.0 93:45667.0 94:121709.0 95:102197.0 96:21488.0 97:14617.0 98:10461.0 99:7789.0 100:2572.0 101:4035.0 102:1049.0 103:2239.0 104:2480.0 105:22518.0 106:35320.0 107:31239.0 108:86944.0 109:30450.0 110:17905.0 111:10648.0 112:7887.0 113:4351.0 114:1611.0 115:3298.0 116:1963.0 117:13335.0 118:6435.0 119:19193.0 120:20284.0 121:21849.0 122:27068.0 123:11299.0 124:7058.0 125:4109.0 126:2703.0 127:3536.0 128:1443.0 129:11464.0 130:4189.0 131:20393.0 132:9004.0 133:14447.0 134:14108.0 135:21200.0 136:22146.0 137:9798.0 138:5958.0 139:2565.0 140:1706.0 141:1931.0 142:725.0 143:4099.0 144:2503.0 145:14968.0 146:6584.0 147:11350.0 148:13766.0 149:12337.0 150:17419.0 151:5203.0 152:3911.0 153:2855.0 154:1167.0 155:2180.0 156:1422.0 157:4986.0 158:3708.0 159:7858.0 160:3814.0 161:7874.0 162:16222.0 163:8927.0 164:10704.0 165:6200.0 166:2691.0 167:1949.0 168:1735.0 169:2792.0 170:1530.0 171:3144.0 172:3250.0 173:4956.0 174:2990.0 175:12962.0 176:37909.0 177:7620.0 178:6051.0 179:1677.0 180:2462.0 181:1854.0 182:937.0 183:1760.0 184:1854.0 185:3082.0 186:6416.0 187:3679.0 188:2230.0 189:2393.0 190:17328.0 191:4119.0 192:5764.0 193:1026.0 194:3350.0 195:2082.0 196:1388.0 197:870.0 198:1140.0 199:1335.0 200:1074.0 201:3051.0 202:1843.0 203:1174.0 204:15410.0 205:2815.0 206:1630.0 208:8939.0 209:3927.0 210:1911.0 211:1348.0 212:739.0 213:1618.0 214:854.0 215:1874.0 216:1314.0 217:778.0 218:2576.0 219:1044.0 220:1037.0 222:9026.0 223:3035.0 224:1881.0 225:4050.0 226:1797.0 227:1332.0 228:634.0 229:659.0 230:874.0 231:1253.0 232:1405.0 233:1312.0 234:824.0 235:1147.0 236:3078.0 238:2123.0 239:692.0 240:541.0 241:818.0 242:1227.0 243:2743.0 244:1905.0 245:1256.0 246:1311.0 247:820.0 248:641.0 249:943.0 250:11721.0 251:4456.0 252:3335.0 253:860.0 254:287.0 255:1717.0 256:513.0 257:353.0 258:798.0 259:941.0 260:2256.0 261:10405.0 262:2829.0 263:1042.0 264:31459.0 265:14393.0 266:3290.0 267:556.0 268:1673.0 269:975.0 270:2742.0 271:1579.0 272:762.0 273:11943.0 274:2424.0 275:913.0 276:506.0 277:294.0 278:24124.0 279:5665.0 280:1224.0 281:473.0 282:695.0 284:166.0 285:173.0 286:444.0 287:1187.0 288:10173.0 289:2733.0 290:1226.0 291:746.0 292:6350.0 293:2395.0 294:929.0 295:158.0 296:1186.0 297:229.0 298:327.0 300:19.0 301:417.0 302:124.0 303:65.0 305:2018.0 306:4690.0 307:1452.0 308:335.0 309:228.0 310:233.0 311:201.0 312:58.0 314:96.0 315:170.0 316:60.0 317:542.0 318:515.0 319:545.0 320:5162.0 321:1400.0 322:67.0 323:53.0 324:387.0 325:356.0 326:104.0 327:88.0 328:454.0 329:158.0 330:221.0 331:19.0 332:173.0 333:379.0 334:1509.0 335:881.0 336:545.0 337:314.0 338:223.0 339:180.0 340:108.0 342:272.0 343:37.0 344:475.0 345:301.0 346:239.0 347:1671.0 348:550.0 349:162.0 350:152.0 351:227.0 352:191.0 353:59.0 354:135.0 356:221.0 357:188.0 358:117.0 360:18.0 361:452.0 362:3601.0 363:1272.0 364:600.0 365:216.0 366:378.0 367:196.0 368:24.0 369:74.0 372:84.0 373:24.0 375:15.0 376:76.0 377:2.0 378:206.0 379:218.0 380:812.0 381:365.0 382:141.0 384:63.0 388:131.0 390:15.0 391:16.0 392:294.0 393:301.0 394:4343.0 395:1597.0 396:360.0 397:99.0 399:38.0 401:134.0 403:87.0 405:5.0 406:298.0 407:200.0 408:27.0 411:187.0 412:218.0 413:228.0 415:340.0 419:24.0 420:81.0 421:273.0 422:181.0 423:57.0 424:29.0 428:38.0 429:49.0 430:70.0 431:319.0 432:58.0 433:48.0 434:279.0 435:776.0 436:6538.0 437:3254.0 438:865.0 439:164.0 440:1.0 441:59.0 445:11.0 446:70.0 447:73.0 448:103.0 449:139.0 450:72.0 453:19.0 455:43.0 456:103.0 457:20.0 458:25.0 459:34.0 461:73.0 463:49.0 464:5.0 466:490.0 467:3320.0 468:1859.0 469:412.0 470:32.0 473:18.0 476:18.0 477:53.0 478:1.0 479:63.0 481:1.0 489:244.0 490:199.0 491:83.0 492:28.0 493:13.0 500:8.0</t>
  </si>
  <si>
    <t>241064</t>
  </si>
  <si>
    <t>803253</t>
  </si>
  <si>
    <t>85:254.0 86:1293.0 87:132.0 89:31.0 90:40.0 91:3283.0 92:157.0 93:105.0 95:58.0 96:25.0 98:413.0 99:145.0 100:1400.0 102:221.0 103:1156.0 104:2377.0 105:133.0 107:51.0 108:2.0 109:4.0 110:123.0 112:148.0 114:7.0 115:134.0 117:95.0 120:4.0 121:41.0 123:1.0 124:129.0 125:80.0 126:19.0 127:124.0 128:919.0 129:227.0 131:377.0 132:435.0 135:9.0 136:4.0 140:209.0 141:29.0 142:197.0 143:15.0 144:116.0 146:137.0 152:29.0 153:140.0 154:376.0 155:44.0 156:1998.0 157:324.0 158:22.0 160:94.0 164:2.0 168:96.0 169:176.0 170:842.0 171:101.0 172:220.0 173:191.0 174:4728.0 175:868.0 176:335.0 179:1.0 181:104.0 182:76.0 186:38.0 187:20.0 188:6.0 190:18.0 194:1.0 195:125.0 196:453.0 197:5583.0 198:988.0 199:308.0 200:92.0 201:394.0 202:154.0 203:1.0 204:28.0 205:8.0 208:5.0 209:1998.0 210:247.0 211:2.0 212:141.0 213:19.0 216:20.0 218:221.0 219:6.0 220:3.0 221:6.0 223:61.0 224:157.0 225:6451.0 226:1123.0 227:262.0 231:2.0 232:7.0 233:1.0 238:4.0 239:3.0 244:3.0 246:268.0 251:37.0 252:1.0 253:4.0 256:3.0 258:1.0 266:3.0 267:2.0 270:3.0 272:59.0 273:219.0 274:28.0 275:1.0 277:2.0 279:1.0 280:1.0 281:4.0 293:3.0 294:2.0 296:6.0 301:588.0 302:128.0 310:1.0 312:1.0 313:212.0 314:44.0 315:30.0 316:1423.0 317:534.0 318:125.0 329:1.0 335:1.0 342:57.0 356:1.0 357:17.0 368:5.0 369:5.0 372:1.0 381:16.0 383:9.0 404:2.0 419:2.0 459:1.0 460:1.0 475:2.0 486:38.0 487:14.0 490:1.0</t>
  </si>
  <si>
    <t>241059</t>
  </si>
  <si>
    <t>702583</t>
  </si>
  <si>
    <t>85:26.0 86:1120.0 93:30.0 94:15.0 95:4.0 96:12.0 98:76.0 99:87.0 100:1036.0 101:375.0 115:16.0 122:14.0 124:81.0 126:120.0 129:12.0 130:171.0 134:56.0 135:15.0 137:1.0 139:41.0 140:193.0 141:168.0 142:8762.0 143:850.0 144:1358.0 145:3.0 149:3.0 150:28.0 152:157.0 156:66.0 157:19.0 158:49.0 166:3.0 169:19.0 170:23.0 171:25.0 172:127.0 173:44.0 174:1669.0 176:35.0 179:50.0 181:5.0 182:3.0 188:74.0 189:12.0 193:5.0 197:3.0 198:38.0 199:83.0 201:55.0 202:1.0 204:10.0 205:13.0 206:5.0 208:7.0 209:86.0 213:27.0 215:2.0 217:9.0 218:44.0 219:7.0 221:10.0 226:15.0 227:116.0 228:46.0 229:118.0 230:137.0 238:14.0 239:4.0 240:23.0 241:138.0 242:6.0 243:3.0 244:36.0 246:2.0 248:46.0 252:16.0 256:4.0 257:277.0 258:15.0 260:1.0 263:1.0 265:39.0 267:72.0 269:24.0 270:1.0 273:74.0 274:12.0 278:56.0 280:7.0 282:64.0 284:6.0 286:6.0 289:48.0 294:19.0 297:31.0 300:2.0 301:2.0 307:296.0 308:119.0 310:36.0 311:32.0 312:13.0 313:5.0 315:2.0 317:1.0 318:2.0 320:49.0 321:13.0 323:52.0 324:1.0 331:49.0 332:27.0 333:6.0 334:1.0 337:1.0 340:48.0 342:4.0 343:1.0 347:303.0 348:165.0 349:35.0 352:50.0 354:1185.0 355:277.0 356:82.0 357:69.0 358:25.0 366:13.0 368:57.0 369:67.0 374:26.0 380:13.0 382:14.0 383:9.0 384:5.0 386:150.0 388:7.0 390:1.0 396:3.0 399:5.0 404:3.0 405:26.0 408:18.0 425:2.0 429:53.0 430:19.0 433:8.0 440:13.0 460:9.0 461:23.0 469:2.0 472:7.0 476:31.0</t>
  </si>
  <si>
    <t>241049</t>
  </si>
  <si>
    <t>906403</t>
  </si>
  <si>
    <t>85:20.0 86:211.0 88:12.0 90:239.0 91:332.0 95:135.0 96:32.0 99:263.0 100:842.0 101:122.0 109:89.0 112:55.0 113:23.0 114:60.0 116:59.0 120:82.0 122:6.0 126:116.0 127:3.0 131:518.0 133:374.0 134:959.0 140:69.0 144:51.0 145:44.0 146:66.0 149:88.0 151:200.0 152:5.0 153:9.0 154:367.0 155:21.0 156:196.0 161:43.0 162:38.0 163:355.0 164:273.0 165:59.0 168:20.0 169:75.0 172:69.0 174:6.0 176:92.0 177:286.0 179:16096.0 180:2237.0 181:429.0 182:104.0 183:28.0 187:101.0 188:33.0 190:41.0 191:229.0 193:358.0 194:65.0 195:14.0 196:37.0 197:392.0 198:34.0 204:12.0 205:53.0 208:73.0 209:537.0 210:420.0 212:8.0 216:107.0 219:26.0 223:89.0 224:179.0 225:434.0 226:57.0 228:45.0 234:46.0 235:21.0 237:9.0 238:4.0 239:17.0 240:7.0 242:27.0 244:75.0 245:62.0 246:17.0 247:18.0 249:33.0 252:40.0 254:14.0 256:13.0 263:22.0 267:237.0 268:49.0 271:49.0 272:14.0 273:35.0 274:5.0 276:4.0 278:43.0 279:13.0 280:19.0 281:423.0 282:175.0 283:18.0 284:16.0 289:6.0 292:4.0 293:11.0 294:2.0 296:94.0 297:563.0 298:2643.0 299:542.0 300:295.0 301:27.0 302:19.0 305:34.0 306:27.0 311:51.0 312:27.0 313:8.0 323:48.0 324:47.0 326:10.0 327:185.0 328:86.0 329:88.0 330:9.0 331:26.0 332:33.0 333:8.0 335:12.0 337:4.0 338:1.0 341:55.0 342:286.0 344:76.0 345:18.0 346:5.0 347:12.0 348:1.0 349:8.0 350:5.0 351:2.0 352:9.0 353:45.0 356:224.0 357:189.0 358:118.0 360:35.0 363:31.0 366:20.0 367:12.0 369:126.0 373:14.0 374:1.0 376:9.0 377:67.0 379:48.0 382:17.0 383:39.0 384:28.0 386:36.0 389:398.0 390:110.0 391:12.0 392:32.0 394:1.0 397:71.0 398:48.0 400:111.0 401:189.0 402:90.0 403:73.0 404:240.0 405:185.0 406:10.0 407:7.0 408:7.0 410:15.0 411:4.0 414:2.0 416:171.0 418:1.0 419:15.0 421:9.0 422:2.0 425:11.0 427:15.0 429:252.0 430:232.0 431:87.0 432:69.0 433:3.0 435:41.0 439:3.0 440:9.0 444:33.0 455:5.0 456:2.0 457:54.0 459:46.0 461:10.0 463:12.0 464:44.0 465:7.0 471:62.0 472:94.0 473:38.0 474:39.0 479:24.0 481:14.0 482:17.0 487:8.0 490:26.0 492:76.0 493:27.0 496:5.0 498:17.0</t>
  </si>
  <si>
    <t>241041</t>
  </si>
  <si>
    <t>710824</t>
  </si>
  <si>
    <t>86:446.0 87:42.0 88:6.0 89:3.0 90:7.0 93:1.0 95:2.0 96:8.0 99:185.0 100:558.0 101:4.0 102:10.0 104:60.0 106:6.0 107:211.0 109:172.0 111:32.0 112:47.0 113:97.0 114:31.0 116:220.0 117:208.0 119:20.0 123:12.0 130:74.0 132:2.0 133:34.0 134:364.0 135:3.0 138:24.0 140:171.0 141:49.0 142:18299.0 143:2543.0 144:1014.0 146:36.0 147:307.0 148:86.0 149:18.0 151:8.0 158:75.0 161:18.0 162:1.0 166:1.0 167:78.0 169:133.0 170:199.0 171:99.0 172:8.0 173:42.0 174:1686.0 177:15.0 182:21.0 184:37.0 186:4.0 187:21.0 188:8.0 189:14.0 190:4.0 195:5.0 197:2.0 198:4.0 199:20.0 200:15.0 201:18.0 202:7.0 203:4.0 204:78.0 213:5.0 216:8.0 218:82.0 219:16.0 220:8.0 221:10.0 223:10.0 226:51.0 230:7.0 232:8.0 236:94.0 243:53.0 244:7.0 246:19.0 255:49.0 258:27.0 259:13.0 260:13.0 261:2.0 264:1.0 270:1.0 271:38.0 276:10.0 277:5.0 286:3.0 287:33.0 288:9.0 289:2.0 290:8.0 294:26.0 295:20.0 296:6.0 302:2.0 303:11.0 310:22.0 313:37.0 316:5.0 317:4.0 319:7.0 323:52.0 326:1.0 329:1.0 330:3.0 334:2.0 336:1.0 346:25.0 353:1.0 356:27.0 360:4.0 373:1.0 384:27.0 387:38.0 390:2.0 392:2.0 394:1.0 395:1.0 398:92.0 399:1.0 403:11.0 404:4.0 405:1.0 412:17.0 414:12.0 426:1.0 428:2.0 429:3.0 431:46.0 434:1.0 458:1.0 460:2.0 462:35.0</t>
  </si>
  <si>
    <t>241037</t>
  </si>
  <si>
    <t>942692</t>
  </si>
  <si>
    <t>85:104.0 86:8387.0 87:839.0 88:13.0 92:6.0 94:2.0 95:67.0 98:71.0 99:169.0 100:4157.0 101:444.0 102:848.0 107:329.0 109:171.0 112:48.0 114:568.0 115:73.0 116:304.0 117:100.0 118:104.0 128:453.0 129:225.0 130:509.0 131:342.0 140:188.0 141:573.0 142:5249.0 143:639.0 144:489.0 146:51.0 149:354.0 154:45.0 155:44.0 156:564.0 157:320.0 158:534.0 159:21.0 164:34.0 167:187.0 168:141.0 169:107.0 170:256.0 171:126.0 172:816.0 173:221.0 174:30907.0 175:5624.0 176:2447.0 177:194.0 178:53.0 179:14.0 181:100.0 182:112.0 183:255.0 184:124.0 185:149.0 186:84.0 187:316.0 188:154.0 189:5.0 195:3.0 197:112.0 198:383.0 199:172.0 200:236.0 201:150.0 202:33.0 209:3.0 210:16.0 213:112.0 214:100.0 216:6.0 222:64.0 223:149.0 224:19.0 225:2.0 226:47.0 227:254.0 228:197.0 229:67.0 232:4.0 233:22.0 237:23.0 240:5.0 241:726.0 242:146.0 243:258.0 244:57.0 248:41.0 253:115.0 254:13.0 255:1467.0 256:788.0 257:408.0 258:106.0 267:1.0 268:60.0 269:140.0 270:129.0 271:641.0 272:626.0 273:288.0 274:73.0 281:116.0 282:211.0 283:29.0 284:4.0 287:17.0 295:30.0 296:60.0 297:48.0 298:24.0 299:4428.0 300:1169.0 301:491.0 302:78.0 303:3.0 305:25.0 313:45.0 314:27.0 325:79.0 326:64.0 327:44.0 328:49.0 329:157.0 332:6.0 335:2.0 338:28.0 341:539.0 342:103.0 344:32.0 356:56.0 357:66.0 358:95.0 360:1.0 366:6.0 367:46.0 368:31.0 369:2.0 371:465.0 372:167.0 373:133.0 378:2.0 379:20.0 380:2.0 382:1.0 385:38.0 386:2.0 389:23.0 392:10.0 394:2.0 396:21.0 399:7.0 400:63.0 401:60.0 402:44.0 403:11.0 413:42.0 415:42.0 416:111.0 419:21.0 426:27.0 429:202.0 431:21.0 432:9.0 433:2.0 435:19.0 437:13.0 438:32.0 443:21.0 444:2.0 446:10.0 449:4.0 457:10.0 460:4.0 461:8.0 462:7.0 463:42.0 465:11.0 466:5.0 467:39.0 470:3.0 473:8.0 475:59.0 488:32.0 491:5.0 492:5.0 495:14.0 498:11.0</t>
  </si>
  <si>
    <t>241028</t>
  </si>
  <si>
    <t>531595</t>
  </si>
  <si>
    <t>85:500.0 86:36361.0 87:3238.0 88:1504.0 90:53.0 92:17.0 94:55.0 97:687.0 98:682.0 99:1398.0 100:20004.0 101:3441.0 102:3206.0 103:603.0 104:53.0 106:90.0 110:293.0 111:308.0 112:615.0 113:1345.0 114:1137.0 115:876.0 116:1702.0 117:3286.0 118:513.0 119:468.0 124:36.0 125:60.0 126:26.0 127:295.0 128:675.0 129:906.0 130:7121.0 131:2197.0 132:671.0 133:2466.0 134:806.0 139:154.0 140:755.0 141:212.0 142:519.0 143:751.0 144:3364.0 145:390.0 146:1386.0 147:6036.0 149:201.0 151:23.0 153:56.0 154:1065.0 155:901.0 156:755.0 157:275.0 158:2807.0 159:2988.0 160:1677.0 161:488.0 162:39.0 167:122.0 169:120.0 170:1092.0 171:511.0 172:2967.0 173:909.0 174:85208.0 175:15302.0 176:7111.0 177:763.0 179:452.0 183:135.0 184:759.0 185:453.0 186:1517.0 187:532.0 188:464.0 189:15.0 190:19.0 199:360.0 200:214.0 201:51.0 202:115.0 204:202.0 205:1.0 210:1.0 212:115.0 213:490.0 214:1083.0 215:206.0 216:2479.0 217:518.0 222:1.0 227:234.0 228:399.0 229:290.0 230:277.0 232:33.0 241:32.0 242:92.0 243:134.0 244:67.0 248:39.0 256:132.0 258:23.0 262:291.0 287:304.0 288:142.0 289:36.0 301:73.0 302:34.0 312:1.0 314:89.0 315:8883.0 316:2486.0 317:1250.0 318:209.0 319:32.0 328:5.0 329:2723.0 330:885.0 331:394.0 332:83.0 344:253.0 345:34.0 346:46.0 365:1.0 389:4.0 420:3.0 439:6.0 461:9.0 500:4.0</t>
  </si>
  <si>
    <t>240551</t>
  </si>
  <si>
    <t>763602</t>
  </si>
  <si>
    <t>85:436.0 86:3557.0 91:5.0 99:339.0 100:1689.0 102:280.0 103:182.0 104:14.0 112:368.0 113:42.0 116:25.0 124:16.0 125:67.0 128:84.0 131:6.0 133:40.0 139:73.0 140:332.0 142:365.0 144:21.0 145:3.0 146:217.0 154:183.0 156:4.0 157:208.0 158:31.0 160:408.0 161:70.0 164:2.0 167:4.0 168:41.0 172:393.0 174:10539.0 175:1665.0 176:470.0 181:1.0 182:65.0 186:3.0 188:23.0 195:6.0 199:8.0 202:93.0 207:19.0 211:326.0 212:119.0 213:20.0 216:27.0 220:6.0 225:2.0 227:75.0 228:102.0 229:202.0 241:176.0 242:36.0 243:334.0 244:78.0 250:2.0 253:28.0 257:317.0 258:109.0 259:14.0 260:8.0 266:1.0 270:43.0 271:150.0 272:17.0 280:1.0 284:27.0 285:3.0 286:2.0 287:11.0 291:73.0 296:9.0 297:2.0 298:43.0 299:56.0 301:2.0 302:24.0 305:111.0 306:45.0 310:12.0 311:295.0 312:577.0 313:153.0 314:89.0 315:8.0 316:31.0 319:395.0 320:50.0 323:17.0 326:1.0 329:3.0 331:1.0 332:9.0 340:21.0 343:1.0 344:17.0 345:2.0 348:1.0 358:11.0 359:8.0 360:2.0 363:7.0 364:18.0 367:1.0 368:11.0 370:3.0 371:1.0 373:3.0 374:2.0 375:2.0 378:35.0 382:17.0 384:11.0 387:8.0 394:28.0 400:36.0 409:4.0 413:13.0 418:12.0 423:17.0 434:38.0 441:6.0 443:12.0 445:2.0 446:2.0 448:97.0 456:26.0 458:189.0 459:86.0 462:2.0 472:24.0 473:271.0 474:113.0 475:8.0 481:17.0 485:22.0 487:33.0 489:5.0 491:1.0 497:5.0</t>
  </si>
  <si>
    <t>239375</t>
  </si>
  <si>
    <t>643029</t>
  </si>
  <si>
    <t>87:67.0 89:5.0 90:62.0 92:57.0 93:29.0 94:55.0 95:37.0 96:63.0 98:41.0 99:58.0 100:126.0 102:34.0 103:162.0 104:22.0 106:10.0 107:364.0 109:23.0 110:82.0 111:25.0 112:10.0 113:55.0 114:62.0 115:5.0 116:50.0 117:213.0 118:100.0 119:10.0 120:4.0 121:2.0 122:6.0 123:7.0 124:67.0 127:154.0 128:53.0 129:25.0 130:160.0 131:60.0 134:226.0 137:39.0 138:6.0 139:7.0 140:30.0 141:3.0 142:217.0 143:92.0 144:101.0 146:22.0 147:146.0 150:7.0 152:5.0 153:13.0 154:139.0 155:5.0 156:146.0 157:62.0 158:19.0 160:31.0 164:19.0 167:6.0 168:44.0 169:50.0 170:459.0 171:82.0 172:31.0 177:7.0 179:8.0 181:2.0 182:13.0 183:10.0 184:267.0 185:54.0 186:56.0 187:4.0 189:4.0 190:4.0 194:4.0 195:6.0 196:2.0 197:69.0 198:30.0 199:116.0 200:28.0 203:3.0 204:1.0 206:1.0 208:4.0 209:71.0 210:30.0 211:175.0 212:89.0 216:1.0 217:96.0 218:3.0 220:2.0 224:10.0 225:156.0 226:967.0 227:134.0 228:28.0 229:11.0 231:2.0 232:6.0 234:1.0 236:18.0 238:4.0 239:493.0 240:89.0 241:25.0 242:4.0 243:13.0 245:1.0 246:8.0 251:3.0 254:5.0 255:1.0 256:6.0 258:1.0 259:6.0 262:16.0 265:7.0 266:5.0 267:248.0 268:26.0 269:16.0 274:4.0 277:3.0 280:6.0 283:8.0 286:1.0 287:3.0 290:4.0 292:4.0 293:3.0 295:17.0 297:29.0 298:6.0 300:4.0 307:19.0 308:7.0 309:9.0 311:1.0 312:18.0 313:19.0 314:4.0 315:8.0 316:2.0 320:4.0 321:5.0 322:1.0 324:3.0 327:3.0 333:3.0 336:2.0 337:2.0 338:3.0 341:27.0 343:11.0 344:3.0 348:3.0 350:4.0 353:1.0 354:11.0 355:18.0 356:5.0 358:4.0 360:12.0 364:3.0 365:6.0 366:13.0 367:1.0 369:4.0 372:1.0 374:2.0 375:6.0 376:3.0 379:2.0 383:1.0 386:5.0 387:1.0 390:9.0 392:3.0 396:1.0 398:1.0 404:1.0 405:1.0 406:4.0 409:1.0 413:2.0 418:3.0 420:1.0 423:1.0 424:5.0 425:9.0 426:1.0 432:2.0 433:1.0 434:1.0 436:7.0 437:5.0 439:1.0 440:1.0 445:3.0 446:1.0 447:1.0 448:2.0 449:7.0 454:5.0 455:9.0 457:2.0 458:6.0 461:3.0 462:8.0 470:1.0 471:3.0 475:3.0 480:3.0 482:3.0 483:2.0 484:4.0 485:10.0 487:2.0 488:3.0 490:8.0 492:5.0 493:4.0 494:2.0 495:1.0 500:3.0</t>
  </si>
  <si>
    <t>239320</t>
  </si>
  <si>
    <t>233745</t>
  </si>
  <si>
    <t>145</t>
  </si>
  <si>
    <t>87:2009.0 88:145.0 89:984.0 90:302.0 91:219.0 92:128.0 93:1656.0 95:28.0 99:1091.0 100:3262.0 101:8587.0 102:1266.0 103:13496.0 104:838.0 105:135.0 107:8098.0 108:1175.0 109:521.0 113:1231.0 114:37.0 115:7485.0 116:6983.0 117:26414.0 118:6451.0 119:17831.0 120:1438.0 121:664.0 122:244.0 123:239.0 124:113.0 125:692.0 126:72.0 127:4244.0 128:1211.0 129:1173.0 130:847.0 131:616.0 132:81.0 133:595.0 134:12518.0 135:169.0 136:389.0 137:385.0 138:56.0 139:161.0 140:113.0 141:215.0 142:236.0 143:1018.0 144:7013.0 145:25119.0 146:2878.0 147:8268.0 148:971.0 149:1096.0 150:169.0 151:105.0 156:1605.0 157:8444.0 158:1789.0 159:4203.0 160:387.0 163:220.0 165:56.0 166:122.0 167:212.0 168:400.0 171:23.0 173:71.0 174:14.0 175:100.0 176:75.0 177:216.0 178:89.0 179:2.0 180:5.0 181:14.0 182:546.0 183:2865.0 187:154.0 190:16.0 191:122.0 192:25.0 194:31.0 198:20.0 199:749.0 200:5550.0 201:25688.0 202:3770.0 203:1120.0 204:25.0 205:78.0 206:13.0 207:1169.0 208:722.0 212:8.0 213:34.0 215:11.0 217:109.0 219:4.0 221:151.0 223:8.0 229:97.0 230:14.0 235:13.0 248:3.0 249:5.0 250:22.0 251:59.0 252:4.0 253:6.0 255:200.0 257:18.0 258:6.0 262:1.0 266:44.0 267:29.0 276:2.0 282:236.0 284:15.0 287:2.0 290:6.0 295:11.0 296:1.0 311:14.0 327:21.0 329:7.0 330:4.0 339:2.0 340:6.0 359:1.0 362:4.0 373:7.0 389:5.0 394:4.0 410:4.0 412:1.0 414:1.0 424:2.0 432:1.0 437:2.0 440:2.0 452:10.0 453:7.0 459:2.0 467:5.0 476:1.0 477:1.0 489:7.0 490:4.0</t>
  </si>
  <si>
    <t>239305</t>
  </si>
  <si>
    <t>590000</t>
  </si>
  <si>
    <t>85:6928.0 86:43780.0 87:5317.0 88:2160.0 89:852.0 90:400.0 91:1017.0 92:1205.0 93:1170.0 94:2553.0 95:4099.0 96:4705.0 97:3726.0 98:8406.0 99:7445.0 100:31023.0 101:10827.0 102:23783.0 103:2980.0 104:760.0 105:1259.0 106:1274.0 107:2243.0 108:2695.0 109:9683.0 110:2615.0 111:122237.0 112:12087.0 113:12304.0 114:5526.0 115:3341.0 116:4339.0 117:2503.0 118:588.0 119:401.0 120:421.0 121:683.0 122:674.0 123:2322.0 124:2933.0 125:4026.0 126:6905.0 127:3634.0 128:10545.0 129:9782.0 130:1873.0 131:891.0 132:358.0 133:176.0 135:324.0 136:554.0 137:1668.0 138:940.0 139:1907.0 140:9381.0 141:12957.0 142:11850.0 143:3455.0 144:781.0 145:494.0 146:22.0 148:17.0 149:202.0 150:515.0 151:993.0 152:2356.0 153:3260.0 154:23930.0 155:32312.0 156:37668.0 157:8249.0 158:2649.0 159:508.0 160:20.0 161:41.0 163:126.0 164:116.0 165:818.0 166:699.0 167:2248.0 168:3000.0 169:7769.0 170:20088.0 171:8505.0 172:1641.0 173:354.0 174:3.0 175:55.0 176:13.0 177:24.0 179:327.0 180:357.0 181:14119.0 182:7347.0 183:53977.0 184:20939.0 185:5265.0 186:1012.0 187:151.0 188:44.0 189:67.0 190:68.0 191:673.0 192:189.0 193:264.0 194:225.0 195:939.0 196:431.0 197:20486.0 198:14565.0 199:3340.0 200:865.0 201:170.0 202:160.0 203:191.0 204:104.0 205:267.0 206:93.0 207:7.0 208:63.0 209:3714.0 210:7882.0 211:43106.0 212:7525.0 213:2058.0 214:267.0 215:153.0 216:153.0 217:306.0 218:314.0 219:1423.0 220:1275.0 221:882.0 222:226.0 223:592.0 224:1173.0 225:4469.0 226:143881.0 227:25294.0 228:7619.0 229:890.0 230:105.0 231:119.0 232:17.0 233:357.0 234:835.0 235:492.0 236:117.0 237:58.0 238:432.0 239:111.0 240:50.0 241:250.0 242:36.0 243:23.0 244:31.0 245:20.0 247:8.0 251:26.0 252:24.0 253:14.0 254:25.0 255:97.0 256:14.0 257:115.0 258:687.0 259:126.0 260:64.0 261:14.0 262:28.0 263:159.0 264:70.0 265:67.0 266:26.0 267:4.0 269:13.0 271:40.0 272:75.0 273:24.0 274:5.0 275:1.0 276:11.0 277:239.0 278:100.0 279:84.0 280:58.0 281:85.0 283:14.0 285:24.0 286:16.0 288:4.0 289:14.0 290:39.0 291:215.0 292:131.0 293:6543.0 294:1829.0 295:712.0 296:195.0 297:233.0 298:131.0 299:5.0 300:23.0 301:28.0 302:4.0 303:34.0 304:1.0 305:49.0 306:60.0 307:1749.0 308:6220.0 309:1727.0 310:690.0 311:120.0 314:23.0 317:3.0 322:5.0 323:2.0 324:21.0 326:10.0 327:36.0 329:18.0 331:45.0 332:12.0 333:27.0 334:14.0 335:14.0 336:8.0 338:10.0 339:2.0 340:2.0 341:31.0 342:24.0 344:8.0 345:7.0 346:1.0 347:1.0 348:6.0 352:1.0 353:17.0 354:7.0 355:105.0 362:10.0 364:7.0 365:8.0 366:1.0 367:14.0 368:12.0 369:6.0 371:10.0 372:12.0 373:4.0 374:13.0 375:35.0 376:8.0 377:4.0 378:4.0 381:3.0 382:11.0 383:6.0 384:11.0 385:4.0 386:6.0 387:6.0 388:18.0 389:7.0 390:2.0 392:2.0 393:5.0 400:19.0 401:20.0 402:22.0 403:4.0 404:5.0 405:28.0 406:9.0 407:7.0 409:3.0 411:10.0 412:4.0 413:2.0 414:1.0 415:2.0 417:14.0 418:4.0 420:8.0 422:9.0 423:6.0 426:3.0 427:2.0 428:4.0 429:15.0 430:5.0 431:7.0 432:15.0 434:8.0 435:20.0 436:13.0 437:11.0 438:2.0 439:6.0 440:2.0 441:4.0 442:5.0 443:9.0 444:6.0 445:4.0 446:7.0 447:9.0 448:10.0 449:27.0 451:11.0 452:4.0 455:8.0 456:2.0 457:6.0 459:17.0 460:4.0 462:3.0 463:15.0 464:3.0 466:1.0 467:5.0 468:5.0 470:6.0 472:10.0 473:4.0 474:5.0 475:11.0 476:3.0 477:8.0 478:9.0 480:6.0 482:23.0 483:9.0 484:1.0 485:6.0 486:17.0 488:15.0 489:18.0 490:1.0 491:8.0 493:8.0 494:4.0 495:2.0 497:2.0 498:10.0 499:7.0 500:9.0</t>
  </si>
  <si>
    <t>238437</t>
  </si>
  <si>
    <t>905447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</si>
  <si>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</si>
  <si>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238384</t>
  </si>
  <si>
    <t>687003</t>
  </si>
  <si>
    <t>85:2.0 86:22.0 88:26.0 89:3.0 90:3.0 92:12.0 94:61.0 99:1.0 102:3.0 106:7.0 110:175.0 112:89.0 113:16.0 116:82.0 117:14.0 118:48.0 122:18.0 128:2.0 132:194.0 134:196.0 138:63.0 139:104.0 140:225.0 141:233.0 142:18.0 145:73.0 149:16.0 151:1.0 153:74.0 154:26.0 155:2.0 156:6715.0 157:777.0 158:192.0 159:24.0 167:9.0 168:93.0 173:4.0 175:5.0 180:8.0 181:72.0 183:12.0 185:11.0 186:13.0 187:13.0 189:9.0 198:26.0 199:13.0 206:2.0 207:5.0 209:2.0 214:24.0 215:1.0 217:15.0 218:5.0 220:8.0 226:23.0 228:5.0 229:5.0 231:17.0 235:2.0 237:2.0 238:51.0 242:150.0 243:3.0 245:90.0 259:10.0 264:4.0 269:14.0 271:82.0 273:27.0 278:2.0 283:2.0 285:99.0 289:9.0 292:19.0 293:3.0 294:2.0 295:1.0 298:2.0 301:3.0 305:3.0 311:3.0 313:21.0 316:24.0 318:10.0 320:34.0 321:20.0 324:1.0 325:12.0 333:1.0 337:24.0 339:1.0 340:56.0 353:37.0 365:34.0 368:29.0 370:1.0 375:2.0 376:1.0 379:6.0 380:11.0 381:1.0 384:15.0 385:20.0 390:1.0 394:6.0 407:34.0 408:30.0 422:4.0 425:24.0 430:2.0 433:1.0 434:5.0 435:3.0 441:1.0 444:1.0 450:20.0 452:9.0 487:13.0 491:2.0 492:8.0 497:1.0</t>
  </si>
  <si>
    <t>238134</t>
  </si>
  <si>
    <t>667977</t>
  </si>
  <si>
    <t>85:1115.0 86:1219.0 88:4782.0 89:5753.0 90:284.0 92:95.0 93:550.0 94:161.0 95:925.0 96:423.0 97:3553.0 98:2005.0 99:1179.0 100:5209.0 101:7902.0 102:2311.0 103:12041.0 104:1282.0 105:1007.0 106:65.0 107:223.0 108:157.0 109:402.0 111:1346.0 112:419.0 113:2016.0 114:580.0 115:3232.0 116:2055.0 117:12781.0 118:1352.0 119:1229.0 120:136.0 121:256.0 123:287.0 125:350.0 126:668.0 127:1059.0 128:2449.0 129:15191.0 130:3788.0 131:10525.0 132:2075.0 133:5481.0 135:807.0 136:69.0 137:189.0 139:128.0 140:349.0 141:988.0 142:1767.0 143:6787.0 144:3475.0 145:901.0 146:653.0 147:32406.0 148:5076.0 149:3071.0 150:642.0 151:228.0 152:419.0 153:230.0 154:358.0 155:331.0 156:335.0 157:7042.0 158:1725.0 159:37558.0 160:4972.0 161:2089.0 162:630.0 163:672.0 164:69.0 165:115.0 166:130.0 167:51.0 168:1039.0 169:726.0 170:306.0 171:1880.0 172:1101.0 173:586.0 174:339.0 175:173.0 176:70.0 177:535.0 178:208.0 179:210.0 180:225.0 181:176.0 182:247.0 183:35.0 184:131.0 185:1055.0 186:357.0 187:287.0 188:1232.0 189:2132.0 190:1298.0 191:2099.0 192:402.0 193:73.0 195:164.0 196:173.0 198:85.0 199:680.0 200:332.0 201:875.0 202:835.0 203:46717.0 204:12732.0 205:19657.0 206:3917.0 207:2140.0 208:340.0 209:270.0 211:81.0 212:65.0 213:730.0 214:633.0 215:690.0 216:6080.0 217:11798.0 218:4420.0 219:1458.0 220:184.0 221:860.0 222:333.0 223:141.0 224:96.0 225:19.0 226:188.0 227:1579.0 228:694.0 229:2755.0 230:1012.0 231:1420.0 232:1054.0 233:399.0 234:32.0 235:151.0 236:50.0 237:85.0 239:377.0 240:564.0 241:601.0 242:741.0 243:526.0 244:610.0 245:134.0 246:115.0 247:119.0 248:135.0 249:63.0 251:91.0 254:67.0 255:136.0 256:36.0 257:68.0 258:161.0 259:154.0 261:337.0 262:92.0 263:153.0 264:72.0 265:137.0 267:152.0 268:28.0 269:54.0 270:1346.0 271:671.0 272:110.0 273:1085.0 274:385.0 275:144.0 276:20.0 277:257.0 278:123.0 279:144.0 285:60.0 286:33.0 287:13.0 288:117.0 289:67.0 290:408.0 291:1128.0 292:312.0 293:155.0 299:25.0 301:237.0 302:80.0 303:265.0 304:2373.0 305:1206.0 306:574.0 307:425.0 308:89.0 309:43.0 314:42.0 315:1.0 316:159.0 317:195.0 318:211.0 319:10272.0 320:3635.0 321:1701.0 322:295.0 323:34.0 330:170.0 331:234.0 332:291.0 333:207.0 334:45.0 335:120.0 336:15.0 337:15.0 338:4.0 339:9.0 342:76.0 343:79.0 344:198.0 345:19.0 346:63.0 347:80.0 348:64.0 349:11.0 357:139.0 358:86.0 360:40.0 361:49.0 362:91.0 365:13.0 366:5.0 375:109.0 376:27.0 377:8.0 378:58.0 387:71.0 390:29.0 393:42.0 394:33.0 398:4.0 405:59.0 406:10.0 420:55.0 421:32.0 422:71.0 424:33.0 426:28.0 429:7.0 434:192.0 435:145.0 436:139.0 437:23.0 438:26.0 446:14.0 447:164.0 448:184.0 449:75.0 450:39.0 455:8.0 463:50.0 464:75.0 465:52.0 466:55.0 478:7.0 479:2.0 482:15.0 484:9.0 493:19.0 494:11.0 495:20.0</t>
  </si>
  <si>
    <t>237731</t>
  </si>
  <si>
    <t>517225</t>
  </si>
  <si>
    <t>369</t>
  </si>
  <si>
    <t>85:1113.0 86:644.0 88:180.0 92:122.0 95:47.0 98:691.0 102:580.0 103:1155.0 107:357.0 108:28.0 109:23.0 110:713.0 112:91.0 116:992.0 117:802.0 121:45.0 122:85.0 123:29.0 124:139.0 128:1.0 131:3779.0 132:529.0 133:2655.0 134:48.0 135:1039.0 136:298.0 137:627.0 138:41.0 139:123.0 140:916.0 142:384.0 143:260.0 147:4442.0 148:837.0 149:2960.0 150:102.0 151:207.0 153:17.0 154:80.0 156:1739.0 157:2017.0 158:1824.0 159:164.0 166:42.0 167:26.0 168:39.0 170:81.0 181:376.0 182:41.0 183:212.0 184:555.0 185:137.0 186:1043.0 187:34.0 189:421.0 190:21.0 191:1189.0 192:20.0 193:164.0 194:37.0 195:396.0 196:117.0 197:79.0 199:39.0 200:173.0 201:97.0 207:14.0 209:53.0 210:294.0 211:3294.0 212:456.0 213:324.0 214:391.0 215:215.0 216:32.0 217:1608.0 218:268.0 219:42.0 223:15.0 225:790.0 226:39.0 227:783.0 228:755.0 229:109.0 230:11.0 233:65.0 235:43.0 237:1.0 238:163.0 239:56.0 240:245.0 242:9.0 243:422.0 244:83.0 245:36.0 254:93.0 256:44.0 266:62.0 267:39.0 270:7.0 272:247.0 273:33.0 279:1.0 281:1.0 285:95.0 299:1389.0 300:435.0 301:270.0 303:10.0 309:7.0 311:5.0 314:56.0 315:47.0 328:188.0 329:14.0 340:130.0 341:9.0 342:5.0 343:82.0 344:24.0 356:131.0 357:9.0 359:3.0 368:51.0 369:1922.0 370:551.0 371:211.0 372:34.0 373:40.0 383:2.0 384:110.0 385:43.0 389:1.0 417:6.0 488:8.0</t>
  </si>
  <si>
    <t>237174</t>
  </si>
  <si>
    <t>843680</t>
  </si>
  <si>
    <t>262</t>
  </si>
  <si>
    <t>85:417.0 100:40.0 101:97.0 102:16.0 109:51.0 111:66.0 112:48.0 114:24.0 116:69.0 117:179.0 130:1896.0 142:111.0 144:847.0 146:250.0 158:178.0 160:1959.0 161:139.0 168:71.0 174:430.0 184:6.0 192:15.0 193:15.0 214:18.0 234:4.0 239:63.0 249:84.0 262:1867.0 263:383.0 264:157.0 268:14.0 270:11.0 284:16.0 289:19.0 292:18.0 295:22.0 298:6.0 302:3.0 303:20.0 307:66.0 310:12.0 337:8.0 338:31.0 345:3.0 351:4.0 355:120.0 356:1621.0 357:634.0 358:228.0 359:21.0 366:1.0 371:6.0 387:29.0 404:16.0 415:26.0 418:7.0 430:3.0 442:18.0 443:9.0 444:78.0 445:4.0 447:5.0 461:20.0 475:28.0 489:13.0 490:4.0</t>
  </si>
  <si>
    <t>237154</t>
  </si>
  <si>
    <t>945017</t>
  </si>
  <si>
    <t>85:359.0 86:94.0 87:314.0 91:167.0 95:78.0 99:156.0 100:47.0 110:298.0 113:1.0 114:11.0 116:65.0 117:404.0 122:90.0 124:51.0 125:30.0 128:266.0 131:706.0 133:118.0 137:25.0 142:52.0 147:10537.0 148:1274.0 150:183.0 156:69.0 158:34.0 168:57.0 169:234.0 170:27.0 177:77.0 183:2.0 186:28.0 187:58.0 188:891.0 189:193.0 190:14.0 193:105.0 194:200.0 198:21.0 200:73.0 203:7569.0 204:1716.0 205:476.0 206:51.0 207:858.0 208:327.0 212:26.0 216:1551.0 217:422.0 218:179.0 228:30.0 230:340.0 231:90.0 232:31.0 243:5.0 244:57.0 248:51.0 249:93.0 253:21.0 254:21.0 257:9.0 258:77.0 259:2.0 260:2.0 262:50.0 266:44.0 271:21.0 272:118.0 276:57.0 281:38.0 282:91.0 284:9.0 286:54.0 293:33.0 296:9.0 297:34.0 300:30.0 305:32.0 308:37.0 309:3.0 313:52.0 314:12.0 320:26.0 321:8.0 324:50.0 325:11.0 326:29.0 327:171.0 328:127.0 329:31.0 332:30.0 333:15.0 334:25.0 337:3.0 341:62.0 344:12.0 345:6.0 346:1.0 355:154.0 358:24.0 363:21.0 364:12.0 368:29.0 373:10.0 376:10.0 379:21.0 382:42.0 383:6.0 387:9.0 388:12.0 390:21.0 391:29.0 392:38.0 394:8.0 395:11.0 396:15.0 397:5.0 398:10.0 400:10.0 402:91.0 403:16.0 410:4.0 413:34.0 414:13.0 416:108.0 418:33.0 421:1.0 422:8.0 423:19.0 424:29.0 428:2.0 430:27.0 431:6.0 433:48.0 441:5.0 442:3.0 443:4.0 463:48.0 464:3.0 466:88.0 467:68.0 474:31.0 475:24.0 476:52.0 479:4.0 480:29.0 481:76.0 485:15.0 490:2.0 491:36.0 492:22.0 495:4.0 496:6.0 498:4.0 499:20.0</t>
  </si>
  <si>
    <t>237138</t>
  </si>
  <si>
    <t>809148</t>
  </si>
  <si>
    <t>328</t>
  </si>
  <si>
    <t>85:5.0 86:766.0 88:349.0 91:86.0 93:437.0 95:109.0 97:263.0 98:205.0 100:223.0 101:384.0 105:117.0 111:45.0 112:167.0 114:78.0 116:252.0 117:345.0 118:36.0 123:13.0 128:90.0 129:174.0 130:1480.0 140:36.0 142:97.0 144:808.0 146:223.0 147:516.0 153:13.0 154:77.0 156:18.0 157:38.0 158:194.0 160:3458.0 161:441.0 162:76.0 166:6.0 168:32.0 169:61.0 170:45.0 172:42.0 174:418.0 175:38.0 176:48.0 182:97.0 187:8.0 192:22.0 196:4.0 201:8.0 202:1.0 208:177.0 214:1.0 218:54.0 224:9.0 225:6.0 226:8.0 227:6.0 228:26.0 229:1.0 232:32.0 234:107.0 235:66.0 239:60.0 242:36.0 247:1.0 248:14.0 256:62.0 262:307.0 263:23.0 264:23.0 274:19.0 276:21.0 277:3.0 278:19.0 279:27.0 284:19.0 289:33.0 291:47.0 292:2.0 293:34.0 294:18.0 298:17.0 299:68.0 300:6.0 305:3.0 306:15.0 307:53.0 308:24.0 309:20.0 314:6.0 315:73.0 316:24.0 317:11.0 319:2.0 322:5.0 324:8.0 327:76.0 328:3005.0 329:988.0 330:211.0 331:69.0 334:6.0 335:14.0 338:37.0 341:66.0 357:13.0 362:10.0 363:5.0 366:7.0 367:24.0 387:23.0 390:5.0 397:22.0 415:54.0 416:188.0 417:36.0 418:18.0 423:6.0 430:12.0 432:3.0 437:6.0 438:30.0 440:2.0 442:19.0 446:2.0 450:2.0 454:14.0 475:20.0 482:12.0 485:25.0 487:8.0 491:16.0 494:8.0 496:14.0 498:18.0 500:4.0</t>
  </si>
  <si>
    <t>236828</t>
  </si>
  <si>
    <t>550628</t>
  </si>
  <si>
    <t>85:3101.0 86:2797.0 87:2796.0 89:22814.0 90:2378.0 91:5262.0 92:431.0 97:150.0 98:33.0 99:1580.0 100:26764.0 101:10695.0 102:2384.0 103:22973.0 104:2621.0 105:4493.0 106:692.0 107:521.0 111:33.0 112:2433.0 113:1171.0 114:15758.0 115:4935.0 116:782.0 117:41755.0 118:5490.0 119:32596.0 120:3334.0 121:2679.0 122:98.0 123:284.0 124:263.0 126:4389.0 127:810.0 128:107301.0 129:19501.0 130:7055.0 131:7229.0 132:3553.0 133:17498.0 134:393.0 135:1927.0 139:25.0 140:868.0 141:213.0 142:5272.0 143:1443.0 144:853.0 145:79.0 146:1441.0 147:123515.0 148:15448.0 149:9660.0 150:1044.0 151:382.0 152:277.0 153:170.0 154:1704.0 156:620.0 157:621.0 158:944.0 159:253.0 161:222.0 162:1830.0 163:3012.0 164:665.0 165:475.0 166:223.0 168:707.0 170:1130.0 171:304.0 172:4013.0 173:26830.0 174:1313.0 175:1849.0 177:638.0 178:6.0 179:124.0 180:142.0 181:389.0 182:167.0 184:1.0 186:783.0 187:20.0 188:1210.0 189:2003.0 190:115.0 193:643.0 194:59.0 196:80.0 198:1347.0 199:198.0 200:1036.0 201:2015.0 202:8079.0 203:2101.0 204:2627.0 205:31900.0 206:6486.0 207:2314.0 208:62.0 210:69.0 211:16.0 214:1145.0 215:399.0 216:852.0 218:5746.0 219:10125.0 220:2223.0 221:848.0 222:141.0 223:244.0 224:10.0 226:47.0 228:508.0 229:79.0 230:1657.0 231:580.0 232:3301.0 233:621.0 234:53539.0 235:11437.0 236:7366.0 237:1303.0 238:238.0 240:99.0 241:109.0 243:69.0 244:254.0 245:647.0 246:1389.0 247:354.0 251:2.0 252:21.0 255:17.0 256:458.0 257:504.0 258:219.0 261:2186.0 262:1830.0 263:12924.0 264:2602.0 265:1194.0 266:211.0 269:40.0 272:457.0 274:71.0 275:26.0 278:7.0 279:121.0 283:24.0 285:31.0 286:2.0 287:90.0 288:1366.0 289:315.0 290:264.0 291:218.0 292:75.0 294:7.0 295:1.0 298:39.0 301:33.0 302:50.0 304:50.0 306:151.0 308:2135.0 309:657.0 310:544.0 311:193.0 312:37.0 315:2.0 316:135.0 317:97.0 318:112.0 319:47.0 320:12.0 321:61.0 322:3.0 324:2.0 327:39.0 330:193.0 332:208.0 333:330.0 334:356.0 335:210.0 336:342.0 337:140.0 338:132.0 340:8.0 343:1.0 346:201.0 347:80.0 348:18.0 350:55.0 351:2681.0 352:1082.0 353:477.0 354:8.0 360:50.0 362:144.0 363:60.0 364:781.0 365:359.0 366:205.0 367:48.0 368:108.0 370:4.0 371:34.0 375:4.0 376:4.0 377:5.0 378:16.0 379:1.0 380:8.0 381:17.0 382:35.0 383:17.0 384:96.0 395:5.0 396:3.0 398:16.0 400:3.0 402:5.0 403:40.0 405:5.0 408:4.0 409:9.0 413:59.0 414:57.0 415:18.0 416:11.0 418:1.0 420:40.0 421:58.0 422:57.0 423:59.0 434:11.0 436:80.0 437:118.0 438:12.0 441:2.0 442:2.0 443:6.0 448:8.0 452:111.0 453:127.0 454:49.0 458:9.0 460:45.0 464:3.0 465:8.0 466:73.0 467:137.0 468:64.0 469:59.0 472:9.0 474:27.0 477:20.0 479:13.0 482:52.0 485:10.0 487:8.0 489:5.0 490:18.0 491:11.0 492:2.0 495:8.0 496:5.0 497:20.0</t>
  </si>
  <si>
    <t>236821</t>
  </si>
  <si>
    <t>442601</t>
  </si>
  <si>
    <t>85:36146.0 86:1806.0 87:38236.0 88:17967.0 89:22571.0 90:2303.0 91:34241.0 92:2827.0 93:1884.0 94:618.0 95:15052.0 96:1859.0 97:10204.0 99:18876.0 100:3569.0 101:28469.0 102:186234.0 103:1813981.0 104:171624.0 105:79841.0 106:4389.0 108:870.0 109:1602.0 111:4974.0 112:3803.0 113:31044.0 114:3093.0 115:96162.0 116:14756.0 117:1022139.0 118:103445.0 119:71955.0 120:6188.0 121:3085.0 122:651.0 123:1908.0 124:1022.0 125:3321.0 127:4866.0 128:23958.0 129:85168.0 130:199003.0 131:116764.0 132:24997.0 133:282775.0 134:24279.0 135:25810.0 136:1860.0 137:1080.0 138:312.0 139:590.0 140:913.0 141:11268.0 142:2091.0 143:55250.0 144:31667.0 145:107673.0 146:15848.0 147:953238.0 148:142380.0 149:197049.0 150:26201.0 151:13017.0 152:1326.0 153:348.0 154:141.0 155:1172.0 156:9345.0 157:710047.0 158:93736.0 159:51003.0 160:4320.0 161:9694.0 162:1891.0 163:35420.0 164:5724.0 165:2687.0 166:435.0 167:337.0 168:1274.0 169:3703.0 170:986.0 171:4972.0 172:2362.0 173:2493.0 174:1370.0 175:10148.0 176:2034.0 177:63345.0 178:10195.0 179:5342.0 180:886.0 181:323.0 182:630.0 183:728.0 185:9280.0 186:2065.0 187:3006.0 188:988.0 189:6814.0 190:11014.0 191:64763.0 192:12440.0 193:8565.0 194:1306.0 195:501.0 196:660.0 197:460.0 198:659.0 199:363.0 201:358.0 202:1944.0 203:8146.0 204:23045.0 205:12748.0 206:3647.0 207:3217.0 208:670.0 209:460.0 210:8605.0 211:1247.0 212:1231.0 213:283.0 214:270.0 215:5044.0 216:1804.0 217:18593.0 218:28349.0 219:13277.0 220:203936.0 221:50918.0 222:21085.0 223:3752.0 224:786.0 225:177.0 226:34.0 229:5116.0 230:2897.0 231:94838.0 232:21173.0 233:9882.0 234:1487.0 235:349.0 236:118.0 237:419.0 238:108.0 239:95.0 240:23.0 241:6.0 243:160.0 244:1362.0 245:3967.0 246:2246.0 247:344595.0 248:72420.0 249:31259.0 250:4677.0 251:944.0 252:577.0 253:98.0 254:127.0 255:193.0 256:73.0 258:92.0 259:16496.0 260:3754.0 261:4901.0 262:879.0 263:353.0 264:99.0 265:1994.0 266:542.0 267:214.0 268:83.0 272:21.0 273:85.0 274:4927.0 275:1328.0 276:538.0 277:225.0 278:124.0 279:177.0 280:25.0 289:47.0 290:51.0 291:409.0 292:16228.0 293:5065.0 294:2430.0 295:512.0 296:172.0 298:18.0 305:1355.0 306:590.0 307:251.0 308:51.0 309:15.0 310:27.0 311:12.0 312:10.0 318:513.0 319:4702.0 320:826.0 321:2219.0 322:802.0 323:350.0 324:127.0 325:59.0 326:10.0 327:18.0 328:28.0 332:1.0 333:175.0 334:140.0 335:97.0 336:48.0 337:40.0 338:26.0 340:34.0 341:39.0 342:22.0 346:189.0 347:17.0 348:143.0 349:13420.0 350:4799.0 351:2357.0 352:418.0 353:118.0 354:25.0 361:17.0 363:21.0 364:339.0 365:83.0 366:38.0 371:12.0 373:2.0 381:1.0 382:2.0 398:2.0 400:2.0 402:1.0 412:2.0 415:6.0 417:2.0 418:1.0 435:1.0 440:3.0 442:4.0 447:11.0 451:1.0 457:2.0 489:1.0 490:4.0 492:4.0 493:1.0 495:1.0 496:1.0</t>
  </si>
  <si>
    <t>236709</t>
  </si>
  <si>
    <t>624749</t>
  </si>
  <si>
    <t>287</t>
  </si>
  <si>
    <t>86:109.0 89:4.0 96:1.0 98:286.0 99:189.0 101:61.0 104:6.0 107:3.0 108:38.0 109:110.0 111:1.0 112:2.0 115:548.0 116:151.0 117:383.0 118:123.0 119:632.0 120:479.0 121:9.0 124:55.0 125:213.0 127:2.0 128:118.0 129:317.0 130:134.0 131:444.0 132:283.0 133:1060.0 134:708.0 135:231.0 136:169.0 138:10.0 141:25.0 143:779.0 144:22.0 145:23.0 147:9409.0 148:786.0 149:939.0 150:99.0 153:291.0 154:64.0 155:133.0 157:104.0 160:21.0 164:5.0 167:23.0 169:6.0 171:97.0 172:5.0 173:25.0 174:1.0 175:18.0 183:71.0 185:129.0 189:121.0 190:55.0 197:984.0 198:120.0 199:171.0 203:34.0 204:5.0 205:85.0 207:696.0 208:152.0 209:17.0 213:39.0 215:19.0 217:296.0 218:92.0 219:20.0 221:2006.0 222:411.0 223:219.0 224:72.0 225:646.0 226:72.0 227:115.0 229:18.0 231:305.0 233:4.0 235:6.0 243:138.0 245:90.0 252:3.0 255:9.0 259:123.0 260:6.0 262:12.0 265:24.0 269:40.0 271:305.0 272:84.0 273:128.0 279:1.0 281:405.0 282:9.0 283:39.0 287:4011.0 288:894.0 289:325.0 290:26.0 294:1.0 295:300.0 296:111.0 297:12.0 299:116.0 305:121.0 306:24.0 312:49.0 313:63.0 317:86.0 319:13.0 325:18.0 328:19.0 330:12.0 331:35.0 332:15.0 333:29.0 334:22.0 341:9.0 347:16.0 348:6.0 349:78.0 352:23.0 353:19.0 355:59.0 361:718.0 362:224.0 363:64.0 364:18.0 369:70.0 371:19.0 377:304.0 378:85.0 386:28.0 387:24.0 389:378.0 390:176.0 391:68.0 393:28.0 400:2.0 401:12.0 402:19.0 415:17.0 418:15.0 432:7.0 436:12.0 437:3.0 443:3.0 479:138.0 480:47.0</t>
  </si>
  <si>
    <t>235965</t>
  </si>
  <si>
    <t>1070919</t>
  </si>
  <si>
    <t>85:41523.0 86:4854.0 87:9829.0 88:5816.0 89:40121.0 90:7179.0 91:144011.0 92:14585.0 93:4794.0 94:14691.0 95:6010.0 96:1991.0 97:5896.0 98:3054.0 99:12140.0 100:1912.0 101:39571.0 102:11601.0 103:218009.0 104:35128.0 105:190178.0 106:36980.0 107:63494.0 108:5606.0 109:1982.0 110:470.0 111:20090.0 112:2301.0 113:5815.0 114:1718.0 115:22350.0 116:18583.0 117:106090.0 118:19993.0 119:506313.0 120:51233.0 121:4538.0 122:794.0 123:442.0 124:504.0 125:1674.0 126:371.0 127:6273.0 128:3820.0 129:63866.0 130:10173.0 131:37713.0 132:18325.0 133:565241.0 134:207745.0 135:61295.0 136:5751.0 137:1162.0 138:337.0 139:1141.0 140:507.0 141:3347.0 142:15345.0 143:29112.0 144:10511.0 145:34372.0 146:9827.0 147:131514.0 148:23069.0 149:25069.0 150:10186.0 151:4763.0 152:851.0 153:922.0 154:1183.0 155:18459.0 156:6202.0 157:28039.0 158:13955.0 159:15326.0 160:3505.0 161:13689.0 162:4947.0 163:4653.0 164:554.0 165:634.0 166:297.0 167:5582.0 168:2887.0 169:7334.0 170:3082.0 171:36372.0 172:11403.0 173:11788.0 174:2571.0 175:9971.0 176:2530.0 177:102283.0 178:12940.0 179:1933.0 180:228.0 181:620.0 182:605.0 183:10663.0 184:4862.0 185:20061.0 186:3716.0 187:7698.0 188:1656.0 189:16606.0 190:41128.0 191:11355.0 192:1743.0 193:1757.0 194:506.0 195:232.0 196:155.0 197:955.0 198:823.0 199:2590.0 200:2361.0 201:4260.0 202:6457.0 203:11300.0 204:27627.0 205:45024.0 206:11533.0 207:182348.0 208:36365.0 209:11599.0 210:1838.0 211:1375.0 212:156.0 213:648.0 214:343.0 215:3530.0 216:1413.0 217:18222.0 218:8762.0 219:10887.0 220:21294.0 221:6706.0 222:2230.0 223:7052.0 224:1409.0 225:408.0 226:173.0 227:779.0 228:528.0 229:1341.0 230:6735.0 231:7419.0 232:2057.0 233:6026.0 234:1599.0 235:2733.0 236:2773.0 237:6924.0 238:1579.0 239:379.0 240:121.0 241:54.0 242:57.0 243:1201.0 244:1014.0 245:2927.0 246:985.0 247:10099.0 248:2432.0 249:2991.0 250:852.0 251:617.0 252:969.0 253:187.0 254:169.0 255:281.0 256:65.0 257:3239.0 258:867.0 259:2131.0 260:833.0 261:2002.0 262:1794.0 263:860.0 264:571.0 265:1081.0 266:208.0 267:403.0 268:127.0 269:102.0 270:30.0 271:398.0 272:162.0 273:5500.0 274:2318.0 275:4058.0 276:1169.0 277:2403.0 278:3045.0 279:1016.0 280:352.0 281:1604.0 282:818.0 283:476.0 284:176.0 285:483.0 286:161.0 287:417.0 288:367.0 289:823.0 290:406.0 291:1274.0 292:1379.0 293:611.0 294:229.0 295:546.0 296:193.0 300:123.0 301:572.0 302:186.0 303:762.0 304:1719.0 305:1037.0 306:459.0 307:311.0 308:169.0 309:261.0 310:36.0 311:212.0 312:65.0 313:99.0 314:36.0 316:215.0 317:438.0 318:194.0 319:637.0 320:319.0 321:4377.0 322:1155.0 323:631.0 324:234.0 325:419.0 326:169.0 327:47.0 328:146.0 329:160.0 331:26.0 332:21.0 333:323.0 334:455.0 335:704.0 336:380.0 337:2682.0 338:805.0 339:315.0 340:69.0 341:481.0 342:128.0 343:208.0 344:75.0 345:101.0 346:19.0 348:26.0 349:532.0 350:325.0 351:204.0 352:426.0 353:8598.0 354:2698.0 355:777.0 356:32.0 357:146.0 358:73.0 360:29.0 361:61.0 363:114.0 364:91.0 365:554.0 366:111.0 367:340.0 368:119.0 369:118.0 371:63.0 373:61.0 374:51.0 375:103.0 376:12.0 377:18.0 378:240.0 379:48.0 380:158.0 381:987.0 382:382.0 383:155.0 384:14.0 385:45.0 386:33.0 387:25.0 389:14.0 390:15.0 391:76.0 392:5.0 394:37.0 399:23.0 400:22.0 401:14.0 402:97.0 403:76.0 404:11.0 405:65.0 406:25.0 407:50.0 408:100.0 409:1318.0 410:672.0 411:222.0 412:105.0 415:171.0 416:126.0 417:88.0 419:8.0 421:22.0 422:161.0 423:1654.0 424:904.0 425:442.0 426:150.0 427:69.0 429:62.0 430:46.0 431:106.0 432:38.0 433:26.0 437:136.0 438:168.0 439:167.0 440:61.0 441:14.0 442:45.0 443:26.0 446:12.0 449:11.0 454:300.0 455:2593.0 456:1268.0 457:439.0 458:73.0 459:31.0 460:46.0 461:115.0 464:9.0 467:172.0 468:572.0 469:491.0 470:101.0 471:51.0 473:16.0 475:52.0 476:69.0 489:86.0 490:9.0 494:12.0 497:3.0</t>
  </si>
  <si>
    <t>235449</t>
  </si>
  <si>
    <t>949449</t>
  </si>
  <si>
    <t>85:249.0 86:7204.0 89:61.0 91:7.0 93:225.0 94:34.0 95:186.0 97:32.0 98:437.0 99:741.0 100:4294.0 101:849.0 102:1059.0 103:887.0 104:235.0 105:39.0 107:272.0 108:28.0 109:29.0 110:396.0 111:191.0 112:302.0 113:479.0 114:512.0 115:236.0 116:805.0 117:952.0 118:148.0 120:12.0 121:243.0 122:24.0 124:29.0 125:93.0 128:144.0 129:933.0 130:4508.0 131:740.0 132:606.0 133:1098.0 134:277.0 136:81.0 139:188.0 140:159.0 141:40.0 142:828.0 143:182.0 144:87.0 146:4881.0 147:5223.0 148:1035.0 149:2.0 150:38.0 151:193.0 152:89.0 153:1653.0 154:2556.0 155:714.0 156:272.0 157:113.0 158:365.0 160:707.0 161:344.0 162:38.0 165:238.0 166:571.0 167:3875.0 168:648.0 169:576.0 170:281.0 171:107.0 172:689.0 173:235.0 174:5695.0 175:939.0 176:1782.0 177:181.0 178:55.0 180:315.0 181:274.0 182:1095.0 183:212.0 184:37.0 185:60.0 186:37.0 188:80.0 189:192.0 190:112.0 191:338.0 192:44.0 193:552.0 194:447.0 195:206.0 196:11.0 199:52.0 200:70.0 201:106.0 202:59.0 203:113.0 204:1835.0 205:556.0 206:1203.0 207:549.0 208:298.0 209:142.0 210:6.0 211:129.0 212:71.0 213:40.0 214:192.0 215:293.0 216:104.0 217:979.0 218:544.0 219:46.0 220:57.0 222:149.0 223:32.0 224:75.0 225:44.0 226:82.0 227:165.0 228:53.0 229:102.0 231:1012.0 232:282.0 233:182.0 234:75.0 236:194.0 237:174.0 238:548.0 239:605.0 240:323.0 241:125.0 242:99.0 243:177.0 244:164.0 246:37.0 248:12.0 249:49.0 250:28.0 252:130.0 253:161.0 254:541.0 255:153.0 256:11.0 257:36.0 258:42.0 259:137.0 260:8.0 261:76.0 262:51.0 263:24.0 266:77.0 267:626.0 268:196.0 269:159.0 270:45.0 271:179.0 272:32.0 274:20.0 275:44.0 278:66.0 279:31.0 280:32.0 281:46.0 282:433.0 283:563.0 284:623.0 285:134.0 286:70.0 287:40.0 288:36.0 289:32.0 290:1.0 291:27.0 292:157.0 293:16.0 294:32.0 295:34.0 296:216.0 297:46.0 298:149.0 299:7.0 300:323.0 301:199.0 302:114.0 303:30.0 304:42.0 305:210.0 306:4.0 307:85.0 308:26.0 309:137.0 310:85.0 311:36.0 312:64.0 313:173.0 314:72.0 315:16.0 316:45.0 317:12.0 318:42.0 319:148.0 320:9.0 322:58.0 323:85.0 324:17.0 326:135.0 327:150.0 328:60.0 329:129.0 330:19.0 331:11.0 332:9.0 334:16.0 335:17.0 336:91.0 337:42.0 338:67.0 339:56.0 340:43.0 341:161.0 342:114.0 343:76.0 344:59.0 345:34.0 350:7.0 351:47.0 352:126.0 353:17.0 354:141.0 355:16.0 356:74.0 357:60.0 358:36.0 360:5.0 361:718.0 362:201.0 363:106.0 364:42.0 365:16.0 366:20.0 367:21.0 369:25.0 370:123.0 371:68.0 372:32.0 373:42.0 375:26.0 380:22.0 381:53.0 382:256.0 383:229.0 384:115.0 385:23.0 387:28.0 388:5.0 389:15.0 396:6.0 398:393.0 399:146.0 400:31.0 401:27.0 404:15.0 405:2.0 408:45.0 409:55.0 410:1034.0 411:506.0 412:179.0 413:134.0 414:29.0 415:61.0 416:32.0 417:15.0 419:22.0 421:6.0 423:3.0 427:49.0 428:50.0 429:134.0 430:35.0 432:21.0 441:6.0 448:32.0 449:19.0 451:55.0 452:27.0 460:14.0 461:25.0 464:19.0 466:8.0 473:4.0 475:45.0 476:15.0 480:6.0 487:7.0 488:23.0 490:135.0 498:147.0 499:1011.0 500:623.0</t>
  </si>
  <si>
    <t>235327</t>
  </si>
  <si>
    <t>476936</t>
  </si>
  <si>
    <t>85:18.0 86:76.0 89:1799.0 90:10.0 91:1467.0 92:168.0 93:228.0 95:316.0 101:7376.0 102:250.0 103:286.0 105:420.0 106:456.0 107:530.0 109:1050.0 110:371.0 111:97.0 112:162.0 113:88.0 116:4810.0 117:5658.0 118:576.0 119:4.0 121:1544.0 122:183.0 123:2631.0 125:2546.0 127:414.0 129:1832.0 130:762.0 137:1518.0 138:1469.0 139:2373.0 140:638.0 141:536.0 142:69.0 143:1170.0 144:345.0 146:295.0 147:169.0 148:58.0 149:30.0 150:8.0 153:2910.0 154:495.0 155:52659.0 156:3923.0 157:4237.0 158:1767.0 159:1148.0 160:705.0 162:10.0 163:507.0 164:9.0 165:83.0 167:181.0 169:1027.0 170:66.0 171:21273.0 172:2087.0 173:855.0 175:5.0 181:872.0 182:6.0 183:494.0 185:781.0 186:300.0 187:115.0 189:938.0 191:110.0 192:1.0 197:1423.0 198:338.0 199:758.0 200:111.0 202:28.0 204:885.0 205:93.0 209:2.0 210:13.0 211:1536.0 212:286.0 213:50.0 215:68.0 216:3.0 217:45.0 218:36.0 222:5.0 225:235.0 226:44.0 227:4368.0 228:335.0 229:149.0 232:60.0 234:20.0 237:14.0 239:382.0 240:7.0 242:303.0 243:246.0 245:38.0 247:24.0 248:1.0 249:1.0 253:162.0 255:3.0 259:147.0 262:1.0 263:22.0 264:1.0 267:154.0 270:346.0 271:75.0 272:43.0 274:19.0 275:465.0 276:62.0 277:11.0 285:29.0 286:57.0 287:52.0 290:137.0 291:45.0 299:12.0 300:1.0 301:21.0 302:17.0 305:113.0 306:7.0 311:13.0 313:5.0 318:8.0 319:1.0 324:2.0 325:2.0 329:1.0 330:78.0 334:2.0 337:5.0 338:1.0 342:58.0 343:9.0 345:62.0 348:44.0 362:3.0 367:58.0 372:17.0 376:13.0 391:9.0 402:40.0 421:24.0 422:37.0 424:5.0 426:14.0 427:12.0 433:9.0 436:40.0 439:22.0 445:26.0 447:3.0 452:44.0 456:14.0 478:12.0 486:11.0 496:2.0 497:4.0 500:16.0</t>
  </si>
  <si>
    <t>234717</t>
  </si>
  <si>
    <t>628281</t>
  </si>
  <si>
    <t>214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</si>
  <si>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</si>
  <si>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234677</t>
  </si>
  <si>
    <t>700264</t>
  </si>
  <si>
    <t>85:82.0 90:26.0 92:124.0 93:267.0 94:337.0 95:30.0 96:663.0 99:127.0 100:132.0 101:255.0 103:315.0 108:146.0 109:165.0 110:71.0 112:212.0 113:489.0 115:148.0 117:792.0 118:71.0 120:24.0 121:26.0 122:18.0 124:159.0 125:15.0 128:268.0 129:1297.0 131:303.0 132:241.0 133:416.0 134:114.0 136:26.0 139:37.0 140:71.0 141:67.0 142:138.0 143:151.0 145:344.0 147:1045.0 150:57.0 151:124.0 153:23.0 154:108.0 156:314.0 157:459.0 164:8.0 165:29.0 166:155.0 167:34.0 168:81.0 169:1106.0 171:164.0 172:78.0 173:81.0 180:18.0 182:77.0 183:101.0 184:319.0 185:170.0 186:45.0 187:246.0 188:78.0 191:70.0 194:64.0 196:123.0 198:21.0 200:112.0 211:967.0 212:203.0 213:122.0 215:189.0 216:148.0 217:248.0 218:1.0 219:66.0 226:25.0 227:301.0 228:174.0 229:178.0 230:104.0 231:249.0 232:47.0 233:6.0 239:23.0 243:2645.0 244:637.0 245:139.0 246:10.0 248:219.0 249:20.0 255:18.0 257:83.0 258:1183.0 259:583.0 260:274.0 261:18.0 264:1.0 270:1.0 271:32.0 272:75.0 274:22.0 276:4.0 277:38.0 284:23.0 285:53.0 286:13.0 288:10.0 289:2.0 290:1.0 292:62.0 297:177.0 298:54.0 299:855.0 300:186.0 301:38.0 303:55.0 305:8.0 306:7.0 307:129.0 308:4.0 311:33.0 313:171.0 314:65.0 315:633.0 316:127.0 317:38.0 318:163.0 319:58.0 320:1.0 322:1.0 323:2.0 326:609.0 327:197.0 331:8.0 333:8.0 334:1.0 335:15.0 336:5.0 340:3.0 341:2.0 342:76.0 343:4.0 344:152.0 345:132.0 346:29.0 348:2.0 360:5.0 362:5.0 367:9.0 373:13.0 374:9.0 375:2.0 376:21.0 377:22.0 378:7.0 379:1.0 380:5.0 381:1.0 392:12.0 393:991.0 394:391.0 395:209.0 396:70.0 402:10.0 403:1.0 411:52.0 419:8.0 430:8.0 447:3.0 475:1.0 479:1.0 481:7.0 486:2.0</t>
  </si>
  <si>
    <t>233298</t>
  </si>
  <si>
    <t>900281</t>
  </si>
  <si>
    <t>332</t>
  </si>
  <si>
    <t>89:835.0 90:100.0 94:52.0 100:756.0 102:1171.0 103:5188.0 104:668.0 105:273.0 114:88.0 115:39.0 117:1354.0 118:140.0 122:28.0 124:7.0 128:181.0 129:988.0 130:742.0 133:277.0 142:197.0 144:89.0 145:29.0 147:3384.0 148:185.0 153:90.0 157:302.0 158:164.0 160:1309.0 161:82.0 168:47.0 170:235.0 172:285.0 173:80.0 182:71.0 184:165.0 185:24.0 186:72.0 189:487.0 199:46.0 200:39.0 201:277.0 204:37.0 205:725.0 207:110.0 212:105.0 214:125.0 216:398.0 217:1839.0 218:378.0 219:320.0 228:62.0 229:69.0 230:8.0 231:108.0 239:55.0 240:17.0 241:14.0 242:98.0 243:32.0 244:111.0 246:14.0 248:35.0 253:16.0 256:19.0 259:22.0 260:162.0 270:9.0 274:123.0 289:259.0 290:71.0 291:143.0 299:2.0 302:93.0 303:73.0 304:6.0 305:34.0 307:244.0 309:55.0 315:4.0 318:8.0 319:9.0 320:67.0 325:50.0 326:19.0 330:14.0 331:729.0 332:2952.0 333:895.0 334:322.0 335:27.0 341:14.0 342:2.0 344:13.0 345:28.0 346:27.0 349:27.0 355:40.0 370:25.0 373:114.0 377:9.0 380:41.0 388:22.0 390:8.0 391:21.0 402:39.0 404:10.0 421:7.0 423:13.0 425:9.0 428:9.0 429:16.0 437:4.0 444:2.0 459:57.0 466:7.0 475:6.0 480:12.0 487:7.0 490:19.0</t>
  </si>
  <si>
    <t>232087</t>
  </si>
  <si>
    <t>616681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</si>
  <si>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</si>
  <si>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231947</t>
  </si>
  <si>
    <t>451475</t>
  </si>
  <si>
    <t>85:3100.0 86:29333.0 87:3203.0 88:2126.0 89:3870.0 91:1011.0 92:141.0 93:798.0 95:5389.0 96:946.0 97:3313.0 98:4370.0 99:3168.0 100:30806.0 101:4953.0 102:4267.0 104:1607.0 105:2946.0 108:592.0 110:1641.0 111:697.0 112:1083.0 113:1698.0 114:2780.0 115:18037.0 116:5402.0 117:46500.0 118:4424.0 119:1635.0 120:1216.0 121:441.0 122:361.0 123:29.0 124:659.0 125:1093.0 126:2888.0 127:1753.0 128:28134.0 129:20828.0 130:5581.0 131:11918.0 132:12646.0 133:2186.0 137:338.0 138:95.0 139:80.0 141:10356.0 142:3805.0 143:3530.0 144:1351.0 145:5200.0 146:1067.0 147:7118.0 151:173.0 152:942.0 153:2442.0 155:792.0 156:10170.0 157:3288.0 158:1076.0 159:720.0 160:758.0 161:487.0 162:48.0 163:17.0 164:18.0 168:147.0 169:4789.0 170:3921.0 171:1263.0 172:305.0 173:280.0 174:32072.0 175:5820.0 176:2649.0 177:183.0 178:131.0 180:101.0 185:1314.0 186:877.0 187:770.0 188:103.0 192:12.0 193:14.0 194:16.0 196:199.0 197:176.0 198:14.0 199:180.0 201:1080.0 202:245.0 203:363.0 209:14.0 210:26.0 213:629.0 214:216.0 215:300.0 216:1003.0 217:415.0 218:18.0 219:309.0 225:144.0 228:729.0 229:13329.0 230:2261.0 231:679.0 232:477.0 233:295.0 234:937.0 238:30.0 239:317.0 241:388.0 242:72.0 243:4133.0 244:1295.0 245:420.0 246:19.0 249:2.0 254:13.0 256:48.0 257:50.0 258:400.0 259:141.0 260:10.0 262:1.0 265:205.0 267:347.0 268:1.0 273:1.0 274:61.0 276:38.0 281:123.0 282:42.0 283:3.0 284:33.0 285:13.0 287:8.0 292:40.0 293:10.0 301:67.0 304:25.0 305:477.0 306:169.0 308:5.0 309:2.0 311:93.0 313:4.0 321:10.0 322:1.0 323:3.0 324:1.0 325:17.0 326:7.0 327:64.0 328:26.0 329:8.0 332:12.0 341:19.0 342:10.0 343:5.0 344:2.0 345:4.0 346:1.0 347:4.0 350:2.0 351:1.0 352:1.0 356:1.0 362:1.0 365:31.0 371:38.0 375:1.0 377:1.0 378:1.0 379:1.0 383:6.0 384:2.0 385:4.0 386:1.0 390:3.0 391:13.0 392:2.0 395:3.0 397:1.0 398:2.0 399:9.0 400:3.0 401:2.0 406:2.0 408:1.0 410:4.0 411:1.0 414:4.0 415:22.0 416:11.0 417:3.0 418:4.0 419:3.0 420:32.0 427:38.0 432:2.0 433:5.0 436:1.0 443:1.0 444:5.0 447:11.0 449:5.0 452:1.0 453:2.0 460:1.0 462:3.0 465:1.0 468:1.0 470:3.0 479:1.0 482:6.0 485:2.0 487:1.0 490:1.0 494:2.0 497:21.0</t>
  </si>
  <si>
    <t>231850</t>
  </si>
  <si>
    <t>878626</t>
  </si>
  <si>
    <t>122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</si>
  <si>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</si>
  <si>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231802</t>
  </si>
  <si>
    <t>661366</t>
  </si>
  <si>
    <t>91:99.0 93:136.0 94:86.0 95:115.0 97:461.0 98:2090.0 109:767.0 110:338.0 111:738.0 116:1089.0 117:1159.0 119:1098.0 121:403.0 122:138.0 123:44.0 124:33.0 129:906.0 132:133.0 137:166.0 141:212.0 145:157.0 147:161.0 153:83.0 165:14.0 169:894.0 171:129.0 175:4241.0 179:19.0 180:4.0 181:104.0 185:28.0 188:600.0 189:1585.0 191:1336.0 193:25.0 195:72.0 197:393.0 203:726.0 204:31964.0 205:1451.0 206:2096.0 211:32.0 217:2979.0 218:161.0 221:62.0 223:9.0 224:89.0 225:46.0 243:224.0 245:9.0 249:52.0 251:33.0 253:65.0 255:10.0 261:1.0 263:27.0 265:24.0 271:54.0 276:3.0 288:29.0 289:129.0 290:81.0 291:148.0 298:3.0 299:73.0 300:34.0 306:99.0 312:26.0 313:56.0 314:68.0 324:549.0 325:145.0 326:85.0 327:60.0 332:444.0 333:124.0 334:171.0 335:41.0 346:11.0 353:22.0 361:174.0 362:22.0 363:33.0 366:5.0 367:12.0 368:32.0 377:3.0 381:22.0 382:6.0 387:14.0 388:61.0 395:4.0 399:3.0 422:9.0 449:61.0 452:14.0 454:27.0 455:13.0 472:2.0 476:14.0 489:16.0 499:10.0</t>
  </si>
  <si>
    <t>231796</t>
  </si>
  <si>
    <t>632366</t>
  </si>
  <si>
    <t>85:72.0 91:1450.0 94:256.0 99:669.0 101:901.0 102:190.0 103:5421.0 104:498.0 109:403.0 110:400.0 113:381.0 120:255.0 121:119.0 122:182.0 123:92.0 124:277.0 125:414.0 129:3877.0 133:3060.0 134:316.0 136:161.0 137:198.0 138:105.0 139:490.0 140:304.0 142:94.0 144:1042.0 147:20868.0 148:3437.0 149:2507.0 150:587.0 151:72.0 153:151.0 155:531.0 156:233.0 157:265.0 161:303.0 162:4.0 163:769.0 164:285.0 166:1332.0 167:70.0 169:236.0 171:227.0 173:353.0 174:47.0 175:185.0 181:29.0 182:32.0 189:194.0 195:121.0 202:43.0 203:537.0 204:1958.0 205:1493.0 206:198.0 210:153.0 211:75.0 213:584.0 215:267.0 217:2865.0 218:631.0 219:1706.0 220:315.0 221:639.0 225:17.0 227:480.0 228:273.0 231:552.0 232:31.0 233:106.0 236:22.0 239:256.0 241:280.0 243:2090.0 244:440.0 245:23048.0 246:5144.0 247:2276.0 248:499.0 255:247.0 256:460.0 257:693.0 258:240.0 259:202.0 260:15.0 264:118.0 271:865.0 272:300.0 275:1.0 277:196.0 288:185.0 289:114.0 290:59.0 291:304.0 292:425.0 293:130.0 294:69.0 300:145.0 302:40.0 305:83.0 306:118.0 307:49.0 308:26.0 309:8.0 316:11.0 317:215.0 318:18.0 319:275.0 320:44.0 321:36.0 322:12.0 331:209.0 333:186.0 334:118.0 335:1727.0 336:425.0 337:117.0 343:4.0 345:441.0 346:182.0 347:614.0 348:103.0 349:47.0 350:8.0 359:19.0 361:1.0 365:20.0 373:4.0 374:28.0 384:1.0 387:63.0 389:54.0 391:17.0 395:2.0 409:15.0 410:39.0 423:13.0 424:5.0 428:9.0 435:35.0 438:9.0 450:10.0 452:24.0 454:8.0 457:7.0</t>
  </si>
  <si>
    <t>231260</t>
  </si>
  <si>
    <t>384062</t>
  </si>
  <si>
    <t>215</t>
  </si>
  <si>
    <t>86:156.0 90:13.0 92:79.0 93:1690.0 94:7869.0 95:1147.0 96:1324.0 97:1193.0 100:10447.0 101:892.0 102:1491.0 104:34.0 106:1124.0 107:505.0 108:4268.0 109:4101.0 110:2626.0 111:121.0 112:557.0 113:951.0 114:1148.0 117:1185.0 118:74.0 119:169.0 120:368.0 122:98.0 124:160.0 125:504.0 126:2957.0 127:2021.0 128:145.0 130:612.0 131:1461.0 132:328.0 133:3402.0 136:214.0 138:376.0 140:1873.0 141:866.0 142:956.0 144:234.0 146:28.0 147:18249.0 148:1111.0 149:1797.0 151:65.0 152:53.0 153:95.0 154:1503.0 156:2508.0 157:1101.0 158:146.0 159:15.0 160:228.0 166:149.0 168:4.0 170:825.0 171:118.0 172:3322.0 173:529.0 174:11.0 175:248.0 176:345.0 180:69.0 182:52.0 185:148.0 186:22.0 188:13.0 190:185.0 192:42.0 193:653.0 196:670.0 198:333.0 199:285.0 202:37.0 213:1170.0 214:583.0 215:13830.0 216:2952.0 217:1525.0 218:630.0 222:74.0 227:298.0 228:727.0 229:4219.0 230:3611.0 231:937.0 232:234.0 233:61.0 234:56.0 244:46.0 245:516.0 246:318.0 247:77.0 248:62.0 250:67.0 258:118.0 259:121.0 262:2.0 266:4.0 271:75.0 272:239.0 273:92.0 280:11.0 284:998.0 288:28.0 289:10.0 290:15.0 292:189.0 293:10.0 294:18.0 296:3.0 301:163.0 308:16.0 334:26.0 338:823.0 339:197.0 340:41.0 353:88.0 359:9.0 409:11.0 411:7.0</t>
  </si>
  <si>
    <t>231223</t>
  </si>
  <si>
    <t>826303</t>
  </si>
  <si>
    <t>85:239.0 86:665.0 87:1431.0 89:1508.0 94:1.0 99:125.0 101:3451.0 102:83.0 103:7595.0 104:691.0 105:386.0 109:129.0 111:328.0 113:502.0 114:169.0 115:714.0 116:2335.0 117:7013.0 118:792.0 119:95.0 120:56.0 127:74.0 129:4714.0 130:589.0 131:1606.0 133:5221.0 134:540.0 135:179.0 137:132.0 140:47.0 141:22.0 142:130.0 143:1018.0 147:15076.0 148:1752.0 149:2047.0 150:146.0 151:502.0 153:33.0 154:153.0 155:488.0 156:161.0 157:1917.0 158:255.0 159:293.0 165:81.0 167:160.0 169:372.0 170:443.0 173:27.0 174:199.0 175:98.0 181:137.0 182:103.0 183:743.0 184:94.0 185:61.0 186:86.0 188:31.0 189:626.0 190:357.0 191:1724.0 192:361.0 193:803.0 194:46.0 195:316.0 203:416.0 204:1492.0 205:3431.0 206:986.0 207:1462.0 208:28.0 209:72.0 210:48.0 211:1645.0 212:270.0 213:101.0 215:471.0 217:4525.0 218:1896.0 219:600.0 220:118.0 221:46.0 222:71.0 223:89.0 225:408.0 226:50.0 227:229.0 228:103.0 229:317.0 230:486.0 231:818.0 232:32.0 234:16.0 235:15.0 239:178.0 240:14.0 243:606.0 244:267.0 245:157.0 246:207.0 247:122.0 248:38.0 250:7.0 252:48.0 253:81.0 255:369.0 256:44.0 257:525.0 258:84.0 259:1088.0 260:173.0 261:52.0 263:74.0 264:51.0 267:132.0 269:101.0 271:451.0 272:570.0 273:278.0 274:5.0 275:20.0 276:11.0 277:54.0 278:62.0 282:12.0 283:168.0 285:180.0 287:82.0 289:76.0 290:31.0 291:219.0 298:12.0 299:5948.0 300:1585.0 301:698.0 302:98.0 303:51.0 305:123.0 306:183.0 307:430.0 308:163.0 309:91.0 310:22.0 311:41.0 312:60.0 313:164.0 314:480.0 315:3242.0 316:924.0 317:519.0 318:107.0 319:1150.0 320:654.0 321:87.0 322:4.0 323:84.0 325:64.0 326:7.0 328:150.0 329:196.0 330:119.0 331:449.0 332:221.0 333:115.0 334:34.0 339:25.0 341:242.0 343:18.0 344:64.0 345:301.0 346:130.0 347:124.0 348:96.0 349:206.0 350:37.0 352:56.0 354:41.0 356:126.0 357:1377.0 358:358.0 359:180.0 360:98.0 361:58.0 362:135.0 363:67.0 364:11.0 369:4.0 370:91.0 371:33.0 372:42.0 373:144.0 374:96.0 375:16.0 377:15.0 378:9.0 379:46.0 383:3.0 385:22.0 386:267.0 387:4092.0 388:1706.0 389:911.0 390:273.0 391:108.0 393:15.0 395:28.0 400:38.0 401:43.0 408:1.0 411:18.0 415:66.0 416:37.0 417:15.0 421:61.0 425:2.0 426:9.0 429:57.0 432:47.0 436:3.0 439:3.0 443:8.0 446:8.0 450:15.0 457:49.0 459:41.0 461:88.0 463:25.0 465:7.0 467:13.0 468:16.0 470:4.0 471:281.0 472:159.0 473:32.0 475:47.0 482:1.0 483:1.0 490:5.0 491:41.0</t>
  </si>
  <si>
    <t>229153</t>
  </si>
  <si>
    <t>204005</t>
  </si>
  <si>
    <t>85:316279.0 86:17769.0 89:3031.0 91:44149.0 92:5828.0 93:19137.0 94:4491.0 95:65208.0 96:9928.0 101:195.0 102:90.0 103:4497.0 104:553.0 105:4830.0 106:614.0 107:21063.0 108:1554.0 109:18065.0 110:12750.0 111:12209.0 112:7037.0 113:70.0 115:1229.0 116:355.0 117:918.0 118:1502.0 119:5837.0 120:738.0 121:338.0 123:2416.0 124:1383.0 125:6456.0 126:940.0 127:4657.0 130:6908.0 131:400.0 132:699.0 133:14946.0 134:7083.0 135:910.0 137:300.0 139:3186.0 144:1324.0 146:783.0 147:19553.0 148:1015.0 149:3235.0 150:340.0 151:66.0 154:61125.0 155:7215.0 158:104.0 160:1355.0 162:295.0 163:29.0 168:1332.0 174:116.0 176:2453.0 177:150.0 178:33.0 182:22.0 183:47.0 184:12222.0 185:1195.0 186:1158.0 187:119.0 188:42.0 190:85.0 198:9.0 199:1997.0 200:146.0 201:250.0 216:145.0 217:18.0 220:14631.0 221:1631.0 222:1074.0 225:69.0 226:47.0 228:7.0 231:96.0 234:32.0 235:1696.0 236:241.0 237:153.0 287:23.0 288:26.0 306:26.0 308:19.0 321:6.0 322:8.0 323:3.0 324:19.0 326:4.0 337:22.0 339:15.0 340:15.0 342:20.0 343:15.0 346:2.0 351:3.0 352:12.0 356:3.0 357:16.0 359:17.0 370:2.0 371:22.0 374:2.0 375:23.0 381:16.0 386:8.0 387:1.0 389:26.0 390:15.0 396:2.0 405:17.0 416:17.0 419:40.0 426:32.0 435:5.0 437:3.0 438:25.0 445:12.0 446:13.0 449:19.0 451:6.0 456:8.0 457:32.0 458:15.0 459:34.0 460:23.0 461:65.0 462:6.0 463:12.0 465:10.0 466:14.0 474:23.0 476:11.0 477:9.0 479:9.0 481:24.0 483:17.0 487:5.0 488:5.0 489:11.0 497:2.0 498:14.0</t>
  </si>
  <si>
    <t>228422</t>
  </si>
  <si>
    <t>861639</t>
  </si>
  <si>
    <t>85:1703.0 87:462.0 89:111.0 91:11.0 92:134.0 93:10.0 95:328.0 98:338.0 99:884.0 100:307.0 101:4235.0 102:140.0 103:711.0 104:5.0 105:1321.0 106:7.0 109:165.0 110:89.0 111:78.0 113:558.0 114:18.0 115:2773.0 116:580.0 117:172.0 125:1.0 129:40881.0 130:5940.0 131:5432.0 132:291.0 133:6.0 134:136.0 135:126.0 138:5.0 144:634.0 145:1993.0 146:44.0 148:13.0 149:9.0 151:17.0 152:3.0 154:101.0 155:5.0 157:109.0 160:68.0 162:5.0 166:36.0 168:51.0 170:73.0 171:2.0 172:287.0 173:73.0 174:7.0 179:66.0 184:112.0 188:136.0 189:4.0 190:28.0 191:11.0 192:84.0 201:5001.0 202:581.0 203:84.0 207:1.0 208:2.0 209:30.0 212:48.0 213:1.0 214:1.0 215:304.0 216:81.0 217:472.0 218:157.0 219:1.0 229:49.0 230:12.0 232:2.0 233:1.0 235:3.0 237:141.0 238:27.0 243:149.0 244:32.0 247:73.0 251:5.0 252:25.0 253:40.0 254:1.0 257:887.0 258:130.0 267:104.0 268:2.0 269:143.0 271:3.0 272:16.0 273:1.0 275:10.0 281:170.0 282:76.0 283:47.0 284:1.0 286:22.0 293:17.0 295:88.0 296:14.0 299:1.0 300:40.0 302:1.0 305:12.0 306:63.0 307:5.0 309:27.0 311:43.0 314:7.0 317:13.0 319:92.0 320:19.0 325:3.0 327:1.0 329:5.0 331:5.0 333:27.0 335:24.0 339:30.0 340:6.0 341:64.0 349:1.0 354:5.0 355:16.0 356:1.0 358:6.0 359:732.0 360:224.0 361:97.0 362:5.0 367:4.0 374:215.0 375:84.0 382:201.0 383:74.0 386:17.0 389:2.0 391:1.0 399:12.0 401:15.0 402:2.0 408:4.0 415:3.0 416:1.0 420:2.0 428:1.0 429:118.0 430:31.0 440:13.0 449:1.0 452:2.0 458:2.0 464:1.0 487:5.0 488:11.0</t>
  </si>
  <si>
    <t>228311</t>
  </si>
  <si>
    <t>525618</t>
  </si>
  <si>
    <t>85:1882.0 86:4273.0 87:2808.0 90:170.0 94:1539.0 95:968.0 97:995.0 98:13233.0 99:2421.0 100:2820.0 101:9923.0 102:1000.0 103:6739.0 104:553.0 107:310.0 109:189.0 110:650.0 111:383.0 113:528.0 114:484.0 115:1837.0 116:5287.0 117:4559.0 118:303.0 119:1056.0 121:214.0 123:25.0 125:213.0 126:525.0 127:1015.0 129:7247.0 131:6175.0 132:839.0 133:8680.0 134:843.0 135:662.0 138:84.0 139:147.0 140:877.0 141:811.0 142:271.0 143:3254.0 144:107.0 146:199.0 147:55472.0 148:8401.0 149:2914.0 151:112.0 153:60.0 156:2381.0 157:2277.0 158:1660.0 159:625.0 161:41.0 162:6.0 163:105.0 168:101.0 169:1081.0 170:650.0 171:1414.0 172:295.0 173:213.0 174:6769.0 175:1475.0 176:340.0 177:68.0 180:216.0 181:63.0 182:88.0 183:28.0 185:315.0 186:786.0 187:236.0 188:364.0 189:9841.0 190:2003.0 191:29610.0 192:5140.0 193:1699.0 194:177.0 195:335.0 196:509.0 197:262.0 198:316.0 199:330.0 200:525.0 201:577.0 202:329.0 203:402.0 204:34105.0 205:5643.0 206:3099.0 207:50.0 210:210.0 212:177.0 213:86.0 214:205.0 215:1663.0 216:277.0 217:35629.0 218:6082.0 219:3034.0 220:533.0 221:1215.0 222:145.0 223:184.0 229:46.0 230:486.0 231:369.0 232:286.0 233:136.0 234:1553.0 236:781.0 238:1363.0 240:30.0 242:25.0 243:680.0 244:61.0 245:386.0 246:474.0 247:134.0 248:4.0 252:115.0 255:171.0 256:130.0 257:185.0 258:61.0 259:1096.0 260:220.0 262:32.0 263:13.0 268:14.0 270:330.0 272:70.0 273:41.0 274:27.0 276:49.0 277:19.0 279:288.0 281:33.0 283:290.0 284:367.0 285:200.0 286:440.0 287:370.0 288:168.0 289:59.0 290:1740.0 291:1006.0 292:428.0 293:89.0 297:132.0 298:111.0 299:54.0 301:121.0 302:106.0 303:144.0 304:315.0 305:1156.0 306:553.0 307:224.0 308:60.0 310:10.0 312:60.0 313:191.0 317:82.0 318:72.0 320:8.0 325:216.0 326:739.0 327:264.0 328:131.0 329:19.0 331:96.0 333:413.0 334:214.0 335:33.0 340:74.0 341:908.0 342:494.0 343:41.0 346:341.0 347:111.0 348:100.0 349:86.0 350:23.0 355:95.0 360:6.0 361:6.0 363:2.0 366:8.0 371:8.0 372:34.0 382:5.0 383:35.0 393:16.0 397:6.0 400:2.0 401:31.0 403:71.0 406:20.0 411:62.0 413:6.0 422:28.0 423:23.0 432:13.0 436:2.0 446:1.0 448:2.0 451:8.0 454:13.0 456:16.0 460:8.0 462:6.0 487:4.0 491:4.0 495:25.0</t>
  </si>
  <si>
    <t>227816</t>
  </si>
  <si>
    <t>426345</t>
  </si>
  <si>
    <t>270</t>
  </si>
  <si>
    <t>85:337.0 86:791.0 87:19.0 92:95.0 96:25.0 98:1257.0 99:245.0 100:1458.0 102:24.0 108:374.0 110:399.0 111:114.0 112:337.0 113:143.0 114:373.0 115:49.0 118:184.0 120:1393.0 124:86.0 126:253.0 127:1245.0 128:188.0 130:536.0 131:410.0 136:32.0 139:4.0 140:270.0 141:99.0 142:111.0 143:24.0 146:133.0 148:396.0 151:1.0 152:8.0 153:163.0 154:507.0 155:461.0 157:71.0 158:152.0 161:11.0 167:55.0 169:15.0 170:157.0 171:109.0 172:83.0 176:31.0 179:23.0 180:134.0 181:501.0 182:61.0 183:153.0 184:398.0 185:26.0 187:2.0 195:162.0 196:163.0 197:208.0 198:194.0 199:124.0 210:42.0 211:20.0 212:29.0 213:16.0 214:71.0 226:31.0 227:240.0 228:60.0 229:22.0 232:9.0 233:21.0 238:49.0 239:1074.0 240:209.0 241:188.0 242:66.0 253:272.0 254:167.0 255:2213.0 256:498.0 257:158.0 259:57.0 260:59.0 261:38.0 269:2363.0 270:2663.0 271:547.0 272:158.0 273:33.0 279:3.0 290:10.0 303:4.0 314:14.0 317:6.0 330:12.0 335:1.0 341:24.0 347:4.0 350:5.0 351:5.0 358:10.0 361:28.0 383:10.0 392:20.0 396:9.0 401:6.0 407:15.0 415:6.0 420:3.0 425:4.0 440:7.0 448:7.0 457:20.0 462:1.0 464:6.0 469:3.0 478:2.0 481:2.0 484:7.0 495:10.0 500:4.0</t>
  </si>
  <si>
    <t>227767</t>
  </si>
  <si>
    <t>523660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</si>
  <si>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</si>
  <si>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226912</t>
  </si>
  <si>
    <t>626873</t>
  </si>
  <si>
    <t>85:829.0 86:1601.0 87:1152.0 88:372.0 89:782.0 90:384.0 91:104.0 93:280.0 94:334.0 97:486.0 98:1886.0 99:556.0 100:5318.0 101:513.0 102:810.0 103:991.0 105:1738.0 108:486.0 114:2319.0 115:1149.0 116:377.0 117:1059.0 122:358.0 123:123.0 124:23.0 128:75791.0 129:10122.0 130:6697.0 131:1345.0 132:544.0 133:2575.0 135:737.0 136:149.0 137:4152.0 138:501.0 139:454.0 140:314.0 141:535.0 142:299.0 143:459.0 144:296.0 146:400.0 147:5203.0 148:1171.0 149:1183.0 150:133.0 152:200.0 153:40.0 156:1395.0 157:646.0 158:756.0 159:190.0 169:2.0 171:257.0 173:101.0 175:73.0 186:364.0 187:26.0 188:175.0 192:571.0 196:449.0 198:23.0 202:8343.0 203:2037.0 204:1253.0 205:40.0 206:2.0 208:16912.0 209:2461.0 210:1439.0 211:693.0 212:113.0 213:154.0 214:154.0 216:37.0 217:975.0 218:1337.0 219:268.0 220:328.0 229:67.0 230:117.0 232:104.0 244:22.0 246:8.0 256:23.0 258:36.0 264:71.0 266:27.0 276:50.0 278:70.0 282:156.0 283:58.0 284:25.0 292:9.0 298:8.0 301:14.0 310:135.0 313:58.0 315:1.0 325:33.0 326:49.0 330:34.0 348:14.0 354:7.0 360:26.0 361:263.0 362:47.0 364:5.0 369:47.0 399:13.0 470:25.0 480:12.0 486:7.0</t>
  </si>
  <si>
    <t>226330</t>
  </si>
  <si>
    <t>335994</t>
  </si>
  <si>
    <t>85:912.0 87:119.0 89:596.0 90:9.0 92:38.0 94:9.0 95:178.0 96:5.0 99:31.0 101:354.0 104:11.0 107:4564.0 108:384.0 110:3507.0 111:4.0 114:474.0 115:2408.0 116:1251.0 117:1492.0 120:227.0 121:35.0 122:110.0 123:24.0 124:15.0 126:44.0 127:811.0 130:4505.0 131:1140.0 132:561.0 133:220.0 134:5999.0 136:62.0 137:2.0 138:11.0 139:15.0 140:73.0 143:234.0 144:157.0 147:628.0 151:32.0 156:71.0 157:171.0 158:88.0 160:183.0 161:39.0 171:190.0 175:334.0 177:104.0 180:16.0 181:1.0 182:27.0 184:2918.0 185:537.0 186:164.0 189:1276.0 190:93.0 191:699.0 192:132.0 193:72.0 196:6.0 197:1.0 198:22.0 199:307.0 200:206.0 201:4.0 202:1.0 203:33.0 205:23.0 207:2349.0 208:174.0 209:135.0 213:15.0 216:4.0 217:78.0 225:1.0 228:1.0 229:21.0 233:35.0 247:1.0 248:555.0 249:2863.0 250:658.0 251:243.0 252:22.0 260:1.0 263:41.0 266:15.0 271:6.0 274:1.0 279:122.0 280:30.0 290:152.0 291:444.0 292:71.0 293:44.0 302:9.0 306:3.0 311:1.0 321:1.0 324:1.0 326:1.0 330:16.0 338:9.0 340:2.0 343:3.0 376:9.0 377:5.0 378:233.0 379:390.0 380:240.0 381:71.0 382:8.0 429:4.0 436:1.0 437:5.0 439:2.0 446:12.0 459:4.0 468:1.0</t>
  </si>
  <si>
    <t>225867</t>
  </si>
  <si>
    <t>405975</t>
  </si>
  <si>
    <t>306</t>
  </si>
  <si>
    <t>85:2670.0 87:5883.0 88:398.0 89:1752.0 91:6531.0 92:499.0 93:337.0 94:508.0 95:323.0 96:322.0 97:541.0 98:373.0 99:2771.0 100:1891.0 101:23560.0 102:4349.0 103:7673.0 104:752.0 105:3129.0 106:246.0 108:166.0 111:655.0 112:158.0 113:2411.0 114:2087.0 115:15297.0 116:64972.0 117:255439.0 118:29043.0 119:15681.0 120:1511.0 121:539.0 122:139.0 123:61.0 125:170.0 126:25.0 127:1001.0 128:210.0 129:9867.0 131:15840.0 132:2703.0 133:49208.0 134:1418.0 135:4748.0 136:247.0 137:143.0 139:157.0 140:72.0 141:239.0 142:416.0 143:50626.0 144:14575.0 145:13057.0 146:1595.0 147:111903.0 148:19916.0 149:39252.0 150:5285.0 151:2744.0 152:586.0 153:27.0 154:34.0 156:16.0 157:1029.0 158:73.0 159:687.0 160:109.0 161:432.0 162:143.0 163:1810.0 164:328.0 165:208.0 166:7.0 167:5.0 168:16.0 171:754.0 172:216.0 173:477.0 174:67.0 175:5869.0 176:964.0 177:1902.0 178:238.0 179:19.0 180:52.0 182:59.0 183:2.0 184:305.0 185:82.0 186:191.0 187:155.0 188:176.0 189:1405.0 190:806.0 191:1984.0 192:385.0 194:1.0 195:68.0 196:45.0 197:71.0 198:15.0 199:272.0 200:207.0 201:245.0 202:24.0 203:8793.0 204:1668.0 205:1626.0 206:264.0 207:481.0 208:33.0 209:57.0 210:55.0 211:41.0 212:36.0 213:9.0 214:16.0 215:58.0 216:161.0 217:4977.0 218:3020.0 219:1485.0 220:439.0 221:5193.0 222:1170.0 223:511.0 224:180.0 225:57.0 226:41.0 227:1089.0 228:179.0 229:97.0 230:72.0 231:820.0 232:836.0 233:17002.0 234:21864.0 235:5370.0 236:1713.0 237:288.0 238:97.0 239:32.0 240:3.0 241:30.0 243:295.0 244:72.0 245:7022.0 246:1660.0 247:1601.0 248:290.0 249:28.0 250:10.0 251:24.0 252:6.0 253:35.0 254:4.0 258:5.0 259:24.0 260:2.0 262:13.0 263:46.0 264:14.0 265:193.0 266:35.0 268:2.0 269:6.0 272:5.0 273:5.0 274:45.0 276:2.0 277:12.0 279:119.0 282:28.0 283:12.0 286:1.0 289:8.0 291:897.0 292:320.0 293:437.0 294:139.0 295:62.0 301:1.0 305:408.0 306:25754.0 307:8964.0 308:4229.0 309:1005.0 310:205.0 311:15.0 313:3.0 314:19.0 315:11.0 319:98.0 322:1.0 323:3.0 325:2.0 332:1.0 334:70.0 335:1850.0 336:601.0 337:285.0 338:61.0 339:10.0 355:12.0 356:18.0 357:1.0 369:1.0 374:2.0 375:1.0 379:2.0 403:1.0 404:5.0 408:1.0 433:15.0 434:7.0 440:1.0 443:7.0 444:4.0 449:7.0 466:19.0 470:28.0 474:4.0 477:7.0 484:6.0</t>
  </si>
  <si>
    <t>225863</t>
  </si>
  <si>
    <t>750238</t>
  </si>
  <si>
    <t>85:73.0 86:222.0 88:187.0 89:329.0 92:51.0 98:197.0 99:22.0 100:386.0 101:575.0 103:4569.0 105:164.0 112:50.0 116:159.0 117:1873.0 119:121.0 121:15.0 129:1387.0 133:486.0 134:493.0 141:35.0 142:23.0 143:103.0 147:2198.0 150:145.0 152:41.0 153:11.0 155:15.0 157:823.0 158:174.0 159:46.0 163:66.0 168:3.0 170:17.0 172:388.0 173:191.0 174:150.0 185:56.0 186:36.0 188:15.0 189:103.0 201:82.0 204:224.0 205:1819.0 206:256.0 209:1.0 212:15.0 214:8.0 215:31.0 216:84.0 217:985.0 218:154.0 219:106.0 220:2.0 227:4.0 228:79.0 229:252.0 230:157.0 231:42.0 235:18.0 242:30.0 243:16.0 244:29.0 245:9.0 247:18.0 250:3.0 252:17.0 254:45.0 257:12.0 258:21.0 260:57.0 262:70.0 263:79.0 273:32.0 274:67.0 275:23.0 276:37.0 277:45.0 278:13.0 281:62.0 286:43.0 290:11.0 291:111.0 293:12.0 296:10.0 299:17.0 302:24.0 303:32.0 305:104.0 306:28.0 307:86.0 309:13.0 310:9.0 312:24.0 319:1764.0 320:457.0 321:186.0 327:37.0 329:2.0 332:25.0 333:6.0 334:29.0 336:31.0 344:7.0 346:7.0 347:17.0 363:31.0 367:6.0 368:22.0 372:6.0 375:23.0 377:2.0 385:16.0 386:5.0 390:17.0 391:3.0 393:31.0 402:3.0 405:8.0 407:3.0 412:13.0 417:6.0 419:16.0 425:17.0 433:24.0 437:2.0 442:4.0 445:7.0 447:33.0 450:1.0 451:16.0 453:13.0 456:2.0 459:16.0 460:22.0 471:11.0 475:13.0 476:20.0 478:3.0 480:27.0 489:1.0 498:10.0 500:4.0</t>
  </si>
  <si>
    <t>224849</t>
  </si>
  <si>
    <t>535229</t>
  </si>
  <si>
    <t>85:260.0 87:7.0 90:219.0 91:6.0 93:245.0 100:72.0 101:66.0 102:231.0 103:485.0 104:1.0 107:1072.0 108:365.0 109:305.0 110:2101.0 114:511.0 116:93.0 117:416.0 118:329.0 119:200.0 120:7.0 121:30.0 122:78.0 123:49.0 126:530.0 130:1260.0 132:11.0 133:198.0 134:239.0 135:49.0 136:81.0 138:36.0 140:61.0 145:3.0 146:200.0 147:24.0 148:12.0 149:5.0 152:25.0 154:226.0 156:1.0 158:43.0 160:13.0 162:2.0 167:266.0 175:35.0 176:2.0 177:180.0 179:152.0 180:2753.0 181:106.0 182:31.0 184:1366.0 186:51.0 188:4.0 190:1.0 191:96.0 193:774.0 194:117.0 195:29.0 197:1.0 199:18.0 200:75.0 201:11.0 204:3.0 207:5892.0 208:1236.0 209:519.0 210:53.0 211:72.0 215:2.0 217:51.0 221:6.0 223:12.0 228:953.0 229:61.0 230:47.0 231:28.0 232:13.0 234:1.0 238:65.0 240:34.0 241:43.0 242:20.0 244:3.0 245:97.0 247:50.0 256:20.0 259:35.0 261:150.0 263:18.0 267:7.0 268:1.0 275:1971.0 276:629.0 277:265.0 278:72.0 286:6.0 292:2.0 298:37.0 299:6.0 301:30.0 308:1.0 329:104.0 330:8.0 331:8.0 342:538.0 343:117.0 344:95.0 458:5.0</t>
  </si>
  <si>
    <t>224632</t>
  </si>
  <si>
    <t>755977</t>
  </si>
  <si>
    <t>86:625.0 87:1067.0 89:432.0 92:164.0 97:431.0 98:217.0 99:161.0 100:5997.0 101:519.0 103:429.0 112:471.0 113:165.0 114:168.0 118:620.0 124:33.0 127:219.0 129:325.0 130:825.0 132:223.0 134:435.0 139:300.0 141:130.0 143:632.0 147:6967.0 148:811.0 150:63.0 153:1290.0 154:1685.0 155:776.0 156:303.0 166:190.0 167:89.0 170:6.0 172:1260.0 173:183.0 174:232.0 181:48.0 182:41.0 184:161.0 187:3.0 188:31.0 191:2702.0 192:198.0 193:13.0 195:24.0 198:10.0 199:28.0 201:31.0 204:306.0 211:167.0 212:56.0 214:40.0 217:223.0 226:1388.0 227:927.0 228:144.0 231:90.0 238:271.0 239:137.0 240:28.0 241:15.0 245:38.0 246:207.0 247:73.0 248:37.0 252:105.0 253:69.0 254:178.0 255:98.0 260:15.0 264:54.0 269:17.0 275:102.0 276:7.0 290:3385.0 291:863.0 292:385.0 293:1.0 296:3.0 299:61.0 301:39.0 302:1.0 305:31.0 306:30.0 307:643.0 308:90.0 309:11.0 310:158.0 311:3.0 313:38.0 315:7.0 316:1.0 319:26.0 321:15.0 325:15.0 326:2664.0 327:1141.0 328:462.0 329:89.0 330:11.0 340:18.0 348:38.0 361:15.0 364:3.0 372:21.0 400:516.0 401:222.0 402:92.0 403:61.0 417:25.0 428:1028.0 429:401.0 430:158.0 431:29.0 437:7.0 443:10.0 485:11.0 490:38.0</t>
  </si>
  <si>
    <t>224574</t>
  </si>
  <si>
    <t>307560</t>
  </si>
  <si>
    <t>85:24.0 86:2204.0 87:192.0 88:1379.0 89:2940.0 90:562.0 91:10.0 92:244.0 93:426.0 94:128.0 95:231.0 97:22.0 100:3226.0 101:347.0 102:247.0 103:1450.0 104:173.0 105:1304.0 106:253.0 107:1587.0 109:159.0 110:2763.0 111:75.0 114:3782.0 115:194.0 116:155.0 118:855.0 119:346.0 120:180.0 124:106.0 128:6.0 129:349.0 130:7912.0 131:1515.0 132:221.0 134:2447.0 136:805.0 137:630.0 139:358.0 140:10.0 141:122.0 142:841.0 143:771.0 144:1433.0 145:207.0 146:381.0 147:1983.0 148:1218.0 149:42.0 151:199.0 152:71.0 153:46.0 155:110.0 156:278.0 157:129.0 160:663.0 161:42.0 162:39.0 166:2.0 167:25.0 168:23.0 169:126.0 170:959.0 171:77.0 172:137.0 173:46.0 174:12.0 175:45.0 176:123.0 179:232.0 180:2084.0 181:225.0 182:93.0 184:1343.0 185:625.0 186:127.0 187:35.0 188:319.0 190:24.0 197:24.0 198:1014.0 199:323.0 200:323.0 202:73.0 203:30.0 204:1.0 213:536.0 214:30.0 216:1.0 218:13.0 219:28.0 228:72.0 232:5.0 245:50.0 259:57.0 260:11.0 262:253.0 263:37.0 272:1978.0 273:368.0 274:207.0 286:20.0 314:7.0 338:4.0 429:25.0</t>
  </si>
  <si>
    <t>223675</t>
  </si>
  <si>
    <t>281046</t>
  </si>
  <si>
    <t>86:5927.0 87:80.0 89:132.0 90:460.0 91:1879.0 92:158.0 93:269.0 94:2.0 96:239.0 97:16.0 99:269.0 101:286.0 102:631.0 103:695.0 105:174.0 106:13.0 107:332.0 108:72.0 109:42.0 110:356.0 113:771.0 115:289.0 116:240.0 117:2247.0 118:58.0 119:314.0 120:6.0 128:551.0 129:755.0 131:884.0 132:241.0 133:3110.0 134:717.0 135:876.0 136:195.0 137:38.0 138:2.0 139:189.0 140:1942.0 141:897.0 142:471.0 143:1189.0 144:540.0 145:29921.0 146:4208.0 147:20623.0 148:3499.0 149:2323.0 150:217.0 151:42.0 154:6.0 155:174.0 156:221.0 157:144.0 163:111.0 165:3080.0 166:271.0 167:19.0 169:19.0 170:555.0 171:1654.0 172:96.0 180:938.0 181:34.0 184:227.0 185:58.0 186:559.0 188:226.0 190:785.0 191:189.0 196:43.0 198:650.0 199:51.0 203:62.0 211:689.0 212:61.0 213:55.0 215:150.0 219:2644.0 220:435.0 227:25.0 229:5.0 230:69.0 232:4.0 233:24.0 234:337.0 235:3.0 238:1.0 246:10.0 247:820.0 248:143.0 249:69.0 255:22.0 256:4.0 259:51.0 265:76.0 267:128.0 281:135.0 282:23.0 285:65.0 286:2.0 294:2.0 295:1.0 297:1.0 302:2.0 309:3.0 331:3.0 334:1.0 340:1.0 358:1.0 369:40.0 378:1.0 425:1.0 468:1.0 475:2.0 482:5.0 487:2.0 493:1.0</t>
  </si>
  <si>
    <t>223566</t>
  </si>
  <si>
    <t>624258</t>
  </si>
  <si>
    <t>86:115.0 98:206.0 99:618.0 100:171.0 102:53.0 110:34.0 114:20.0 119:92.0 120:42.0 126:39.0 130:5.0 132:351.0 139:54.0 140:142.0 141:152.0 155:323.0 156:4867.0 157:474.0 158:91.0 168:5.0 170:119.0 174:304.0 184:30.0 188:3.0 194:8.0 207:30.0 209:38.0 212:42.0 214:50.0 217:432.0 218:22.0 222:16.0 233:12.0 238:2.0 241:11.0 242:39.0 243:102.0 244:7.0 245:23.0 246:15.0 251:1.0 253:17.0 260:55.0 288:8.0 291:7.0 292:23.0 293:11.0 299:18.0 311:57.0 312:105.0 313:28.0 320:29.0 326:66.0 327:51.0 338:5.0 346:5.0 352:2.0 373:5.0 379:18.0 382:4.0 417:6.0 432:9.0 437:3.0 442:1.0 465:18.0</t>
  </si>
  <si>
    <t>223531</t>
  </si>
  <si>
    <t>270642</t>
  </si>
  <si>
    <t>85:2427.0 86:40686.0 87:8300.0 88:2510.0 89:14224.0 92:937.0 93:2550.0 99:1564.0 100:98565.0 101:17741.0 102:5239.0 103:4003.0 104:2330.0 105:2146.0 106:2460.0 107:4930.0 108:854.0 110:3187.0 114:2609.0 115:3332.0 116:3532.0 117:4544.0 118:2522.0 119:1155.0 120:589.0 121:367.0 124:31.0 125:471.0 126:1807.0 127:3709.0 129:289.0 130:13797.0 131:10429.0 132:2827.0 133:61755.0 134:8303.0 136:757.0 138:120.0 143:1299.0 146:2286.0 147:77361.0 148:10920.0 149:7257.0 152:251.0 153:219.0 156:266.0 158:954.0 160:2861.0 161:717.0 162:1902.0 169:238.0 172:1383.0 174:21369.0 175:2604.0 176:472.0 182:49.0 183:2.0 187:1252.0 188:1338.0 189:531.0 190:1658.0 192:1638.0 195:48.0 196:240.0 198:285.0 204:316.0 205:1889.0 207:357.0 208:12.0 211:377.0 215:633.0 216:94.0 218:1020.0 220:4456.0 221:319.0 225:83.0 228:310.0 233:398.0 234:466.0 235:2.0 246:47.0 247:20.0 248:6877.0 249:1749.0 250:1180.0 251:423.0 252:2.0 255:50.0 257:11.0 261:22.0 262:11207.0 263:2428.0 264:1047.0 265:657.0 266:15.0 269:101.0 270:57.0 272:479.0 273:147.0 286:25.0 295:8.0 336:3.0 337:50.0 341:42.0 367:3.0 374:1.0 375:6.0 393:17.0 401:7.0 404:24.0 420:2.0 422:2.0 423:2.0 433:1.0 443:20.0 445:1.0 449:4.0 464:2.0 470:1.0 471:13.0 474:1.0 479:5.0 481:5.0 484:3.0 485:3.0 489:1.0 497:10.0</t>
  </si>
  <si>
    <t>222169</t>
  </si>
  <si>
    <t>975088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</si>
  <si>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</si>
  <si>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222065</t>
  </si>
  <si>
    <t>659546</t>
  </si>
  <si>
    <t>269</t>
  </si>
  <si>
    <t>85:140.0 89:331.0 91:1509.0 92:60.0 93:129.0 95:85.0 96:88.0 100:73.0 101:83.0 102:231.0 103:1864.0 104:126.0 106:21.0 109:6.0 110:176.0 115:460.0 116:66.0 117:277.0 119:438.0 127:296.0 129:250.0 130:290.0 131:131.0 133:120.0 134:114.0 135:3.0 146:60.0 150:3.0 151:60.0 152:208.0 153:108.0 157:67.0 159:10.0 160:44.0 164:10.0 165:234.0 167:7.0 178:240.0 179:137.0 181:31.0 187:8.0 191:166.0 193:5.0 199:31.0 200:5.0 203:6.0 204:94.0 205:149.0 206:35.0 207:62.0 216:17.0 217:212.0 221:18.0 237:4.0 251:3.0 253:52.0 254:20.0 269:2667.0 270:577.0 271:90.0 272:2.0 278:33.0 284:368.0 285:109.0 319:120.0 321:6.0 340:16.0 355:3.0 359:2.0 368:34.0 377:11.0 408:13.0 434:2.0 436:15.0 449:10.0 456:7.0 467:6.0 470:26.0 480:18.0 482:5.0 493:29.0 495:4.0 499:27.0</t>
  </si>
  <si>
    <t>222050</t>
  </si>
  <si>
    <t>606068</t>
  </si>
  <si>
    <t>223</t>
  </si>
  <si>
    <t>85:2103.0 86:223.0 87:29.0 88:157.0 89:1237.0 91:4108.0 92:339.0 93:3603.0 94:421.0 95:2192.0 96:360.0 97:807.0 98:502.0 99:325.0 100:332.0 101:1557.0 102:313.0 103:4523.0 104:740.0 105:2346.0 106:600.0 107:2971.0 109:1800.0 110:550.0 111:814.0 112:61.0 113:367.0 114:407.0 115:467.0 116:269.0 117:12364.0 118:1556.0 119:2072.0 120:326.0 121:1445.0 122:301.0 123:1723.0 124:266.0 125:369.0 128:13.0 129:511.0 131:321.0 132:68.0 133:2554.0 134:11.0 135:3109.0 136:461.0 137:304.0 138:28.0 139:175.0 140:96.0 141:384.0 143:584.0 144:130.0 145:118.0 146:196.0 147:637.0 148:109.0 149:881.0 150:272.0 151:676.0 152:105.0 153:223.0 154:24.0 155:596.0 156:78.0 157:1159.0 158:92.0 159:411.0 160:205.0 161:54.0 162:67.0 164:108.0 165:556.0 166:112.0 167:547.0 168:70.0 169:619.0 170:40.0 171:429.0 173:686.0 174:100.0 175:208.0 176:82.0 177:374.0 181:2194.0 182:370.0 183:1560.0 185:455.0 187:36.0 191:637.0 192:104.0 193:175.0 195:357.0 196:133.0 197:393.0 198:21.0 199:150.0 205:79.0 209:269.0 210:45.0 211:365.0 212:25.0 213:79.0 214:61.0 217:335.0 223:5528.0 224:1081.0 225:1149.0 226:291.0 227:49.0 230:20.0 232:1.0 237:4.0 239:179.0 240:65.0 241:98.0 245:10.0 247:3.0 256:4.0 257:6.0 259:16.0 260:13.0 265:172.0 266:31.0 267:1067.0 268:257.0 269:34.0 271:96.0 272:69.0 273:7.0 280:5.0 281:179.0 282:197.0 283:21.0 284:9.0 289:41.0 298:11.0 301:8.0 303:8.0 306:18.0 309:36.0 310:7.0 312:147.0 313:221.0 314:149.0 315:35.0 324:11.0 328:33.0 333:14.0 337:7.0 346:25.0 347:1.0 349:4.0 355:51.0 357:694.0 358:339.0 359:71.0 360:11.0 361:17.0 363:188.0 373:31.0 374:33.0 377:22.0 379:4.0 384:6.0 394:27.0 395:27.0 396:8.0 398:56.0 404:21.0 405:1.0 411:14.0 416:4.0 418:45.0 424:57.0 426:3.0 433:27.0 434:6.0 450:29.0 452:3.0 455:16.0 470:23.0 475:2.0 480:17.0 487:1.0 495:15.0 500:19.0</t>
  </si>
  <si>
    <t>219520</t>
  </si>
  <si>
    <t>867313</t>
  </si>
  <si>
    <t>86:483.0 87:63.0 88:52.0 89:216.0 91:1329.0 92:258.0 93:738.0 94:200.0 95:76.0 97:44.0 98:9.0 99:1.0 100:398.0 101:149.0 102:52.0 103:21.0 104:6.0 105:478.0 106:288.0 107:158.0 108:33.0 109:29.0 110:27.0 112:33.0 114:59.0 116:79.0 117:324.0 118:140.0 119:114.0 120:438.0 121:224.0 122:54.0 124:38.0 128:96.0 129:271.0 130:187.0 131:139.0 132:170.0 138:4.0 139:25.0 142:14.0 143:18.0 144:3882.0 145:436.0 146:393.0 147:289.0 148:51.0 150:7.0 152:4.0 156:68.0 158:16.0 160:59.0 162:12.0 169:28.0 172:53.0 174:570.0 175:55.0 176:53.0 180:105.0 186:9.0 199:6.0 200:2.0 202:11.0 203:3.0 204:315.0 205:65.0 206:8.0 214:2.0 216:19.0 217:15.0 226:22.0 227:1.0 228:7.0 229:11.0 246:17.0 265:7.0 272:7.0 281:2.0 312:3.0 321:11.0 323:11.0 332:11.0 355:4.0 362:10.0 365:5.0 377:1.0 383:2.0 387:3.0 403:2.0 407:5.0 413:1.0 414:15.0 431:3.0 443:18.0 470:2.0 474:5.0 484:4.0 497:9.0</t>
  </si>
  <si>
    <t>218798</t>
  </si>
  <si>
    <t>714908</t>
  </si>
  <si>
    <t>86:329.0 89:34.0 98:18.0 100:165.0 101:6.0 102:23.0 103:36.0 108:14.0 110:35.0 113:1.0 114:81.0 122:9.0 129:10.0 130:97.0 140:11.0 151:12.0 158:13.0 160:7.0 174:1576.0 175:223.0 176:80.0 184:20.0 199:4.0 200:34.0 205:1.0 213:5.0 224:11.0 228:1.0 286:5.0 290:4.0 301:3.0 318:13.0 324:11.0 326:5.0 329:4.0 332:5.0 353:5.0 363:4.0 365:10.0 440:3.0 465:9.0 470:1.0</t>
  </si>
  <si>
    <t>218784</t>
  </si>
  <si>
    <t>211974</t>
  </si>
  <si>
    <t>85:1532.0 86:318.0 87:412.0 88:998.0 90:511.0 91:1250.0 92:499.0 93:23.0 94:7.0 97:1923.0 98:891.0 99:896.0 100:901.0 101:1657.0 102:488.0 103:55.0 104:344.0 105:79.0 106:253.0 107:192.0 108:1074.0 109:432.0 110:15079.0 111:545.0 112:321.0 113:99.0 115:2167.0 116:935.0 117:54.0 118:1744.0 119:190.0 120:329.0 121:68.0 122:94.0 123:27.0 124:321.0 126:76.0 127:315.0 130:1032.0 131:4786.0 132:912.0 133:375.0 134:17884.0 135:3072.0 136:4188.0 137:338.0 138:22.0 139:100.0 140:522.0 141:14.0 142:406.0 143:1002.0 144:85.0 146:123.0 148:296.0 149:69.0 150:49.0 151:57.0 152:735.0 153:65.0 155:2.0 156:87.0 158:105.0 159:13.0 160:17.0 161:11.0 163:14.0 164:9.0 167:101.0 168:800.0 169:59.0 173:14.0 174:10.0 176:10.0 181:17.0 182:46.0 183:64.0 184:13015.0 185:1340.0 186:582.0 187:64.0 188:109.0 189:6.0 195:22.0 196:110.0 198:386.0 199:92.0 200:169.0 205:3.0 208:68.0 209:88.0 210:34.0 211:52.0 212:54.0 213:187.0 214:6.0 215:1.0 218:2.0 222:10.0 226:10.0 227:35.0 228:12469.0 229:1588.0 230:519.0 231:50.0 242:529.0 243:29.0 244:19.0 245:6.0 247:1.0 251:7.0 257:35.0 259:5.0 262:5.0 275:13.0 281:18.0 292:5.0 294:9.0 302:6.0 312:6.0 319:5.0 321:1.0 322:8.0 323:20.0 326:5.0 334:2.0 336:16.0 352:2.0 361:5.0 365:7.0 367:19.0 368:5.0 379:4.0 397:17.0 398:24.0 400:2.0 403:1.0 404:13.0 405:2.0 415:1.0 421:3.0 427:11.0 428:1.0 432:2.0 433:7.0 435:6.0 437:6.0 442:2.0 444:3.0 455:2.0 457:5.0 464:6.0 466:2.0 478:35.0 497:5.0</t>
  </si>
  <si>
    <t>218769</t>
  </si>
  <si>
    <t>599055</t>
  </si>
  <si>
    <t>86:152.0 87:21.0 88:3.0 89:201.0 93:18.0 96:30.0 100:155.0 101:267.0 102:14300.0 103:2236.0 104:541.0 105:30.0 107:1.0 109:34.0 111:108.0 113:39.0 115:9.0 116:203.0 117:1815.0 118:173.0 119:36.0 126:8.0 128:117.0 129:829.0 130:216.0 131:277.0 132:77.0 133:574.0 140:9.0 143:100.0 144:203.0 145:17.0 146:32.0 147:2440.0 148:412.0 149:219.0 152:59.0 154:14.0 157:23.0 169:2.0 170:65.0 172:5.0 174:54.0 175:16.0 176:92.0 184:12.0 188:26.0 189:203.0 190:52.0 191:158.0 192:26.0 203:128.0 204:433.0 205:285.0 206:36.0 216:800.0 217:1069.0 218:232.0 219:45.0 221:27.0 229:39.0 230:119.0 231:49.0 232:4.0 244:31.0 267:7.0 272:15.0 278:19.0 292:130.0 293:16.0 305:1.0 319:446.0 320:161.0 321:72.0 399:2.0 418:7.0</t>
  </si>
  <si>
    <t>218694</t>
  </si>
  <si>
    <t>440414</t>
  </si>
  <si>
    <t>85:169.0 86:10.0 91:55.0 101:181.0 102:19.0 107:197.0 115:306.0 117:2901.0 118:204.0 119:90.0 130:230.0 131:97.0 133:389.0 136:14.0 143:4.0 147:1197.0 148:133.0 149:234.0 150:29.0 157:359.0 158:46.0 159:24.0 175:9.0 221:11.0 247:58.0 248:98.0 320:95.0 322:18.0 327:4.0</t>
  </si>
  <si>
    <t>218505</t>
  </si>
  <si>
    <t>833225</t>
  </si>
  <si>
    <t>86:507.0 87:54.0 88:30.0 95:1.0 98:41.0 100:540.0 102:49.0 114:63.0 116:11.0 125:27.0 128:182.0 129:27.0 130:54.0 132:13.0 141:11.0 142:4.0 156:1.0 160:10.0 172:12.0 174:1991.0 175:276.0 176:106.0 200:5.0 205:8.0 218:98.0 219:51.0 226:2.0 229:2.0 232:114.0 246:73.0 248:7.0 249:24.0 257:19.0 292:2.0 305:3.0 312:3.0 315:3.0 343:3.0 377:18.0 492:9.0</t>
  </si>
  <si>
    <t>217893</t>
  </si>
  <si>
    <t>708324</t>
  </si>
  <si>
    <t>85:202.0 86:67.0 87:639.0 88:61.0 89:168.0 91:456.0 93:501.0 94:28.0 95:237.0 96:129.0 97:171.0 98:30.0 99:53.0 100:88.0 101:296.0 102:5.0 103:1491.0 104:163.0 105:336.0 106:5.0 107:321.0 109:351.0 110:103.0 111:39.0 113:13.0 114:13.0 116:46.0 117:2151.0 118:160.0 119:240.0 120:8.0 121:195.0 122:3.0 123:104.0 124:20.0 125:36.0 129:278.0 131:81.0 133:355.0 135:457.0 137:15.0 139:66.0 140:78.0 141:101.0 142:7.0 143:97.0 144:39.0 145:39.0 146:6.0 147:289.0 149:37.0 151:28.0 153:13.0 154:13.0 155:17.0 157:44.0 158:3.0 160:11.0 161:604.0 162:57.0 163:28.0 167:142.0 168:17.0 169:26.0 170:48.0 172:71.0 173:140.0 174:53.0 179:78.0 181:231.0 182:16.0 183:78.0 184:22.0 185:43.0 189:25.0 191:9.0 195:27.0 197:53.0 199:13.0 200:111.0 202:63.0 204:29.0 205:60.0 206:3.0 211:11.0 217:878.0 218:147.0 223:1499.0 224:278.0 225:130.0 226:18.0 229:5.0 241:21.0 243:18.0 251:17.0 261:14.0 262:20.0 265:29.0 267:12.0 271:4.0 288:20.0 297:31.0 305:12.0 307:12.0 308:2.0 311:109.0 312:13.0 318:5.0 330:2.0 334:1.0 360:13.0 363:4.0 401:12.0 402:1.0 416:12.0 437:39.0 447:4.0 490:2.0</t>
  </si>
  <si>
    <t>216860</t>
  </si>
  <si>
    <t>600185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</si>
  <si>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</si>
  <si>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216428</t>
  </si>
  <si>
    <t>505415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</si>
  <si>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</si>
  <si>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214201</t>
  </si>
  <si>
    <t>436111</t>
  </si>
  <si>
    <t>85:64.0 86:27.0 87:619.0 88:65.0 89:155.0 90:18.0 95:14.0 96:4.0 97:21.0 98:36.0 99:20.0 100:56.0 101:168.0 102:26.0 103:352.0 104:44.0 105:3.0 106:6.0 107:4.0 108:7.0 109:2.0 110:5.0 111:10.0 112:13.0 113:22.0 114:20.0 115:39.0 116:40.0 117:816.0 118:57.0 119:51.0 120:3.0 121:2.0 124:2.0 125:2.0 126:18.0 127:4.0 128:12.0 129:123.0 130:20.0 131:146.0 132:29.0 133:237.0 134:61.0 135:2.0 136:3.0 137:1.0 139:10.0 141:2.0 142:20.0 143:52.0 144:9.0 145:82.0 146:4.0 147:1188.0 148:153.0 149:46.0 150:3.0 151:7.0 153:5.0 154:88.0 155:16.0 156:62.0 157:45.0 158:86.0 159:2.0 160:30.0 163:2.0 164:11.0 166:1.0 169:13.0 170:1.0 171:5.0 172:93.0 173:25.0 175:28.0 176:6.0 181:1.0 183:12.0 184:1.0 185:13.0 186:74.0 187:12.0 188:2.0 189:171.0 190:24.0 191:18.0 192:1.0 193:4.0 194:2.0 195:6.0 197:1.0 198:2.0 199:1.0 200:46.0 201:493.0 202:100.0 203:49.0 204:83.0 205:283.0 206:45.0 207:15.0 208:7.0 212:3.0 214:16.0 215:11.0 216:1.0 217:4.0 218:5.0 219:37.0 220:1.0 221:2.0 224:8.0 229:2.0 230:9.0 231:6.0 232:7.0 233:4.0 235:2.0 236:6.0 238:1.0 240:4.0 242:4.0 243:3.0 244:1.0 245:1.0 246:49.0 247:5.0 248:18.0 249:4.0 250:3.0 251:6.0 254:11.0 256:2.0 257:3.0 258:7.0 260:7.0 261:7.0 262:1.0 264:1.0 267:8.0 268:4.0 269:7.0 271:2.0 273:8.0 276:1.0 277:4.0 278:2.0 282:4.0 283:1.0 284:4.0 285:5.0 286:2.0 287:3.0 288:9.0 291:2.0 292:2.0 293:1.0 294:6.0 295:3.0 296:1.0 297:1.0 298:2.0 299:5.0 301:3.0 303:7.0 306:4.0 307:1.0 308:5.0 309:1.0 311:1.0 313:1.0 315:2.0 316:5.0 317:1.0 318:21.0 319:5.0 320:9.0 322:7.0 323:1.0 324:6.0 325:2.0 326:1.0 327:1.0 330:1.0 331:2.0 332:3.0 333:1.0 335:6.0 337:3.0 338:9.0 339:1.0 340:3.0 341:2.0 344:5.0 345:1.0 346:1.0 347:9.0 348:1.0 350:6.0 352:5.0 353:1.0 355:10.0 356:5.0 357:1.0 358:5.0 361:4.0 362:3.0 363:2.0 364:13.0 365:5.0 366:4.0 367:2.0 368:10.0 371:5.0 372:2.0 374:3.0 377:6.0 378:5.0 379:4.0 380:3.0 381:7.0 382:1.0 383:5.0 384:2.0 385:1.0 386:4.0 387:1.0 388:1.0 392:1.0 393:7.0 394:8.0 395:1.0 396:7.0 398:1.0 399:1.0 400:7.0 401:4.0 402:5.0 403:7.0 404:2.0 405:10.0 406:8.0 407:10.0 408:6.0 409:3.0 411:1.0 412:1.0 413:5.0 414:9.0 416:1.0 417:3.0 418:1.0 419:1.0 420:4.0 421:5.0 422:1.0 423:1.0 424:4.0 425:1.0 426:2.0 427:4.0 429:5.0 430:3.0 433:1.0 435:1.0 436:7.0 437:1.0 438:2.0 439:3.0 443:4.0 444:4.0 445:7.0 446:1.0 447:3.0 452:9.0 455:8.0 460:3.0 462:5.0 466:6.0 467:1.0 468:5.0 470:4.0 471:2.0 472:7.0 473:5.0 474:3.0 475:3.0 476:1.0 477:2.0 479:9.0 481:3.0 482:1.0 483:1.0 484:2.0 485:2.0 487:8.0 488:5.0 490:2.0 491:3.0 492:7.0 493:6.0 494:6.0 495:1.0 496:7.0 497:2.0 498:2.0 499:2.0 500:1.0</t>
  </si>
  <si>
    <t>214152</t>
  </si>
  <si>
    <t>573648</t>
  </si>
  <si>
    <t>85:27.0 86:44.0 89:103.0 92:1.0 93:8.0 98:2.0 99:5.0 100:37.0 101:32.0 103:980.0 104:54.0 105:8.0 106:4.0 107:2.0 108:1.0 113:41.0 114:6.0 116:8.0 117:90.0 118:1.0 126:2.0 128:14.0 129:94.0 130:4.0 131:17.0 132:6.0 133:52.0 136:1.0 137:2.0 139:2.0 141:12.0 142:9.0 146:5.0 147:381.0 148:32.0 149:7.0 150:3.0 151:3.0 152:1.0 153:5.0 154:3.0 155:2.0 156:4.0 159:1011.0 160:103.0 161:21.0 162:3.0 164:4.0 166:5.0 168:3.0 169:1.0 170:4.0 171:1.0 172:2.0 175:9.0 176:1.0 182:4.0 184:1.0 189:32.0 190:1.0 191:7.0 192:16.0 193:1.0 195:8.0 196:1.0 197:9.0 200:7.0 202:5.0 203:9.0 205:68.0 206:9.0 207:6.0 208:3.0 212:3.0 213:2.0 214:6.0 215:2.0 216:2.0 217:341.0 218:66.0 219:26.0 221:18.0 222:4.0 223:4.0 225:2.0 228:4.0 230:8.0 231:13.0 232:6.0 237:13.0 238:3.0 240:1.0 241:2.0 243:8.0 244:6.0 246:1.0 247:11.0 248:7.0 249:8.0 250:4.0 254:2.0 255:6.0 256:5.0 258:1.0 259:4.0 262:1.0 264:7.0 266:1.0 272:9.0 273:5.0 274:7.0 275:1.0 277:9.0 278:1.0 279:8.0 280:5.0 282:3.0 283:6.0 284:5.0 286:1.0 288:2.0 290:1.0 291:13.0 292:11.0 294:5.0 295:2.0 297:4.0 298:7.0 300:8.0 301:5.0 303:2.0 304:3.0 306:3.0 307:60.0 308:28.0 309:6.0 313:3.0 315:1.0 318:1.0 319:20.0 320:3.0 322:2.0 323:2.0 326:4.0 327:1.0 328:2.0 329:1.0 330:2.0 331:2.0 332:3.0 336:4.0 338:3.0 340:2.0 341:2.0 343:10.0 344:2.0 345:3.0 347:5.0 348:2.0 349:2.0 351:2.0 353:1.0 355:5.0 357:2.0 358:4.0 359:4.0 363:4.0 364:2.0 367:5.0 369:1.0 370:1.0 371:2.0 372:6.0 374:8.0 375:6.0 376:4.0 377:4.0 379:2.0 383:7.0 384:3.0 385:2.0 387:3.0 388:2.0 389:1.0 391:2.0 395:1.0 396:1.0 398:14.0 399:6.0 400:11.0 401:1.0 403:2.0 404:1.0 405:7.0 406:3.0 407:1.0 409:5.0 411:1.0 412:1.0 413:4.0 414:1.0 415:5.0 416:7.0 418:2.0 419:2.0 421:1.0 422:3.0 426:4.0 428:1.0 429:1.0 430:1.0 431:5.0 434:2.0 435:6.0 438:6.0 440:3.0 441:1.0 442:2.0 443:1.0 444:1.0 445:4.0 446:1.0 447:3.0 448:3.0 450:2.0 451:4.0 454:8.0 456:1.0 457:2.0 458:5.0 460:6.0 462:2.0 463:3.0 464:3.0 465:7.0 466:2.0 469:2.0 474:5.0 475:9.0 477:3.0 478:8.0 479:4.0 480:1.0 482:5.0 483:7.0 486:3.0 487:3.0 488:4.0 490:1.0 491:3.0 492:5.0 493:9.0 495:4.0 496:4.0 497:4.0 498:1.0 500:3.0</t>
  </si>
  <si>
    <t>214151</t>
  </si>
  <si>
    <t>841748</t>
  </si>
  <si>
    <t>85:87.0 86:425.0 87:49.0 88:43.0 89:224.0 90:4.0 92:1.0 93:1.0 95:2.0 96:12.0 97:10.0 98:24.0 99:30.0 100:210.0 101:87.0 102:71.0 103:567.0 104:42.0 105:13.0 106:8.0 107:6.0 109:35.0 110:15.0 111:18.0 112:49.0 113:32.0 114:61.0 115:46.0 116:35.0 117:384.0 118:45.0 119:23.0 120:2.0 123:26.0 124:3.0 125:5.0 126:38.0 127:3.0 128:84.0 129:101.0 130:97.0 131:76.0 132:21.0 133:119.0 134:1.0 135:8.0 136:5.0 140:41.0 141:13.0 142:1369.0 143:168.0 144:111.0 145:12.0 146:86.0 147:639.0 148:89.0 149:40.0 150:4.0 152:1.0 153:4.0 154:18.0 155:4.0 156:41.0 157:18.0 158:26.0 159:3.0 160:2.0 163:2.0 164:5.0 166:1.0 167:2.0 168:10.0 169:5.0 170:3.0 171:2.0 172:71.0 173:67.0 174:364.0 175:63.0 176:10.0 177:4.0 178:3.0 179:1.0 182:16.0 183:8.0 184:13.0 186:20.0 187:5.0 189:36.0 190:6.0 191:2.0 192:1.0 193:3.0 194:9.0 195:1.0 196:7.0 198:8.0 199:3.0 200:55.0 201:75.0 202:8.0 203:6.0 204:21.0 205:128.0 206:23.0 207:14.0 209:4.0 210:2.0 211:2.0 212:5.0 213:16.0 214:78.0 215:17.0 216:13.0 217:75.0 218:6.0 219:1.0 220:1.0 224:6.0 227:3.0 228:9.0 229:9.0 230:7.0 234:2.0 235:5.0 237:28.0 238:3.0 239:1.0 240:5.0 243:5.0 244:6.0 246:1.0 251:2.0 252:6.0 253:1.0 255:49.0 256:10.0 257:6.0 258:27.0 259:10.0 260:5.0 261:5.0 263:2.0 264:4.0 269:2.0 272:3.0 273:3.0 275:6.0 277:1.0 279:2.0 283:2.0 285:7.0 286:4.0 288:1.0 291:1.0 298:2.0 299:4.0 304:3.0 307:13.0 308:21.0 310:6.0 315:1.0 317:6.0 318:4.0 319:1.0 320:2.0 322:1.0 324:2.0 326:9.0 327:10.0 328:12.0 330:1.0 331:2.0 335:1.0 336:1.0 337:1.0 338:4.0 343:4.0 345:6.0 349:4.0 355:5.0 356:1.0 357:4.0 360:2.0 361:2.0 363:4.0 367:3.0 374:7.0 375:2.0 378:1.0 381:6.0 384:1.0 385:7.0 387:5.0 390:1.0 391:4.0 394:1.0 395:5.0 397:2.0 398:1.0 399:7.0 400:2.0 401:3.0 403:2.0 404:6.0 407:2.0 408:2.0 412:3.0 416:6.0 417:1.0 418:3.0 419:3.0 422:2.0 424:1.0 428:1.0 432:5.0 434:5.0 436:1.0 437:4.0 441:3.0 442:2.0 445:2.0 447:2.0 450:2.0 451:5.0 454:3.0 455:2.0 462:2.0 463:7.0 465:1.0 468:3.0 469:1.0 470:1.0 472:3.0 475:1.0 476:2.0 477:2.0 478:3.0 482:4.0 484:2.0 486:5.0 488:26.0 489:14.0 490:16.0 494:2.0 496:1.0 498:4.0 499:4.0 500:1.0</t>
  </si>
  <si>
    <t>214148</t>
  </si>
  <si>
    <t>869617</t>
  </si>
  <si>
    <t>85:60.0 86:493.0 87:54.0 88:39.0 89:302.0 90:12.0 93:1.0 96:1.0 98:1.0 99:120.0 100:262.0 101:78.0 102:68.0 103:939.0 104:75.0 105:15.0 106:12.0 109:5.0 110:10.0 112:20.0 113:18.0 114:37.0 115:24.0 116:168.0 117:346.0 118:31.0 119:3.0 125:3.0 126:138.0 127:3.0 128:117.0 129:72.0 130:90.0 131:68.0 132:9.0 133:106.0 134:12.0 135:1.0 136:1.0 138:1.0 140:66.0 141:9.0 142:415.0 143:45.0 144:24.0 145:23.0 146:112.0 147:627.0 148:71.0 149:28.0 152:1.0 154:6.0 155:7.0 156:1635.0 157:201.0 158:77.0 159:7.0 160:3.0 166:1.0 169:1.0 170:3.0 172:96.0 173:57.0 174:382.0 175:65.0 176:12.0 177:1.0 182:5.0 184:1.0 186:11.0 189:28.0 190:7.0 191:5.0 193:3.0 198:9.0 200:15.0 201:59.0 202:10.0 203:7.0 204:24.0 205:133.0 206:11.0 207:14.0 214:184.0 215:22.0 216:12.0 217:186.0 218:25.0 219:3.0 224:1.0 228:1.0 229:15.0 232:3.0 242:3.0 244:1.0 248:1.0 253:5.0 255:5.0 267:7.0 271:1.0 274:3.0 278:1.0 288:5.0 295:5.0 307:3.0 308:3.0 313:1.0 314:3.0 316:5.0 317:49.0 318:7.0 319:7.0 330:5.0 332:1.0 333:3.0 346:5.0 348:3.0 356:1.0 357:1.0 368:1.0 371:1.0 381:1.0 383:3.0 390:1.0 391:1.0 399:5.0 416:1.0 417:7.0 418:1.0 428:3.0 430:3.0 431:5.0 443:1.0 447:3.0 454:1.0 456:3.0 457:3.0 459:1.0 463:7.0 477:3.0 478:7.0 490:3.0 499:1.0</t>
  </si>
  <si>
    <t>104</t>
  </si>
  <si>
    <t>213353</t>
  </si>
  <si>
    <t>695971</t>
  </si>
  <si>
    <t>293</t>
  </si>
  <si>
    <t>85:397.0 86:1005.0 87:191.0 88:282.0 89:155.0 90:2.0 91:1166.0 92:36.0 93:230.0 95:6.0 97:904.0 98:19.0 99:2.0 100:174.0 101:47.0 103:372.0 104:47.0 105:929.0 107:190.0 109:134.0 110:71.0 112:3.0 114:12.0 115:817.0 116:562.0 117:397.0 118:146.0 119:849.0 120:28.0 121:225.0 122:66.0 123:74.0 126:2.0 127:61.0 128:493.0 129:1239.0 130:613.0 131:1022.0 132:125.0 133:1229.0 134:56.0 135:73.0 136:18.0 137:21.0 138:13.0 139:22.0 140:4.0 141:2.0 142:441.0 143:567.0 144:199.0 145:524.0 146:119.0 147:2438.0 148:331.0 149:403.0 151:10.0 152:2.0 153:20.0 154:1.0 155:101.0 156:21.0 157:27.0 158:226.0 159:393.0 160:82.0 161:1186.0 162:134.0 163:219.0 164:22.0 165:34.0 166:1.0 167:35.0 168:5.0 169:22.0 170:6.0 171:144.0 172:37.0 173:450.0 174:362.0 175:1368.0 176:225.0 177:242.0 178:24.0 179:210.0 180:39.0 181:31.0 182:4.0 183:31.0 184:19.0 185:61.0 186:19.0 187:326.0 188:187.0 189:278.0 190:73.0 191:142.0 192:7.0 193:397.0 194:63.0 195:234.0 196:52.0 197:25.0 198:9.0 199:52.0 200:3.0 201:218.0 202:68.0 203:605.0 204:95.0 205:162.0 206:8.0 207:164.0 208:24.0 209:228.0 211:18.0 212:3.0 213:2.0 215:41.0 216:15.0 217:435.0 218:195.0 219:171.0 220:79.0 221:432.0 222:177.0 223:87.0 225:1.0 226:4.0 227:6.0 228:8.0 229:1.0 230:58.0 231:67.0 232:25.0 233:190.0 234:19.0 235:360.0 236:92.0 237:1489.0 238:286.0 239:58.0 242:2.0 243:9.0 245:6.0 247:24.0 248:28.0 249:156.0 250:90.0 251:112.0 252:9.0 256:1.0 259:34.0 260:1.0 261:123.0 262:43.0 263:303.0 264:142.0 265:147.0 266:34.0 267:1.0 271:14.0 272:4.0 274:3.0 275:5.0 277:283.0 278:68.0 279:180.0 280:87.0 281:8.0 282:4.0 285:9.0 290:12.0 291:169.0 292:191.0 293:6010.0 294:1712.0 295:409.0 296:69.0 297:34.0 299:2.0 302:2.0 305:2.0 306:2.0 308:6.0 311:61.0 313:2.0 314:7.0 317:20.0 320:7.0 322:3.0 323:9.0 325:13.0 327:11.0 333:411.0 334:204.0 335:99.0 336:3.0 344:6.0 346:9.0 347:6.0 348:319.0 349:92.0 350:41.0 351:3.0 359:1.0 360:11.0 361:14.0 364:4.0 367:88.0 368:8.0 369:4.0 373:6.0 375:6.0 376:1.0 379:9.0 380:6.0 381:14.0 382:152.0 383:85.0 384:11.0 396:2.0 397:2.0 406:1.0 407:4.0 414:4.0 422:3.0 423:131.0 424:54.0 425:19.0 437:1.0 438:8.0 439:5.0 442:6.0 443:3.0 452:8.0 453:1.0 456:2.0 461:2.0 465:9.0 469:6.0 471:1.0 472:2.0 474:2.0 479:8.0 480:9.0 482:1.0 489:14.0 490:6.0 498:1.0</t>
  </si>
  <si>
    <t>213253</t>
  </si>
  <si>
    <t>280269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</si>
  <si>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</si>
  <si>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213185</t>
  </si>
  <si>
    <t>510136</t>
  </si>
  <si>
    <t>85:15181.0 86:3852.0 87:1960.0 88:3070.0 89:1185.0 90:399.0 92:239.0 93:655.0 94:358.0 95:506.0 96:875.0 97:16609.0 98:51479.0 99:39133.0 100:11464.0 101:2416.0 102:20212.0 103:6316.0 104:2958.0 105:730.0 106:226.0 107:185.0 108:149.0 109:153.0 110:203.0 111:510.0 112:1875.0 113:3965.0 114:59987.0 115:17673.0 116:5420.0 117:3472.0 118:798.0 119:501.0 120:99.0 121:99.0 122:209.0 123:248.0 124:146.0 125:729.0 126:640.0 127:411.0 128:4541.0 129:2002.0 130:4722.0 131:1693.0 132:984.0 133:2163.0 134:409.0 135:311.0 136:156.0 137:264.0 138:159.0 139:326.0 140:302.0 141:750.0 142:744.0 143:723.0 144:2977.0 145:783.0 146:6351.0 148:155.0 149:608.0 150:167.0 151:70.0 153:89.0 154:146.0 155:112.0 156:653.0 157:513.0 158:7101.0 159:5940.0 160:3046.0 161:503.0 162:434.0 163:95.0 164:53.0 165:8.0 166:65.0 167:65.0 168:53.0 169:51.0 170:556.0 171:367.0 172:6472.0 173:2356.0 174:482205.0 175:62939.0 176:21084.0 177:1803.0 178:228.0 179:154.0 180:79.0 181:43.0 182:14.0 184:206.0 185:61.0 186:9195.0 187:2976.0 188:1621.0 189:210.0 190:220.0 191:192.0 192:27.0 195:8.0 197:2.0 198:3.0 199:30.0 200:148.0 201:3.0 202:137.0 203:113.0 204:607.0 205:187.0 206:33.0 210:6.0 211:40.0 212:30.0 213:326.0 214:146.0 215:174.0 216:159.0 217:2328.0 218:1326.0 219:371.0 220:406.0 221:28.0 223:35.0 224:7.0 225:48.0 228:3.0 229:544.0 230:334.0 231:1365.0 232:7521.0 233:1787.0 234:721.0 235:116.0 236:22.0 241:9.0 242:3.0 243:69.0 244:93.0 245:236.0 246:167.0 247:292.0 248:131.0 249:8.0 250:1.0 254:1.0 257:1.0 258:63.0 259:96.0 260:198.0 261:469.0 262:60.0 268:18.0 271:2.0 272:61.0 273:2.0 274:13.0 284:20.0 286:27.0 288:90.0 289:34.0 290:27.0 291:16.0 298:5.0 299:58.0 306:4.0 312:3.0 318:1.0 320:1.0 331:144.0 332:27.0 333:443.0 334:81.0 335:71.0 347:8.0 348:25.0 363:7.0 364:2.0 366:11.0 369:37.0 370:9.0 387:1.0 388:13.0 390:1.0 394:15.0 395:15.0 411:15.0 419:2.0 434:11.0 444:11.0 450:1.0 451:33.0 464:16.0 471:14.0 475:5.0 478:1.0 481:8.0 483:23.0 486:11.0 488:23.0 490:2.0 497:1.0</t>
  </si>
  <si>
    <t>212274</t>
  </si>
  <si>
    <t>522297</t>
  </si>
  <si>
    <t>85:85.0 86:299.0 87:171.0 88:125.0 89:186.0 90:67.0 91:2.0 92:9.0 97:52.0 99:22.0 100:328.0 101:188.0 102:208.0 103:737.0 104:62.0 108:14.0 109:12.0 111:70.0 112:10.0 113:36.0 114:8.0 115:134.0 116:1536.0 117:338.0 118:205.0 119:167.0 122:9.0 123:27.0 125:6.0 127:29.0 128:151.0 129:1180.0 130:787.0 131:593.0 132:207.0 133:471.0 134:60.0 136:13.0 137:11.0 138:33.0 141:101.0 142:48.0 143:327.0 144:139.0 145:157.0 146:59.0 147:1547.0 148:242.0 149:158.0 150:24.0 154:12.0 157:56.0 158:28.0 159:1754.0 160:252.0 161:131.0 162:5.0 163:14.0 164:4.0 165:11.0 169:41.0 171:132.0 172:38.0 174:9.0 177:4.0 186:155.0 187:53.0 188:154.0 189:195.0 190:116.0 191:12.0 192:20.0 196:7.0 199:9.0 202:96.0 203:37.0 204:98.0 205:62.0 206:83.0 207:2.0 208:38.0 209:29.0 213:8.0 215:149.0 216:96.0 217:3073.0 218:597.0 219:235.0 220:104.0 222:2.0 223:16.0 225:9.0 228:39.0 229:11.0 230:68.0 231:96.0 232:5.0 233:4.0 238:6.0 239:79.0 240:2.0 241:10.0 243:5.0 244:266.0 245:81.0 246:14.0 247:2.0 249:1.0 251:9.0 252:2.0 254:12.0 255:12.0 258:4.0 259:23.0 260:13.0 261:47.0 262:8.0 263:6.0 265:1.0 270:1.0 274:4.0 275:6.0 276:22.0 277:16.0 279:1.0 281:3.0 282:4.0 285:19.0 287:10.0 290:2.0 291:6.0 292:18.0 298:1.0 299:5.0 300:1.0 301:2.0 302:3.0 303:2.0 305:24.0 306:3.0 308:2.0 309:2.0 312:1.0 313:2.0 315:3.0 316:4.0 317:8.0 318:12.0 321:1.0 322:2.0 324:2.0 326:5.0 327:6.0 329:7.0 338:7.0 339:2.0 342:25.0 343:3.0 346:7.0 347:5.0 349:1.0 350:1.0 351:6.0 352:3.0 354:2.0 355:3.0 356:2.0 357:3.0 358:16.0 364:1.0 367:4.0 372:1.0 373:6.0 374:1.0 377:1.0 380:3.0 382:3.0 385:1.0 388:1.0 391:3.0 392:12.0 393:10.0 394:5.0 397:4.0 399:3.0 400:1.0 401:4.0 402:5.0 403:7.0 405:6.0 406:2.0 407:8.0 410:5.0 411:4.0 412:2.0 413:3.0 415:5.0 416:1.0 419:3.0 420:1.0 421:3.0 422:5.0 425:3.0 426:2.0 427:4.0 428:6.0 429:10.0 431:6.0 432:3.0 433:1.0 437:2.0 438:1.0 441:1.0 442:14.0 446:4.0 447:4.0 448:5.0 449:7.0 450:7.0 451:1.0 452:10.0 453:2.0 454:12.0 455:7.0 456:2.0 459:1.0 463:7.0 464:1.0 465:6.0 466:3.0 467:1.0 469:10.0 470:5.0 472:1.0 473:6.0 475:6.0 478:2.0 482:1.0 483:5.0 484:1.0 486:1.0 487:3.0 488:1.0 489:1.0 490:11.0 494:5.0 496:4.0 497:1.0 499:1.0 500:2.0</t>
  </si>
  <si>
    <t>212251</t>
  </si>
  <si>
    <t>888557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</si>
  <si>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</si>
  <si>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212022</t>
  </si>
  <si>
    <t>421363</t>
  </si>
  <si>
    <t>234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</si>
  <si>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</si>
  <si>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210557</t>
  </si>
  <si>
    <t>502297</t>
  </si>
  <si>
    <t>85:66.0 87:13.0 91:5.0 93:5.0 96:7.0 99:31.0 101:42.0 103:10.0 105:1.0 111:2.0 112:5.0 113:2.0 115:318.0 116:17.0 117:92.0 119:5.0 129:12.0 130:264.0 131:33.0 132:1.0 133:145.0 134:5.0 135:2.0 141:1.0 143:40.0 144:4.0 147:239.0 148:8.0 149:17.0 169:4.0 174:1.0 175:1.0 177:1.0 179:3.0 180:1.0 183:16.0 190:1.0 191:2.0 211:2.0 212:2.0 216:2.0 217:1060.0 218:242.0 219:95.0 220:9.0 227:1.0 232:58.0 233:1.0 246:3.0 249:1.0 258:2.0 260:1.0 265:2.0 274:2.0 283:1.0 299:2.0 312:5.0 314:4.0 334:3.0 338:2.0 358:1.0 360:2.0 362:11.0 377:4.0 379:2.0 390:2.0 404:3.0 420:1.0 469:3.0 472:1.0 475:1.0</t>
  </si>
  <si>
    <t>207729</t>
  </si>
  <si>
    <t>716964</t>
  </si>
  <si>
    <t>85:21.0 86:5.0 87:4.0 91:2.0 92:9.0 93:5.0 94:3.0 97:11.0 98:22.0 99:7.0 100:16.0 101:21.0 102:13.0 103:6.0 107:1.0 108:8.0 109:3.0 111:6.0 114:1.0 115:25.0 116:12.0 117:46.0 120:3.0 123:1.0 124:1.0 127:9.0 128:7.0 129:3.0 130:12.0 136:2.0 138:11.0 140:17.0 141:4.0 142:78.0 143:22.0 144:4.0 145:2.0 146:7.0 147:14.0 151:1.0 153:11.0 155:9.0 156:1184.0 157:198.0 158:119.0 159:5.0 161:2.0 165:7.0 166:3.0 169:1.0 173:1.0 175:1.0 176:12.0 177:1.0 179:4.0 183:3.0 188:3.0 189:5.0 191:1.0 196:5.0 197:2.0 200:20.0 202:7.0 203:4.0 205:10.0 209:2.0 210:3.0 211:2.0 212:2.0 214:3.0 215:11.0 216:2.0 217:5.0 218:12.0 219:3.0 230:3.0 233:11.0 235:5.0 241:3.0 242:3.0 244:5.0 248:4.0 250:12.0 251:1.0 254:6.0 255:15.0 256:6.0 265:18.0 267:1.0 272:3.0 276:1.0 277:4.0 279:2.0 284:5.0 285:2.0 286:6.0 288:8.0 289:5.0 291:3.0 292:2.0 295:9.0 296:2.0 297:1.0 298:2.0 299:1.0 300:4.0 304:3.0 305:2.0 306:1.0 308:6.0 310:2.0 312:1.0 313:2.0 315:1.0 316:5.0 317:5.0 318:3.0 323:12.0 325:3.0 330:1.0 333:5.0 335:7.0 336:1.0 337:9.0 339:2.0 340:2.0 341:1.0 344:3.0 347:1.0 348:1.0 349:3.0 350:8.0 351:4.0 353:2.0 356:10.0 357:13.0 360:7.0 363:4.0 364:4.0 365:5.0 366:1.0 367:5.0 369:3.0 370:1.0 373:1.0 374:3.0 375:10.0 379:1.0 380:3.0 382:4.0 383:1.0 385:6.0 386:7.0 389:3.0 391:4.0 392:1.0 394:4.0 395:6.0 399:4.0 400:1.0 403:4.0 405:1.0 409:4.0 410:1.0 412:3.0 416:2.0 419:3.0 421:1.0 425:3.0 430:2.0 431:3.0 434:2.0 435:3.0 439:7.0 440:6.0 443:3.0 444:2.0 447:2.0 448:10.0 449:7.0 450:2.0 453:3.0 454:7.0 455:2.0 456:7.0 457:2.0 460:1.0 462:11.0 464:7.0 469:3.0 470:2.0 471:1.0 473:1.0 477:11.0 478:2.0 479:6.0 480:5.0 482:3.0 484:4.0 486:7.0 488:1.0 492:4.0 493:4.0 495:6.0 498:1.0 499:1.0 500:2.0</t>
  </si>
  <si>
    <t>207223</t>
  </si>
  <si>
    <t>417541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</si>
  <si>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</si>
  <si>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206309</t>
  </si>
  <si>
    <t>222307</t>
  </si>
  <si>
    <t>86:44.0 87:47.0 88:45.0 89:32.0 90:2.0 91:17.0 92:4.0 93:10.0 94:16.0 95:18.0 98:141.0 99:81.0 100:1650.0 101:136.0 102:104.0 103:30.0 104:8.0 105:32.0 106:10.0 107:15.0 108:12.0 109:23.0 110:72.0 111:2.0 115:91.0 116:32.0 117:50.0 118:9.0 120:4.0 121:4.0 122:9.0 123:11.0 125:2.0 128:3.0 129:15.0 130:34.0 131:393.0 132:80.0 133:43.0 134:69.0 135:10.0 136:6.0 137:1.0 138:5.0 140:4.0 141:6.0 142:4.0 143:2.0 144:11.0 147:3430.0 148:486.0 149:244.0 150:22.0 151:31.0 155:1.0 157:6.0 158:13.0 160:7.0 161:13.0 162:6.0 163:4.0 165:8.0 166:9.0 168:7.0 169:2.0 170:17.0 172:7.0 173:6.0 174:6.0 178:6.0 180:6.0 183:21.0 184:63.0 185:13.0 187:10.0 188:8.0 190:958.0 191:118.0 192:60.0 194:1.0 196:7.0 197:19.0 200:27.0 201:3.0 202:10.0 203:12.0 205:4.0 206:3.0 210:7.0 211:9.0 212:10.0 213:4.0 214:12.0 215:4.0 217:4.0 220:5.0 223:14.0 226:5.0 227:3.0 228:3.0 230:3.0 235:2.0 236:7.0 237:5.0 238:21.0 239:4.0 240:3.0 241:14.0 242:10.0 243:8.0 244:5.0 245:1.0 247:5.0 249:7.0 251:3.0 252:3.0 254:7.0 255:5.0 256:6.0 257:3.0 259:4.0 260:10.0 262:3.0 263:8.0 264:2.0 266:6.0 270:7.0 271:2.0 272:7.0 273:11.0 274:6.0 275:9.0 276:4.0 277:1.0 278:2.0 280:2.0 281:16.0 282:9.0 283:1.0 284:3.0 285:6.0 286:1.0 288:15.0 289:2.0 290:6.0 291:4.0 293:5.0 296:4.0 297:5.0 299:12.0 300:16.0 301:2.0 303:6.0 304:8.0 305:10.0 307:8.0 310:10.0 311:2.0 312:1.0 314:4.0 315:12.0 316:8.0 317:13.0 318:14.0 319:8.0 320:3.0 321:5.0 322:19.0 323:2.0 324:2.0 325:20.0 326:2.0 327:8.0 328:8.0 329:1.0 333:1.0 334:16.0 335:8.0 336:2.0 337:5.0 338:3.0 339:1.0 340:1.0 341:2.0 343:4.0 344:12.0 345:2.0 346:11.0 347:3.0 348:3.0 349:10.0 350:2.0 351:1.0 353:1.0 354:4.0 355:21.0 356:7.0 358:8.0 362:8.0 363:10.0 364:16.0 366:5.0 368:4.0 369:15.0 370:5.0 371:11.0 373:5.0 375:4.0 377:2.0 378:2.0 379:5.0 380:13.0 381:12.0 382:1.0 383:6.0 384:2.0 385:6.0 386:3.0 387:5.0 388:3.0 390:4.0 391:12.0 392:21.0 394:10.0 396:4.0 397:8.0 400:7.0 402:12.0 403:8.0 404:4.0 405:11.0 406:12.0 407:14.0 408:7.0 409:1.0 412:7.0 413:9.0 415:8.0 416:5.0 417:4.0 419:5.0 420:12.0 421:8.0 422:7.0 423:12.0 424:1.0 426:3.0 427:2.0 428:5.0 429:1.0 430:5.0 431:4.0 432:7.0 433:3.0 434:1.0 435:3.0 436:22.0 437:8.0 438:4.0 440:1.0 442:12.0 443:15.0 444:4.0 445:3.0 446:6.0 449:6.0 450:5.0 452:12.0 454:12.0 455:12.0 458:8.0 459:13.0 460:20.0 462:1.0 463:4.0 464:8.0 465:22.0 466:9.0 469:7.0 470:9.0 471:7.0 472:4.0 473:4.0 474:9.0 475:9.0 476:25.0 477:4.0 478:7.0 479:8.0 480:12.0 483:3.0 484:15.0 485:6.0 486:7.0 488:1.0 489:5.0 491:3.0 492:13.0 495:9.0 497:21.0 498:2.0 499:8.0 500:3.0</t>
  </si>
  <si>
    <t>206022</t>
  </si>
  <si>
    <t>470680</t>
  </si>
  <si>
    <t>85:2025.0 86:124.0 87:3.0 88:1.0 91:9.0 93:32.0 94:10.0 95:8.0 97:28.0 98:59.0 99:564.0 100:21.0 101:86.0 103:9.0 106:9.0 109:3.0 111:117.0 112:30.0 113:334.0 114:2.0 116:7.0 117:56.0 123:1.0 124:12.0 125:9.0 126:31.0 127:113.0 128:4.0 130:20.0 131:27.0 138:1.0 141:19.0 142:7.0 145:3.0 146:3.0 150:4.0 152:4.0 155:76.0 156:4.0 167:2.0 168:10.0 169:38.0 170:2.0 172:6.0 173:2.0 181:1.0 182:1.0 183:5.0 184:1.0 188:3.0 194:1.0 196:1.0 198:3.0 200:3.0 207:3.0 211:16.0 212:4.0 216:1.0 222:10.0 224:4.0 225:14.0 226:1.0 228:1.0 236:2.0 238:6.0 239:6.0 243:5.0 250:1.0 253:4.0 255:5.0 257:3.0 267:1.0 269:1.0 280:1.0 281:4.0 282:2.0 283:3.0 287:2.0 288:2.0 301:7.0 303:5.0 307:1.0 308:1.0 309:3.0 310:1.0 312:3.0 314:4.0 316:1.0 317:1.0 318:1.0 331:3.0 339:4.0 344:11.0 346:11.0 347:2.0 348:1.0 356:4.0 359:8.0 360:4.0 364:5.0 366:6.0 367:4.0 370:2.0 374:5.0 375:1.0 376:3.0 378:3.0 380:2.0 383:3.0 384:3.0 385:7.0 386:4.0 387:3.0 391:4.0 394:9.0 395:1.0 396:5.0 397:3.0 399:13.0 400:1.0 402:8.0 405:2.0 408:1.0 409:4.0 410:5.0 413:12.0 415:1.0 417:3.0 418:7.0 420:5.0 421:3.0 422:1.0 425:4.0 426:4.0 427:4.0 429:1.0 430:3.0 432:2.0 433:4.0 435:1.0 436:3.0 442:4.0 445:4.0 446:5.0 449:3.0 452:1.0 454:2.0 455:1.0 456:5.0 460:1.0 461:1.0 462:3.0 463:1.0 469:3.0 470:4.0 471:2.0 472:2.0 478:2.0 479:3.0 480:1.0 481:3.0 482:3.0 483:9.0 485:2.0 488:4.0 492:3.0 494:2.0 495:5.0 498:3.0 499:2.0</t>
  </si>
  <si>
    <t>204448</t>
  </si>
  <si>
    <t>680705</t>
  </si>
  <si>
    <t>85:4902.0 86:320.0 87:48.0 89:269.0 91:35.0 92:57.0 95:87.0 97:42.0 98:101.0 99:1803.0 100:214.0 101:106.0 102:21.0 103:495.0 104:14.0 109:39.0 110:91.0 111:344.0 112:221.0 113:1090.0 114:118.0 116:60.0 117:201.0 122:3.0 124:25.0 125:159.0 126:192.0 127:659.0 128:79.0 129:536.0 130:91.0 131:44.0 132:18.0 133:312.0 138:14.0 139:13.0 140:38.0 141:303.0 142:39.0 143:30.0 144:27.0 147:718.0 148:97.0 149:70.0 152:21.0 153:42.0 154:76.0 155:292.0 156:49.0 157:53.0 159:11.0 160:11.0 161:19.0 163:3.0 166:15.0 167:3.0 168:48.0 169:227.0 170:71.0 173:1.0 177:3.0 179:8.0 181:10.0 182:5.0 183:37.0 184:18.0 186:9.0 188:11.0 189:108.0 190:44.0 191:41.0 196:7.0 197:46.0 198:14.0 200:7.0 201:1.0 202:7.0 203:8.0 210:3.0 211:38.0 213:2.0 214:13.0 215:17.0 216:8.0 217:1307.0 218:184.0 219:75.0 220:6.0 221:4.0 223:2.0 225:2.0 226:9.0 228:9.0 229:7.0 230:27.0 231:22.0 232:13.0 233:15.0 234:8.0 236:6.0 237:2.0 238:2.0 239:14.0 241:4.0 242:8.0 243:37.0 244:32.0 245:10.0 246:93.0 247:15.0 248:14.0 249:1.0 251:13.0 252:2.0 253:7.0 254:6.0 255:9.0 256:8.0 257:8.0 259:9.0 260:2.0 261:4.0 263:4.0 266:1.0 268:3.0 269:1.0 270:2.0 271:24.0 272:6.0 273:6.0 274:14.0 275:3.0 277:4.0 278:9.0 282:3.0 283:7.0 284:21.0 286:1.0 287:1.0 288:4.0 292:31.0 293:30.0 294:13.0 295:1.0 296:3.0 297:1.0 298:1.0 302:3.0 304:1.0 305:41.0 306:18.0 308:1.0 309:1.0 310:8.0 311:3.0 312:9.0 313:2.0 314:19.0 315:11.0 316:4.0 318:21.0 319:36.0 320:1.0 322:8.0 324:11.0 326:3.0 327:8.0 329:1.0 330:3.0 331:28.0 332:17.0 333:36.0 334:7.0 338:10.0 339:5.0 340:9.0 341:1.0 342:9.0 343:4.0 345:12.0 346:3.0 350:5.0 351:1.0 352:13.0 354:2.0 355:7.0 357:3.0 358:6.0 359:2.0 360:9.0 361:43.0 362:14.0 363:7.0 364:11.0 365:7.0 366:7.0 367:4.0 368:1.0 372:9.0 373:1.0 376:1.0 378:8.0 380:13.0 382:5.0 384:6.0 385:6.0 387:2.0 388:7.0 389:6.0 390:1.0 391:2.0 393:2.0 394:5.0 395:4.0 396:4.0 397:1.0 398:3.0 401:4.0 403:11.0 404:5.0 406:7.0 408:5.0 409:10.0 412:9.0 413:6.0 414:7.0 416:6.0 417:4.0 420:2.0 422:3.0 424:2.0 425:1.0 426:1.0 428:2.0 429:6.0 430:3.0 431:2.0 432:5.0 433:5.0 434:10.0 435:4.0 437:6.0 439:11.0 440:1.0 441:1.0 442:2.0 443:3.0 445:8.0 446:2.0 447:16.0 449:1.0 451:1.0 454:3.0 455:1.0 456:5.0 457:6.0 458:9.0 459:2.0 460:6.0 462:4.0 463:1.0 464:1.0 466:1.0 467:6.0 468:11.0 470:7.0 471:3.0 473:1.0 474:5.0 475:2.0 476:1.0 477:11.0 478:2.0 479:1.0 480:2.0 481:4.0 482:6.0 483:1.0 484:1.0 485:8.0 486:3.0 487:6.0 488:7.0 489:6.0 490:10.0 491:2.0 492:8.0 493:8.0 494:7.0 495:6.0 496:1.0 497:7.0 498:2.0 499:1.0 500:5.0</t>
  </si>
  <si>
    <t>204344</t>
  </si>
  <si>
    <t>246354</t>
  </si>
  <si>
    <t>86:308.0 87:101.0 88:30.0 89:47.0 90:3.0 91:6.0 92:4.0 94:7.0 99:46.0 100:172.0 101:45.0 102:40.0 103:28.0 105:5.0 108:4.0 110:8.0 113:22.0 114:3.0 115:74.0 117:193.0 118:2.0 119:41.0 125:24.0 128:183.0 129:12.0 130:40.0 131:202.0 132:62.0 133:110.0 134:12.0 137:18.0 142:6.0 143:28.0 144:17.0 146:21.0 147:3162.0 148:481.0 149:247.0 150:17.0 151:5.0 152:1.0 154:3.0 155:20.0 156:13.0 160:2.0 165:1.0 169:1.0 171:19.0 172:5.0 174:371.0 175:51.0 176:13.0 189:1.0 191:5.0 199:1.0 202:41.0 203:12.0 204:523.0 205:88.0 206:35.0 207:3.0 209:2.0 211:2.0 212:2.0 219:15.0 220:2.0 221:3.0 222:1.0 223:3.0 225:6.0 231:7.0 232:1.0 236:3.0 237:1.0 240:7.0 247:1.0 250:1.0 251:9.0 252:3.0 262:2.0 265:6.0 280:2.0 281:14.0 282:1.0 285:2.0 287:2.0 288:1.0 292:5.0 300:3.0 301:1.0 303:1.0 308:1.0 309:2.0 312:1.0 319:3.0 320:2.0 323:3.0 328:3.0 337:1.0 338:2.0 339:2.0 343:1.0 346:1.0 348:1.0 362:2.0 363:3.0 369:1.0 370:3.0 375:3.0 381:1.0 389:1.0 392:2.0 398:4.0 401:1.0 402:2.0 405:2.0 407:2.0 411:5.0 416:1.0 424:1.0 425:1.0 426:4.0 432:1.0 441:1.0 445:4.0 446:1.0 447:1.0 448:4.0 451:3.0 452:1.0 453:2.0 454:2.0 455:1.0 458:3.0 462:3.0 465:2.0 481:2.0 489:2.0 490:4.0 494:2.0 495:2.0</t>
  </si>
  <si>
    <t>203592</t>
  </si>
  <si>
    <t>592345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</si>
  <si>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</si>
  <si>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202687</t>
  </si>
  <si>
    <t>782008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</si>
  <si>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</si>
  <si>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202066</t>
  </si>
  <si>
    <t>335899</t>
  </si>
  <si>
    <t>86:248.0 91:88.0 92:89.0 99:9.0 100:5448.0 101:746.0 102:176.0 108:1.0 144:1417.0 145:48.0 146:13.0 159:179.0 169:1.0 171:33.0 181:1.0 184:6.0 261:2.0 366:1.0 430:1.0 476:1.0</t>
  </si>
  <si>
    <t>201887</t>
  </si>
  <si>
    <t>1200427</t>
  </si>
  <si>
    <t>316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</si>
  <si>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</si>
  <si>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</si>
  <si>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1134655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</si>
  <si>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</si>
  <si>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</si>
  <si>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298036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</si>
  <si>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</si>
  <si>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201005</t>
  </si>
  <si>
    <t>580107</t>
  </si>
  <si>
    <t>85:5236.0 86:7101.0 87:5226.0 88:1425.0 89:1624.0 90:621.0 91:24.0 92:19.0 93:448.0 94:1219.0 95:686.0 96:1407.0 97:1443.0 98:6160.0 99:3773.0 100:37529.0 101:10731.0 102:6150.0 103:11532.0 104:1548.0 105:3556.0 106:509.0 107:604.0 108:286.0 109:557.0 110:1501.0 111:1447.0 112:19087.0 113:19798.0 114:13669.0 115:15301.0 116:9420.0 117:10321.0 118:2521.0 119:3492.0 120:516.0 121:381.0 122:112.0 123:330.0 124:577.0 125:598.0 126:33821.0 127:5756.0 128:75900.0 129:17682.0 130:10225.0 131:34714.0 132:13736.0 133:28287.0 134:1659.0 135:1879.0 136:238.0 137:341.0 138:581.0 139:26266.0 140:6434.0 141:2142.0 142:2234.0 143:1002.0 144:2299.0 145:1930.0 146:5357.0 147:266164.0 148:41761.0 149:23617.0 150:2809.0 151:1649.0 152:472.0 153:2777.0 154:6738.0 155:37796.0 156:83513.0 157:13392.0 158:7833.0 159:2226.0 160:1953.0 161:1509.0 162:450.0 163:954.0 164:186.0 165:179.0 166:209.0 167:876.0 168:486.0 169:342.0 170:1253.0 171:1448.0 172:7476.0 173:2450.0 174:4251.0 175:1425.0 176:583.0 177:438.0 178:140.0 179:133.0 180:167.0 181:269.0 182:885.0 183:836.0 184:862.0 185:614.0 186:1520.0 187:1670.0 188:17876.0 189:7058.0 190:8628.0 191:2718.0 192:960.0 193:229.0 194:108.0 195:139.0 196:135.0 197:276.0 198:493.0 199:377.0 200:5083.0 201:1522.0 202:5385.0 203:70739.0 204:15511.0 205:7255.0 206:1586.0 207:624.0 208:116.0 209:70.0 210:104.0 211:13387.0 212:4521.0 213:2518.0 214:3747.0 215:1669.0 216:16118.0 217:4111.0 218:5126.0 219:1319.0 220:678.0 221:2864.0 222:754.0 223:499.0 224:126.0 225:302.0 226:1383.0 227:118666.0 228:30881.0 229:16582.0 230:5880.0 231:1793.0 232:714.0 233:154.0 234:72.0 235:52.0 236:25.0 237:53.0 238:21.0 239:1011.0 240:839.0 241:526.0 242:259.0 243:949.0 244:1501.0 245:1343.0 246:1219.0 247:282.0 248:764.0 249:179.0 250:75.0 251:16.0 252:6.0 253:88.0 254:253.0 255:2324.0 256:987.0 257:1183.0 258:255.0 259:116.0 260:2625.0 261:905.0 262:611.0 263:155.0 264:237.0 265:88.0 266:54.0 267:47.0 268:52.0 269:76.0 270:68.0 271:164.0 272:165.0 273:158.0 274:111.0 275:90.0 276:394.0 277:131.0 278:112.0 279:59.0 280:46.0 281:22.0 282:43.0 283:53.0 284:31.0 285:212.0 286:122.0 287:108.0 288:1464.0 289:361.0 290:187.0 291:735.0 292:202.0 293:105.0 294:45.0 295:34.0 296:18.0 297:18.0 298:14.0 299:29.0 300:49.0 301:3547.0 302:1326.0 303:639.0 304:4270.0 305:1616.0 306:660.0 307:139.0 308:50.0 309:11.0 310:15.0 311:125.0 312:68.0 313:98.0 314:94.0 315:206.0 316:277.0 317:15587.0 318:5219.0 319:9200.0 320:2715.0 321:1224.0 322:194.0 323:51.0 324:15.0 325:20.0 326:13.0 327:127.0 328:118.0 329:3791.0 330:1531.0 331:626.0 332:110.0 333:40.0 334:4.0 335:11.0 336:12.0 337:20.0 338:10.0 339:2.0 342:68.0 343:276.0 344:4636.0 345:3590.0 346:1699.0 347:669.0 348:141.0 349:40.0 350:16.0 351:18.0 352:6.0 353:2.0 354:2.0 355:3.0 357:3.0 361:1.0 362:8.0 363:12.0 364:9.0 365:10.0 366:95.0 367:45.0 368:35.0 369:3.0 375:8.0 376:1.0 378:3.0 379:6.0 380:2.0 381:5.0 382:1.0 383:2.0 386:2.0 390:1.0 391:29.0 392:8.0 394:7.0 395:10.0 397:14.0 398:1.0 404:1.0 407:1.0 412:4.0 414:1.0 417:4.0 418:63.0 419:1344.0 420:537.0 421:215.0 422:32.0 423:5.0 433:40.0 434:692.0 435:296.0 436:110.0 437:41.0 438:4.0 442:1.0 443:2.0 445:1.0 448:2.0 481:4.0 490:1.0 494:1.0 495:1.0</t>
  </si>
  <si>
    <t>200905</t>
  </si>
  <si>
    <t>320458</t>
  </si>
  <si>
    <t>85:120.0 94:30.0 99:50.0 100:478.0 108:18.0 121:8.0 122:4.0 123:10.0 124:73.0 125:2.0 138:7.0 139:9.0 140:28.0 141:47.0 150:7.0 153:3.0 154:8.0 156:6762.0 157:902.0 158:216.0 162:3.0 166:2.0 168:8.0 169:2.0 170:86.0 171:79.0 172:51.0 173:6.0 176:1.0 181:1.0 186:2.0 187:1.0 197:1.0 209:1.0 217:50.0 227:1.0 230:1.0 247:2.0 252:2.0 256:2.0 258:1.0 259:2.0 266:2.0 267:2.0 268:3.0 271:3.0 274:1.0 276:1.0 284:1.0 288:1.0 291:2.0 297:2.0 299:1.0 303:3.0 304:2.0 306:2.0 307:8.0 308:1.0 309:2.0 311:1.0 312:1.0 314:1.0 315:2.0 323:2.0 329:2.0 344:1.0 355:3.0 357:1.0 359:2.0 360:1.0 366:4.0 371:2.0 372:1.0 373:1.0 378:1.0 380:1.0 381:5.0 383:1.0 392:7.0 395:1.0 397:1.0 402:2.0 404:4.0 406:1.0 409:2.0 410:2.0 411:1.0 413:4.0 416:1.0 418:2.0 422:2.0 425:1.0 427:1.0 428:2.0 438:2.0 439:3.0 440:2.0 443:1.0 445:2.0 446:2.0 452:2.0 459:1.0 462:1.0 463:1.0 465:1.0 466:1.0 467:1.0 471:1.0 482:2.0 484:3.0 486:2.0 492:1.0 497:2.0 498:2.0 499:1.0</t>
  </si>
  <si>
    <t>200624</t>
  </si>
  <si>
    <t>421877</t>
  </si>
  <si>
    <t>373</t>
  </si>
  <si>
    <t>87:6.0 88:3.0 89:18.0 90:25.0 91:453.0 93:16.0 97:32.0 98:1.0 99:10.0 100:35.0 101:27.0 103:496.0 105:57.0 106:32.0 107:192.0 108:61.0 110:233.0 111:13.0 112:18.0 113:19.0 115:37.0 116:44.0 117:81.0 119:6.0 121:4.0 122:3.0 123:2.0 126:62.0 127:63.0 129:7.0 130:342.0 131:89.0 132:87.0 133:218.0 134:413.0 135:155.0 136:34.0 137:35.0 139:18.0 140:4.0 141:32.0 143:3.0 147:879.0 148:40.0 152:2.0 156:3.0 158:5.0 160:2.0 161:29.0 162:4.0 163:28.0 164:4.0 165:19.0 172:9.0 173:3.0 177:27.0 178:2.0 179:77.0 180:7.0 181:6.0 184:73.0 186:2.0 189:116.0 191:244.0 192:22.0 193:221.0 194:25.0 195:59.0 197:4.0 199:6.0 200:8.0 203:17.0 204:280.0 205:135.0 206:18.0 207:255.0 208:65.0 209:18.0 211:73.0 212:4.0 214:1.0 216:1.0 217:39.0 219:31.0 220:9.0 222:5.0 224:3.0 225:30.0 228:1.0 229:7.0 231:3.0 234:2.0 239:12.0 242:1.0 243:1.0 244:16.0 245:2.0 246:8.0 248:9.0 249:15.0 250:3.0 251:45.0 252:4.0 253:20.0 254:9.0 255:51.0 256:3.0 260:1.0 267:15.0 268:1.0 269:59.0 270:4.0 271:14.0 273:2.0 274:2.0 276:2.0 278:2.0 281:8.0 283:7.0 284:1.0 285:411.0 286:86.0 287:35.0 289:2.0 290:1.0 291:4.0 294:7.0 295:3.0 296:3.0 299:73.0 300:10.0 301:9.0 302:6.0 303:4.0 304:8.0 309:2.0 311:1.0 318:1.0 320:1.0 321:4.0 322:2.0 323:1.0 325:4.0 329:4.0 330:8.0 332:1.0 333:3.0 334:5.0 336:4.0 337:1.0 339:1.0 341:4.0 343:7.0 351:5.0 352:1.0 354:1.0 356:13.0 357:84.0 358:10.0 359:9.0 361:3.0 363:4.0 366:1.0 370:12.0 371:3.0 372:170.0 373:1561.0 374:605.0 375:358.0 376:72.0 378:8.0 383:4.0 384:2.0 385:4.0 387:2.0 388:11.0 390:1.0 393:6.0 394:3.0 396:5.0 397:3.0 398:2.0 403:6.0 405:3.0 411:1.0 416:7.0 418:1.0 419:6.0 421:5.0 424:4.0 427:3.0 430:1.0 435:4.0 443:2.0 445:2.0 450:1.0 451:4.0 456:1.0 458:4.0 459:2.0 460:1.0 462:2.0 466:5.0 467:2.0 471:1.0 472:3.0 473:5.0 476:14.0 477:1.0 479:1.0 481:3.0 482:4.0 483:6.0 489:10.0 490:1.0 491:1.0 493:1.0 495:4.0 498:3.0 499:8.0</t>
  </si>
  <si>
    <t>200547</t>
  </si>
  <si>
    <t>726539</t>
  </si>
  <si>
    <t>85:2.0 86:12.0 87:12.0 88:3.0 89:289.0 91:18.0 95:3.0 96:1.0 99:22.0 100:159.0 101:22.0 102:17.0 103:63.0 104:5.0 105:25.0 107:12.0 113:15.0 114:2.0 115:3.0 116:7.0 117:60.0 118:7.0 124:1.0 128:1.0 129:124.0 131:32.0 132:11.0 133:59.0 134:35.0 135:1.0 139:2.0 145:2.0 146:3.0 147:408.0 148:61.0 149:13.0 150:3.0 151:3.0 152:2.0 153:11.0 157:57.0 158:2.0 163:7.0 164:1.0 166:1.0 168:3.0 169:16.0 172:3.0 173:1.0 174:1.0 177:8.0 178:1.0 184:4.0 185:2.0 187:10.0 188:1.0 189:60.0 191:77.0 196:2.0 203:3.0 204:1030.0 205:182.0 206:44.0 208:3.0 211:1.0 214:2.0 216:3.0 217:105.0 218:31.0 219:17.0 220:175.0 221:4.0 227:2.0 231:1.0 234:1.0 243:2.0 244:1.0 246:8.0 251:3.0 259:4.0 263:1.0 264:1.0 268:1.0 269:5.0 270:5.0 272:3.0 277:3.0 281:3.0 282:2.0 294:5.0 305:6.0 306:1.0 307:13.0 308:1.0 311:4.0 319:84.0 320:11.0 321:1.0 327:4.0 331:2.0 332:5.0 333:1.0 337:1.0 339:1.0 346:1.0 351:2.0 352:1.0 356:2.0 360:1.0 363:2.0 364:1.0 374:4.0 386:1.0 388:1.0 415:1.0 425:2.0 438:2.0 441:7.0 442:1.0 450:1.0 451:2.0 455:1.0 475:1.0 495:7.0 497:2.0 500:1.0</t>
  </si>
  <si>
    <t>200484</t>
  </si>
  <si>
    <t>800844</t>
  </si>
  <si>
    <t>163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</si>
  <si>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</si>
  <si>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200471</t>
  </si>
  <si>
    <t>568970</t>
  </si>
  <si>
    <t>85:829.0 86:60.0 87:6.0 93:28.0 94:22.0 95:211.0 96:540.0 97:2064.0 98:712.0 99:314.0 100:62.0 101:57.0 108:2.0 109:113.0 110:376.0 111:924.0 112:311.0 113:852.0 114:147.0 115:13.0 122:6.0 123:65.0 124:173.0 125:304.0 126:110.0 127:743.0 128:118.0 129:326.0 130:1.0 138:19.0 139:79.0 140:173.0 141:86.0 152:22.0 153:12.0 155:38.0 168:89.0 169:2.0 197:45.0 211:8.0 212:7.0 235:1.0 247:1.0 282:1.0 288:3.0 306:3.0 367:1.0 405:1.0 410:1.0 430:1.0 440:1.0 446:3.0 456:1.0 480:1.0</t>
  </si>
  <si>
    <t>1-monostearin</t>
  </si>
  <si>
    <t>959625</t>
  </si>
  <si>
    <t>399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</si>
  <si>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</si>
  <si>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1-hexadecanol</t>
  </si>
  <si>
    <t>679338</t>
  </si>
  <si>
    <t>85:5855.0 86:768.0 87:2701.0 88:1014.0 89:14519.0 90:1392.0 91:4241.0 92:351.0 93:261.0 94:58.0 95:1655.0 96:824.0 97:15257.0 98:1810.0 99:3243.0 100:578.0 101:7460.0 102:1024.0 103:18214.0 104:1657.0 105:757.0 106:2.0 107:101.0 108:3.0 109:530.0 110:181.0 111:6735.0 112:1039.0 113:1287.0 114:261.0 115:3429.0 116:473.0 117:1749.0 118:135.0 119:58.0 121:1.0 122:14.0 123:165.0 124:112.0 125:2155.0 126:301.0 127:502.0 128:32.0 129:2870.0 130:450.0 131:975.0 132:140.0 133:852.0 134:67.0 135:37.0 136:5.0 137:44.0 138:26.0 139:493.0 140:139.0 141:210.0 142:373.0 143:1068.0 144:138.0 145:398.0 146:59.0 147:3807.0 148:599.0 149:344.0 150:34.0 151:27.0 152:1.0 153:257.0 154:63.0 155:34.0 156:394.0 157:523.0 159:108.0 160:2.0 161:28.0 162:13.0 163:4.0 164:5.0 166:15.0 167:149.0 168:42.0 169:86.0 170:499.0 171:281.0 172:31.0 173:44.0 174:81.0 175:87.0 176:4.0 177:4.0 178:14.0 180:15.0 181:45.0 182:20.0 183:14.0 185:225.0 186:88.0 187:26.0 188:14.0 189:512.0 190:126.0 191:2185.0 192:318.0 193:135.0 194:15.0 195:71.0 196:64.0 197:25.0 199:232.0 200:69.0 201:58.0 202:12.0 203:115.0 204:4194.0 205:1282.0 206:427.0 207:59.0 208:23.0 209:24.0 210:2.0 211:8.0 212:8.0 213:281.0 214:137.0 215:40.0 216:16.0 217:1002.0 218:220.0 219:101.0 221:148.0 222:47.0 223:11.0 224:93.0 225:15.0 226:6.0 227:191.0 228:59.0 229:25.0 230:58.0 231:18.0 232:17.0 233:24.0 234:21.0 236:26.0 238:2.0 241:105.0 242:36.0 243:28.0 245:22.0 246:28.0 247:7.0 248:3.0 251:1.0 252:3.0 253:6.0 255:2.0 256:14.0 257:4.0 260:25.0 262:20.0 264:4.0 265:9.0 268:3.0 269:19.0 270:13.0 272:7.0 275:1.0 276:18.0 277:52.0 278:18.0 279:14.0 283:103.0 284:15.0 285:8.0 286:20.0 287:5.0 288:4.0 289:14.0 290:3.0 291:93.0 292:395.0 293:102.0 294:37.0 297:39.0 298:383.0 299:14908.0 300:5456.0 301:1323.0 302:222.0 303:43.0 304:35.0 305:218.0 306:66.0 307:46.0 308:15.0 309:4.0 312:15.0 313:7.0 314:20.0 315:2.0 317:19.0 318:27.0 319:229.0 320:79.0 321:37.0 322:27.0 323:22.0 325:4.0 330:5.0 331:77.0 332:39.0 333:355.0 334:140.0 335:57.0 336:24.0 337:5.0 339:10.0 341:3.0 342:5.0 345:49.0 347:3.0 348:2.0 349:8.0 356:5.0 358:1.0 359:41.0 360:2.0 363:3.0 364:12.0 366:16.0 367:3.0 368:10.0 369:3.0 370:15.0 372:4.0 374:1.0 375:10.0 377:7.0 378:6.0 381:5.0 382:7.0 384:16.0 390:2.0 394:11.0 395:10.0 397:2.0 398:4.0 401:11.0 402:21.0 403:6.0 405:11.0 406:13.0 407:3.0 408:14.0 409:2.0 411:9.0 414:6.0 415:6.0 417:6.0 418:1.0 420:3.0 422:7.0 423:29.0 424:9.0 425:27.0 427:2.0 432:4.0 433:21.0 434:17.0 435:43.0 436:22.0 437:8.0 438:10.0 439:4.0 441:1.0 442:4.0 443:4.0 444:1.0 445:3.0 451:7.0 453:3.0 454:8.0 455:4.0 456:14.0 457:5.0 460:12.0 461:3.0 463:6.0 468:11.0 469:1.0 470:2.0 471:12.0 473:12.0 476:2.0 479:6.0 480:4.0 485:3.0 487:2.0 488:5.0 489:5.0 490:3.0 494:12.0 497:10.0 498:1.0</t>
  </si>
  <si>
    <t>199942</t>
  </si>
  <si>
    <t>431285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</si>
  <si>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</si>
  <si>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BinBase name</t>
  </si>
  <si>
    <t>ret.index</t>
  </si>
  <si>
    <t>quant m/z</t>
  </si>
  <si>
    <t>BinBase id</t>
  </si>
  <si>
    <t>mass spec</t>
  </si>
  <si>
    <t>KEGG id</t>
  </si>
  <si>
    <t>PubChem id</t>
  </si>
  <si>
    <t>mx class id</t>
  </si>
  <si>
    <t>file id</t>
  </si>
  <si>
    <t>comment</t>
  </si>
  <si>
    <t>label</t>
  </si>
  <si>
    <t>tyrosine</t>
  </si>
  <si>
    <t>threonic acid</t>
  </si>
  <si>
    <t>spermine</t>
  </si>
  <si>
    <t xml:space="preserve">spermidine </t>
  </si>
  <si>
    <t>N-acetyl-D-mannosamine</t>
  </si>
  <si>
    <t>maltose</t>
  </si>
  <si>
    <t>lyxose</t>
  </si>
  <si>
    <t>glucose-6-phosphate</t>
  </si>
  <si>
    <t>glucose</t>
  </si>
  <si>
    <t>galactinol</t>
  </si>
  <si>
    <t>fructose</t>
  </si>
  <si>
    <t>beta-gentiobiose</t>
  </si>
  <si>
    <t>benzoic acid</t>
  </si>
  <si>
    <t>asparagine</t>
  </si>
  <si>
    <t>2-ketoisocaproic acid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</si>
</sst>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2" fillId="2" borderId="0" xfId="0" applyFont="1" applyFill="1" applyAlignment="1">
      <alignment horizontal="left"/>
    </xf>
    <xf numFmtId="0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 applyBorder="1" applyAlignment="1"/>
    <xf numFmtId="1" fontId="2" fillId="4" borderId="0" xfId="0" applyNumberFormat="1" applyFont="1" applyFill="1" applyAlignment="1">
      <alignment horizontal="left"/>
    </xf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323"/>
  <sheetViews>
    <sheetView zoomScale="75" zoomScaleNormal="7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RowHeight="12.75"/>
  <cols>
    <col min="1" max="1" width="19.7109375" customWidth="1"/>
  </cols>
  <sheetData>
    <row r="1" spans="1:44">
      <c r="A1" s="4"/>
      <c r="B1" s="4"/>
      <c r="C1" s="4"/>
      <c r="D1" s="4"/>
      <c r="E1" s="4"/>
      <c r="F1" s="4"/>
      <c r="G1" s="4"/>
      <c r="H1" s="6" t="s">
        <v>1170</v>
      </c>
      <c r="I1" s="2" t="s">
        <v>9</v>
      </c>
      <c r="J1" s="2" t="s">
        <v>5</v>
      </c>
      <c r="K1" s="3" t="s">
        <v>73</v>
      </c>
      <c r="L1" s="3" t="s">
        <v>76</v>
      </c>
      <c r="M1" s="2" t="s">
        <v>7</v>
      </c>
      <c r="N1" s="2" t="s">
        <v>2</v>
      </c>
      <c r="O1" s="2" t="s">
        <v>13</v>
      </c>
      <c r="P1" s="2" t="s">
        <v>23</v>
      </c>
      <c r="Q1" s="2" t="s">
        <v>21</v>
      </c>
      <c r="R1" s="3" t="s">
        <v>69</v>
      </c>
      <c r="S1" s="2" t="s">
        <v>19</v>
      </c>
      <c r="T1" s="2" t="s">
        <v>17</v>
      </c>
      <c r="U1" s="3" t="s">
        <v>75</v>
      </c>
      <c r="V1" s="2" t="s">
        <v>25</v>
      </c>
      <c r="W1" s="2" t="s">
        <v>30</v>
      </c>
      <c r="X1" s="2" t="s">
        <v>35</v>
      </c>
      <c r="Y1" s="2" t="s">
        <v>32</v>
      </c>
      <c r="Z1" s="2" t="s">
        <v>28</v>
      </c>
      <c r="AA1" s="2" t="s">
        <v>43</v>
      </c>
      <c r="AB1" s="2" t="s">
        <v>39</v>
      </c>
      <c r="AC1" s="3" t="s">
        <v>77</v>
      </c>
      <c r="AD1" s="3" t="s">
        <v>71</v>
      </c>
      <c r="AE1" s="2" t="s">
        <v>46</v>
      </c>
      <c r="AF1" s="2" t="s">
        <v>41</v>
      </c>
      <c r="AG1" s="2" t="s">
        <v>51</v>
      </c>
      <c r="AH1" s="3" t="s">
        <v>78</v>
      </c>
      <c r="AI1" s="2" t="s">
        <v>48</v>
      </c>
      <c r="AJ1" s="3" t="s">
        <v>72</v>
      </c>
      <c r="AK1" s="2" t="s">
        <v>54</v>
      </c>
      <c r="AL1" s="2" t="s">
        <v>57</v>
      </c>
      <c r="AM1" s="2" t="s">
        <v>63</v>
      </c>
      <c r="AN1" s="2" t="s">
        <v>65</v>
      </c>
      <c r="AO1" s="3" t="s">
        <v>74</v>
      </c>
      <c r="AP1" s="3" t="s">
        <v>70</v>
      </c>
      <c r="AQ1" s="2" t="s">
        <v>67</v>
      </c>
      <c r="AR1" s="2" t="s">
        <v>59</v>
      </c>
    </row>
    <row r="2" spans="1:44">
      <c r="A2" s="4"/>
      <c r="B2" s="4"/>
      <c r="C2" s="4"/>
      <c r="D2" s="4"/>
      <c r="E2" s="4"/>
      <c r="F2" s="4"/>
      <c r="G2" s="4"/>
      <c r="H2" s="6" t="s">
        <v>1169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26</v>
      </c>
      <c r="AA2" s="2" t="s">
        <v>37</v>
      </c>
      <c r="AB2" s="2" t="s">
        <v>37</v>
      </c>
      <c r="AC2" s="2" t="s">
        <v>37</v>
      </c>
      <c r="AD2" s="2" t="s">
        <v>37</v>
      </c>
      <c r="AE2" s="2" t="s">
        <v>37</v>
      </c>
      <c r="AF2" s="2" t="s">
        <v>37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  <c r="AM2" s="2" t="s">
        <v>60</v>
      </c>
      <c r="AN2" s="2" t="s">
        <v>60</v>
      </c>
      <c r="AO2" s="2" t="s">
        <v>60</v>
      </c>
      <c r="AP2" s="2" t="s">
        <v>60</v>
      </c>
      <c r="AQ2" s="2" t="s">
        <v>60</v>
      </c>
      <c r="AR2" s="2" t="s">
        <v>60</v>
      </c>
    </row>
    <row r="3" spans="1:44">
      <c r="A3" s="5"/>
      <c r="B3" s="5"/>
      <c r="C3" s="5"/>
      <c r="D3" s="5"/>
      <c r="E3" s="5"/>
      <c r="F3" s="5"/>
      <c r="G3" s="5"/>
      <c r="H3" s="5" t="s">
        <v>1168</v>
      </c>
      <c r="I3" s="1" t="s">
        <v>8</v>
      </c>
      <c r="J3" s="1" t="s">
        <v>4</v>
      </c>
      <c r="K3" s="1" t="s">
        <v>10</v>
      </c>
      <c r="L3" s="1" t="s">
        <v>11</v>
      </c>
      <c r="M3" s="1" t="s">
        <v>6</v>
      </c>
      <c r="N3" s="1" t="s">
        <v>1</v>
      </c>
      <c r="O3" s="1" t="s">
        <v>12</v>
      </c>
      <c r="P3" s="1" t="s">
        <v>22</v>
      </c>
      <c r="Q3" s="1" t="s">
        <v>20</v>
      </c>
      <c r="R3" s="1" t="s">
        <v>15</v>
      </c>
      <c r="S3" s="1" t="s">
        <v>18</v>
      </c>
      <c r="T3" s="1" t="s">
        <v>16</v>
      </c>
      <c r="U3" s="1" t="s">
        <v>33</v>
      </c>
      <c r="V3" s="1" t="s">
        <v>24</v>
      </c>
      <c r="W3" s="1" t="s">
        <v>29</v>
      </c>
      <c r="X3" s="1" t="s">
        <v>34</v>
      </c>
      <c r="Y3" s="1" t="s">
        <v>31</v>
      </c>
      <c r="Z3" s="1" t="s">
        <v>27</v>
      </c>
      <c r="AA3" s="1" t="s">
        <v>42</v>
      </c>
      <c r="AB3" s="1" t="s">
        <v>38</v>
      </c>
      <c r="AC3" s="1" t="s">
        <v>44</v>
      </c>
      <c r="AD3" s="1" t="s">
        <v>36</v>
      </c>
      <c r="AE3" s="1" t="s">
        <v>45</v>
      </c>
      <c r="AF3" s="1" t="s">
        <v>40</v>
      </c>
      <c r="AG3" s="1" t="s">
        <v>50</v>
      </c>
      <c r="AH3" s="1" t="s">
        <v>55</v>
      </c>
      <c r="AI3" s="1" t="s">
        <v>47</v>
      </c>
      <c r="AJ3" s="1" t="s">
        <v>52</v>
      </c>
      <c r="AK3" s="1" t="s">
        <v>53</v>
      </c>
      <c r="AL3" s="1" t="s">
        <v>56</v>
      </c>
      <c r="AM3" s="1" t="s">
        <v>62</v>
      </c>
      <c r="AN3" s="1" t="s">
        <v>64</v>
      </c>
      <c r="AO3" s="1" t="s">
        <v>68</v>
      </c>
      <c r="AP3" s="1" t="s">
        <v>61</v>
      </c>
      <c r="AQ3" s="1" t="s">
        <v>66</v>
      </c>
      <c r="AR3" s="1" t="s">
        <v>58</v>
      </c>
    </row>
    <row r="4" spans="1:44">
      <c r="A4" s="5"/>
      <c r="B4" s="5"/>
      <c r="C4" s="5"/>
      <c r="D4" s="5"/>
      <c r="E4" s="5"/>
      <c r="F4" s="5"/>
      <c r="G4" s="5"/>
      <c r="H4" s="5" t="s">
        <v>1167</v>
      </c>
      <c r="I4" s="1" t="s">
        <v>84</v>
      </c>
      <c r="J4" s="1" t="s">
        <v>84</v>
      </c>
      <c r="K4" s="1" t="s">
        <v>84</v>
      </c>
      <c r="L4" s="1" t="s">
        <v>84</v>
      </c>
      <c r="M4" s="1" t="s">
        <v>84</v>
      </c>
      <c r="N4" s="1" t="s">
        <v>84</v>
      </c>
      <c r="O4" s="1" t="s">
        <v>83</v>
      </c>
      <c r="P4" s="1" t="s">
        <v>83</v>
      </c>
      <c r="Q4" s="1" t="s">
        <v>83</v>
      </c>
      <c r="R4" s="1" t="s">
        <v>83</v>
      </c>
      <c r="S4" s="1" t="s">
        <v>83</v>
      </c>
      <c r="T4" s="1" t="s">
        <v>83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81</v>
      </c>
      <c r="AB4" s="1" t="s">
        <v>81</v>
      </c>
      <c r="AC4" s="1" t="s">
        <v>81</v>
      </c>
      <c r="AD4" s="1" t="s">
        <v>81</v>
      </c>
      <c r="AE4" s="1" t="s">
        <v>81</v>
      </c>
      <c r="AF4" s="1" t="s">
        <v>81</v>
      </c>
      <c r="AG4" s="1" t="s">
        <v>80</v>
      </c>
      <c r="AH4" s="1" t="s">
        <v>80</v>
      </c>
      <c r="AI4" s="1" t="s">
        <v>80</v>
      </c>
      <c r="AJ4" s="1" t="s">
        <v>80</v>
      </c>
      <c r="AK4" s="1" t="s">
        <v>80</v>
      </c>
      <c r="AL4" s="1" t="s">
        <v>80</v>
      </c>
      <c r="AM4" s="1" t="s">
        <v>79</v>
      </c>
      <c r="AN4" s="1" t="s">
        <v>79</v>
      </c>
      <c r="AO4" s="1" t="s">
        <v>79</v>
      </c>
      <c r="AP4" s="1" t="s">
        <v>79</v>
      </c>
      <c r="AQ4" s="1" t="s">
        <v>79</v>
      </c>
      <c r="AR4" s="1" t="s">
        <v>79</v>
      </c>
    </row>
    <row r="5" spans="1:44">
      <c r="A5" s="5" t="s">
        <v>1160</v>
      </c>
      <c r="B5" s="5" t="s">
        <v>1161</v>
      </c>
      <c r="C5" s="5" t="s">
        <v>1162</v>
      </c>
      <c r="D5" s="5" t="s">
        <v>1163</v>
      </c>
      <c r="E5" s="5" t="s">
        <v>1164</v>
      </c>
      <c r="F5" s="5" t="s">
        <v>1165</v>
      </c>
      <c r="G5" s="5" t="s">
        <v>1166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 t="s">
        <v>87</v>
      </c>
      <c r="B6" s="1" t="s">
        <v>88</v>
      </c>
      <c r="C6" s="1" t="s">
        <v>89</v>
      </c>
      <c r="D6" s="1" t="str">
        <f>HYPERLINK("http://eros.fiehnlab.ucdavis.edu:8080/binbase-compound/bin/show/200524?db=rtx5","200524")</f>
        <v>200524</v>
      </c>
      <c r="E6" s="1" t="s">
        <v>90</v>
      </c>
      <c r="F6" s="1" t="str">
        <f>HYPERLINK("http://www.genome.ad.jp/dbget-bin/www_bget?compound+C00379","C00379")</f>
        <v>C00379</v>
      </c>
      <c r="G6" s="1" t="str">
        <f>HYPERLINK("http://pubchem.ncbi.nlm.nih.gov/summary/summary.cgi?cid=6912","6912")</f>
        <v>6912</v>
      </c>
      <c r="H6" s="1"/>
      <c r="I6" s="5">
        <v>465</v>
      </c>
      <c r="J6" s="5">
        <v>1553</v>
      </c>
      <c r="K6" s="5">
        <v>288</v>
      </c>
      <c r="L6" s="5">
        <v>259</v>
      </c>
      <c r="M6" s="5">
        <v>567</v>
      </c>
      <c r="N6" s="5">
        <v>786</v>
      </c>
      <c r="O6" s="5">
        <v>433</v>
      </c>
      <c r="P6" s="5">
        <v>241</v>
      </c>
      <c r="Q6" s="5">
        <v>644</v>
      </c>
      <c r="R6" s="5">
        <v>227</v>
      </c>
      <c r="S6" s="5">
        <v>662</v>
      </c>
      <c r="T6" s="5">
        <v>835</v>
      </c>
      <c r="U6" s="5">
        <v>270</v>
      </c>
      <c r="V6" s="5">
        <v>439</v>
      </c>
      <c r="W6" s="5">
        <v>469</v>
      </c>
      <c r="X6" s="5">
        <v>368</v>
      </c>
      <c r="Y6" s="5">
        <v>223</v>
      </c>
      <c r="Z6" s="5">
        <v>945</v>
      </c>
      <c r="AA6" s="5">
        <v>362</v>
      </c>
      <c r="AB6" s="5">
        <v>242</v>
      </c>
      <c r="AC6" s="5">
        <v>305</v>
      </c>
      <c r="AD6" s="5">
        <v>244</v>
      </c>
      <c r="AE6" s="5">
        <v>494</v>
      </c>
      <c r="AF6" s="5">
        <v>289</v>
      </c>
      <c r="AG6" s="5">
        <v>436</v>
      </c>
      <c r="AH6" s="5">
        <v>291</v>
      </c>
      <c r="AI6" s="5">
        <v>368</v>
      </c>
      <c r="AJ6" s="5">
        <v>295</v>
      </c>
      <c r="AK6" s="5">
        <v>321</v>
      </c>
      <c r="AL6" s="5">
        <v>1086</v>
      </c>
      <c r="AM6" s="5">
        <v>258</v>
      </c>
      <c r="AN6" s="5">
        <v>796</v>
      </c>
      <c r="AO6" s="5">
        <v>192</v>
      </c>
      <c r="AP6" s="5">
        <v>236</v>
      </c>
      <c r="AQ6" s="5">
        <v>1257</v>
      </c>
      <c r="AR6" s="5">
        <v>280</v>
      </c>
    </row>
    <row r="7" spans="1:44">
      <c r="A7" s="1" t="s">
        <v>91</v>
      </c>
      <c r="B7" s="1" t="s">
        <v>92</v>
      </c>
      <c r="C7" s="1" t="s">
        <v>93</v>
      </c>
      <c r="D7" s="1" t="str">
        <f>HYPERLINK("http://eros.fiehnlab.ucdavis.edu:8080/binbase-compound/bin/show/203224?db=rtx5","203224")</f>
        <v>203224</v>
      </c>
      <c r="E7" s="1" t="s">
        <v>94</v>
      </c>
      <c r="F7" s="1" t="str">
        <f>HYPERLINK("http://www.genome.ad.jp/dbget-bin/www_bget?compound+C00385","C00385")</f>
        <v>C00385</v>
      </c>
      <c r="G7" s="1" t="str">
        <f>HYPERLINK("http://pubchem.ncbi.nlm.nih.gov/summary/summary.cgi?cid=1188","1188")</f>
        <v>1188</v>
      </c>
      <c r="H7" s="1"/>
      <c r="I7" s="5">
        <v>7079</v>
      </c>
      <c r="J7" s="5">
        <v>7944</v>
      </c>
      <c r="K7" s="5">
        <v>9963</v>
      </c>
      <c r="L7" s="5">
        <v>8138</v>
      </c>
      <c r="M7" s="5">
        <v>4614</v>
      </c>
      <c r="N7" s="5">
        <v>9425</v>
      </c>
      <c r="O7" s="5">
        <v>3293</v>
      </c>
      <c r="P7" s="5">
        <v>12029</v>
      </c>
      <c r="Q7" s="5">
        <v>6284</v>
      </c>
      <c r="R7" s="5">
        <v>5994</v>
      </c>
      <c r="S7" s="5">
        <v>1716</v>
      </c>
      <c r="T7" s="5">
        <v>6904</v>
      </c>
      <c r="U7" s="5">
        <v>4769</v>
      </c>
      <c r="V7" s="5">
        <v>2102</v>
      </c>
      <c r="W7" s="5">
        <v>2970</v>
      </c>
      <c r="X7" s="5">
        <v>1945</v>
      </c>
      <c r="Y7" s="5">
        <v>4758</v>
      </c>
      <c r="Z7" s="5">
        <v>7166</v>
      </c>
      <c r="AA7" s="5">
        <v>4630</v>
      </c>
      <c r="AB7" s="5">
        <v>3394</v>
      </c>
      <c r="AC7" s="5">
        <v>8005</v>
      </c>
      <c r="AD7" s="5">
        <v>20670</v>
      </c>
      <c r="AE7" s="5">
        <v>3253</v>
      </c>
      <c r="AF7" s="5">
        <v>9524</v>
      </c>
      <c r="AG7" s="5">
        <v>5304</v>
      </c>
      <c r="AH7" s="5">
        <v>9494</v>
      </c>
      <c r="AI7" s="5">
        <v>5378</v>
      </c>
      <c r="AJ7" s="5">
        <v>7116</v>
      </c>
      <c r="AK7" s="5">
        <v>6260</v>
      </c>
      <c r="AL7" s="5">
        <v>5723</v>
      </c>
      <c r="AM7" s="5">
        <v>5315</v>
      </c>
      <c r="AN7" s="5">
        <v>2331</v>
      </c>
      <c r="AO7" s="5">
        <v>4179</v>
      </c>
      <c r="AP7" s="5">
        <v>6766</v>
      </c>
      <c r="AQ7" s="5">
        <v>7161</v>
      </c>
      <c r="AR7" s="5">
        <v>2417</v>
      </c>
    </row>
    <row r="8" spans="1:44">
      <c r="A8" s="1" t="s">
        <v>96</v>
      </c>
      <c r="B8" s="1" t="s">
        <v>97</v>
      </c>
      <c r="C8" s="1" t="s">
        <v>98</v>
      </c>
      <c r="D8" s="1" t="str">
        <f>HYPERLINK("http://eros.fiehnlab.ucdavis.edu:8080/binbase-compound/bin/show/227947?db=rtx5","227947")</f>
        <v>227947</v>
      </c>
      <c r="E8" s="1" t="s">
        <v>99</v>
      </c>
      <c r="F8" s="1" t="str">
        <f>HYPERLINK("http://www.genome.ad.jp/dbget-bin/www_bget?compound+C00183","C00183")</f>
        <v>C00183</v>
      </c>
      <c r="G8" s="1" t="str">
        <f>HYPERLINK("http://pubchem.ncbi.nlm.nih.gov/summary/summary.cgi?cid=6287","6287")</f>
        <v>6287</v>
      </c>
      <c r="H8" s="1"/>
      <c r="I8" s="5">
        <v>366519</v>
      </c>
      <c r="J8" s="5">
        <v>1205742</v>
      </c>
      <c r="K8" s="5">
        <v>155468</v>
      </c>
      <c r="L8" s="5">
        <v>70540</v>
      </c>
      <c r="M8" s="5">
        <v>431806</v>
      </c>
      <c r="N8" s="5">
        <v>604013</v>
      </c>
      <c r="O8" s="5">
        <v>394107</v>
      </c>
      <c r="P8" s="5">
        <v>127098</v>
      </c>
      <c r="Q8" s="5">
        <v>404195</v>
      </c>
      <c r="R8" s="5">
        <v>125988</v>
      </c>
      <c r="S8" s="5">
        <v>378169</v>
      </c>
      <c r="T8" s="5">
        <v>618150</v>
      </c>
      <c r="U8" s="5">
        <v>127445</v>
      </c>
      <c r="V8" s="5">
        <v>334346</v>
      </c>
      <c r="W8" s="5">
        <v>501449</v>
      </c>
      <c r="X8" s="5">
        <v>205868</v>
      </c>
      <c r="Y8" s="5">
        <v>98826</v>
      </c>
      <c r="Z8" s="5">
        <v>953542</v>
      </c>
      <c r="AA8" s="5">
        <v>435513</v>
      </c>
      <c r="AB8" s="5">
        <v>104876</v>
      </c>
      <c r="AC8" s="5">
        <v>90688</v>
      </c>
      <c r="AD8" s="5">
        <v>160913</v>
      </c>
      <c r="AE8" s="5">
        <v>135197</v>
      </c>
      <c r="AF8" s="5">
        <v>110075</v>
      </c>
      <c r="AG8" s="5">
        <v>194352</v>
      </c>
      <c r="AH8" s="5">
        <v>85289</v>
      </c>
      <c r="AI8" s="5">
        <v>496172</v>
      </c>
      <c r="AJ8" s="5">
        <v>82167</v>
      </c>
      <c r="AK8" s="5">
        <v>63364</v>
      </c>
      <c r="AL8" s="5">
        <v>910387</v>
      </c>
      <c r="AM8" s="5">
        <v>107414</v>
      </c>
      <c r="AN8" s="5">
        <v>753810</v>
      </c>
      <c r="AO8" s="5">
        <v>77236</v>
      </c>
      <c r="AP8" s="5">
        <v>105228</v>
      </c>
      <c r="AQ8" s="5">
        <v>1062706</v>
      </c>
      <c r="AR8" s="5">
        <v>143003</v>
      </c>
    </row>
    <row r="9" spans="1:44">
      <c r="A9" s="1" t="s">
        <v>101</v>
      </c>
      <c r="B9" s="1" t="s">
        <v>102</v>
      </c>
      <c r="C9" s="1" t="s">
        <v>103</v>
      </c>
      <c r="D9" s="1" t="str">
        <f>HYPERLINK("http://eros.fiehnlab.ucdavis.edu:8080/binbase-compound/bin/show/199594?db=rtx5","199594")</f>
        <v>199594</v>
      </c>
      <c r="E9" s="1" t="s">
        <v>104</v>
      </c>
      <c r="F9" s="1" t="str">
        <f>HYPERLINK("http://www.genome.ad.jp/dbget-bin/www_bget?compound+C00086","C00086")</f>
        <v>C00086</v>
      </c>
      <c r="G9" s="1" t="str">
        <f>HYPERLINK("http://pubchem.ncbi.nlm.nih.gov/summary/summary.cgi?cid=1176","1176")</f>
        <v>1176</v>
      </c>
      <c r="H9" s="1"/>
      <c r="I9" s="5">
        <v>273</v>
      </c>
      <c r="J9" s="5">
        <v>173</v>
      </c>
      <c r="K9" s="5">
        <v>40146</v>
      </c>
      <c r="L9" s="5">
        <v>35209</v>
      </c>
      <c r="M9" s="5">
        <v>244</v>
      </c>
      <c r="N9" s="5">
        <v>164</v>
      </c>
      <c r="O9" s="5">
        <v>264</v>
      </c>
      <c r="P9" s="5">
        <v>26881</v>
      </c>
      <c r="Q9" s="5">
        <v>153</v>
      </c>
      <c r="R9" s="5">
        <v>34915</v>
      </c>
      <c r="S9" s="5">
        <v>103</v>
      </c>
      <c r="T9" s="5">
        <v>180</v>
      </c>
      <c r="U9" s="5">
        <v>25644</v>
      </c>
      <c r="V9" s="5">
        <v>160</v>
      </c>
      <c r="W9" s="5">
        <v>198</v>
      </c>
      <c r="X9" s="5">
        <v>216</v>
      </c>
      <c r="Y9" s="5">
        <v>32956</v>
      </c>
      <c r="Z9" s="5">
        <v>304</v>
      </c>
      <c r="AA9" s="5">
        <v>31538</v>
      </c>
      <c r="AB9" s="5">
        <v>199</v>
      </c>
      <c r="AC9" s="5">
        <v>29727</v>
      </c>
      <c r="AD9" s="5">
        <v>36211</v>
      </c>
      <c r="AE9" s="5">
        <v>200</v>
      </c>
      <c r="AF9" s="5">
        <v>15916</v>
      </c>
      <c r="AG9" s="5">
        <v>139</v>
      </c>
      <c r="AH9" s="5">
        <v>27390</v>
      </c>
      <c r="AI9" s="5">
        <v>123</v>
      </c>
      <c r="AJ9" s="5">
        <v>27642</v>
      </c>
      <c r="AK9" s="5">
        <v>28575</v>
      </c>
      <c r="AL9" s="5">
        <v>255</v>
      </c>
      <c r="AM9" s="5">
        <v>178</v>
      </c>
      <c r="AN9" s="5">
        <v>139</v>
      </c>
      <c r="AO9" s="5">
        <v>20112</v>
      </c>
      <c r="AP9" s="5">
        <v>26695</v>
      </c>
      <c r="AQ9" s="5">
        <v>145</v>
      </c>
      <c r="AR9" s="5">
        <v>149</v>
      </c>
    </row>
    <row r="10" spans="1:44">
      <c r="A10" s="1" t="s">
        <v>105</v>
      </c>
      <c r="B10" s="1" t="s">
        <v>106</v>
      </c>
      <c r="C10" s="1" t="s">
        <v>107</v>
      </c>
      <c r="D10" s="1" t="str">
        <f>HYPERLINK("http://eros.fiehnlab.ucdavis.edu:8080/binbase-compound/bin/show/199600?db=rtx5","199600")</f>
        <v>199600</v>
      </c>
      <c r="E10" s="1" t="s">
        <v>108</v>
      </c>
      <c r="F10" s="1" t="str">
        <f>HYPERLINK("http://www.genome.ad.jp/dbget-bin/www_bget?compound+C00106","C00106")</f>
        <v>C00106</v>
      </c>
      <c r="G10" s="1" t="str">
        <f>HYPERLINK("http://pubchem.ncbi.nlm.nih.gov/summary/summary.cgi?cid=1174","1174")</f>
        <v>1174</v>
      </c>
      <c r="H10" s="1"/>
      <c r="I10" s="5">
        <v>82518</v>
      </c>
      <c r="J10" s="5">
        <v>138780</v>
      </c>
      <c r="K10" s="5">
        <v>133191</v>
      </c>
      <c r="L10" s="5">
        <v>96463</v>
      </c>
      <c r="M10" s="5">
        <v>88384</v>
      </c>
      <c r="N10" s="5">
        <v>142655</v>
      </c>
      <c r="O10" s="5">
        <v>36577</v>
      </c>
      <c r="P10" s="5">
        <v>109217</v>
      </c>
      <c r="Q10" s="5">
        <v>89328</v>
      </c>
      <c r="R10" s="5">
        <v>87144</v>
      </c>
      <c r="S10" s="5">
        <v>59229</v>
      </c>
      <c r="T10" s="5">
        <v>91724</v>
      </c>
      <c r="U10" s="5">
        <v>83852</v>
      </c>
      <c r="V10" s="5">
        <v>45630</v>
      </c>
      <c r="W10" s="5">
        <v>51948</v>
      </c>
      <c r="X10" s="5">
        <v>39792</v>
      </c>
      <c r="Y10" s="5">
        <v>48409</v>
      </c>
      <c r="Z10" s="5">
        <v>75940</v>
      </c>
      <c r="AA10" s="5">
        <v>74639</v>
      </c>
      <c r="AB10" s="5">
        <v>53343</v>
      </c>
      <c r="AC10" s="5">
        <v>91309</v>
      </c>
      <c r="AD10" s="5">
        <v>113845</v>
      </c>
      <c r="AE10" s="5">
        <v>76312</v>
      </c>
      <c r="AF10" s="5">
        <v>91072</v>
      </c>
      <c r="AG10" s="5">
        <v>69869</v>
      </c>
      <c r="AH10" s="5">
        <v>113809</v>
      </c>
      <c r="AI10" s="5">
        <v>111239</v>
      </c>
      <c r="AJ10" s="5">
        <v>70425</v>
      </c>
      <c r="AK10" s="5">
        <v>66967</v>
      </c>
      <c r="AL10" s="5">
        <v>76182</v>
      </c>
      <c r="AM10" s="5">
        <v>45448</v>
      </c>
      <c r="AN10" s="5">
        <v>53363</v>
      </c>
      <c r="AO10" s="5">
        <v>46816</v>
      </c>
      <c r="AP10" s="5">
        <v>52203</v>
      </c>
      <c r="AQ10" s="5">
        <v>71565</v>
      </c>
      <c r="AR10" s="5">
        <v>35850</v>
      </c>
    </row>
    <row r="11" spans="1:44">
      <c r="A11" s="1" t="s">
        <v>109</v>
      </c>
      <c r="B11" s="1" t="s">
        <v>110</v>
      </c>
      <c r="C11" s="1" t="s">
        <v>111</v>
      </c>
      <c r="D11" s="1" t="str">
        <f>HYPERLINK("http://eros.fiehnlab.ucdavis.edu:8080/binbase-compound/bin/show/227600?db=rtx5","227600")</f>
        <v>227600</v>
      </c>
      <c r="E11" s="1" t="s">
        <v>112</v>
      </c>
      <c r="F11" s="1" t="str">
        <f>HYPERLINK("http://www.genome.ad.jp/dbget-bin/www_bget?compound+C00043","C00043")</f>
        <v>C00043</v>
      </c>
      <c r="G11" s="1" t="str">
        <f>HYPERLINK("http://pubchem.ncbi.nlm.nih.gov/summary/summary.cgi?cid=445675","445675")</f>
        <v>445675</v>
      </c>
      <c r="H11" s="1"/>
      <c r="I11" s="5">
        <v>908</v>
      </c>
      <c r="J11" s="5">
        <v>666</v>
      </c>
      <c r="K11" s="5">
        <v>216</v>
      </c>
      <c r="L11" s="5">
        <v>595</v>
      </c>
      <c r="M11" s="5">
        <v>634</v>
      </c>
      <c r="N11" s="5">
        <v>488</v>
      </c>
      <c r="O11" s="5">
        <v>107</v>
      </c>
      <c r="P11" s="5">
        <v>230</v>
      </c>
      <c r="Q11" s="5">
        <v>557</v>
      </c>
      <c r="R11" s="5">
        <v>151</v>
      </c>
      <c r="S11" s="5">
        <v>378</v>
      </c>
      <c r="T11" s="5">
        <v>601</v>
      </c>
      <c r="U11" s="5">
        <v>228</v>
      </c>
      <c r="V11" s="5">
        <v>229</v>
      </c>
      <c r="W11" s="5">
        <v>334</v>
      </c>
      <c r="X11" s="5">
        <v>262</v>
      </c>
      <c r="Y11" s="5">
        <v>63</v>
      </c>
      <c r="Z11" s="5">
        <v>244</v>
      </c>
      <c r="AA11" s="5">
        <v>385</v>
      </c>
      <c r="AB11" s="5">
        <v>180</v>
      </c>
      <c r="AC11" s="5">
        <v>137</v>
      </c>
      <c r="AD11" s="5">
        <v>213</v>
      </c>
      <c r="AE11" s="5">
        <v>413</v>
      </c>
      <c r="AF11" s="5">
        <v>222</v>
      </c>
      <c r="AG11" s="5">
        <v>406</v>
      </c>
      <c r="AH11" s="5">
        <v>253</v>
      </c>
      <c r="AI11" s="5">
        <v>402</v>
      </c>
      <c r="AJ11" s="5">
        <v>221</v>
      </c>
      <c r="AK11" s="5">
        <v>190</v>
      </c>
      <c r="AL11" s="5">
        <v>537</v>
      </c>
      <c r="AM11" s="5">
        <v>195</v>
      </c>
      <c r="AN11" s="5">
        <v>410</v>
      </c>
      <c r="AO11" s="5">
        <v>131</v>
      </c>
      <c r="AP11" s="5">
        <v>289</v>
      </c>
      <c r="AQ11" s="5">
        <v>584</v>
      </c>
      <c r="AR11" s="5">
        <v>86</v>
      </c>
    </row>
    <row r="12" spans="1:44">
      <c r="A12" s="1" t="s">
        <v>1171</v>
      </c>
      <c r="B12" s="1" t="s">
        <v>113</v>
      </c>
      <c r="C12" s="1" t="s">
        <v>114</v>
      </c>
      <c r="D12" s="1" t="str">
        <f>HYPERLINK("http://eros.fiehnlab.ucdavis.edu:8080/binbase-compound/bin/show/381469?db=rtx5","381469")</f>
        <v>381469</v>
      </c>
      <c r="E12" s="1" t="s">
        <v>115</v>
      </c>
      <c r="F12" s="1" t="s">
        <v>0</v>
      </c>
      <c r="G12" s="1" t="s">
        <v>0</v>
      </c>
      <c r="H12" s="1"/>
      <c r="I12" s="5">
        <v>83306</v>
      </c>
      <c r="J12" s="5">
        <v>304247</v>
      </c>
      <c r="K12" s="5">
        <v>37634</v>
      </c>
      <c r="L12" s="5">
        <v>31881</v>
      </c>
      <c r="M12" s="5">
        <v>89225</v>
      </c>
      <c r="N12" s="5">
        <v>154928</v>
      </c>
      <c r="O12" s="5">
        <v>80269</v>
      </c>
      <c r="P12" s="5">
        <v>38828</v>
      </c>
      <c r="Q12" s="5">
        <v>104581</v>
      </c>
      <c r="R12" s="5">
        <v>33349</v>
      </c>
      <c r="S12" s="5">
        <v>90037</v>
      </c>
      <c r="T12" s="5">
        <v>142968</v>
      </c>
      <c r="U12" s="5">
        <v>34530</v>
      </c>
      <c r="V12" s="5">
        <v>72422</v>
      </c>
      <c r="W12" s="5">
        <v>99446</v>
      </c>
      <c r="X12" s="5">
        <v>41285</v>
      </c>
      <c r="Y12" s="5">
        <v>21217</v>
      </c>
      <c r="Z12" s="5">
        <v>219390</v>
      </c>
      <c r="AA12" s="5">
        <v>95280</v>
      </c>
      <c r="AB12" s="5">
        <v>27070</v>
      </c>
      <c r="AC12" s="5">
        <v>21231</v>
      </c>
      <c r="AD12" s="5">
        <v>37310</v>
      </c>
      <c r="AE12" s="5">
        <v>38838</v>
      </c>
      <c r="AF12" s="5">
        <v>24252</v>
      </c>
      <c r="AG12" s="5">
        <v>44086</v>
      </c>
      <c r="AH12" s="5">
        <v>27770</v>
      </c>
      <c r="AI12" s="5">
        <v>126557</v>
      </c>
      <c r="AJ12" s="5">
        <v>20016</v>
      </c>
      <c r="AK12" s="5">
        <v>20960</v>
      </c>
      <c r="AL12" s="5">
        <v>190219</v>
      </c>
      <c r="AM12" s="5">
        <v>22507</v>
      </c>
      <c r="AN12" s="5">
        <v>163299</v>
      </c>
      <c r="AO12" s="5">
        <v>18276</v>
      </c>
      <c r="AP12" s="5">
        <v>21449</v>
      </c>
      <c r="AQ12" s="5">
        <v>267738</v>
      </c>
      <c r="AR12" s="5">
        <v>30910</v>
      </c>
    </row>
    <row r="13" spans="1:44">
      <c r="A13" s="1" t="s">
        <v>118</v>
      </c>
      <c r="B13" s="1" t="s">
        <v>119</v>
      </c>
      <c r="C13" s="1" t="s">
        <v>120</v>
      </c>
      <c r="D13" s="1" t="str">
        <f>HYPERLINK("http://eros.fiehnlab.ucdavis.edu:8080/binbase-compound/bin/show/216485?db=rtx5","216485")</f>
        <v>216485</v>
      </c>
      <c r="E13" s="1" t="s">
        <v>121</v>
      </c>
      <c r="F13" s="1" t="str">
        <f>HYPERLINK("http://www.genome.ad.jp/dbget-bin/www_bget?compound+C00078","C00078")</f>
        <v>C00078</v>
      </c>
      <c r="G13" s="1" t="str">
        <f>HYPERLINK("http://pubchem.ncbi.nlm.nih.gov/summary/summary.cgi?cid=6305","6305")</f>
        <v>6305</v>
      </c>
      <c r="H13" s="1"/>
      <c r="I13" s="5">
        <v>3935</v>
      </c>
      <c r="J13" s="5">
        <v>3705</v>
      </c>
      <c r="K13" s="5">
        <v>1396</v>
      </c>
      <c r="L13" s="5">
        <v>2437</v>
      </c>
      <c r="M13" s="5">
        <v>2049</v>
      </c>
      <c r="N13" s="5">
        <v>5490</v>
      </c>
      <c r="O13" s="5">
        <v>2573</v>
      </c>
      <c r="P13" s="5">
        <v>2401</v>
      </c>
      <c r="Q13" s="5">
        <v>2675</v>
      </c>
      <c r="R13" s="5">
        <v>3120</v>
      </c>
      <c r="S13" s="5">
        <v>1282</v>
      </c>
      <c r="T13" s="5">
        <v>3325</v>
      </c>
      <c r="U13" s="5">
        <v>2160</v>
      </c>
      <c r="V13" s="5">
        <v>1949</v>
      </c>
      <c r="W13" s="5">
        <v>1555</v>
      </c>
      <c r="X13" s="5">
        <v>753</v>
      </c>
      <c r="Y13" s="5">
        <v>1705</v>
      </c>
      <c r="Z13" s="5">
        <v>10240</v>
      </c>
      <c r="AA13" s="5">
        <v>2125</v>
      </c>
      <c r="AB13" s="5">
        <v>1896</v>
      </c>
      <c r="AC13" s="5">
        <v>2158</v>
      </c>
      <c r="AD13" s="5">
        <v>8949</v>
      </c>
      <c r="AE13" s="5">
        <v>2085</v>
      </c>
      <c r="AF13" s="5">
        <v>4144</v>
      </c>
      <c r="AG13" s="5">
        <v>1787</v>
      </c>
      <c r="AH13" s="5">
        <v>2962</v>
      </c>
      <c r="AI13" s="5">
        <v>4984</v>
      </c>
      <c r="AJ13" s="5">
        <v>2678</v>
      </c>
      <c r="AK13" s="5">
        <v>1685</v>
      </c>
      <c r="AL13" s="5">
        <v>3565</v>
      </c>
      <c r="AM13" s="5">
        <v>809</v>
      </c>
      <c r="AN13" s="5">
        <v>3564</v>
      </c>
      <c r="AO13" s="5">
        <v>639</v>
      </c>
      <c r="AP13" s="5">
        <v>1126</v>
      </c>
      <c r="AQ13" s="5">
        <v>3404</v>
      </c>
      <c r="AR13" s="5">
        <v>742</v>
      </c>
    </row>
    <row r="14" spans="1:44">
      <c r="A14" s="1" t="s">
        <v>122</v>
      </c>
      <c r="B14" s="1" t="s">
        <v>123</v>
      </c>
      <c r="C14" s="1" t="s">
        <v>124</v>
      </c>
      <c r="D14" s="1" t="str">
        <f>HYPERLINK("http://eros.fiehnlab.ucdavis.edu:8080/binbase-compound/bin/show/199289?db=rtx5","199289")</f>
        <v>199289</v>
      </c>
      <c r="E14" s="1" t="s">
        <v>125</v>
      </c>
      <c r="F14" s="1" t="str">
        <f>HYPERLINK("http://www.genome.ad.jp/dbget-bin/www_bget?compound+C01083","C01083")</f>
        <v>C01083</v>
      </c>
      <c r="G14" s="1" t="str">
        <f>HYPERLINK("http://pubchem.ncbi.nlm.nih.gov/summary/summary.cgi?cid=7427","7427")</f>
        <v>7427</v>
      </c>
      <c r="H14" s="1"/>
      <c r="I14" s="5">
        <v>181</v>
      </c>
      <c r="J14" s="5">
        <v>429</v>
      </c>
      <c r="K14" s="5">
        <v>424</v>
      </c>
      <c r="L14" s="5">
        <v>642</v>
      </c>
      <c r="M14" s="5">
        <v>443</v>
      </c>
      <c r="N14" s="5">
        <v>1966</v>
      </c>
      <c r="O14" s="5">
        <v>597</v>
      </c>
      <c r="P14" s="5">
        <v>551</v>
      </c>
      <c r="Q14" s="5">
        <v>492</v>
      </c>
      <c r="R14" s="5">
        <v>445</v>
      </c>
      <c r="S14" s="5">
        <v>483</v>
      </c>
      <c r="T14" s="5">
        <v>918</v>
      </c>
      <c r="U14" s="5">
        <v>1735</v>
      </c>
      <c r="V14" s="5">
        <v>476</v>
      </c>
      <c r="W14" s="5">
        <v>410</v>
      </c>
      <c r="X14" s="5">
        <v>498</v>
      </c>
      <c r="Y14" s="5">
        <v>372</v>
      </c>
      <c r="Z14" s="5">
        <v>474</v>
      </c>
      <c r="AA14" s="5">
        <v>450</v>
      </c>
      <c r="AB14" s="5">
        <v>322</v>
      </c>
      <c r="AC14" s="5">
        <v>368</v>
      </c>
      <c r="AD14" s="5">
        <v>379</v>
      </c>
      <c r="AE14" s="5">
        <v>372</v>
      </c>
      <c r="AF14" s="5">
        <v>439</v>
      </c>
      <c r="AG14" s="5">
        <v>397</v>
      </c>
      <c r="AH14" s="5">
        <v>427</v>
      </c>
      <c r="AI14" s="5">
        <v>455</v>
      </c>
      <c r="AJ14" s="5">
        <v>427</v>
      </c>
      <c r="AK14" s="5">
        <v>480</v>
      </c>
      <c r="AL14" s="5">
        <v>678</v>
      </c>
      <c r="AM14" s="5">
        <v>385</v>
      </c>
      <c r="AN14" s="5">
        <v>388</v>
      </c>
      <c r="AO14" s="5">
        <v>292</v>
      </c>
      <c r="AP14" s="5">
        <v>373</v>
      </c>
      <c r="AQ14" s="5">
        <v>536</v>
      </c>
      <c r="AR14" s="5">
        <v>365</v>
      </c>
    </row>
    <row r="15" spans="1:44">
      <c r="A15" s="1" t="s">
        <v>126</v>
      </c>
      <c r="B15" s="1" t="s">
        <v>127</v>
      </c>
      <c r="C15" s="1" t="s">
        <v>128</v>
      </c>
      <c r="D15" s="1" t="str">
        <f>HYPERLINK("http://eros.fiehnlab.ucdavis.edu:8080/binbase-compound/bin/show/236696?db=rtx5","236696")</f>
        <v>236696</v>
      </c>
      <c r="E15" s="1" t="s">
        <v>129</v>
      </c>
      <c r="F15" s="1" t="str">
        <f>HYPERLINK("http://www.genome.ad.jp/dbget-bin/www_bget?compound+C00178","C00178")</f>
        <v>C00178</v>
      </c>
      <c r="G15" s="1" t="str">
        <f>HYPERLINK("http://pubchem.ncbi.nlm.nih.gov/summary/summary.cgi?cid=1135","1135")</f>
        <v>1135</v>
      </c>
      <c r="H15" s="1"/>
      <c r="I15" s="5">
        <v>5153</v>
      </c>
      <c r="J15" s="5">
        <v>5409</v>
      </c>
      <c r="K15" s="5">
        <v>6512</v>
      </c>
      <c r="L15" s="5">
        <v>10057</v>
      </c>
      <c r="M15" s="5">
        <v>4899</v>
      </c>
      <c r="N15" s="5">
        <v>6945</v>
      </c>
      <c r="O15" s="5">
        <v>5680</v>
      </c>
      <c r="P15" s="5">
        <v>8622</v>
      </c>
      <c r="Q15" s="5">
        <v>8769</v>
      </c>
      <c r="R15" s="5">
        <v>7000</v>
      </c>
      <c r="S15" s="5">
        <v>6904</v>
      </c>
      <c r="T15" s="5">
        <v>5938</v>
      </c>
      <c r="U15" s="5">
        <v>4666</v>
      </c>
      <c r="V15" s="5">
        <v>4418</v>
      </c>
      <c r="W15" s="5">
        <v>5571</v>
      </c>
      <c r="X15" s="5">
        <v>6677</v>
      </c>
      <c r="Y15" s="5">
        <v>3652</v>
      </c>
      <c r="Z15" s="5">
        <v>6605</v>
      </c>
      <c r="AA15" s="5">
        <v>3794</v>
      </c>
      <c r="AB15" s="5">
        <v>4599</v>
      </c>
      <c r="AC15" s="5">
        <v>7297</v>
      </c>
      <c r="AD15" s="5">
        <v>11951</v>
      </c>
      <c r="AE15" s="5">
        <v>8852</v>
      </c>
      <c r="AF15" s="5">
        <v>10172</v>
      </c>
      <c r="AG15" s="5">
        <v>5440</v>
      </c>
      <c r="AH15" s="5">
        <v>9687</v>
      </c>
      <c r="AI15" s="5">
        <v>5567</v>
      </c>
      <c r="AJ15" s="5">
        <v>7452</v>
      </c>
      <c r="AK15" s="5">
        <v>5077</v>
      </c>
      <c r="AL15" s="5">
        <v>7112</v>
      </c>
      <c r="AM15" s="5">
        <v>6206</v>
      </c>
      <c r="AN15" s="5">
        <v>4773</v>
      </c>
      <c r="AO15" s="5">
        <v>4454</v>
      </c>
      <c r="AP15" s="5">
        <v>5807</v>
      </c>
      <c r="AQ15" s="5">
        <v>4819</v>
      </c>
      <c r="AR15" s="5">
        <v>5285</v>
      </c>
    </row>
    <row r="16" spans="1:44">
      <c r="A16" s="1" t="s">
        <v>130</v>
      </c>
      <c r="B16" s="1" t="s">
        <v>131</v>
      </c>
      <c r="C16" s="1" t="s">
        <v>132</v>
      </c>
      <c r="D16" s="1" t="str">
        <f>HYPERLINK("http://eros.fiehnlab.ucdavis.edu:8080/binbase-compound/bin/show/199626?db=rtx5","199626")</f>
        <v>199626</v>
      </c>
      <c r="E16" s="1" t="s">
        <v>133</v>
      </c>
      <c r="F16" s="1" t="str">
        <f>HYPERLINK("http://www.genome.ad.jp/dbget-bin/www_bget?compound+C00188","C00188")</f>
        <v>C00188</v>
      </c>
      <c r="G16" s="1" t="str">
        <f>HYPERLINK("http://pubchem.ncbi.nlm.nih.gov/summary/summary.cgi?cid=6288","6288")</f>
        <v>6288</v>
      </c>
      <c r="H16" s="1"/>
      <c r="I16" s="5">
        <v>1577</v>
      </c>
      <c r="J16" s="5">
        <v>3144</v>
      </c>
      <c r="K16" s="5">
        <v>495</v>
      </c>
      <c r="L16" s="5">
        <v>522</v>
      </c>
      <c r="M16" s="5">
        <v>2777</v>
      </c>
      <c r="N16" s="5">
        <v>2339</v>
      </c>
      <c r="O16" s="5">
        <v>1705</v>
      </c>
      <c r="P16" s="5">
        <v>482</v>
      </c>
      <c r="Q16" s="5">
        <v>858</v>
      </c>
      <c r="R16" s="5">
        <v>377</v>
      </c>
      <c r="S16" s="5">
        <v>1495</v>
      </c>
      <c r="T16" s="5">
        <v>1809</v>
      </c>
      <c r="U16" s="5">
        <v>1343</v>
      </c>
      <c r="V16" s="5">
        <v>3313</v>
      </c>
      <c r="W16" s="5">
        <v>1393</v>
      </c>
      <c r="X16" s="5">
        <v>698</v>
      </c>
      <c r="Y16" s="5">
        <v>762</v>
      </c>
      <c r="Z16" s="5">
        <v>2940</v>
      </c>
      <c r="AA16" s="5">
        <v>1273</v>
      </c>
      <c r="AB16" s="5">
        <v>809</v>
      </c>
      <c r="AC16" s="5">
        <v>293</v>
      </c>
      <c r="AD16" s="5">
        <v>1151</v>
      </c>
      <c r="AE16" s="5">
        <v>882</v>
      </c>
      <c r="AF16" s="5">
        <v>961</v>
      </c>
      <c r="AG16" s="5">
        <v>1067</v>
      </c>
      <c r="AH16" s="5">
        <v>427</v>
      </c>
      <c r="AI16" s="5">
        <v>5403</v>
      </c>
      <c r="AJ16" s="5">
        <v>966</v>
      </c>
      <c r="AK16" s="5">
        <v>615</v>
      </c>
      <c r="AL16" s="5">
        <v>3328</v>
      </c>
      <c r="AM16" s="5">
        <v>463</v>
      </c>
      <c r="AN16" s="5">
        <v>5129</v>
      </c>
      <c r="AO16" s="5">
        <v>507</v>
      </c>
      <c r="AP16" s="5">
        <v>528</v>
      </c>
      <c r="AQ16" s="5">
        <v>3914</v>
      </c>
      <c r="AR16" s="5">
        <v>685</v>
      </c>
    </row>
    <row r="17" spans="1:44">
      <c r="A17" s="1" t="s">
        <v>1172</v>
      </c>
      <c r="B17" s="1" t="s">
        <v>134</v>
      </c>
      <c r="C17" s="1" t="s">
        <v>135</v>
      </c>
      <c r="D17" s="1" t="str">
        <f>HYPERLINK("http://eros.fiehnlab.ucdavis.edu:8080/binbase-compound/bin/show/199262?db=rtx5","199262")</f>
        <v>199262</v>
      </c>
      <c r="E17" s="1" t="s">
        <v>136</v>
      </c>
      <c r="F17" s="1" t="str">
        <f>HYPERLINK("http://www.genome.ad.jp/dbget-bin/www_bget?compound+C01620","C01620")</f>
        <v>C01620</v>
      </c>
      <c r="G17" s="1" t="str">
        <f>HYPERLINK("http://pubchem.ncbi.nlm.nih.gov/summary/summary.cgi?cid=439535","439535")</f>
        <v>439535</v>
      </c>
      <c r="H17" s="1"/>
      <c r="I17" s="5">
        <v>354</v>
      </c>
      <c r="J17" s="5">
        <v>1174</v>
      </c>
      <c r="K17" s="5">
        <v>293</v>
      </c>
      <c r="L17" s="5">
        <v>199</v>
      </c>
      <c r="M17" s="5">
        <v>272</v>
      </c>
      <c r="N17" s="5">
        <v>529</v>
      </c>
      <c r="O17" s="5">
        <v>297</v>
      </c>
      <c r="P17" s="5">
        <v>196</v>
      </c>
      <c r="Q17" s="5">
        <v>376</v>
      </c>
      <c r="R17" s="5">
        <v>191</v>
      </c>
      <c r="S17" s="5">
        <v>360</v>
      </c>
      <c r="T17" s="5">
        <v>491</v>
      </c>
      <c r="U17" s="5">
        <v>221</v>
      </c>
      <c r="V17" s="5">
        <v>361</v>
      </c>
      <c r="W17" s="5">
        <v>661</v>
      </c>
      <c r="X17" s="5">
        <v>290</v>
      </c>
      <c r="Y17" s="5">
        <v>148</v>
      </c>
      <c r="Z17" s="5">
        <v>504</v>
      </c>
      <c r="AA17" s="5">
        <v>421</v>
      </c>
      <c r="AB17" s="5">
        <v>237</v>
      </c>
      <c r="AC17" s="5">
        <v>281</v>
      </c>
      <c r="AD17" s="5">
        <v>357</v>
      </c>
      <c r="AE17" s="5">
        <v>366</v>
      </c>
      <c r="AF17" s="5">
        <v>234</v>
      </c>
      <c r="AG17" s="5">
        <v>252</v>
      </c>
      <c r="AH17" s="5">
        <v>208</v>
      </c>
      <c r="AI17" s="5">
        <v>378</v>
      </c>
      <c r="AJ17" s="5">
        <v>217</v>
      </c>
      <c r="AK17" s="5">
        <v>220</v>
      </c>
      <c r="AL17" s="5">
        <v>517</v>
      </c>
      <c r="AM17" s="5">
        <v>207</v>
      </c>
      <c r="AN17" s="5">
        <v>436</v>
      </c>
      <c r="AO17" s="5">
        <v>354</v>
      </c>
      <c r="AP17" s="5">
        <v>239</v>
      </c>
      <c r="AQ17" s="5">
        <v>669</v>
      </c>
      <c r="AR17" s="5">
        <v>243</v>
      </c>
    </row>
    <row r="18" spans="1:44">
      <c r="A18" s="1" t="s">
        <v>137</v>
      </c>
      <c r="B18" s="1" t="s">
        <v>138</v>
      </c>
      <c r="C18" s="1" t="s">
        <v>139</v>
      </c>
      <c r="D18" s="1" t="str">
        <f>HYPERLINK("http://eros.fiehnlab.ucdavis.edu:8080/binbase-compound/bin/show/203674?db=rtx5","203674")</f>
        <v>203674</v>
      </c>
      <c r="E18" s="1" t="s">
        <v>140</v>
      </c>
      <c r="F18" s="1" t="str">
        <f>HYPERLINK("http://www.genome.ad.jp/dbget-bin/www_bget?compound+C00089","C00089")</f>
        <v>C00089</v>
      </c>
      <c r="G18" s="1" t="str">
        <f>HYPERLINK("http://pubchem.ncbi.nlm.nih.gov/summary/summary.cgi?cid=5988","5988")</f>
        <v>5988</v>
      </c>
      <c r="H18" s="1"/>
      <c r="I18" s="5">
        <v>782</v>
      </c>
      <c r="J18" s="5">
        <v>1271</v>
      </c>
      <c r="K18" s="5">
        <v>424</v>
      </c>
      <c r="L18" s="5">
        <v>141</v>
      </c>
      <c r="M18" s="5">
        <v>204</v>
      </c>
      <c r="N18" s="5">
        <v>536</v>
      </c>
      <c r="O18" s="5">
        <v>601</v>
      </c>
      <c r="P18" s="5">
        <v>435</v>
      </c>
      <c r="Q18" s="5">
        <v>205</v>
      </c>
      <c r="R18" s="5">
        <v>342</v>
      </c>
      <c r="S18" s="5">
        <v>393</v>
      </c>
      <c r="T18" s="5">
        <v>238</v>
      </c>
      <c r="U18" s="5">
        <v>492</v>
      </c>
      <c r="V18" s="5">
        <v>140</v>
      </c>
      <c r="W18" s="5">
        <v>257</v>
      </c>
      <c r="X18" s="5">
        <v>171</v>
      </c>
      <c r="Y18" s="5">
        <v>272</v>
      </c>
      <c r="Z18" s="5">
        <v>294</v>
      </c>
      <c r="AA18" s="5">
        <v>441</v>
      </c>
      <c r="AB18" s="5">
        <v>232</v>
      </c>
      <c r="AC18" s="5">
        <v>293</v>
      </c>
      <c r="AD18" s="5">
        <v>834</v>
      </c>
      <c r="AE18" s="5">
        <v>346</v>
      </c>
      <c r="AF18" s="5">
        <v>149</v>
      </c>
      <c r="AG18" s="5">
        <v>111</v>
      </c>
      <c r="AH18" s="5">
        <v>225</v>
      </c>
      <c r="AI18" s="5">
        <v>1245</v>
      </c>
      <c r="AJ18" s="5">
        <v>241</v>
      </c>
      <c r="AK18" s="5">
        <v>136</v>
      </c>
      <c r="AL18" s="5">
        <v>942</v>
      </c>
      <c r="AM18" s="5">
        <v>265</v>
      </c>
      <c r="AN18" s="5">
        <v>739</v>
      </c>
      <c r="AO18" s="5">
        <v>111</v>
      </c>
      <c r="AP18" s="5">
        <v>423</v>
      </c>
      <c r="AQ18" s="5">
        <v>525</v>
      </c>
      <c r="AR18" s="5">
        <v>219</v>
      </c>
    </row>
    <row r="19" spans="1:44">
      <c r="A19" s="1" t="s">
        <v>141</v>
      </c>
      <c r="B19" s="1" t="s">
        <v>142</v>
      </c>
      <c r="C19" s="1" t="s">
        <v>143</v>
      </c>
      <c r="D19" s="1" t="str">
        <f>HYPERLINK("http://eros.fiehnlab.ucdavis.edu:8080/binbase-compound/bin/show/199210?db=rtx5","199210")</f>
        <v>199210</v>
      </c>
      <c r="E19" s="1" t="s">
        <v>144</v>
      </c>
      <c r="F19" s="1" t="str">
        <f>HYPERLINK("http://www.genome.ad.jp/dbget-bin/www_bget?compound+C00042","C00042")</f>
        <v>C00042</v>
      </c>
      <c r="G19" s="1" t="str">
        <f>HYPERLINK("http://pubchem.ncbi.nlm.nih.gov/summary/summary.cgi?cid=1110","1110")</f>
        <v>1110</v>
      </c>
      <c r="H19" s="1"/>
      <c r="I19" s="5">
        <v>10210</v>
      </c>
      <c r="J19" s="5">
        <v>17643</v>
      </c>
      <c r="K19" s="5">
        <v>6056</v>
      </c>
      <c r="L19" s="5">
        <v>6197</v>
      </c>
      <c r="M19" s="5">
        <v>18565</v>
      </c>
      <c r="N19" s="5">
        <v>17123</v>
      </c>
      <c r="O19" s="5">
        <v>15861</v>
      </c>
      <c r="P19" s="5">
        <v>5166</v>
      </c>
      <c r="Q19" s="5">
        <v>3710</v>
      </c>
      <c r="R19" s="5">
        <v>4199</v>
      </c>
      <c r="S19" s="5">
        <v>3566</v>
      </c>
      <c r="T19" s="5">
        <v>3621</v>
      </c>
      <c r="U19" s="5">
        <v>10243</v>
      </c>
      <c r="V19" s="5">
        <v>9554</v>
      </c>
      <c r="W19" s="5">
        <v>6538</v>
      </c>
      <c r="X19" s="5">
        <v>2190</v>
      </c>
      <c r="Y19" s="5">
        <v>3389</v>
      </c>
      <c r="Z19" s="5">
        <v>11066</v>
      </c>
      <c r="AA19" s="5">
        <v>5804</v>
      </c>
      <c r="AB19" s="5">
        <v>3227</v>
      </c>
      <c r="AC19" s="5">
        <v>3164</v>
      </c>
      <c r="AD19" s="5">
        <v>10847</v>
      </c>
      <c r="AE19" s="5">
        <v>4199</v>
      </c>
      <c r="AF19" s="5">
        <v>6463</v>
      </c>
      <c r="AG19" s="5">
        <v>5308</v>
      </c>
      <c r="AH19" s="5">
        <v>6753</v>
      </c>
      <c r="AI19" s="5">
        <v>4178</v>
      </c>
      <c r="AJ19" s="5">
        <v>5362</v>
      </c>
      <c r="AK19" s="5">
        <v>3721</v>
      </c>
      <c r="AL19" s="5">
        <v>6343</v>
      </c>
      <c r="AM19" s="5">
        <v>2999</v>
      </c>
      <c r="AN19" s="5">
        <v>4583</v>
      </c>
      <c r="AO19" s="5">
        <v>3133</v>
      </c>
      <c r="AP19" s="5">
        <v>5436</v>
      </c>
      <c r="AQ19" s="5">
        <v>18761</v>
      </c>
      <c r="AR19" s="5">
        <v>2351</v>
      </c>
    </row>
    <row r="20" spans="1:44">
      <c r="A20" s="1" t="s">
        <v>145</v>
      </c>
      <c r="B20" s="1" t="s">
        <v>146</v>
      </c>
      <c r="C20" s="1" t="s">
        <v>132</v>
      </c>
      <c r="D20" s="1" t="str">
        <f>HYPERLINK("http://eros.fiehnlab.ucdavis.edu:8080/binbase-compound/bin/show/199195?db=rtx5","199195")</f>
        <v>199195</v>
      </c>
      <c r="E20" s="1" t="s">
        <v>147</v>
      </c>
      <c r="F20" s="1" t="str">
        <f>HYPERLINK("http://www.genome.ad.jp/dbget-bin/www_bget?compound+C01530","C01530")</f>
        <v>C01530</v>
      </c>
      <c r="G20" s="1" t="str">
        <f>HYPERLINK("http://pubchem.ncbi.nlm.nih.gov/summary/summary.cgi?cid=5281","5281")</f>
        <v>5281</v>
      </c>
      <c r="H20" s="1"/>
      <c r="I20" s="5">
        <v>1480487</v>
      </c>
      <c r="J20" s="5">
        <v>183406</v>
      </c>
      <c r="K20" s="5">
        <v>147241</v>
      </c>
      <c r="L20" s="5">
        <v>136850</v>
      </c>
      <c r="M20" s="5">
        <v>172786</v>
      </c>
      <c r="N20" s="5">
        <v>118736</v>
      </c>
      <c r="O20" s="5">
        <v>339567</v>
      </c>
      <c r="P20" s="5">
        <v>261519</v>
      </c>
      <c r="Q20" s="5">
        <v>1104183</v>
      </c>
      <c r="R20" s="5">
        <v>141442</v>
      </c>
      <c r="S20" s="5">
        <v>236301</v>
      </c>
      <c r="T20" s="5">
        <v>126243</v>
      </c>
      <c r="U20" s="5">
        <v>1943852</v>
      </c>
      <c r="V20" s="5">
        <v>139016</v>
      </c>
      <c r="W20" s="5">
        <v>221557</v>
      </c>
      <c r="X20" s="5">
        <v>286117</v>
      </c>
      <c r="Y20" s="5">
        <v>334377</v>
      </c>
      <c r="Z20" s="5">
        <v>156644</v>
      </c>
      <c r="AA20" s="5">
        <v>305939</v>
      </c>
      <c r="AB20" s="5">
        <v>102465</v>
      </c>
      <c r="AC20" s="5">
        <v>83262</v>
      </c>
      <c r="AD20" s="5">
        <v>118158</v>
      </c>
      <c r="AE20" s="5">
        <v>248793</v>
      </c>
      <c r="AF20" s="5">
        <v>120504</v>
      </c>
      <c r="AG20" s="5">
        <v>243343</v>
      </c>
      <c r="AH20" s="5">
        <v>66226</v>
      </c>
      <c r="AI20" s="5">
        <v>266135</v>
      </c>
      <c r="AJ20" s="5">
        <v>131051</v>
      </c>
      <c r="AK20" s="5">
        <v>214442</v>
      </c>
      <c r="AL20" s="5">
        <v>113537</v>
      </c>
      <c r="AM20" s="5">
        <v>195521</v>
      </c>
      <c r="AN20" s="5">
        <v>138796</v>
      </c>
      <c r="AO20" s="5">
        <v>159725</v>
      </c>
      <c r="AP20" s="5">
        <v>253139</v>
      </c>
      <c r="AQ20" s="5">
        <v>231397</v>
      </c>
      <c r="AR20" s="5">
        <v>118155</v>
      </c>
    </row>
    <row r="21" spans="1:44">
      <c r="A21" s="1" t="s">
        <v>1173</v>
      </c>
      <c r="B21" s="1" t="s">
        <v>148</v>
      </c>
      <c r="C21" s="1" t="s">
        <v>98</v>
      </c>
      <c r="D21" s="1" t="str">
        <f>HYPERLINK("http://eros.fiehnlab.ucdavis.edu:8080/binbase-compound/bin/show/226186?db=rtx5","226186")</f>
        <v>226186</v>
      </c>
      <c r="E21" s="1" t="s">
        <v>149</v>
      </c>
      <c r="F21" s="1" t="str">
        <f>HYPERLINK("http://www.genome.ad.jp/dbget-bin/www_bget?compound+C00750","C00750")</f>
        <v>C00750</v>
      </c>
      <c r="G21" s="1" t="str">
        <f>HYPERLINK("http://pubchem.ncbi.nlm.nih.gov/summary/summary.cgi?cid=1103","1103")</f>
        <v>1103</v>
      </c>
      <c r="H21" s="1"/>
      <c r="I21" s="5">
        <v>164</v>
      </c>
      <c r="J21" s="5">
        <v>1000</v>
      </c>
      <c r="K21" s="5">
        <v>279</v>
      </c>
      <c r="L21" s="5">
        <v>138</v>
      </c>
      <c r="M21" s="5">
        <v>300</v>
      </c>
      <c r="N21" s="5">
        <v>637</v>
      </c>
      <c r="O21" s="5">
        <v>629</v>
      </c>
      <c r="P21" s="5">
        <v>173</v>
      </c>
      <c r="Q21" s="5">
        <v>157</v>
      </c>
      <c r="R21" s="5">
        <v>316</v>
      </c>
      <c r="S21" s="5">
        <v>231</v>
      </c>
      <c r="T21" s="5">
        <v>99</v>
      </c>
      <c r="U21" s="5">
        <v>278</v>
      </c>
      <c r="V21" s="5">
        <v>287</v>
      </c>
      <c r="W21" s="5">
        <v>363</v>
      </c>
      <c r="X21" s="5">
        <v>183</v>
      </c>
      <c r="Y21" s="5">
        <v>234</v>
      </c>
      <c r="Z21" s="5">
        <v>925</v>
      </c>
      <c r="AA21" s="5">
        <v>204</v>
      </c>
      <c r="AB21" s="5">
        <v>227</v>
      </c>
      <c r="AC21" s="5">
        <v>212</v>
      </c>
      <c r="AD21" s="5">
        <v>196</v>
      </c>
      <c r="AE21" s="5">
        <v>200</v>
      </c>
      <c r="AF21" s="5">
        <v>122</v>
      </c>
      <c r="AG21" s="5">
        <v>330</v>
      </c>
      <c r="AH21" s="5">
        <v>447</v>
      </c>
      <c r="AI21" s="5">
        <v>420</v>
      </c>
      <c r="AJ21" s="5">
        <v>185</v>
      </c>
      <c r="AK21" s="5">
        <v>369</v>
      </c>
      <c r="AL21" s="5">
        <v>309</v>
      </c>
      <c r="AM21" s="5">
        <v>165</v>
      </c>
      <c r="AN21" s="5">
        <v>396</v>
      </c>
      <c r="AO21" s="5">
        <v>141</v>
      </c>
      <c r="AP21" s="5">
        <v>308</v>
      </c>
      <c r="AQ21" s="5">
        <v>508</v>
      </c>
      <c r="AR21" s="5">
        <v>131</v>
      </c>
    </row>
    <row r="22" spans="1:44">
      <c r="A22" s="1" t="s">
        <v>1174</v>
      </c>
      <c r="B22" s="1" t="s">
        <v>150</v>
      </c>
      <c r="C22" s="1" t="s">
        <v>98</v>
      </c>
      <c r="D22" s="1" t="str">
        <f>HYPERLINK("http://eros.fiehnlab.ucdavis.edu:8080/binbase-compound/bin/show/200990?db=rtx5","200990")</f>
        <v>200990</v>
      </c>
      <c r="E22" s="1" t="s">
        <v>151</v>
      </c>
      <c r="F22" s="1" t="str">
        <f>HYPERLINK("http://www.genome.ad.jp/dbget-bin/www_bget?compound+C00315","C00315")</f>
        <v>C00315</v>
      </c>
      <c r="G22" s="1" t="str">
        <f>HYPERLINK("http://pubchem.ncbi.nlm.nih.gov/summary/summary.cgi?cid=1102","1102")</f>
        <v>1102</v>
      </c>
      <c r="H22" s="1"/>
      <c r="I22" s="5">
        <v>23786</v>
      </c>
      <c r="J22" s="5">
        <v>52373</v>
      </c>
      <c r="K22" s="5">
        <v>11429</v>
      </c>
      <c r="L22" s="5">
        <v>14020</v>
      </c>
      <c r="M22" s="5">
        <v>20401</v>
      </c>
      <c r="N22" s="5">
        <v>37162</v>
      </c>
      <c r="O22" s="5">
        <v>28384</v>
      </c>
      <c r="P22" s="5">
        <v>10448</v>
      </c>
      <c r="Q22" s="5">
        <v>8726</v>
      </c>
      <c r="R22" s="5">
        <v>8334</v>
      </c>
      <c r="S22" s="5">
        <v>17337</v>
      </c>
      <c r="T22" s="5">
        <v>17390</v>
      </c>
      <c r="U22" s="5">
        <v>8267</v>
      </c>
      <c r="V22" s="5">
        <v>32133</v>
      </c>
      <c r="W22" s="5">
        <v>7352</v>
      </c>
      <c r="X22" s="5">
        <v>14565</v>
      </c>
      <c r="Y22" s="5">
        <v>7447</v>
      </c>
      <c r="Z22" s="5">
        <v>35912</v>
      </c>
      <c r="AA22" s="5">
        <v>8490</v>
      </c>
      <c r="AB22" s="5">
        <v>8093</v>
      </c>
      <c r="AC22" s="5">
        <v>3874</v>
      </c>
      <c r="AD22" s="5">
        <v>3099</v>
      </c>
      <c r="AE22" s="5">
        <v>11772</v>
      </c>
      <c r="AF22" s="5">
        <v>3336</v>
      </c>
      <c r="AG22" s="5">
        <v>10338</v>
      </c>
      <c r="AH22" s="5">
        <v>6161</v>
      </c>
      <c r="AI22" s="5">
        <v>49076</v>
      </c>
      <c r="AJ22" s="5">
        <v>3861</v>
      </c>
      <c r="AK22" s="5">
        <v>6777</v>
      </c>
      <c r="AL22" s="5">
        <v>20287</v>
      </c>
      <c r="AM22" s="5">
        <v>2918</v>
      </c>
      <c r="AN22" s="5">
        <v>46743</v>
      </c>
      <c r="AO22" s="5">
        <v>2561</v>
      </c>
      <c r="AP22" s="5">
        <v>3669</v>
      </c>
      <c r="AQ22" s="5">
        <v>17485</v>
      </c>
      <c r="AR22" s="5">
        <v>3739</v>
      </c>
    </row>
    <row r="23" spans="1:44">
      <c r="A23" s="1" t="s">
        <v>153</v>
      </c>
      <c r="B23" s="1" t="s">
        <v>154</v>
      </c>
      <c r="C23" s="1" t="s">
        <v>155</v>
      </c>
      <c r="D23" s="1" t="str">
        <f>HYPERLINK("http://eros.fiehnlab.ucdavis.edu:8080/binbase-compound/bin/show/199440?db=rtx5","199440")</f>
        <v>199440</v>
      </c>
      <c r="E23" s="1" t="s">
        <v>156</v>
      </c>
      <c r="F23" s="1" t="str">
        <f>HYPERLINK("http://www.genome.ad.jp/dbget-bin/www_bget?compound+C00065","C00065")</f>
        <v>C00065</v>
      </c>
      <c r="G23" s="1" t="str">
        <f>HYPERLINK("http://pubchem.ncbi.nlm.nih.gov/summary/summary.cgi?cid=5951","5951")</f>
        <v>5951</v>
      </c>
      <c r="H23" s="1"/>
      <c r="I23" s="5">
        <v>11843</v>
      </c>
      <c r="J23" s="5">
        <v>4547</v>
      </c>
      <c r="K23" s="5">
        <v>1992</v>
      </c>
      <c r="L23" s="5">
        <v>1889</v>
      </c>
      <c r="M23" s="5">
        <v>6457</v>
      </c>
      <c r="N23" s="5">
        <v>8510</v>
      </c>
      <c r="O23" s="5">
        <v>8730</v>
      </c>
      <c r="P23" s="5">
        <v>2796</v>
      </c>
      <c r="Q23" s="5">
        <v>999</v>
      </c>
      <c r="R23" s="5">
        <v>3019</v>
      </c>
      <c r="S23" s="5">
        <v>2280</v>
      </c>
      <c r="T23" s="5">
        <v>3780</v>
      </c>
      <c r="U23" s="5">
        <v>3944</v>
      </c>
      <c r="V23" s="5">
        <v>5834</v>
      </c>
      <c r="W23" s="5">
        <v>1956</v>
      </c>
      <c r="X23" s="5">
        <v>1264</v>
      </c>
      <c r="Y23" s="5">
        <v>2709</v>
      </c>
      <c r="Z23" s="5">
        <v>12468</v>
      </c>
      <c r="AA23" s="5">
        <v>1700</v>
      </c>
      <c r="AB23" s="5">
        <v>1954</v>
      </c>
      <c r="AC23" s="5">
        <v>1819</v>
      </c>
      <c r="AD23" s="5">
        <v>2213</v>
      </c>
      <c r="AE23" s="5">
        <v>2506</v>
      </c>
      <c r="AF23" s="5">
        <v>3685</v>
      </c>
      <c r="AG23" s="5">
        <v>2836</v>
      </c>
      <c r="AH23" s="5">
        <v>2151</v>
      </c>
      <c r="AI23" s="5">
        <v>11316</v>
      </c>
      <c r="AJ23" s="5">
        <v>2946</v>
      </c>
      <c r="AK23" s="5">
        <v>1793</v>
      </c>
      <c r="AL23" s="5">
        <v>4511</v>
      </c>
      <c r="AM23" s="5">
        <v>1868</v>
      </c>
      <c r="AN23" s="5">
        <v>6983</v>
      </c>
      <c r="AO23" s="5">
        <v>1656</v>
      </c>
      <c r="AP23" s="5">
        <v>1993</v>
      </c>
      <c r="AQ23" s="5">
        <v>4571</v>
      </c>
      <c r="AR23" s="5">
        <v>1290</v>
      </c>
    </row>
    <row r="24" spans="1:44">
      <c r="A24" s="1" t="s">
        <v>157</v>
      </c>
      <c r="B24" s="1" t="s">
        <v>158</v>
      </c>
      <c r="C24" s="1" t="s">
        <v>159</v>
      </c>
      <c r="D24" s="1" t="str">
        <f>HYPERLINK("http://eros.fiehnlab.ucdavis.edu:8080/binbase-compound/bin/show/199200?db=rtx5","199200")</f>
        <v>199200</v>
      </c>
      <c r="E24" s="1" t="s">
        <v>160</v>
      </c>
      <c r="F24" s="1" t="str">
        <f>HYPERLINK("http://www.genome.ad.jp/dbget-bin/www_bget?compound+C00805","C00805")</f>
        <v>C00805</v>
      </c>
      <c r="G24" s="1" t="str">
        <f>HYPERLINK("http://pubchem.ncbi.nlm.nih.gov/summary/summary.cgi?cid=338","338")</f>
        <v>338</v>
      </c>
      <c r="H24" s="1"/>
      <c r="I24" s="5">
        <v>1327</v>
      </c>
      <c r="J24" s="5">
        <v>1650</v>
      </c>
      <c r="K24" s="5">
        <v>877</v>
      </c>
      <c r="L24" s="5">
        <v>658</v>
      </c>
      <c r="M24" s="5">
        <v>1039</v>
      </c>
      <c r="N24" s="5">
        <v>1660</v>
      </c>
      <c r="O24" s="5">
        <v>1462</v>
      </c>
      <c r="P24" s="5">
        <v>923</v>
      </c>
      <c r="Q24" s="5">
        <v>1664</v>
      </c>
      <c r="R24" s="5">
        <v>793</v>
      </c>
      <c r="S24" s="5">
        <v>1652</v>
      </c>
      <c r="T24" s="5">
        <v>1710</v>
      </c>
      <c r="U24" s="5">
        <v>869</v>
      </c>
      <c r="V24" s="5">
        <v>823</v>
      </c>
      <c r="W24" s="5">
        <v>1278</v>
      </c>
      <c r="X24" s="5">
        <v>1398</v>
      </c>
      <c r="Y24" s="5">
        <v>1333</v>
      </c>
      <c r="Z24" s="5">
        <v>1412</v>
      </c>
      <c r="AA24" s="5">
        <v>1775</v>
      </c>
      <c r="AB24" s="5">
        <v>880</v>
      </c>
      <c r="AC24" s="5">
        <v>817</v>
      </c>
      <c r="AD24" s="5">
        <v>1053</v>
      </c>
      <c r="AE24" s="5">
        <v>1436</v>
      </c>
      <c r="AF24" s="5">
        <v>852</v>
      </c>
      <c r="AG24" s="5">
        <v>1253</v>
      </c>
      <c r="AH24" s="5">
        <v>893</v>
      </c>
      <c r="AI24" s="5">
        <v>1050</v>
      </c>
      <c r="AJ24" s="5">
        <v>859</v>
      </c>
      <c r="AK24" s="5">
        <v>1368</v>
      </c>
      <c r="AL24" s="5">
        <v>1690</v>
      </c>
      <c r="AM24" s="5">
        <v>901</v>
      </c>
      <c r="AN24" s="5">
        <v>1900</v>
      </c>
      <c r="AO24" s="5">
        <v>1128</v>
      </c>
      <c r="AP24" s="5">
        <v>1150</v>
      </c>
      <c r="AQ24" s="5">
        <v>1911</v>
      </c>
      <c r="AR24" s="5">
        <v>1153</v>
      </c>
    </row>
    <row r="25" spans="1:44">
      <c r="A25" s="1" t="s">
        <v>161</v>
      </c>
      <c r="B25" s="1" t="s">
        <v>162</v>
      </c>
      <c r="C25" s="1" t="s">
        <v>163</v>
      </c>
      <c r="D25" s="1" t="str">
        <f>HYPERLINK("http://eros.fiehnlab.ucdavis.edu:8080/binbase-compound/bin/show/213449?db=rtx5","213449")</f>
        <v>213449</v>
      </c>
      <c r="E25" s="1" t="s">
        <v>164</v>
      </c>
      <c r="F25" s="1" t="str">
        <f>HYPERLINK("http://www.genome.ad.jp/dbget-bin/www_bget?compound+C06202","C06202")</f>
        <v>C06202</v>
      </c>
      <c r="G25" s="1" t="str">
        <f>HYPERLINK("http://pubchem.ncbi.nlm.nih.gov/summary/summary.cgi?cid=6998","6998")</f>
        <v>6998</v>
      </c>
      <c r="H25" s="1"/>
      <c r="I25" s="5">
        <v>301</v>
      </c>
      <c r="J25" s="5">
        <v>677</v>
      </c>
      <c r="K25" s="5">
        <v>327</v>
      </c>
      <c r="L25" s="5">
        <v>660</v>
      </c>
      <c r="M25" s="5">
        <v>323</v>
      </c>
      <c r="N25" s="5">
        <v>514</v>
      </c>
      <c r="O25" s="5">
        <v>366</v>
      </c>
      <c r="P25" s="5">
        <v>723</v>
      </c>
      <c r="Q25" s="5">
        <v>409</v>
      </c>
      <c r="R25" s="5">
        <v>264</v>
      </c>
      <c r="S25" s="5">
        <v>365</v>
      </c>
      <c r="T25" s="5">
        <v>443</v>
      </c>
      <c r="U25" s="5">
        <v>261</v>
      </c>
      <c r="V25" s="5">
        <v>279</v>
      </c>
      <c r="W25" s="5">
        <v>384</v>
      </c>
      <c r="X25" s="5">
        <v>686</v>
      </c>
      <c r="Y25" s="5">
        <v>348</v>
      </c>
      <c r="Z25" s="5">
        <v>514</v>
      </c>
      <c r="AA25" s="5">
        <v>829</v>
      </c>
      <c r="AB25" s="5">
        <v>396</v>
      </c>
      <c r="AC25" s="5">
        <v>460</v>
      </c>
      <c r="AD25" s="5">
        <v>302</v>
      </c>
      <c r="AE25" s="5">
        <v>969</v>
      </c>
      <c r="AF25" s="5">
        <v>315</v>
      </c>
      <c r="AG25" s="5">
        <v>711</v>
      </c>
      <c r="AH25" s="5">
        <v>413</v>
      </c>
      <c r="AI25" s="5">
        <v>91</v>
      </c>
      <c r="AJ25" s="5">
        <v>458</v>
      </c>
      <c r="AK25" s="5">
        <v>479</v>
      </c>
      <c r="AL25" s="5">
        <v>836</v>
      </c>
      <c r="AM25" s="5">
        <v>312</v>
      </c>
      <c r="AN25" s="5">
        <v>691</v>
      </c>
      <c r="AO25" s="5">
        <v>421</v>
      </c>
      <c r="AP25" s="5">
        <v>413</v>
      </c>
      <c r="AQ25" s="5">
        <v>978</v>
      </c>
      <c r="AR25" s="5">
        <v>334</v>
      </c>
    </row>
    <row r="26" spans="1:44">
      <c r="A26" s="1" t="s">
        <v>165</v>
      </c>
      <c r="B26" s="1" t="s">
        <v>166</v>
      </c>
      <c r="C26" s="1" t="s">
        <v>167</v>
      </c>
      <c r="D26" s="1" t="str">
        <f>HYPERLINK("http://eros.fiehnlab.ucdavis.edu:8080/binbase-compound/bin/show/219185?db=rtx5","219185")</f>
        <v>219185</v>
      </c>
      <c r="E26" s="1" t="s">
        <v>168</v>
      </c>
      <c r="F26" s="1" t="str">
        <f>HYPERLINK("http://www.genome.ad.jp/dbget-bin/www_bget?compound+C00449","C00449")</f>
        <v>C00449</v>
      </c>
      <c r="G26" s="1" t="str">
        <f>HYPERLINK("http://pubchem.ncbi.nlm.nih.gov/summary/summary.cgi?cid=160556","160556")</f>
        <v>160556</v>
      </c>
      <c r="H26" s="1"/>
      <c r="I26" s="5">
        <v>1467</v>
      </c>
      <c r="J26" s="5">
        <v>1963</v>
      </c>
      <c r="K26" s="5">
        <v>331</v>
      </c>
      <c r="L26" s="5">
        <v>390</v>
      </c>
      <c r="M26" s="5">
        <v>886</v>
      </c>
      <c r="N26" s="5">
        <v>667</v>
      </c>
      <c r="O26" s="5">
        <v>492</v>
      </c>
      <c r="P26" s="5">
        <v>239</v>
      </c>
      <c r="Q26" s="5">
        <v>1358</v>
      </c>
      <c r="R26" s="5">
        <v>295</v>
      </c>
      <c r="S26" s="5">
        <v>943</v>
      </c>
      <c r="T26" s="5">
        <v>3191</v>
      </c>
      <c r="U26" s="5">
        <v>462</v>
      </c>
      <c r="V26" s="5">
        <v>1736</v>
      </c>
      <c r="W26" s="5">
        <v>1066</v>
      </c>
      <c r="X26" s="5">
        <v>751</v>
      </c>
      <c r="Y26" s="5">
        <v>429</v>
      </c>
      <c r="Z26" s="5">
        <v>2372</v>
      </c>
      <c r="AA26" s="5">
        <v>6001</v>
      </c>
      <c r="AB26" s="5">
        <v>421</v>
      </c>
      <c r="AC26" s="5">
        <v>249</v>
      </c>
      <c r="AD26" s="5">
        <v>294</v>
      </c>
      <c r="AE26" s="5">
        <v>851</v>
      </c>
      <c r="AF26" s="5">
        <v>338</v>
      </c>
      <c r="AG26" s="5">
        <v>450</v>
      </c>
      <c r="AH26" s="5">
        <v>281</v>
      </c>
      <c r="AI26" s="5">
        <v>1205</v>
      </c>
      <c r="AJ26" s="5">
        <v>268</v>
      </c>
      <c r="AK26" s="5">
        <v>328</v>
      </c>
      <c r="AL26" s="5">
        <v>1651</v>
      </c>
      <c r="AM26" s="5">
        <v>302</v>
      </c>
      <c r="AN26" s="5">
        <v>2257</v>
      </c>
      <c r="AO26" s="5">
        <v>242</v>
      </c>
      <c r="AP26" s="5">
        <v>319</v>
      </c>
      <c r="AQ26" s="5">
        <v>2324</v>
      </c>
      <c r="AR26" s="5">
        <v>493</v>
      </c>
    </row>
    <row r="27" spans="1:44">
      <c r="A27" s="1" t="s">
        <v>169</v>
      </c>
      <c r="B27" s="1" t="s">
        <v>170</v>
      </c>
      <c r="C27" s="1" t="s">
        <v>171</v>
      </c>
      <c r="D27" s="1" t="str">
        <f>HYPERLINK("http://eros.fiehnlab.ucdavis.edu:8080/binbase-compound/bin/show/203258?db=rtx5","203258")</f>
        <v>203258</v>
      </c>
      <c r="E27" s="1" t="s">
        <v>172</v>
      </c>
      <c r="F27" s="1" t="str">
        <f>HYPERLINK("http://www.genome.ad.jp/dbget-bin/www_bget?compound+C00117","C00117")</f>
        <v>C00117</v>
      </c>
      <c r="G27" s="1" t="str">
        <f>HYPERLINK("http://pubchem.ncbi.nlm.nih.gov/summary/summary.cgi?cid=77982","77982")</f>
        <v>77982</v>
      </c>
      <c r="H27" s="1"/>
      <c r="I27" s="5">
        <v>970</v>
      </c>
      <c r="J27" s="5">
        <v>1033</v>
      </c>
      <c r="K27" s="5">
        <v>760</v>
      </c>
      <c r="L27" s="5">
        <v>666</v>
      </c>
      <c r="M27" s="5">
        <v>678</v>
      </c>
      <c r="N27" s="5">
        <v>835</v>
      </c>
      <c r="O27" s="5">
        <v>357</v>
      </c>
      <c r="P27" s="5">
        <v>336</v>
      </c>
      <c r="Q27" s="5">
        <v>419</v>
      </c>
      <c r="R27" s="5">
        <v>327</v>
      </c>
      <c r="S27" s="5">
        <v>393</v>
      </c>
      <c r="T27" s="5">
        <v>545</v>
      </c>
      <c r="U27" s="5">
        <v>499</v>
      </c>
      <c r="V27" s="5">
        <v>746</v>
      </c>
      <c r="W27" s="5">
        <v>922</v>
      </c>
      <c r="X27" s="5">
        <v>409</v>
      </c>
      <c r="Y27" s="5">
        <v>197</v>
      </c>
      <c r="Z27" s="5">
        <v>329</v>
      </c>
      <c r="AA27" s="5">
        <v>176</v>
      </c>
      <c r="AB27" s="5">
        <v>895</v>
      </c>
      <c r="AC27" s="5">
        <v>1895</v>
      </c>
      <c r="AD27" s="5">
        <v>3661</v>
      </c>
      <c r="AE27" s="5">
        <v>705</v>
      </c>
      <c r="AF27" s="5">
        <v>261</v>
      </c>
      <c r="AG27" s="5">
        <v>536</v>
      </c>
      <c r="AH27" s="5">
        <v>1165</v>
      </c>
      <c r="AI27" s="5">
        <v>327</v>
      </c>
      <c r="AJ27" s="5">
        <v>995</v>
      </c>
      <c r="AK27" s="5">
        <v>473</v>
      </c>
      <c r="AL27" s="5">
        <v>717</v>
      </c>
      <c r="AM27" s="5">
        <v>422</v>
      </c>
      <c r="AN27" s="5">
        <v>426</v>
      </c>
      <c r="AO27" s="5">
        <v>1781</v>
      </c>
      <c r="AP27" s="5">
        <v>984</v>
      </c>
      <c r="AQ27" s="5">
        <v>561</v>
      </c>
      <c r="AR27" s="5">
        <v>468</v>
      </c>
    </row>
    <row r="28" spans="1:44">
      <c r="A28" s="1" t="s">
        <v>173</v>
      </c>
      <c r="B28" s="1" t="s">
        <v>174</v>
      </c>
      <c r="C28" s="1" t="s">
        <v>175</v>
      </c>
      <c r="D28" s="1" t="str">
        <f>HYPERLINK("http://eros.fiehnlab.ucdavis.edu:8080/binbase-compound/bin/show/205473?db=rtx5","205473")</f>
        <v>205473</v>
      </c>
      <c r="E28" s="1" t="s">
        <v>176</v>
      </c>
      <c r="F28" s="1" t="str">
        <f>HYPERLINK("http://www.genome.ad.jp/dbget-bin/www_bget?compound+C00121","C00121")</f>
        <v>C00121</v>
      </c>
      <c r="G28" s="1" t="str">
        <f>HYPERLINK("http://pubchem.ncbi.nlm.nih.gov/summary/summary.cgi?cid=5779","5779")</f>
        <v>5779</v>
      </c>
      <c r="H28" s="1"/>
      <c r="I28" s="5">
        <v>13427</v>
      </c>
      <c r="J28" s="5">
        <v>19037</v>
      </c>
      <c r="K28" s="5">
        <v>15720</v>
      </c>
      <c r="L28" s="5">
        <v>11581</v>
      </c>
      <c r="M28" s="5">
        <v>11796</v>
      </c>
      <c r="N28" s="5">
        <v>21208</v>
      </c>
      <c r="O28" s="5">
        <v>7772</v>
      </c>
      <c r="P28" s="5">
        <v>5068</v>
      </c>
      <c r="Q28" s="5">
        <v>22249</v>
      </c>
      <c r="R28" s="5">
        <v>6774</v>
      </c>
      <c r="S28" s="5">
        <v>37138</v>
      </c>
      <c r="T28" s="5">
        <v>34049</v>
      </c>
      <c r="U28" s="5">
        <v>9101</v>
      </c>
      <c r="V28" s="5">
        <v>7589</v>
      </c>
      <c r="W28" s="5">
        <v>21310</v>
      </c>
      <c r="X28" s="5">
        <v>19846</v>
      </c>
      <c r="Y28" s="5">
        <v>9442</v>
      </c>
      <c r="Z28" s="5">
        <v>17462</v>
      </c>
      <c r="AA28" s="5">
        <v>8515</v>
      </c>
      <c r="AB28" s="5">
        <v>25502</v>
      </c>
      <c r="AC28" s="5">
        <v>15046</v>
      </c>
      <c r="AD28" s="5">
        <v>15790</v>
      </c>
      <c r="AE28" s="5">
        <v>40469</v>
      </c>
      <c r="AF28" s="5">
        <v>10883</v>
      </c>
      <c r="AG28" s="5">
        <v>32112</v>
      </c>
      <c r="AH28" s="5">
        <v>26121</v>
      </c>
      <c r="AI28" s="5">
        <v>21108</v>
      </c>
      <c r="AJ28" s="5">
        <v>17236</v>
      </c>
      <c r="AK28" s="5">
        <v>20738</v>
      </c>
      <c r="AL28" s="5">
        <v>37554</v>
      </c>
      <c r="AM28" s="5">
        <v>16299</v>
      </c>
      <c r="AN28" s="5">
        <v>33845</v>
      </c>
      <c r="AO28" s="5">
        <v>15391</v>
      </c>
      <c r="AP28" s="5">
        <v>15977</v>
      </c>
      <c r="AQ28" s="5">
        <v>44987</v>
      </c>
      <c r="AR28" s="5">
        <v>24378</v>
      </c>
    </row>
    <row r="29" spans="1:44">
      <c r="A29" s="1" t="s">
        <v>177</v>
      </c>
      <c r="B29" s="1" t="s">
        <v>178</v>
      </c>
      <c r="C29" s="1" t="s">
        <v>179</v>
      </c>
      <c r="D29" s="1" t="str">
        <f>HYPERLINK("http://eros.fiehnlab.ucdavis.edu:8080/binbase-compound/bin/show/200341?db=rtx5","200341")</f>
        <v>200341</v>
      </c>
      <c r="E29" s="1" t="s">
        <v>180</v>
      </c>
      <c r="F29" s="1" t="str">
        <f>HYPERLINK("http://www.genome.ad.jp/dbget-bin/www_bget?compound+C00013","C00013")</f>
        <v>C00013</v>
      </c>
      <c r="G29" s="1" t="str">
        <f>HYPERLINK("http://pubchem.ncbi.nlm.nih.gov/summary/summary.cgi?cid=1023","1023")</f>
        <v>1023</v>
      </c>
      <c r="H29" s="1"/>
      <c r="I29" s="5">
        <v>18899</v>
      </c>
      <c r="J29" s="5">
        <v>30232</v>
      </c>
      <c r="K29" s="5">
        <v>20770</v>
      </c>
      <c r="L29" s="5">
        <v>61430</v>
      </c>
      <c r="M29" s="5">
        <v>65503</v>
      </c>
      <c r="N29" s="5">
        <v>19189</v>
      </c>
      <c r="O29" s="5">
        <v>8769</v>
      </c>
      <c r="P29" s="5">
        <v>20595</v>
      </c>
      <c r="Q29" s="5">
        <v>22332</v>
      </c>
      <c r="R29" s="5">
        <v>13667</v>
      </c>
      <c r="S29" s="5">
        <v>57046</v>
      </c>
      <c r="T29" s="5">
        <v>62418</v>
      </c>
      <c r="U29" s="5">
        <v>3505</v>
      </c>
      <c r="V29" s="5">
        <v>35665</v>
      </c>
      <c r="W29" s="5">
        <v>21252</v>
      </c>
      <c r="X29" s="5">
        <v>57968</v>
      </c>
      <c r="Y29" s="5">
        <v>3756</v>
      </c>
      <c r="Z29" s="5">
        <v>34675</v>
      </c>
      <c r="AA29" s="5">
        <v>11550</v>
      </c>
      <c r="AB29" s="5">
        <v>42674</v>
      </c>
      <c r="AC29" s="5">
        <v>13904</v>
      </c>
      <c r="AD29" s="5">
        <v>16617</v>
      </c>
      <c r="AE29" s="5">
        <v>87061</v>
      </c>
      <c r="AF29" s="5">
        <v>27715</v>
      </c>
      <c r="AG29" s="5">
        <v>63292</v>
      </c>
      <c r="AH29" s="5">
        <v>41850</v>
      </c>
      <c r="AI29" s="5">
        <v>48180</v>
      </c>
      <c r="AJ29" s="5">
        <v>31371</v>
      </c>
      <c r="AK29" s="5">
        <v>36709</v>
      </c>
      <c r="AL29" s="5">
        <v>49869</v>
      </c>
      <c r="AM29" s="5">
        <v>27883</v>
      </c>
      <c r="AN29" s="5">
        <v>38411</v>
      </c>
      <c r="AO29" s="5">
        <v>17733</v>
      </c>
      <c r="AP29" s="5">
        <v>22920</v>
      </c>
      <c r="AQ29" s="5">
        <v>20796</v>
      </c>
      <c r="AR29" s="5">
        <v>28492</v>
      </c>
    </row>
    <row r="30" spans="1:44">
      <c r="A30" s="1" t="s">
        <v>181</v>
      </c>
      <c r="B30" s="1" t="s">
        <v>182</v>
      </c>
      <c r="C30" s="1" t="s">
        <v>117</v>
      </c>
      <c r="D30" s="1" t="str">
        <f>HYPERLINK("http://eros.fiehnlab.ucdavis.edu:8080/binbase-compound/bin/show/228373?db=rtx5","228373")</f>
        <v>228373</v>
      </c>
      <c r="E30" s="1" t="s">
        <v>183</v>
      </c>
      <c r="F30" s="1" t="str">
        <f>HYPERLINK("http://www.genome.ad.jp/dbget-bin/www_bget?compound+C00134","C00134")</f>
        <v>C00134</v>
      </c>
      <c r="G30" s="1" t="str">
        <f>HYPERLINK("http://pubchem.ncbi.nlm.nih.gov/summary/summary.cgi?cid=1045","1045")</f>
        <v>1045</v>
      </c>
      <c r="H30" s="1"/>
      <c r="I30" s="5">
        <v>812584</v>
      </c>
      <c r="J30" s="5">
        <v>1202972</v>
      </c>
      <c r="K30" s="5">
        <v>321137</v>
      </c>
      <c r="L30" s="5">
        <v>423197</v>
      </c>
      <c r="M30" s="5">
        <v>645925</v>
      </c>
      <c r="N30" s="5">
        <v>771684</v>
      </c>
      <c r="O30" s="5">
        <v>486232</v>
      </c>
      <c r="P30" s="5">
        <v>304113</v>
      </c>
      <c r="Q30" s="5">
        <v>666974</v>
      </c>
      <c r="R30" s="5">
        <v>292483</v>
      </c>
      <c r="S30" s="5">
        <v>886086</v>
      </c>
      <c r="T30" s="5">
        <v>1236069</v>
      </c>
      <c r="U30" s="5">
        <v>305294</v>
      </c>
      <c r="V30" s="5">
        <v>712744</v>
      </c>
      <c r="W30" s="5">
        <v>591687</v>
      </c>
      <c r="X30" s="5">
        <v>597791</v>
      </c>
      <c r="Y30" s="5">
        <v>296505</v>
      </c>
      <c r="Z30" s="5">
        <v>1137476</v>
      </c>
      <c r="AA30" s="5">
        <v>529982</v>
      </c>
      <c r="AB30" s="5">
        <v>494661</v>
      </c>
      <c r="AC30" s="5">
        <v>108628</v>
      </c>
      <c r="AD30" s="5">
        <v>54655</v>
      </c>
      <c r="AE30" s="5">
        <v>808310</v>
      </c>
      <c r="AF30" s="5">
        <v>207437</v>
      </c>
      <c r="AG30" s="5">
        <v>458778</v>
      </c>
      <c r="AH30" s="5">
        <v>148951</v>
      </c>
      <c r="AI30" s="5">
        <v>1172276</v>
      </c>
      <c r="AJ30" s="5">
        <v>196834</v>
      </c>
      <c r="AK30" s="5">
        <v>272534</v>
      </c>
      <c r="AL30" s="5">
        <v>1056942</v>
      </c>
      <c r="AM30" s="5">
        <v>361932</v>
      </c>
      <c r="AN30" s="5">
        <v>1474664</v>
      </c>
      <c r="AO30" s="5">
        <v>251397</v>
      </c>
      <c r="AP30" s="5">
        <v>327676</v>
      </c>
      <c r="AQ30" s="5">
        <v>975327</v>
      </c>
      <c r="AR30" s="5">
        <v>697660</v>
      </c>
    </row>
    <row r="31" spans="1:44">
      <c r="A31" s="1" t="s">
        <v>184</v>
      </c>
      <c r="B31" s="1" t="s">
        <v>185</v>
      </c>
      <c r="C31" s="1" t="s">
        <v>89</v>
      </c>
      <c r="D31" s="1" t="str">
        <f>HYPERLINK("http://eros.fiehnlab.ucdavis.edu:8080/binbase-compound/bin/show/213381?db=rtx5","213381")</f>
        <v>213381</v>
      </c>
      <c r="E31" s="1" t="s">
        <v>186</v>
      </c>
      <c r="F31" s="1" t="str">
        <f>HYPERLINK("http://www.genome.ad.jp/dbget-bin/www_bget?compound+C02067","C02067")</f>
        <v>C02067</v>
      </c>
      <c r="G31" s="1" t="str">
        <f>HYPERLINK("http://pubchem.ncbi.nlm.nih.gov/summary/summary.cgi?cid=15047","15047")</f>
        <v>15047</v>
      </c>
      <c r="H31" s="1"/>
      <c r="I31" s="5">
        <v>3488</v>
      </c>
      <c r="J31" s="5">
        <v>3007</v>
      </c>
      <c r="K31" s="5">
        <v>2369</v>
      </c>
      <c r="L31" s="5">
        <v>1678</v>
      </c>
      <c r="M31" s="5">
        <v>4018</v>
      </c>
      <c r="N31" s="5">
        <v>3001</v>
      </c>
      <c r="O31" s="5">
        <v>1049</v>
      </c>
      <c r="P31" s="5">
        <v>1453</v>
      </c>
      <c r="Q31" s="5">
        <v>4910</v>
      </c>
      <c r="R31" s="5">
        <v>1445</v>
      </c>
      <c r="S31" s="5">
        <v>1379</v>
      </c>
      <c r="T31" s="5">
        <v>3640</v>
      </c>
      <c r="U31" s="5">
        <v>1541</v>
      </c>
      <c r="V31" s="5">
        <v>1070</v>
      </c>
      <c r="W31" s="5">
        <v>1466</v>
      </c>
      <c r="X31" s="5">
        <v>1072</v>
      </c>
      <c r="Y31" s="5">
        <v>915</v>
      </c>
      <c r="Z31" s="5">
        <v>3072</v>
      </c>
      <c r="AA31" s="5">
        <v>2465</v>
      </c>
      <c r="AB31" s="5">
        <v>1517</v>
      </c>
      <c r="AC31" s="5">
        <v>1959</v>
      </c>
      <c r="AD31" s="5">
        <v>5214</v>
      </c>
      <c r="AE31" s="5">
        <v>1727</v>
      </c>
      <c r="AF31" s="5">
        <v>3226</v>
      </c>
      <c r="AG31" s="5">
        <v>2095</v>
      </c>
      <c r="AH31" s="5">
        <v>3194</v>
      </c>
      <c r="AI31" s="5">
        <v>2565</v>
      </c>
      <c r="AJ31" s="5">
        <v>2310</v>
      </c>
      <c r="AK31" s="5">
        <v>1992</v>
      </c>
      <c r="AL31" s="5">
        <v>4366</v>
      </c>
      <c r="AM31" s="5">
        <v>1145</v>
      </c>
      <c r="AN31" s="5">
        <v>1857</v>
      </c>
      <c r="AO31" s="5">
        <v>1026</v>
      </c>
      <c r="AP31" s="5">
        <v>1737</v>
      </c>
      <c r="AQ31" s="5">
        <v>3335</v>
      </c>
      <c r="AR31" s="5">
        <v>797</v>
      </c>
    </row>
    <row r="32" spans="1:44">
      <c r="A32" s="1" t="s">
        <v>188</v>
      </c>
      <c r="B32" s="1" t="s">
        <v>189</v>
      </c>
      <c r="C32" s="1" t="s">
        <v>190</v>
      </c>
      <c r="D32" s="1" t="str">
        <f>HYPERLINK("http://eros.fiehnlab.ucdavis.edu:8080/binbase-compound/bin/show/199611?db=rtx5","199611")</f>
        <v>199611</v>
      </c>
      <c r="E32" s="1" t="s">
        <v>191</v>
      </c>
      <c r="F32" s="1" t="str">
        <f>HYPERLINK("http://www.genome.ad.jp/dbget-bin/www_bget?compound+C00148","C00148")</f>
        <v>C00148</v>
      </c>
      <c r="G32" s="1" t="str">
        <f>HYPERLINK("http://pubchem.ncbi.nlm.nih.gov/summary/summary.cgi?cid=145742","145742")</f>
        <v>145742</v>
      </c>
      <c r="H32" s="1"/>
      <c r="I32" s="5">
        <v>117627</v>
      </c>
      <c r="J32" s="5">
        <v>440496</v>
      </c>
      <c r="K32" s="5">
        <v>42260</v>
      </c>
      <c r="L32" s="5">
        <v>4401</v>
      </c>
      <c r="M32" s="5">
        <v>136046</v>
      </c>
      <c r="N32" s="5">
        <v>121538</v>
      </c>
      <c r="O32" s="5">
        <v>140698</v>
      </c>
      <c r="P32" s="5">
        <v>26717</v>
      </c>
      <c r="Q32" s="5">
        <v>53759</v>
      </c>
      <c r="R32" s="5">
        <v>19438</v>
      </c>
      <c r="S32" s="5">
        <v>73094</v>
      </c>
      <c r="T32" s="5">
        <v>43415</v>
      </c>
      <c r="U32" s="5">
        <v>33789</v>
      </c>
      <c r="V32" s="5">
        <v>81995</v>
      </c>
      <c r="W32" s="5">
        <v>127824</v>
      </c>
      <c r="X32" s="5">
        <v>36328</v>
      </c>
      <c r="Y32" s="5">
        <v>24861</v>
      </c>
      <c r="Z32" s="5">
        <v>308714</v>
      </c>
      <c r="AA32" s="5">
        <v>67998</v>
      </c>
      <c r="AB32" s="5">
        <v>18380</v>
      </c>
      <c r="AC32" s="5">
        <v>15280</v>
      </c>
      <c r="AD32" s="5">
        <v>40105</v>
      </c>
      <c r="AE32" s="5">
        <v>32783</v>
      </c>
      <c r="AF32" s="5">
        <v>22323</v>
      </c>
      <c r="AG32" s="5">
        <v>43863</v>
      </c>
      <c r="AH32" s="5">
        <v>11360</v>
      </c>
      <c r="AI32" s="5">
        <v>72113</v>
      </c>
      <c r="AJ32" s="5">
        <v>9290</v>
      </c>
      <c r="AK32" s="5">
        <v>4188</v>
      </c>
      <c r="AL32" s="5">
        <v>237663</v>
      </c>
      <c r="AM32" s="5">
        <v>22209</v>
      </c>
      <c r="AN32" s="5">
        <v>190699</v>
      </c>
      <c r="AO32" s="5">
        <v>29358</v>
      </c>
      <c r="AP32" s="5">
        <v>17853</v>
      </c>
      <c r="AQ32" s="5">
        <v>366427</v>
      </c>
      <c r="AR32" s="5">
        <v>22199</v>
      </c>
    </row>
    <row r="33" spans="1:44">
      <c r="A33" s="1" t="s">
        <v>192</v>
      </c>
      <c r="B33" s="1" t="s">
        <v>193</v>
      </c>
      <c r="C33" s="1" t="s">
        <v>167</v>
      </c>
      <c r="D33" s="1" t="str">
        <f>HYPERLINK("http://eros.fiehnlab.ucdavis.edu:8080/binbase-compound/bin/show/200382?db=rtx5","200382")</f>
        <v>200382</v>
      </c>
      <c r="E33" s="1" t="s">
        <v>194</v>
      </c>
      <c r="F33" s="1" t="str">
        <f>HYPERLINK("http://www.genome.ad.jp/dbget-bin/www_bget?compound+C00408","C00408")</f>
        <v>C00408</v>
      </c>
      <c r="G33" s="1" t="str">
        <f>HYPERLINK("http://pubchem.ncbi.nlm.nih.gov/summary/summary.cgi?cid=439227","439227")</f>
        <v>439227</v>
      </c>
      <c r="H33" s="1"/>
      <c r="I33" s="5">
        <v>1393</v>
      </c>
      <c r="J33" s="5">
        <v>3077</v>
      </c>
      <c r="K33" s="5">
        <v>646</v>
      </c>
      <c r="L33" s="5">
        <v>180</v>
      </c>
      <c r="M33" s="5">
        <v>1482</v>
      </c>
      <c r="N33" s="5">
        <v>1671</v>
      </c>
      <c r="O33" s="5">
        <v>1467</v>
      </c>
      <c r="P33" s="5">
        <v>471</v>
      </c>
      <c r="Q33" s="5">
        <v>246</v>
      </c>
      <c r="R33" s="5">
        <v>672</v>
      </c>
      <c r="S33" s="5">
        <v>658</v>
      </c>
      <c r="T33" s="5">
        <v>1981</v>
      </c>
      <c r="U33" s="5">
        <v>610</v>
      </c>
      <c r="V33" s="5">
        <v>920</v>
      </c>
      <c r="W33" s="5">
        <v>1275</v>
      </c>
      <c r="X33" s="5">
        <v>697</v>
      </c>
      <c r="Y33" s="5">
        <v>595</v>
      </c>
      <c r="Z33" s="5">
        <v>3685</v>
      </c>
      <c r="AA33" s="5">
        <v>580</v>
      </c>
      <c r="AB33" s="5">
        <v>364</v>
      </c>
      <c r="AC33" s="5">
        <v>298</v>
      </c>
      <c r="AD33" s="5">
        <v>585</v>
      </c>
      <c r="AE33" s="5">
        <v>422</v>
      </c>
      <c r="AF33" s="5">
        <v>695</v>
      </c>
      <c r="AG33" s="5">
        <v>595</v>
      </c>
      <c r="AH33" s="5">
        <v>221</v>
      </c>
      <c r="AI33" s="5">
        <v>775</v>
      </c>
      <c r="AJ33" s="5">
        <v>377</v>
      </c>
      <c r="AK33" s="5">
        <v>223</v>
      </c>
      <c r="AL33" s="5">
        <v>3417</v>
      </c>
      <c r="AM33" s="5">
        <v>336</v>
      </c>
      <c r="AN33" s="5">
        <v>2534</v>
      </c>
      <c r="AO33" s="5">
        <v>214</v>
      </c>
      <c r="AP33" s="5">
        <v>506</v>
      </c>
      <c r="AQ33" s="5">
        <v>4170</v>
      </c>
      <c r="AR33" s="5">
        <v>392</v>
      </c>
    </row>
    <row r="34" spans="1:44">
      <c r="A34" s="1" t="s">
        <v>195</v>
      </c>
      <c r="B34" s="1" t="s">
        <v>196</v>
      </c>
      <c r="C34" s="1" t="s">
        <v>197</v>
      </c>
      <c r="D34" s="1" t="str">
        <f>HYPERLINK("http://eros.fiehnlab.ucdavis.edu:8080/binbase-compound/bin/show/199165?db=rtx5","199165")</f>
        <v>199165</v>
      </c>
      <c r="E34" s="1" t="s">
        <v>198</v>
      </c>
      <c r="F34" s="1" t="str">
        <f>HYPERLINK("http://www.genome.ad.jp/dbget-bin/www_bget?compound+C00009","C00009")</f>
        <v>C00009</v>
      </c>
      <c r="G34" s="1" t="str">
        <f>HYPERLINK("http://pubchem.ncbi.nlm.nih.gov/summary/summary.cgi?cid= 1004"," 1004")</f>
        <v xml:space="preserve"> 1004</v>
      </c>
      <c r="H34" s="1"/>
      <c r="I34" s="5">
        <v>146851</v>
      </c>
      <c r="J34" s="5">
        <v>267520</v>
      </c>
      <c r="K34" s="5">
        <v>273697</v>
      </c>
      <c r="L34" s="5">
        <v>123012</v>
      </c>
      <c r="M34" s="5">
        <v>110082</v>
      </c>
      <c r="N34" s="5">
        <v>160430</v>
      </c>
      <c r="O34" s="5">
        <v>149879</v>
      </c>
      <c r="P34" s="5">
        <v>136239</v>
      </c>
      <c r="Q34" s="5">
        <v>112427</v>
      </c>
      <c r="R34" s="5">
        <v>112796</v>
      </c>
      <c r="S34" s="5">
        <v>165890</v>
      </c>
      <c r="T34" s="5">
        <v>235887</v>
      </c>
      <c r="U34" s="5">
        <v>162665</v>
      </c>
      <c r="V34" s="5">
        <v>167474</v>
      </c>
      <c r="W34" s="5">
        <v>205706</v>
      </c>
      <c r="X34" s="5">
        <v>90357</v>
      </c>
      <c r="Y34" s="5">
        <v>278444</v>
      </c>
      <c r="Z34" s="5">
        <v>175420</v>
      </c>
      <c r="AA34" s="5">
        <v>206356</v>
      </c>
      <c r="AB34" s="5">
        <v>248305</v>
      </c>
      <c r="AC34" s="5">
        <v>241203</v>
      </c>
      <c r="AD34" s="5">
        <v>144148</v>
      </c>
      <c r="AE34" s="5">
        <v>164141</v>
      </c>
      <c r="AF34" s="5">
        <v>135597</v>
      </c>
      <c r="AG34" s="5">
        <v>35478</v>
      </c>
      <c r="AH34" s="5">
        <v>168412</v>
      </c>
      <c r="AI34" s="5">
        <v>785451</v>
      </c>
      <c r="AJ34" s="5">
        <v>183361</v>
      </c>
      <c r="AK34" s="5">
        <v>163428</v>
      </c>
      <c r="AL34" s="5">
        <v>171779</v>
      </c>
      <c r="AM34" s="5">
        <v>279391</v>
      </c>
      <c r="AN34" s="5">
        <v>155624</v>
      </c>
      <c r="AO34" s="5">
        <v>264546</v>
      </c>
      <c r="AP34" s="5">
        <v>199929</v>
      </c>
      <c r="AQ34" s="5">
        <v>173073</v>
      </c>
      <c r="AR34" s="5">
        <v>236219</v>
      </c>
    </row>
    <row r="35" spans="1:44">
      <c r="A35" s="1" t="s">
        <v>195</v>
      </c>
      <c r="B35" s="1" t="s">
        <v>199</v>
      </c>
      <c r="C35" s="1" t="s">
        <v>197</v>
      </c>
      <c r="D35" s="1" t="str">
        <f>HYPERLINK("http://eros.fiehnlab.ucdavis.edu:8080/binbase-compound/bin/show/242185?db=rtx5","242185")</f>
        <v>242185</v>
      </c>
      <c r="E35" s="1" t="s">
        <v>200</v>
      </c>
      <c r="F35" s="1" t="str">
        <f>HYPERLINK("http://www.genome.ad.jp/dbget-bin/www_bget?compound+C00009","C00009")</f>
        <v>C00009</v>
      </c>
      <c r="G35" s="1" t="str">
        <f>HYPERLINK("http://pubchem.ncbi.nlm.nih.gov/summary/summary.cgi?cid=1004","1004")</f>
        <v>1004</v>
      </c>
      <c r="H35" s="1"/>
      <c r="I35" s="5">
        <v>283952</v>
      </c>
      <c r="J35" s="5">
        <v>200470</v>
      </c>
      <c r="K35" s="5">
        <v>273697</v>
      </c>
      <c r="L35" s="5">
        <v>276930</v>
      </c>
      <c r="M35" s="5">
        <v>283482</v>
      </c>
      <c r="N35" s="5">
        <v>280434</v>
      </c>
      <c r="O35" s="5">
        <v>279998</v>
      </c>
      <c r="P35" s="5">
        <v>277837</v>
      </c>
      <c r="Q35" s="5">
        <v>280399</v>
      </c>
      <c r="R35" s="5">
        <v>263610</v>
      </c>
      <c r="S35" s="5">
        <v>274992</v>
      </c>
      <c r="T35" s="5">
        <v>277621</v>
      </c>
      <c r="U35" s="5">
        <v>239101</v>
      </c>
      <c r="V35" s="5">
        <v>130863</v>
      </c>
      <c r="W35" s="5">
        <v>282510</v>
      </c>
      <c r="X35" s="5">
        <v>281618</v>
      </c>
      <c r="Y35" s="5">
        <v>278444</v>
      </c>
      <c r="Z35" s="5">
        <v>281313</v>
      </c>
      <c r="AA35" s="5">
        <v>261786</v>
      </c>
      <c r="AB35" s="5">
        <v>283025</v>
      </c>
      <c r="AC35" s="5">
        <v>241203</v>
      </c>
      <c r="AD35" s="5">
        <v>208690</v>
      </c>
      <c r="AE35" s="5">
        <v>136705</v>
      </c>
      <c r="AF35" s="5">
        <v>226850</v>
      </c>
      <c r="AG35" s="5">
        <v>198608</v>
      </c>
      <c r="AH35" s="5">
        <v>265881</v>
      </c>
      <c r="AI35" s="5">
        <v>92</v>
      </c>
      <c r="AJ35" s="5">
        <v>269454</v>
      </c>
      <c r="AK35" s="5">
        <v>90560</v>
      </c>
      <c r="AL35" s="5">
        <v>127458</v>
      </c>
      <c r="AM35" s="5">
        <v>279391</v>
      </c>
      <c r="AN35" s="5">
        <v>272972</v>
      </c>
      <c r="AO35" s="5">
        <v>264546</v>
      </c>
      <c r="AP35" s="5">
        <v>41641</v>
      </c>
      <c r="AQ35" s="5">
        <v>280722</v>
      </c>
      <c r="AR35" s="5">
        <v>279813</v>
      </c>
    </row>
    <row r="36" spans="1:44">
      <c r="A36" s="1" t="s">
        <v>201</v>
      </c>
      <c r="B36" s="1" t="s">
        <v>202</v>
      </c>
      <c r="C36" s="1" t="s">
        <v>203</v>
      </c>
      <c r="D36" s="1" t="str">
        <f>HYPERLINK("http://eros.fiehnlab.ucdavis.edu:8080/binbase-compound/bin/show/199628?db=rtx5","199628")</f>
        <v>199628</v>
      </c>
      <c r="E36" s="1" t="s">
        <v>204</v>
      </c>
      <c r="F36" s="1" t="str">
        <f>HYPERLINK("http://www.genome.ad.jp/dbget-bin/www_bget?compound+C00346","C00346")</f>
        <v>C00346</v>
      </c>
      <c r="G36" s="1" t="str">
        <f>HYPERLINK("http://pubchem.ncbi.nlm.nih.gov/summary/summary.cgi?cid=1015","1015")</f>
        <v>1015</v>
      </c>
      <c r="H36" s="1"/>
      <c r="I36" s="5">
        <v>9701</v>
      </c>
      <c r="J36" s="5">
        <v>8064</v>
      </c>
      <c r="K36" s="5">
        <v>4217</v>
      </c>
      <c r="L36" s="5">
        <v>5047</v>
      </c>
      <c r="M36" s="5">
        <v>4187</v>
      </c>
      <c r="N36" s="5">
        <v>4030</v>
      </c>
      <c r="O36" s="5">
        <v>3018</v>
      </c>
      <c r="P36" s="5">
        <v>4168</v>
      </c>
      <c r="Q36" s="5">
        <v>1187</v>
      </c>
      <c r="R36" s="5">
        <v>4046</v>
      </c>
      <c r="S36" s="5">
        <v>7068</v>
      </c>
      <c r="T36" s="5">
        <v>7729</v>
      </c>
      <c r="U36" s="5">
        <v>3793</v>
      </c>
      <c r="V36" s="5">
        <v>5038</v>
      </c>
      <c r="W36" s="5">
        <v>2805</v>
      </c>
      <c r="X36" s="5">
        <v>6458</v>
      </c>
      <c r="Y36" s="5">
        <v>2293</v>
      </c>
      <c r="Z36" s="5">
        <v>8365</v>
      </c>
      <c r="AA36" s="5">
        <v>3023</v>
      </c>
      <c r="AB36" s="5">
        <v>5299</v>
      </c>
      <c r="AC36" s="5">
        <v>4094</v>
      </c>
      <c r="AD36" s="5">
        <v>3703</v>
      </c>
      <c r="AE36" s="5">
        <v>9602</v>
      </c>
      <c r="AF36" s="5">
        <v>3006</v>
      </c>
      <c r="AG36" s="5">
        <v>5882</v>
      </c>
      <c r="AH36" s="5">
        <v>2624</v>
      </c>
      <c r="AI36" s="5">
        <v>4351</v>
      </c>
      <c r="AJ36" s="5">
        <v>3835</v>
      </c>
      <c r="AK36" s="5">
        <v>4971</v>
      </c>
      <c r="AL36" s="5">
        <v>9285</v>
      </c>
      <c r="AM36" s="5">
        <v>3379</v>
      </c>
      <c r="AN36" s="5">
        <v>7291</v>
      </c>
      <c r="AO36" s="5">
        <v>3957</v>
      </c>
      <c r="AP36" s="5">
        <v>3180</v>
      </c>
      <c r="AQ36" s="5">
        <v>5550</v>
      </c>
      <c r="AR36" s="5">
        <v>3316</v>
      </c>
    </row>
    <row r="37" spans="1:44">
      <c r="A37" s="1" t="s">
        <v>205</v>
      </c>
      <c r="B37" s="1" t="s">
        <v>206</v>
      </c>
      <c r="C37" s="1" t="s">
        <v>117</v>
      </c>
      <c r="D37" s="1" t="str">
        <f>HYPERLINK("http://eros.fiehnlab.ucdavis.edu:8080/binbase-compound/bin/show/272665?db=rtx5","272665")</f>
        <v>272665</v>
      </c>
      <c r="E37" s="1" t="s">
        <v>207</v>
      </c>
      <c r="F37" s="1" t="str">
        <f>HYPERLINK("http://www.genome.ad.jp/dbget-bin/www_bget?compound+C05332","C05332")</f>
        <v>C05332</v>
      </c>
      <c r="G37" s="1" t="str">
        <f>HYPERLINK("http://pubchem.ncbi.nlm.nih.gov/summary/summary.cgi?cid=1001","1001")</f>
        <v>1001</v>
      </c>
      <c r="H37" s="1"/>
      <c r="I37" s="5">
        <v>327</v>
      </c>
      <c r="J37" s="5">
        <v>928</v>
      </c>
      <c r="K37" s="5">
        <v>331</v>
      </c>
      <c r="L37" s="5">
        <v>199</v>
      </c>
      <c r="M37" s="5">
        <v>739</v>
      </c>
      <c r="N37" s="5">
        <v>785</v>
      </c>
      <c r="O37" s="5">
        <v>532</v>
      </c>
      <c r="P37" s="5">
        <v>135</v>
      </c>
      <c r="Q37" s="5">
        <v>754</v>
      </c>
      <c r="R37" s="5">
        <v>174</v>
      </c>
      <c r="S37" s="5">
        <v>406</v>
      </c>
      <c r="T37" s="5">
        <v>771</v>
      </c>
      <c r="U37" s="5">
        <v>193</v>
      </c>
      <c r="V37" s="5">
        <v>432</v>
      </c>
      <c r="W37" s="5">
        <v>2600</v>
      </c>
      <c r="X37" s="5">
        <v>642</v>
      </c>
      <c r="Y37" s="5">
        <v>174</v>
      </c>
      <c r="Z37" s="5">
        <v>341</v>
      </c>
      <c r="AA37" s="5">
        <v>468</v>
      </c>
      <c r="AB37" s="5">
        <v>222</v>
      </c>
      <c r="AC37" s="5">
        <v>202</v>
      </c>
      <c r="AD37" s="5">
        <v>254</v>
      </c>
      <c r="AE37" s="5">
        <v>268</v>
      </c>
      <c r="AF37" s="5">
        <v>172</v>
      </c>
      <c r="AG37" s="5">
        <v>320</v>
      </c>
      <c r="AH37" s="5">
        <v>165</v>
      </c>
      <c r="AI37" s="5">
        <v>616</v>
      </c>
      <c r="AJ37" s="5">
        <v>150</v>
      </c>
      <c r="AK37" s="5">
        <v>175</v>
      </c>
      <c r="AL37" s="5">
        <v>535</v>
      </c>
      <c r="AM37" s="5">
        <v>210</v>
      </c>
      <c r="AN37" s="5">
        <v>1017</v>
      </c>
      <c r="AO37" s="5">
        <v>96</v>
      </c>
      <c r="AP37" s="5">
        <v>218</v>
      </c>
      <c r="AQ37" s="5">
        <v>646</v>
      </c>
      <c r="AR37" s="5">
        <v>257</v>
      </c>
    </row>
    <row r="38" spans="1:44">
      <c r="A38" s="1" t="s">
        <v>208</v>
      </c>
      <c r="B38" s="1" t="s">
        <v>209</v>
      </c>
      <c r="C38" s="1" t="s">
        <v>114</v>
      </c>
      <c r="D38" s="1" t="str">
        <f>HYPERLINK("http://eros.fiehnlab.ucdavis.edu:8080/binbase-compound/bin/show/217642?db=rtx5","217642")</f>
        <v>217642</v>
      </c>
      <c r="E38" s="1" t="s">
        <v>210</v>
      </c>
      <c r="F38" s="1" t="str">
        <f>HYPERLINK("http://www.genome.ad.jp/dbget-bin/www_bget?compound+C00079","C00079")</f>
        <v>C00079</v>
      </c>
      <c r="G38" s="1" t="str">
        <f>HYPERLINK("http://pubchem.ncbi.nlm.nih.gov/summary/summary.cgi?cid=6140","6140")</f>
        <v>6140</v>
      </c>
      <c r="H38" s="1"/>
      <c r="I38" s="5">
        <v>133859</v>
      </c>
      <c r="J38" s="5">
        <v>700115</v>
      </c>
      <c r="K38" s="5">
        <v>59358</v>
      </c>
      <c r="L38" s="5">
        <v>45133</v>
      </c>
      <c r="M38" s="5">
        <v>174251</v>
      </c>
      <c r="N38" s="5">
        <v>306508</v>
      </c>
      <c r="O38" s="5">
        <v>157514</v>
      </c>
      <c r="P38" s="5">
        <v>65254</v>
      </c>
      <c r="Q38" s="5">
        <v>228673</v>
      </c>
      <c r="R38" s="5">
        <v>51626</v>
      </c>
      <c r="S38" s="5">
        <v>170262</v>
      </c>
      <c r="T38" s="5">
        <v>238503</v>
      </c>
      <c r="U38" s="5">
        <v>53440</v>
      </c>
      <c r="V38" s="5">
        <v>142852</v>
      </c>
      <c r="W38" s="5">
        <v>226613</v>
      </c>
      <c r="X38" s="5">
        <v>73458</v>
      </c>
      <c r="Y38" s="5">
        <v>38812</v>
      </c>
      <c r="Z38" s="5">
        <v>440008</v>
      </c>
      <c r="AA38" s="5">
        <v>234375</v>
      </c>
      <c r="AB38" s="5">
        <v>41029</v>
      </c>
      <c r="AC38" s="5">
        <v>29417</v>
      </c>
      <c r="AD38" s="5">
        <v>52847</v>
      </c>
      <c r="AE38" s="5">
        <v>58607</v>
      </c>
      <c r="AF38" s="5">
        <v>34009</v>
      </c>
      <c r="AG38" s="5">
        <v>75912</v>
      </c>
      <c r="AH38" s="5">
        <v>37129</v>
      </c>
      <c r="AI38" s="5">
        <v>269114</v>
      </c>
      <c r="AJ38" s="5">
        <v>28306</v>
      </c>
      <c r="AK38" s="5">
        <v>30136</v>
      </c>
      <c r="AL38" s="5">
        <v>423148</v>
      </c>
      <c r="AM38" s="5">
        <v>37545</v>
      </c>
      <c r="AN38" s="5">
        <v>374425</v>
      </c>
      <c r="AO38" s="5">
        <v>30506</v>
      </c>
      <c r="AP38" s="5">
        <v>39185</v>
      </c>
      <c r="AQ38" s="5">
        <v>592749</v>
      </c>
      <c r="AR38" s="5">
        <v>55756</v>
      </c>
    </row>
    <row r="39" spans="1:44">
      <c r="A39" s="1" t="s">
        <v>211</v>
      </c>
      <c r="B39" s="1" t="s">
        <v>212</v>
      </c>
      <c r="C39" s="1" t="s">
        <v>132</v>
      </c>
      <c r="D39" s="1" t="str">
        <f>HYPERLINK("http://eros.fiehnlab.ucdavis.edu:8080/binbase-compound/bin/show/203296?db=rtx5","203296")</f>
        <v>203296</v>
      </c>
      <c r="E39" s="1" t="s">
        <v>213</v>
      </c>
      <c r="F39" s="1" t="str">
        <f>HYPERLINK("http://www.genome.ad.jp/dbget-bin/www_bget?compound+C16537","C16537")</f>
        <v>C16537</v>
      </c>
      <c r="G39" s="1" t="str">
        <f>HYPERLINK("http://pubchem.ncbi.nlm.nih.gov/summary/summary.cgi?cid=13849","13849")</f>
        <v>13849</v>
      </c>
      <c r="H39" s="1"/>
      <c r="I39" s="5">
        <v>15982</v>
      </c>
      <c r="J39" s="5">
        <v>7855</v>
      </c>
      <c r="K39" s="5">
        <v>2984</v>
      </c>
      <c r="L39" s="5">
        <v>3046</v>
      </c>
      <c r="M39" s="5">
        <v>4284</v>
      </c>
      <c r="N39" s="5">
        <v>17610</v>
      </c>
      <c r="O39" s="5">
        <v>8076</v>
      </c>
      <c r="P39" s="5">
        <v>7885</v>
      </c>
      <c r="Q39" s="5">
        <v>10501</v>
      </c>
      <c r="R39" s="5">
        <v>4290</v>
      </c>
      <c r="S39" s="5">
        <v>5897</v>
      </c>
      <c r="T39" s="5">
        <v>4872</v>
      </c>
      <c r="U39" s="5">
        <v>18383</v>
      </c>
      <c r="V39" s="5">
        <v>4781</v>
      </c>
      <c r="W39" s="5">
        <v>5904</v>
      </c>
      <c r="X39" s="5">
        <v>4678</v>
      </c>
      <c r="Y39" s="5">
        <v>5763</v>
      </c>
      <c r="Z39" s="5">
        <v>8333</v>
      </c>
      <c r="AA39" s="5">
        <v>4834</v>
      </c>
      <c r="AB39" s="5">
        <v>3571</v>
      </c>
      <c r="AC39" s="5">
        <v>2898</v>
      </c>
      <c r="AD39" s="5">
        <v>2956</v>
      </c>
      <c r="AE39" s="5">
        <v>7411</v>
      </c>
      <c r="AF39" s="5">
        <v>2946</v>
      </c>
      <c r="AG39" s="5">
        <v>5036</v>
      </c>
      <c r="AH39" s="5">
        <v>2528</v>
      </c>
      <c r="AI39" s="5">
        <v>8728</v>
      </c>
      <c r="AJ39" s="5">
        <v>2975</v>
      </c>
      <c r="AK39" s="5">
        <v>3836</v>
      </c>
      <c r="AL39" s="5">
        <v>6477</v>
      </c>
      <c r="AM39" s="5">
        <v>3227</v>
      </c>
      <c r="AN39" s="5">
        <v>7495</v>
      </c>
      <c r="AO39" s="5">
        <v>2577</v>
      </c>
      <c r="AP39" s="5">
        <v>3484</v>
      </c>
      <c r="AQ39" s="5">
        <v>8563</v>
      </c>
      <c r="AR39" s="5">
        <v>4053</v>
      </c>
    </row>
    <row r="40" spans="1:44">
      <c r="A40" s="1" t="s">
        <v>214</v>
      </c>
      <c r="B40" s="1" t="s">
        <v>215</v>
      </c>
      <c r="C40" s="1" t="s">
        <v>132</v>
      </c>
      <c r="D40" s="1" t="str">
        <f>HYPERLINK("http://eros.fiehnlab.ucdavis.edu:8080/binbase-compound/bin/show/233458?db=rtx5","233458")</f>
        <v>233458</v>
      </c>
      <c r="E40" s="1" t="s">
        <v>216</v>
      </c>
      <c r="F40" s="1" t="str">
        <f>HYPERLINK("http://www.genome.ad.jp/dbget-bin/www_bget?compound+C01601","C01601")</f>
        <v>C01601</v>
      </c>
      <c r="G40" s="1" t="str">
        <f>HYPERLINK("http://pubchem.ncbi.nlm.nih.gov/summary/summary.cgi?cid=8158","8158")</f>
        <v>8158</v>
      </c>
      <c r="H40" s="1"/>
      <c r="I40" s="5">
        <v>19942</v>
      </c>
      <c r="J40" s="5">
        <v>14095</v>
      </c>
      <c r="K40" s="5">
        <v>16062</v>
      </c>
      <c r="L40" s="5">
        <v>17252</v>
      </c>
      <c r="M40" s="5">
        <v>10221</v>
      </c>
      <c r="N40" s="5">
        <v>10797</v>
      </c>
      <c r="O40" s="5">
        <v>18288</v>
      </c>
      <c r="P40" s="5">
        <v>16939</v>
      </c>
      <c r="Q40" s="5">
        <v>19771</v>
      </c>
      <c r="R40" s="5">
        <v>10211</v>
      </c>
      <c r="S40" s="5">
        <v>15319</v>
      </c>
      <c r="T40" s="5">
        <v>15254</v>
      </c>
      <c r="U40" s="5">
        <v>15258</v>
      </c>
      <c r="V40" s="5">
        <v>14712</v>
      </c>
      <c r="W40" s="5">
        <v>19159</v>
      </c>
      <c r="X40" s="5">
        <v>15671</v>
      </c>
      <c r="Y40" s="5">
        <v>12529</v>
      </c>
      <c r="Z40" s="5">
        <v>11911</v>
      </c>
      <c r="AA40" s="5">
        <v>29264</v>
      </c>
      <c r="AB40" s="5">
        <v>12867</v>
      </c>
      <c r="AC40" s="5">
        <v>8694</v>
      </c>
      <c r="AD40" s="5">
        <v>9743</v>
      </c>
      <c r="AE40" s="5">
        <v>13241</v>
      </c>
      <c r="AF40" s="5">
        <v>16010</v>
      </c>
      <c r="AG40" s="5">
        <v>17589</v>
      </c>
      <c r="AH40" s="5">
        <v>16882</v>
      </c>
      <c r="AI40" s="5">
        <v>20497</v>
      </c>
      <c r="AJ40" s="5">
        <v>14377</v>
      </c>
      <c r="AK40" s="5">
        <v>16259</v>
      </c>
      <c r="AL40" s="5">
        <v>11108</v>
      </c>
      <c r="AM40" s="5">
        <v>18285</v>
      </c>
      <c r="AN40" s="5">
        <v>12445</v>
      </c>
      <c r="AO40" s="5">
        <v>15364</v>
      </c>
      <c r="AP40" s="5">
        <v>8169</v>
      </c>
      <c r="AQ40" s="5">
        <v>14390</v>
      </c>
      <c r="AR40" s="5">
        <v>13712</v>
      </c>
    </row>
    <row r="41" spans="1:44">
      <c r="A41" s="1" t="s">
        <v>217</v>
      </c>
      <c r="B41" s="1" t="s">
        <v>218</v>
      </c>
      <c r="C41" s="1" t="s">
        <v>86</v>
      </c>
      <c r="D41" s="1" t="str">
        <f>HYPERLINK("http://eros.fiehnlab.ucdavis.edu:8080/binbase-compound/bin/show/205158?db=rtx5","205158")</f>
        <v>205158</v>
      </c>
      <c r="E41" s="1" t="s">
        <v>219</v>
      </c>
      <c r="F41" s="1" t="str">
        <f>HYPERLINK("http://www.genome.ad.jp/dbget-bin/www_bget?compound+C00864","C00864")</f>
        <v>C00864</v>
      </c>
      <c r="G41" s="1" t="str">
        <f>HYPERLINK("http://pubchem.ncbi.nlm.nih.gov/summary/summary.cgi?cid=6613","6613")</f>
        <v>6613</v>
      </c>
      <c r="H41" s="1"/>
      <c r="I41" s="5">
        <v>5140</v>
      </c>
      <c r="J41" s="5">
        <v>7215</v>
      </c>
      <c r="K41" s="5">
        <v>3136</v>
      </c>
      <c r="L41" s="5">
        <v>2824</v>
      </c>
      <c r="M41" s="5">
        <v>3193</v>
      </c>
      <c r="N41" s="5">
        <v>3478</v>
      </c>
      <c r="O41" s="5">
        <v>2347</v>
      </c>
      <c r="P41" s="5">
        <v>2804</v>
      </c>
      <c r="Q41" s="5">
        <v>5472</v>
      </c>
      <c r="R41" s="5">
        <v>2691</v>
      </c>
      <c r="S41" s="5">
        <v>3659</v>
      </c>
      <c r="T41" s="5">
        <v>6395</v>
      </c>
      <c r="U41" s="5">
        <v>3330</v>
      </c>
      <c r="V41" s="5">
        <v>2779</v>
      </c>
      <c r="W41" s="5">
        <v>3667</v>
      </c>
      <c r="X41" s="5">
        <v>2804</v>
      </c>
      <c r="Y41" s="5">
        <v>1629</v>
      </c>
      <c r="Z41" s="5">
        <v>6068</v>
      </c>
      <c r="AA41" s="5">
        <v>3897</v>
      </c>
      <c r="AB41" s="5">
        <v>3410</v>
      </c>
      <c r="AC41" s="5">
        <v>2903</v>
      </c>
      <c r="AD41" s="5">
        <v>5716</v>
      </c>
      <c r="AE41" s="5">
        <v>5907</v>
      </c>
      <c r="AF41" s="5">
        <v>5487</v>
      </c>
      <c r="AG41" s="5">
        <v>4528</v>
      </c>
      <c r="AH41" s="5">
        <v>5098</v>
      </c>
      <c r="AI41" s="5">
        <v>4930</v>
      </c>
      <c r="AJ41" s="5">
        <v>3661</v>
      </c>
      <c r="AK41" s="5">
        <v>3586</v>
      </c>
      <c r="AL41" s="5">
        <v>6004</v>
      </c>
      <c r="AM41" s="5">
        <v>2407</v>
      </c>
      <c r="AN41" s="5">
        <v>4937</v>
      </c>
      <c r="AO41" s="5">
        <v>2482</v>
      </c>
      <c r="AP41" s="5">
        <v>2573</v>
      </c>
      <c r="AQ41" s="5">
        <v>5904</v>
      </c>
      <c r="AR41" s="5">
        <v>2317</v>
      </c>
    </row>
    <row r="42" spans="1:44">
      <c r="A42" s="1" t="s">
        <v>220</v>
      </c>
      <c r="B42" s="1" t="s">
        <v>221</v>
      </c>
      <c r="C42" s="1" t="s">
        <v>222</v>
      </c>
      <c r="D42" s="1" t="str">
        <f>HYPERLINK("http://eros.fiehnlab.ucdavis.edu:8080/binbase-compound/bin/show/203265?db=rtx5","203265")</f>
        <v>203265</v>
      </c>
      <c r="E42" s="1" t="s">
        <v>223</v>
      </c>
      <c r="F42" s="1" t="str">
        <f>HYPERLINK("http://www.genome.ad.jp/dbget-bin/www_bget?compound+C08362","C08362")</f>
        <v>C08362</v>
      </c>
      <c r="G42" s="1" t="str">
        <f>HYPERLINK("http://pubchem.ncbi.nlm.nih.gov/summary/summary.cgi?cid=445638","445638")</f>
        <v>445638</v>
      </c>
      <c r="H42" s="1"/>
      <c r="I42" s="5">
        <v>5269</v>
      </c>
      <c r="J42" s="5">
        <v>4487</v>
      </c>
      <c r="K42" s="5">
        <v>2453</v>
      </c>
      <c r="L42" s="5">
        <v>1983</v>
      </c>
      <c r="M42" s="5">
        <v>1801</v>
      </c>
      <c r="N42" s="5">
        <v>11941</v>
      </c>
      <c r="O42" s="5">
        <v>3882</v>
      </c>
      <c r="P42" s="5">
        <v>6286</v>
      </c>
      <c r="Q42" s="5">
        <v>3091</v>
      </c>
      <c r="R42" s="5">
        <v>2828</v>
      </c>
      <c r="S42" s="5">
        <v>3493</v>
      </c>
      <c r="T42" s="5">
        <v>1676</v>
      </c>
      <c r="U42" s="5">
        <v>3983</v>
      </c>
      <c r="V42" s="5">
        <v>1783</v>
      </c>
      <c r="W42" s="5">
        <v>3653</v>
      </c>
      <c r="X42" s="5">
        <v>2792</v>
      </c>
      <c r="Y42" s="5">
        <v>2960</v>
      </c>
      <c r="Z42" s="5">
        <v>4516</v>
      </c>
      <c r="AA42" s="5">
        <v>2202</v>
      </c>
      <c r="AB42" s="5">
        <v>1862</v>
      </c>
      <c r="AC42" s="5">
        <v>1623</v>
      </c>
      <c r="AD42" s="5">
        <v>1823</v>
      </c>
      <c r="AE42" s="5">
        <v>4666</v>
      </c>
      <c r="AF42" s="5">
        <v>1246</v>
      </c>
      <c r="AG42" s="5">
        <v>2190</v>
      </c>
      <c r="AH42" s="5">
        <v>1117</v>
      </c>
      <c r="AI42" s="5">
        <v>4217</v>
      </c>
      <c r="AJ42" s="5">
        <v>1049</v>
      </c>
      <c r="AK42" s="5">
        <v>1348</v>
      </c>
      <c r="AL42" s="5">
        <v>3161</v>
      </c>
      <c r="AM42" s="5">
        <v>1758</v>
      </c>
      <c r="AN42" s="5">
        <v>4146</v>
      </c>
      <c r="AO42" s="5">
        <v>1035</v>
      </c>
      <c r="AP42" s="5">
        <v>1838</v>
      </c>
      <c r="AQ42" s="5">
        <v>3683</v>
      </c>
      <c r="AR42" s="5">
        <v>2206</v>
      </c>
    </row>
    <row r="43" spans="1:44">
      <c r="A43" s="1" t="s">
        <v>224</v>
      </c>
      <c r="B43" s="1" t="s">
        <v>225</v>
      </c>
      <c r="C43" s="1" t="s">
        <v>226</v>
      </c>
      <c r="D43" s="1" t="str">
        <f>HYPERLINK("http://eros.fiehnlab.ucdavis.edu:8080/binbase-compound/bin/show/227993?db=rtx5","227993")</f>
        <v>227993</v>
      </c>
      <c r="E43" s="1" t="s">
        <v>227</v>
      </c>
      <c r="F43" s="1" t="str">
        <f>HYPERLINK("http://www.genome.ad.jp/dbget-bin/www_bget?compound+C00249","C00249")</f>
        <v>C00249</v>
      </c>
      <c r="G43" s="1" t="str">
        <f>HYPERLINK("http://pubchem.ncbi.nlm.nih.gov/summary/summary.cgi?cid=985","985")</f>
        <v>985</v>
      </c>
      <c r="H43" s="1"/>
      <c r="I43" s="5">
        <v>5397</v>
      </c>
      <c r="J43" s="5">
        <v>19511</v>
      </c>
      <c r="K43" s="5">
        <v>11868</v>
      </c>
      <c r="L43" s="5">
        <v>11147</v>
      </c>
      <c r="M43" s="5">
        <v>16809</v>
      </c>
      <c r="N43" s="5">
        <v>20012</v>
      </c>
      <c r="O43" s="5">
        <v>33295</v>
      </c>
      <c r="P43" s="5">
        <v>23778</v>
      </c>
      <c r="Q43" s="5">
        <v>73435</v>
      </c>
      <c r="R43" s="5">
        <v>13914</v>
      </c>
      <c r="S43" s="5">
        <v>24888</v>
      </c>
      <c r="T43" s="5">
        <v>13755</v>
      </c>
      <c r="U43" s="5">
        <v>174681</v>
      </c>
      <c r="V43" s="5">
        <v>15877</v>
      </c>
      <c r="W43" s="5">
        <v>20567</v>
      </c>
      <c r="X43" s="5">
        <v>20923</v>
      </c>
      <c r="Y43" s="5">
        <v>28729</v>
      </c>
      <c r="Z43" s="5">
        <v>16849</v>
      </c>
      <c r="AA43" s="5">
        <v>30254</v>
      </c>
      <c r="AB43" s="5">
        <v>9951</v>
      </c>
      <c r="AC43" s="5">
        <v>8242</v>
      </c>
      <c r="AD43" s="5">
        <v>10582</v>
      </c>
      <c r="AE43" s="5">
        <v>22736</v>
      </c>
      <c r="AF43" s="5">
        <v>10285</v>
      </c>
      <c r="AG43" s="5">
        <v>28586</v>
      </c>
      <c r="AH43" s="5">
        <v>7746</v>
      </c>
      <c r="AI43" s="5">
        <v>23751</v>
      </c>
      <c r="AJ43" s="5">
        <v>11099</v>
      </c>
      <c r="AK43" s="5">
        <v>21423</v>
      </c>
      <c r="AL43" s="5">
        <v>12390</v>
      </c>
      <c r="AM43" s="5">
        <v>19446</v>
      </c>
      <c r="AN43" s="5">
        <v>15086</v>
      </c>
      <c r="AO43" s="5">
        <v>12421</v>
      </c>
      <c r="AP43" s="5">
        <v>16728</v>
      </c>
      <c r="AQ43" s="5">
        <v>28432</v>
      </c>
      <c r="AR43" s="5">
        <v>11304</v>
      </c>
    </row>
    <row r="44" spans="1:44">
      <c r="A44" s="1" t="s">
        <v>228</v>
      </c>
      <c r="B44" s="1" t="s">
        <v>229</v>
      </c>
      <c r="C44" s="1" t="s">
        <v>167</v>
      </c>
      <c r="D44" s="1" t="str">
        <f>HYPERLINK("http://eros.fiehnlab.ucdavis.edu:8080/binbase-compound/bin/show/228006?db=rtx5","228006")</f>
        <v>228006</v>
      </c>
      <c r="E44" s="1" t="s">
        <v>230</v>
      </c>
      <c r="F44" s="1" t="str">
        <f>HYPERLINK("http://www.genome.ad.jp/dbget-bin/www_bget?compound+C01879","C01879")</f>
        <v>C01879</v>
      </c>
      <c r="G44" s="1" t="str">
        <f>HYPERLINK("http://pubchem.ncbi.nlm.nih.gov/summary/summary.cgi?cid=7405","7405")</f>
        <v>7405</v>
      </c>
      <c r="H44" s="1"/>
      <c r="I44" s="5">
        <v>322616</v>
      </c>
      <c r="J44" s="5">
        <v>1250863</v>
      </c>
      <c r="K44" s="5">
        <v>149761</v>
      </c>
      <c r="L44" s="5">
        <v>179408</v>
      </c>
      <c r="M44" s="5">
        <v>454095</v>
      </c>
      <c r="N44" s="5">
        <v>595262</v>
      </c>
      <c r="O44" s="5">
        <v>334661</v>
      </c>
      <c r="P44" s="5">
        <v>190984</v>
      </c>
      <c r="Q44" s="5">
        <v>461425</v>
      </c>
      <c r="R44" s="5">
        <v>94441</v>
      </c>
      <c r="S44" s="5">
        <v>448066</v>
      </c>
      <c r="T44" s="5">
        <v>391204</v>
      </c>
      <c r="U44" s="5">
        <v>145466</v>
      </c>
      <c r="V44" s="5">
        <v>317040</v>
      </c>
      <c r="W44" s="5">
        <v>508699</v>
      </c>
      <c r="X44" s="5">
        <v>232460</v>
      </c>
      <c r="Y44" s="5">
        <v>101625</v>
      </c>
      <c r="Z44" s="5">
        <v>891179</v>
      </c>
      <c r="AA44" s="5">
        <v>441605</v>
      </c>
      <c r="AB44" s="5">
        <v>96572</v>
      </c>
      <c r="AC44" s="5">
        <v>76574</v>
      </c>
      <c r="AD44" s="5">
        <v>97776</v>
      </c>
      <c r="AE44" s="5">
        <v>179389</v>
      </c>
      <c r="AF44" s="5">
        <v>110299</v>
      </c>
      <c r="AG44" s="5">
        <v>176089</v>
      </c>
      <c r="AH44" s="5">
        <v>91309</v>
      </c>
      <c r="AI44" s="5">
        <v>528283</v>
      </c>
      <c r="AJ44" s="5">
        <v>77353</v>
      </c>
      <c r="AK44" s="5">
        <v>80502</v>
      </c>
      <c r="AL44" s="5">
        <v>897655</v>
      </c>
      <c r="AM44" s="5">
        <v>115592</v>
      </c>
      <c r="AN44" s="5">
        <v>862403</v>
      </c>
      <c r="AO44" s="5">
        <v>89604</v>
      </c>
      <c r="AP44" s="5">
        <v>106482</v>
      </c>
      <c r="AQ44" s="5">
        <v>1309392</v>
      </c>
      <c r="AR44" s="5">
        <v>126725</v>
      </c>
    </row>
    <row r="45" spans="1:44">
      <c r="A45" s="1" t="s">
        <v>231</v>
      </c>
      <c r="B45" s="1" t="s">
        <v>232</v>
      </c>
      <c r="C45" s="1" t="s">
        <v>233</v>
      </c>
      <c r="D45" s="1" t="str">
        <f>HYPERLINK("http://eros.fiehnlab.ucdavis.edu:8080/binbase-compound/bin/show/237885?db=rtx5","237885")</f>
        <v>237885</v>
      </c>
      <c r="E45" s="1" t="s">
        <v>234</v>
      </c>
      <c r="F45" s="1" t="str">
        <f>HYPERLINK("http://www.genome.ad.jp/dbget-bin/www_bget?compound+C00295","C00295")</f>
        <v>C00295</v>
      </c>
      <c r="G45" s="1" t="str">
        <f>HYPERLINK("http://pubchem.ncbi.nlm.nih.gov/summary/summary.cgi?cid=967","967")</f>
        <v>967</v>
      </c>
      <c r="H45" s="1"/>
      <c r="I45" s="5">
        <v>234</v>
      </c>
      <c r="J45" s="5">
        <v>878</v>
      </c>
      <c r="K45" s="5">
        <v>184</v>
      </c>
      <c r="L45" s="5">
        <v>186</v>
      </c>
      <c r="M45" s="5">
        <v>332</v>
      </c>
      <c r="N45" s="5">
        <v>301</v>
      </c>
      <c r="O45" s="5">
        <v>236</v>
      </c>
      <c r="P45" s="5">
        <v>165</v>
      </c>
      <c r="Q45" s="5">
        <v>368</v>
      </c>
      <c r="R45" s="5">
        <v>154</v>
      </c>
      <c r="S45" s="5">
        <v>213</v>
      </c>
      <c r="T45" s="5">
        <v>170</v>
      </c>
      <c r="U45" s="5">
        <v>146</v>
      </c>
      <c r="V45" s="5">
        <v>232</v>
      </c>
      <c r="W45" s="5">
        <v>236</v>
      </c>
      <c r="X45" s="5">
        <v>233</v>
      </c>
      <c r="Y45" s="5">
        <v>168</v>
      </c>
      <c r="Z45" s="5">
        <v>266</v>
      </c>
      <c r="AA45" s="5">
        <v>558</v>
      </c>
      <c r="AB45" s="5">
        <v>131</v>
      </c>
      <c r="AC45" s="5">
        <v>190</v>
      </c>
      <c r="AD45" s="5">
        <v>169</v>
      </c>
      <c r="AE45" s="5">
        <v>147</v>
      </c>
      <c r="AF45" s="5">
        <v>154</v>
      </c>
      <c r="AG45" s="5">
        <v>192</v>
      </c>
      <c r="AH45" s="5">
        <v>181</v>
      </c>
      <c r="AI45" s="5">
        <v>394</v>
      </c>
      <c r="AJ45" s="5">
        <v>341</v>
      </c>
      <c r="AK45" s="5">
        <v>138</v>
      </c>
      <c r="AL45" s="5">
        <v>558</v>
      </c>
      <c r="AM45" s="5">
        <v>140</v>
      </c>
      <c r="AN45" s="5">
        <v>528</v>
      </c>
      <c r="AO45" s="5">
        <v>158</v>
      </c>
      <c r="AP45" s="5">
        <v>157</v>
      </c>
      <c r="AQ45" s="5">
        <v>688</v>
      </c>
      <c r="AR45" s="5">
        <v>104</v>
      </c>
    </row>
    <row r="46" spans="1:44">
      <c r="A46" s="1" t="s">
        <v>235</v>
      </c>
      <c r="B46" s="1" t="s">
        <v>236</v>
      </c>
      <c r="C46" s="1" t="s">
        <v>190</v>
      </c>
      <c r="D46" s="1" t="str">
        <f>HYPERLINK("http://eros.fiehnlab.ucdavis.edu:8080/binbase-compound/bin/show/228666?db=rtx5","228666")</f>
        <v>228666</v>
      </c>
      <c r="E46" s="1" t="s">
        <v>237</v>
      </c>
      <c r="F46" s="1" t="str">
        <f>HYPERLINK("http://www.genome.ad.jp/dbget-bin/www_bget?compound+C00077","C00077")</f>
        <v>C00077</v>
      </c>
      <c r="G46" s="1" t="str">
        <f>HYPERLINK("http://pubchem.ncbi.nlm.nih.gov/summary/summary.cgi?cid=6262","6262")</f>
        <v>6262</v>
      </c>
      <c r="H46" s="1"/>
      <c r="I46" s="5">
        <v>25940</v>
      </c>
      <c r="J46" s="5">
        <v>75861</v>
      </c>
      <c r="K46" s="5">
        <v>8091</v>
      </c>
      <c r="L46" s="5">
        <v>3807</v>
      </c>
      <c r="M46" s="5">
        <v>18649</v>
      </c>
      <c r="N46" s="5">
        <v>13593</v>
      </c>
      <c r="O46" s="5">
        <v>12960</v>
      </c>
      <c r="P46" s="5">
        <v>1835</v>
      </c>
      <c r="Q46" s="5">
        <v>6958</v>
      </c>
      <c r="R46" s="5">
        <v>3573</v>
      </c>
      <c r="S46" s="5">
        <v>10833</v>
      </c>
      <c r="T46" s="5">
        <v>22758</v>
      </c>
      <c r="U46" s="5">
        <v>9921</v>
      </c>
      <c r="V46" s="5">
        <v>19191</v>
      </c>
      <c r="W46" s="5">
        <v>25882</v>
      </c>
      <c r="X46" s="5">
        <v>4781</v>
      </c>
      <c r="Y46" s="5">
        <v>3818</v>
      </c>
      <c r="Z46" s="5">
        <v>44854</v>
      </c>
      <c r="AA46" s="5">
        <v>5455</v>
      </c>
      <c r="AB46" s="5">
        <v>3505</v>
      </c>
      <c r="AC46" s="5">
        <v>1671</v>
      </c>
      <c r="AD46" s="5">
        <v>2901</v>
      </c>
      <c r="AE46" s="5">
        <v>5074</v>
      </c>
      <c r="AF46" s="5">
        <v>7498</v>
      </c>
      <c r="AG46" s="5">
        <v>4686</v>
      </c>
      <c r="AH46" s="5">
        <v>1975</v>
      </c>
      <c r="AI46" s="5">
        <v>12160</v>
      </c>
      <c r="AJ46" s="5">
        <v>1969</v>
      </c>
      <c r="AK46" s="5">
        <v>1238</v>
      </c>
      <c r="AL46" s="5">
        <v>20673</v>
      </c>
      <c r="AM46" s="5">
        <v>2500</v>
      </c>
      <c r="AN46" s="5">
        <v>38233</v>
      </c>
      <c r="AO46" s="5">
        <v>2089</v>
      </c>
      <c r="AP46" s="5">
        <v>2886</v>
      </c>
      <c r="AQ46" s="5">
        <v>63856</v>
      </c>
      <c r="AR46" s="5">
        <v>4159</v>
      </c>
    </row>
    <row r="47" spans="1:44">
      <c r="A47" s="1" t="s">
        <v>238</v>
      </c>
      <c r="B47" s="1" t="s">
        <v>239</v>
      </c>
      <c r="C47" s="1" t="s">
        <v>240</v>
      </c>
      <c r="D47" s="1" t="str">
        <f>HYPERLINK("http://eros.fiehnlab.ucdavis.edu:8080/binbase-compound/bin/show/215488?db=rtx5","215488")</f>
        <v>215488</v>
      </c>
      <c r="E47" s="1" t="s">
        <v>241</v>
      </c>
      <c r="F47" s="1" t="str">
        <f>HYPERLINK("http://www.genome.ad.jp/dbget-bin/www_bget?compound+C00712","C00712")</f>
        <v>C00712</v>
      </c>
      <c r="G47" s="1" t="str">
        <f>HYPERLINK("http://pubchem.ncbi.nlm.nih.gov/summary/summary.cgi?cid=445639","445639")</f>
        <v>445639</v>
      </c>
      <c r="H47" s="1"/>
      <c r="I47" s="5">
        <v>223</v>
      </c>
      <c r="J47" s="5">
        <v>1379</v>
      </c>
      <c r="K47" s="5">
        <v>281</v>
      </c>
      <c r="L47" s="5">
        <v>147</v>
      </c>
      <c r="M47" s="5">
        <v>217</v>
      </c>
      <c r="N47" s="5">
        <v>1345</v>
      </c>
      <c r="O47" s="5">
        <v>264</v>
      </c>
      <c r="P47" s="5">
        <v>214</v>
      </c>
      <c r="Q47" s="5">
        <v>69</v>
      </c>
      <c r="R47" s="5">
        <v>142</v>
      </c>
      <c r="S47" s="5">
        <v>312</v>
      </c>
      <c r="T47" s="5">
        <v>106</v>
      </c>
      <c r="U47" s="5">
        <v>686</v>
      </c>
      <c r="V47" s="5">
        <v>199</v>
      </c>
      <c r="W47" s="5">
        <v>285</v>
      </c>
      <c r="X47" s="5">
        <v>145</v>
      </c>
      <c r="Y47" s="5">
        <v>321</v>
      </c>
      <c r="Z47" s="5">
        <v>383</v>
      </c>
      <c r="AA47" s="5">
        <v>519</v>
      </c>
      <c r="AB47" s="5">
        <v>72</v>
      </c>
      <c r="AC47" s="5">
        <v>146</v>
      </c>
      <c r="AD47" s="5">
        <v>169</v>
      </c>
      <c r="AE47" s="5">
        <v>190</v>
      </c>
      <c r="AF47" s="5">
        <v>101</v>
      </c>
      <c r="AG47" s="5">
        <v>329</v>
      </c>
      <c r="AH47" s="5">
        <v>305</v>
      </c>
      <c r="AI47" s="5">
        <v>889</v>
      </c>
      <c r="AJ47" s="5">
        <v>161</v>
      </c>
      <c r="AK47" s="5">
        <v>245</v>
      </c>
      <c r="AL47" s="5">
        <v>937</v>
      </c>
      <c r="AM47" s="5">
        <v>252</v>
      </c>
      <c r="AN47" s="5">
        <v>567</v>
      </c>
      <c r="AO47" s="5">
        <v>117</v>
      </c>
      <c r="AP47" s="5">
        <v>114</v>
      </c>
      <c r="AQ47" s="5">
        <v>353</v>
      </c>
      <c r="AR47" s="5">
        <v>53</v>
      </c>
    </row>
    <row r="48" spans="1:44">
      <c r="A48" s="1" t="s">
        <v>242</v>
      </c>
      <c r="B48" s="1" t="s">
        <v>243</v>
      </c>
      <c r="C48" s="1" t="s">
        <v>132</v>
      </c>
      <c r="D48" s="1" t="str">
        <f>HYPERLINK("http://eros.fiehnlab.ucdavis.edu:8080/binbase-compound/bin/show/241109?db=rtx5","241109")</f>
        <v>241109</v>
      </c>
      <c r="E48" s="1" t="s">
        <v>244</v>
      </c>
      <c r="F48" s="1" t="str">
        <f>HYPERLINK("http://www.genome.ad.jp/dbget-bin/www_bget?compound+C16535","C16535")</f>
        <v>C16535</v>
      </c>
      <c r="G48" s="1" t="str">
        <f>HYPERLINK("http://pubchem.ncbi.nlm.nih.gov/summary/summary.cgi?cid=12591","12591")</f>
        <v>12591</v>
      </c>
      <c r="H48" s="1"/>
      <c r="I48" s="5">
        <v>3474</v>
      </c>
      <c r="J48" s="5">
        <v>2632</v>
      </c>
      <c r="K48" s="5">
        <v>554</v>
      </c>
      <c r="L48" s="5">
        <v>437</v>
      </c>
      <c r="M48" s="5">
        <v>1046</v>
      </c>
      <c r="N48" s="5">
        <v>1356</v>
      </c>
      <c r="O48" s="5">
        <v>619</v>
      </c>
      <c r="P48" s="5">
        <v>846</v>
      </c>
      <c r="Q48" s="5">
        <v>2151</v>
      </c>
      <c r="R48" s="5">
        <v>528</v>
      </c>
      <c r="S48" s="5">
        <v>772</v>
      </c>
      <c r="T48" s="5">
        <v>964</v>
      </c>
      <c r="U48" s="5">
        <v>4803</v>
      </c>
      <c r="V48" s="5">
        <v>804</v>
      </c>
      <c r="W48" s="5">
        <v>1175</v>
      </c>
      <c r="X48" s="5">
        <v>521</v>
      </c>
      <c r="Y48" s="5">
        <v>984</v>
      </c>
      <c r="Z48" s="5">
        <v>1810</v>
      </c>
      <c r="AA48" s="5">
        <v>835</v>
      </c>
      <c r="AB48" s="5">
        <v>757</v>
      </c>
      <c r="AC48" s="5">
        <v>575</v>
      </c>
      <c r="AD48" s="5">
        <v>487</v>
      </c>
      <c r="AE48" s="5">
        <v>545</v>
      </c>
      <c r="AF48" s="5">
        <v>461</v>
      </c>
      <c r="AG48" s="5">
        <v>589</v>
      </c>
      <c r="AH48" s="5">
        <v>423</v>
      </c>
      <c r="AI48" s="5">
        <v>1032</v>
      </c>
      <c r="AJ48" s="5">
        <v>466</v>
      </c>
      <c r="AK48" s="5">
        <v>583</v>
      </c>
      <c r="AL48" s="5">
        <v>1800</v>
      </c>
      <c r="AM48" s="5">
        <v>518</v>
      </c>
      <c r="AN48" s="5">
        <v>1666</v>
      </c>
      <c r="AO48" s="5">
        <v>440</v>
      </c>
      <c r="AP48" s="5">
        <v>510</v>
      </c>
      <c r="AQ48" s="5">
        <v>2565</v>
      </c>
      <c r="AR48" s="5">
        <v>428</v>
      </c>
    </row>
    <row r="49" spans="1:44">
      <c r="A49" s="1" t="s">
        <v>245</v>
      </c>
      <c r="B49" s="1" t="s">
        <v>246</v>
      </c>
      <c r="C49" s="1" t="s">
        <v>247</v>
      </c>
      <c r="D49" s="1" t="str">
        <f>HYPERLINK("http://eros.fiehnlab.ucdavis.edu:8080/binbase-compound/bin/show/205663?db=rtx5","205663")</f>
        <v>205663</v>
      </c>
      <c r="E49" s="1" t="s">
        <v>248</v>
      </c>
      <c r="F49" s="1" t="str">
        <f>HYPERLINK("http://www.genome.ad.jp/dbget-bin/www_bget?compound+C02721","C02721")</f>
        <v>C02721</v>
      </c>
      <c r="G49" s="1" t="str">
        <f>HYPERLINK("http://pubchem.ncbi.nlm.nih.gov/summary/summary.cgi?cid=5288725","5288725")</f>
        <v>5288725</v>
      </c>
      <c r="H49" s="1"/>
      <c r="I49" s="5">
        <v>18470</v>
      </c>
      <c r="J49" s="5">
        <v>39454</v>
      </c>
      <c r="K49" s="5">
        <v>8656</v>
      </c>
      <c r="L49" s="5">
        <v>4584</v>
      </c>
      <c r="M49" s="5">
        <v>16392</v>
      </c>
      <c r="N49" s="5">
        <v>18228</v>
      </c>
      <c r="O49" s="5">
        <v>15638</v>
      </c>
      <c r="P49" s="5">
        <v>6881</v>
      </c>
      <c r="Q49" s="5">
        <v>16817</v>
      </c>
      <c r="R49" s="5">
        <v>8695</v>
      </c>
      <c r="S49" s="5">
        <v>15073</v>
      </c>
      <c r="T49" s="5">
        <v>28723</v>
      </c>
      <c r="U49" s="5">
        <v>5377</v>
      </c>
      <c r="V49" s="5">
        <v>8086</v>
      </c>
      <c r="W49" s="5">
        <v>15942</v>
      </c>
      <c r="X49" s="5">
        <v>9256</v>
      </c>
      <c r="Y49" s="5">
        <v>4554</v>
      </c>
      <c r="Z49" s="5">
        <v>33742</v>
      </c>
      <c r="AA49" s="5">
        <v>14420</v>
      </c>
      <c r="AB49" s="5">
        <v>7264</v>
      </c>
      <c r="AC49" s="5">
        <v>7180</v>
      </c>
      <c r="AD49" s="5">
        <v>15094</v>
      </c>
      <c r="AE49" s="5">
        <v>9169</v>
      </c>
      <c r="AF49" s="5">
        <v>9861</v>
      </c>
      <c r="AG49" s="5">
        <v>10704</v>
      </c>
      <c r="AH49" s="5">
        <v>6936</v>
      </c>
      <c r="AI49" s="5">
        <v>16132</v>
      </c>
      <c r="AJ49" s="5">
        <v>6928</v>
      </c>
      <c r="AK49" s="5">
        <v>4885</v>
      </c>
      <c r="AL49" s="5">
        <v>29522</v>
      </c>
      <c r="AM49" s="5">
        <v>5424</v>
      </c>
      <c r="AN49" s="5">
        <v>21046</v>
      </c>
      <c r="AO49" s="5">
        <v>5288</v>
      </c>
      <c r="AP49" s="5">
        <v>6216</v>
      </c>
      <c r="AQ49" s="5">
        <v>27456</v>
      </c>
      <c r="AR49" s="5">
        <v>7024</v>
      </c>
    </row>
    <row r="50" spans="1:44">
      <c r="A50" s="1" t="s">
        <v>249</v>
      </c>
      <c r="B50" s="1" t="s">
        <v>250</v>
      </c>
      <c r="C50" s="1" t="s">
        <v>116</v>
      </c>
      <c r="D50" s="1" t="str">
        <f>HYPERLINK("http://eros.fiehnlab.ucdavis.edu:8080/binbase-compound/bin/show/296490?db=rtx5","296490")</f>
        <v>296490</v>
      </c>
      <c r="E50" s="1" t="s">
        <v>251</v>
      </c>
      <c r="F50" s="1" t="str">
        <f>HYPERLINK("http://www.genome.ad.jp/dbget-bin/www_bget?compound+C00153","C00153")</f>
        <v>C00153</v>
      </c>
      <c r="G50" s="1" t="str">
        <f>HYPERLINK("http://pubchem.ncbi.nlm.nih.gov/summary/summary.cgi?cid=936","936")</f>
        <v>936</v>
      </c>
      <c r="H50" s="1"/>
      <c r="I50" s="5">
        <v>11435</v>
      </c>
      <c r="J50" s="5">
        <v>3492</v>
      </c>
      <c r="K50" s="5">
        <v>7282</v>
      </c>
      <c r="L50" s="5">
        <v>9654</v>
      </c>
      <c r="M50" s="5">
        <v>6902</v>
      </c>
      <c r="N50" s="5">
        <v>3396</v>
      </c>
      <c r="O50" s="5">
        <v>4403</v>
      </c>
      <c r="P50" s="5">
        <v>6757</v>
      </c>
      <c r="Q50" s="5">
        <v>6121</v>
      </c>
      <c r="R50" s="5">
        <v>10825</v>
      </c>
      <c r="S50" s="5">
        <v>5866</v>
      </c>
      <c r="T50" s="5">
        <v>9931</v>
      </c>
      <c r="U50" s="5">
        <v>6161</v>
      </c>
      <c r="V50" s="5">
        <v>3574</v>
      </c>
      <c r="W50" s="5">
        <v>1877</v>
      </c>
      <c r="X50" s="5">
        <v>3739</v>
      </c>
      <c r="Y50" s="5">
        <v>3384</v>
      </c>
      <c r="Z50" s="5">
        <v>4599</v>
      </c>
      <c r="AA50" s="5">
        <v>4328</v>
      </c>
      <c r="AB50" s="5">
        <v>5862</v>
      </c>
      <c r="AC50" s="5">
        <v>5261</v>
      </c>
      <c r="AD50" s="5">
        <v>7560</v>
      </c>
      <c r="AE50" s="5">
        <v>7958</v>
      </c>
      <c r="AF50" s="5">
        <v>6690</v>
      </c>
      <c r="AG50" s="5">
        <v>10596</v>
      </c>
      <c r="AH50" s="5">
        <v>12409</v>
      </c>
      <c r="AI50" s="5">
        <v>4969</v>
      </c>
      <c r="AJ50" s="5">
        <v>6885</v>
      </c>
      <c r="AK50" s="5">
        <v>7401</v>
      </c>
      <c r="AL50" s="5">
        <v>5231</v>
      </c>
      <c r="AM50" s="5">
        <v>5688</v>
      </c>
      <c r="AN50" s="5">
        <v>4260</v>
      </c>
      <c r="AO50" s="5">
        <v>3685</v>
      </c>
      <c r="AP50" s="5">
        <v>7261</v>
      </c>
      <c r="AQ50" s="5">
        <v>4060</v>
      </c>
      <c r="AR50" s="5">
        <v>5074</v>
      </c>
    </row>
    <row r="51" spans="1:44">
      <c r="A51" s="1" t="s">
        <v>252</v>
      </c>
      <c r="B51" s="1" t="s">
        <v>253</v>
      </c>
      <c r="C51" s="1" t="s">
        <v>254</v>
      </c>
      <c r="D51" s="1" t="str">
        <f>HYPERLINK("http://eros.fiehnlab.ucdavis.edu:8080/binbase-compound/bin/show/362116?db=rtx5","362116")</f>
        <v>362116</v>
      </c>
      <c r="E51" s="1" t="s">
        <v>255</v>
      </c>
      <c r="F51" s="1" t="s">
        <v>0</v>
      </c>
      <c r="G51" s="1" t="s">
        <v>0</v>
      </c>
      <c r="H51" s="1"/>
      <c r="I51" s="5">
        <v>329</v>
      </c>
      <c r="J51" s="5">
        <v>2245</v>
      </c>
      <c r="K51" s="5">
        <v>307</v>
      </c>
      <c r="L51" s="5">
        <v>175</v>
      </c>
      <c r="M51" s="5">
        <v>650</v>
      </c>
      <c r="N51" s="5">
        <v>610</v>
      </c>
      <c r="O51" s="5">
        <v>560</v>
      </c>
      <c r="P51" s="5">
        <v>269</v>
      </c>
      <c r="Q51" s="5">
        <v>540</v>
      </c>
      <c r="R51" s="5">
        <v>258</v>
      </c>
      <c r="S51" s="5">
        <v>579</v>
      </c>
      <c r="T51" s="5">
        <v>618</v>
      </c>
      <c r="U51" s="5">
        <v>257</v>
      </c>
      <c r="V51" s="5">
        <v>642</v>
      </c>
      <c r="W51" s="5">
        <v>822</v>
      </c>
      <c r="X51" s="5">
        <v>345</v>
      </c>
      <c r="Y51" s="5">
        <v>162</v>
      </c>
      <c r="Z51" s="5">
        <v>1338</v>
      </c>
      <c r="AA51" s="5">
        <v>511</v>
      </c>
      <c r="AB51" s="5">
        <v>205</v>
      </c>
      <c r="AC51" s="5">
        <v>159</v>
      </c>
      <c r="AD51" s="5">
        <v>170</v>
      </c>
      <c r="AE51" s="5">
        <v>248</v>
      </c>
      <c r="AF51" s="5">
        <v>185</v>
      </c>
      <c r="AG51" s="5">
        <v>347</v>
      </c>
      <c r="AH51" s="5">
        <v>178</v>
      </c>
      <c r="AI51" s="5">
        <v>633</v>
      </c>
      <c r="AJ51" s="5">
        <v>170</v>
      </c>
      <c r="AK51" s="5">
        <v>148</v>
      </c>
      <c r="AL51" s="5">
        <v>1386</v>
      </c>
      <c r="AM51" s="5">
        <v>226</v>
      </c>
      <c r="AN51" s="5">
        <v>1096</v>
      </c>
      <c r="AO51" s="5">
        <v>151</v>
      </c>
      <c r="AP51" s="5">
        <v>175</v>
      </c>
      <c r="AQ51" s="5">
        <v>2063</v>
      </c>
      <c r="AR51" s="5">
        <v>236</v>
      </c>
    </row>
    <row r="52" spans="1:44">
      <c r="A52" s="1" t="s">
        <v>1175</v>
      </c>
      <c r="B52" s="1" t="s">
        <v>257</v>
      </c>
      <c r="C52" s="1" t="s">
        <v>258</v>
      </c>
      <c r="D52" s="1" t="str">
        <f>HYPERLINK("http://eros.fiehnlab.ucdavis.edu:8080/binbase-compound/bin/show/205676?db=rtx5","205676")</f>
        <v>205676</v>
      </c>
      <c r="E52" s="1" t="s">
        <v>259</v>
      </c>
      <c r="F52" s="1" t="str">
        <f>HYPERLINK("http://www.genome.ad.jp/dbget-bin/www_bget?compound+C00645","C00645")</f>
        <v>C00645</v>
      </c>
      <c r="G52" s="1" t="str">
        <f>HYPERLINK("http://pubchem.ncbi.nlm.nih.gov/summary/summary.cgi?cid=65150","65150")</f>
        <v>65150</v>
      </c>
      <c r="H52" s="1"/>
      <c r="I52" s="5">
        <v>149</v>
      </c>
      <c r="J52" s="5">
        <v>387</v>
      </c>
      <c r="K52" s="5">
        <v>239</v>
      </c>
      <c r="L52" s="5">
        <v>187</v>
      </c>
      <c r="M52" s="5">
        <v>245</v>
      </c>
      <c r="N52" s="5">
        <v>202</v>
      </c>
      <c r="O52" s="5">
        <v>48</v>
      </c>
      <c r="P52" s="5">
        <v>165</v>
      </c>
      <c r="Q52" s="5">
        <v>125</v>
      </c>
      <c r="R52" s="5">
        <v>182</v>
      </c>
      <c r="S52" s="5">
        <v>247</v>
      </c>
      <c r="T52" s="5">
        <v>287</v>
      </c>
      <c r="U52" s="5">
        <v>234</v>
      </c>
      <c r="V52" s="5">
        <v>307</v>
      </c>
      <c r="W52" s="5">
        <v>116</v>
      </c>
      <c r="X52" s="5">
        <v>213</v>
      </c>
      <c r="Y52" s="5">
        <v>146</v>
      </c>
      <c r="Z52" s="5">
        <v>503</v>
      </c>
      <c r="AA52" s="5">
        <v>356</v>
      </c>
      <c r="AB52" s="5">
        <v>236</v>
      </c>
      <c r="AC52" s="5">
        <v>286</v>
      </c>
      <c r="AD52" s="5">
        <v>451</v>
      </c>
      <c r="AE52" s="5">
        <v>304</v>
      </c>
      <c r="AF52" s="5">
        <v>331</v>
      </c>
      <c r="AG52" s="5">
        <v>275</v>
      </c>
      <c r="AH52" s="5">
        <v>344</v>
      </c>
      <c r="AI52" s="5">
        <v>243</v>
      </c>
      <c r="AJ52" s="5">
        <v>206</v>
      </c>
      <c r="AK52" s="5">
        <v>228</v>
      </c>
      <c r="AL52" s="5">
        <v>206</v>
      </c>
      <c r="AM52" s="5">
        <v>214</v>
      </c>
      <c r="AN52" s="5">
        <v>149</v>
      </c>
      <c r="AO52" s="5">
        <v>254</v>
      </c>
      <c r="AP52" s="5">
        <v>239</v>
      </c>
      <c r="AQ52" s="5">
        <v>410</v>
      </c>
      <c r="AR52" s="5">
        <v>175</v>
      </c>
    </row>
    <row r="53" spans="1:44">
      <c r="A53" s="1" t="s">
        <v>260</v>
      </c>
      <c r="B53" s="1" t="s">
        <v>261</v>
      </c>
      <c r="C53" s="1" t="s">
        <v>86</v>
      </c>
      <c r="D53" s="1" t="str">
        <f>HYPERLINK("http://eros.fiehnlab.ucdavis.edu:8080/binbase-compound/bin/show/211596?db=rtx5","211596")</f>
        <v>211596</v>
      </c>
      <c r="E53" s="1" t="s">
        <v>262</v>
      </c>
      <c r="F53" s="1" t="str">
        <f>HYPERLINK("http://www.genome.ad.jp/dbget-bin/www_bget?compound+C03136","C03136")</f>
        <v>C03136</v>
      </c>
      <c r="G53" s="1" t="str">
        <f>HYPERLINK("http://pubchem.ncbi.nlm.nih.gov/summary/summary.cgi?cid=439281","439281")</f>
        <v>439281</v>
      </c>
      <c r="H53" s="1"/>
      <c r="I53" s="5">
        <v>8920</v>
      </c>
      <c r="J53" s="5">
        <v>1077</v>
      </c>
      <c r="K53" s="5">
        <v>2259</v>
      </c>
      <c r="L53" s="5">
        <v>5392</v>
      </c>
      <c r="M53" s="5">
        <v>6930</v>
      </c>
      <c r="N53" s="5">
        <v>1617</v>
      </c>
      <c r="O53" s="5">
        <v>3078</v>
      </c>
      <c r="P53" s="5">
        <v>2522</v>
      </c>
      <c r="Q53" s="5">
        <v>5089</v>
      </c>
      <c r="R53" s="5">
        <v>5278</v>
      </c>
      <c r="S53" s="5">
        <v>4922</v>
      </c>
      <c r="T53" s="5">
        <v>10389</v>
      </c>
      <c r="U53" s="5">
        <v>3708</v>
      </c>
      <c r="V53" s="5">
        <v>2927</v>
      </c>
      <c r="W53" s="5">
        <v>9478</v>
      </c>
      <c r="X53" s="5">
        <v>2261</v>
      </c>
      <c r="Y53" s="5">
        <v>1772</v>
      </c>
      <c r="Z53" s="5">
        <v>1448</v>
      </c>
      <c r="AA53" s="5">
        <v>1224</v>
      </c>
      <c r="AB53" s="5">
        <v>5261</v>
      </c>
      <c r="AC53" s="5">
        <v>4248</v>
      </c>
      <c r="AD53" s="5">
        <v>859</v>
      </c>
      <c r="AE53" s="5">
        <v>4303</v>
      </c>
      <c r="AF53" s="5">
        <v>2992</v>
      </c>
      <c r="AG53" s="5">
        <v>4306</v>
      </c>
      <c r="AH53" s="5">
        <v>3493</v>
      </c>
      <c r="AI53" s="5">
        <v>5927</v>
      </c>
      <c r="AJ53" s="5">
        <v>3333</v>
      </c>
      <c r="AK53" s="5">
        <v>2150</v>
      </c>
      <c r="AL53" s="5">
        <v>8106</v>
      </c>
      <c r="AM53" s="5">
        <v>2535</v>
      </c>
      <c r="AN53" s="5">
        <v>1342</v>
      </c>
      <c r="AO53" s="5">
        <v>3351</v>
      </c>
      <c r="AP53" s="5">
        <v>3997</v>
      </c>
      <c r="AQ53" s="5">
        <v>2246</v>
      </c>
      <c r="AR53" s="5">
        <v>4032</v>
      </c>
    </row>
    <row r="54" spans="1:44">
      <c r="A54" s="1" t="s">
        <v>263</v>
      </c>
      <c r="B54" s="1" t="s">
        <v>264</v>
      </c>
      <c r="C54" s="1" t="s">
        <v>265</v>
      </c>
      <c r="D54" s="1" t="str">
        <f>HYPERLINK("http://eros.fiehnlab.ucdavis.edu:8080/binbase-compound/bin/show/199929?db=rtx5","199929")</f>
        <v>199929</v>
      </c>
      <c r="E54" s="1" t="s">
        <v>266</v>
      </c>
      <c r="F54" s="1" t="str">
        <f>HYPERLINK("http://www.genome.ad.jp/dbget-bin/www_bget?compound+C06424","C06424")</f>
        <v>C06424</v>
      </c>
      <c r="G54" s="1" t="str">
        <f>HYPERLINK("http://pubchem.ncbi.nlm.nih.gov/summary/summary.cgi?cid=11005","11005")</f>
        <v>11005</v>
      </c>
      <c r="H54" s="1"/>
      <c r="I54" s="5">
        <v>4837</v>
      </c>
      <c r="J54" s="5">
        <v>1933</v>
      </c>
      <c r="K54" s="5">
        <v>1148</v>
      </c>
      <c r="L54" s="5">
        <v>1200</v>
      </c>
      <c r="M54" s="5">
        <v>1329</v>
      </c>
      <c r="N54" s="5">
        <v>3062</v>
      </c>
      <c r="O54" s="5">
        <v>2180</v>
      </c>
      <c r="P54" s="5">
        <v>2001</v>
      </c>
      <c r="Q54" s="5">
        <v>4346</v>
      </c>
      <c r="R54" s="5">
        <v>1429</v>
      </c>
      <c r="S54" s="5">
        <v>1857</v>
      </c>
      <c r="T54" s="5">
        <v>1626</v>
      </c>
      <c r="U54" s="5">
        <v>7855</v>
      </c>
      <c r="V54" s="5">
        <v>1305</v>
      </c>
      <c r="W54" s="5">
        <v>1739</v>
      </c>
      <c r="X54" s="5">
        <v>1548</v>
      </c>
      <c r="Y54" s="5">
        <v>2331</v>
      </c>
      <c r="Z54" s="5">
        <v>1517</v>
      </c>
      <c r="AA54" s="5">
        <v>1959</v>
      </c>
      <c r="AB54" s="5">
        <v>1143</v>
      </c>
      <c r="AC54" s="5">
        <v>1133</v>
      </c>
      <c r="AD54" s="5">
        <v>1132</v>
      </c>
      <c r="AE54" s="5">
        <v>1625</v>
      </c>
      <c r="AF54" s="5">
        <v>1147</v>
      </c>
      <c r="AG54" s="5">
        <v>1762</v>
      </c>
      <c r="AH54" s="5">
        <v>1058</v>
      </c>
      <c r="AI54" s="5">
        <v>1758</v>
      </c>
      <c r="AJ54" s="5">
        <v>1253</v>
      </c>
      <c r="AK54" s="5">
        <v>1537</v>
      </c>
      <c r="AL54" s="5">
        <v>1427</v>
      </c>
      <c r="AM54" s="5">
        <v>1409</v>
      </c>
      <c r="AN54" s="5">
        <v>1745</v>
      </c>
      <c r="AO54" s="5">
        <v>1186</v>
      </c>
      <c r="AP54" s="5">
        <v>1314</v>
      </c>
      <c r="AQ54" s="5">
        <v>2042</v>
      </c>
      <c r="AR54" s="5">
        <v>1329</v>
      </c>
    </row>
    <row r="55" spans="1:44">
      <c r="A55" s="1" t="s">
        <v>267</v>
      </c>
      <c r="B55" s="1" t="s">
        <v>268</v>
      </c>
      <c r="C55" s="1" t="s">
        <v>143</v>
      </c>
      <c r="D55" s="1" t="str">
        <f>HYPERLINK("http://eros.fiehnlab.ucdavis.edu:8080/binbase-compound/bin/show/296075?db=rtx5","296075")</f>
        <v>296075</v>
      </c>
      <c r="E55" s="1" t="s">
        <v>269</v>
      </c>
      <c r="F55" s="1" t="str">
        <f>HYPERLINK("http://www.genome.ad.jp/dbget-bin/www_bget?compound+C00418","C00418")</f>
        <v>C00418</v>
      </c>
      <c r="G55" s="1" t="str">
        <f>HYPERLINK("http://pubchem.ncbi.nlm.nih.gov/summary/summary.cgi?cid=439230","439230")</f>
        <v>439230</v>
      </c>
      <c r="H55" s="1"/>
      <c r="I55" s="5">
        <v>211</v>
      </c>
      <c r="J55" s="5">
        <v>612</v>
      </c>
      <c r="K55" s="5">
        <v>147</v>
      </c>
      <c r="L55" s="5">
        <v>140</v>
      </c>
      <c r="M55" s="5">
        <v>262</v>
      </c>
      <c r="N55" s="5">
        <v>300</v>
      </c>
      <c r="O55" s="5">
        <v>230</v>
      </c>
      <c r="P55" s="5">
        <v>132</v>
      </c>
      <c r="Q55" s="5">
        <v>274</v>
      </c>
      <c r="R55" s="5">
        <v>158</v>
      </c>
      <c r="S55" s="5">
        <v>241</v>
      </c>
      <c r="T55" s="5">
        <v>302</v>
      </c>
      <c r="U55" s="5">
        <v>143</v>
      </c>
      <c r="V55" s="5">
        <v>240</v>
      </c>
      <c r="W55" s="5">
        <v>197</v>
      </c>
      <c r="X55" s="5">
        <v>157</v>
      </c>
      <c r="Y55" s="5">
        <v>107</v>
      </c>
      <c r="Z55" s="5">
        <v>235</v>
      </c>
      <c r="AA55" s="5">
        <v>232</v>
      </c>
      <c r="AB55" s="5">
        <v>123</v>
      </c>
      <c r="AC55" s="5">
        <v>159</v>
      </c>
      <c r="AD55" s="5">
        <v>177</v>
      </c>
      <c r="AE55" s="5">
        <v>136</v>
      </c>
      <c r="AF55" s="5">
        <v>149</v>
      </c>
      <c r="AG55" s="5">
        <v>167</v>
      </c>
      <c r="AH55" s="5">
        <v>162</v>
      </c>
      <c r="AI55" s="5">
        <v>330</v>
      </c>
      <c r="AJ55" s="5">
        <v>126</v>
      </c>
      <c r="AK55" s="5">
        <v>99</v>
      </c>
      <c r="AL55" s="5">
        <v>285</v>
      </c>
      <c r="AM55" s="5">
        <v>110</v>
      </c>
      <c r="AN55" s="5">
        <v>233</v>
      </c>
      <c r="AO55" s="5">
        <v>134</v>
      </c>
      <c r="AP55" s="5">
        <v>166</v>
      </c>
      <c r="AQ55" s="5">
        <v>435</v>
      </c>
      <c r="AR55" s="5">
        <v>137</v>
      </c>
    </row>
    <row r="56" spans="1:44">
      <c r="A56" s="1" t="s">
        <v>270</v>
      </c>
      <c r="B56" s="1" t="s">
        <v>271</v>
      </c>
      <c r="C56" s="1" t="s">
        <v>132</v>
      </c>
      <c r="D56" s="1" t="str">
        <f>HYPERLINK("http://eros.fiehnlab.ucdavis.edu:8080/binbase-compound/bin/show/200398?db=rtx5","200398")</f>
        <v>200398</v>
      </c>
      <c r="E56" s="1" t="s">
        <v>272</v>
      </c>
      <c r="F56" s="1" t="str">
        <f>HYPERLINK("http://www.genome.ad.jp/dbget-bin/www_bget?compound+n/a","n/a")</f>
        <v>n/a</v>
      </c>
      <c r="G56" s="1" t="str">
        <f>HYPERLINK("http://pubchem.ncbi.nlm.nih.gov/summary/summary.cgi?cid=10465","10465")</f>
        <v>10465</v>
      </c>
      <c r="H56" s="1"/>
      <c r="I56" s="5">
        <v>39879</v>
      </c>
      <c r="J56" s="5">
        <v>4594</v>
      </c>
      <c r="K56" s="5">
        <v>3105</v>
      </c>
      <c r="L56" s="5">
        <v>2708</v>
      </c>
      <c r="M56" s="5">
        <v>3118</v>
      </c>
      <c r="N56" s="5">
        <v>6332</v>
      </c>
      <c r="O56" s="5">
        <v>9119</v>
      </c>
      <c r="P56" s="5">
        <v>8584</v>
      </c>
      <c r="Q56" s="5">
        <v>25729</v>
      </c>
      <c r="R56" s="5">
        <v>3746</v>
      </c>
      <c r="S56" s="5">
        <v>4810</v>
      </c>
      <c r="T56" s="5">
        <v>3174</v>
      </c>
      <c r="U56" s="5">
        <v>62411</v>
      </c>
      <c r="V56" s="5">
        <v>2976</v>
      </c>
      <c r="W56" s="5">
        <v>5352</v>
      </c>
      <c r="X56" s="5">
        <v>3109</v>
      </c>
      <c r="Y56" s="5">
        <v>8910</v>
      </c>
      <c r="Z56" s="5">
        <v>4410</v>
      </c>
      <c r="AA56" s="5">
        <v>3809</v>
      </c>
      <c r="AB56" s="5">
        <v>2649</v>
      </c>
      <c r="AC56" s="5">
        <v>2032</v>
      </c>
      <c r="AD56" s="5">
        <v>2378</v>
      </c>
      <c r="AE56" s="5">
        <v>3449</v>
      </c>
      <c r="AF56" s="5">
        <v>2115</v>
      </c>
      <c r="AG56" s="5">
        <v>3369</v>
      </c>
      <c r="AH56" s="5">
        <v>1814</v>
      </c>
      <c r="AI56" s="5">
        <v>5504</v>
      </c>
      <c r="AJ56" s="5">
        <v>2246</v>
      </c>
      <c r="AK56" s="5">
        <v>2995</v>
      </c>
      <c r="AL56" s="5">
        <v>4127</v>
      </c>
      <c r="AM56" s="5">
        <v>2181</v>
      </c>
      <c r="AN56" s="5">
        <v>3882</v>
      </c>
      <c r="AO56" s="5">
        <v>2250</v>
      </c>
      <c r="AP56" s="5">
        <v>2612</v>
      </c>
      <c r="AQ56" s="5">
        <v>3998</v>
      </c>
      <c r="AR56" s="5">
        <v>2473</v>
      </c>
    </row>
    <row r="57" spans="1:44">
      <c r="A57" s="1" t="s">
        <v>276</v>
      </c>
      <c r="B57" s="1" t="s">
        <v>274</v>
      </c>
      <c r="C57" s="1" t="s">
        <v>273</v>
      </c>
      <c r="D57" s="1" t="str">
        <f>HYPERLINK("http://eros.fiehnlab.ucdavis.edu:8080/binbase-compound/bin/show/218901?db=rtx5","218901")</f>
        <v>218901</v>
      </c>
      <c r="E57" s="1" t="s">
        <v>275</v>
      </c>
      <c r="F57" s="1" t="str">
        <f>HYPERLINK("http://www.genome.ad.jp/dbget-bin/www_bget?compound+C02989","C02989")</f>
        <v>C02989</v>
      </c>
      <c r="G57" s="1" t="str">
        <f>HYPERLINK("http://pubchem.ncbi.nlm.nih.gov/summary/summary.cgi?cid=158980","158980")</f>
        <v>158980</v>
      </c>
      <c r="H57" s="1"/>
      <c r="I57" s="5">
        <v>43864</v>
      </c>
      <c r="J57" s="5">
        <v>172963</v>
      </c>
      <c r="K57" s="5">
        <v>28588</v>
      </c>
      <c r="L57" s="5">
        <v>17933</v>
      </c>
      <c r="M57" s="5">
        <v>7444</v>
      </c>
      <c r="N57" s="5">
        <v>87880</v>
      </c>
      <c r="O57" s="5">
        <v>34307</v>
      </c>
      <c r="P57" s="5">
        <v>2213</v>
      </c>
      <c r="Q57" s="5">
        <v>12020</v>
      </c>
      <c r="R57" s="5">
        <v>1359</v>
      </c>
      <c r="S57" s="5">
        <v>6168</v>
      </c>
      <c r="T57" s="5">
        <v>4061</v>
      </c>
      <c r="U57" s="5">
        <v>16780</v>
      </c>
      <c r="V57" s="5">
        <v>57408</v>
      </c>
      <c r="W57" s="5">
        <v>64772</v>
      </c>
      <c r="X57" s="5">
        <v>27208</v>
      </c>
      <c r="Y57" s="5">
        <v>13202</v>
      </c>
      <c r="Z57" s="5">
        <v>12428</v>
      </c>
      <c r="AA57" s="5">
        <v>62853</v>
      </c>
      <c r="AB57" s="5">
        <v>18263</v>
      </c>
      <c r="AC57" s="5">
        <v>13050</v>
      </c>
      <c r="AD57" s="5">
        <v>27430</v>
      </c>
      <c r="AE57" s="5">
        <v>20257</v>
      </c>
      <c r="AF57" s="5">
        <v>18579</v>
      </c>
      <c r="AG57" s="5">
        <v>5140</v>
      </c>
      <c r="AH57" s="5">
        <v>14896</v>
      </c>
      <c r="AI57" s="5">
        <v>22630</v>
      </c>
      <c r="AJ57" s="5">
        <v>11818</v>
      </c>
      <c r="AK57" s="5">
        <v>9759</v>
      </c>
      <c r="AL57" s="5">
        <v>74461</v>
      </c>
      <c r="AM57" s="5">
        <v>16463</v>
      </c>
      <c r="AN57" s="5">
        <v>65738</v>
      </c>
      <c r="AO57" s="5">
        <v>13399</v>
      </c>
      <c r="AP57" s="5">
        <v>15118</v>
      </c>
      <c r="AQ57" s="5">
        <v>107019</v>
      </c>
      <c r="AR57" s="5">
        <v>15370</v>
      </c>
    </row>
    <row r="58" spans="1:44">
      <c r="A58" s="1" t="s">
        <v>277</v>
      </c>
      <c r="B58" s="1" t="s">
        <v>278</v>
      </c>
      <c r="C58" s="1" t="s">
        <v>279</v>
      </c>
      <c r="D58" s="1" t="str">
        <f>HYPERLINK("http://eros.fiehnlab.ucdavis.edu:8080/binbase-compound/bin/show/200533?db=rtx5","200533")</f>
        <v>200533</v>
      </c>
      <c r="E58" s="1" t="s">
        <v>280</v>
      </c>
      <c r="F58" s="1" t="str">
        <f>HYPERLINK("http://www.genome.ad.jp/dbget-bin/www_bget?compound+C00073","C00073")</f>
        <v>C00073</v>
      </c>
      <c r="G58" s="1" t="str">
        <f>HYPERLINK("http://pubchem.ncbi.nlm.nih.gov/summary/summary.cgi?cid=6137","6137")</f>
        <v>6137</v>
      </c>
      <c r="H58" s="1"/>
      <c r="I58" s="5">
        <v>28001</v>
      </c>
      <c r="J58" s="5">
        <v>124544</v>
      </c>
      <c r="K58" s="5">
        <v>1780</v>
      </c>
      <c r="L58" s="5">
        <v>3235</v>
      </c>
      <c r="M58" s="5">
        <v>72098</v>
      </c>
      <c r="N58" s="5">
        <v>39296</v>
      </c>
      <c r="O58" s="5">
        <v>29605</v>
      </c>
      <c r="P58" s="5">
        <v>15741</v>
      </c>
      <c r="Q58" s="5">
        <v>49884</v>
      </c>
      <c r="R58" s="5">
        <v>16359</v>
      </c>
      <c r="S58" s="5">
        <v>60083</v>
      </c>
      <c r="T58" s="5">
        <v>90180</v>
      </c>
      <c r="U58" s="5">
        <v>9024</v>
      </c>
      <c r="V58" s="5">
        <v>15635</v>
      </c>
      <c r="W58" s="5">
        <v>33696</v>
      </c>
      <c r="X58" s="5">
        <v>9648</v>
      </c>
      <c r="Y58" s="5">
        <v>4445</v>
      </c>
      <c r="Z58" s="5">
        <v>155664</v>
      </c>
      <c r="AA58" s="5">
        <v>23502</v>
      </c>
      <c r="AB58" s="5">
        <v>918</v>
      </c>
      <c r="AC58" s="5">
        <v>257</v>
      </c>
      <c r="AD58" s="5">
        <v>630</v>
      </c>
      <c r="AE58" s="5">
        <v>5904</v>
      </c>
      <c r="AF58" s="5">
        <v>1080</v>
      </c>
      <c r="AG58" s="5">
        <v>24096</v>
      </c>
      <c r="AH58" s="5">
        <v>3120</v>
      </c>
      <c r="AI58" s="5">
        <v>71420</v>
      </c>
      <c r="AJ58" s="5">
        <v>3219</v>
      </c>
      <c r="AK58" s="5">
        <v>2232</v>
      </c>
      <c r="AL58" s="5">
        <v>97345</v>
      </c>
      <c r="AM58" s="5">
        <v>1652</v>
      </c>
      <c r="AN58" s="5">
        <v>95853</v>
      </c>
      <c r="AO58" s="5">
        <v>286</v>
      </c>
      <c r="AP58" s="5">
        <v>3985</v>
      </c>
      <c r="AQ58" s="5">
        <v>132449</v>
      </c>
      <c r="AR58" s="5">
        <v>6428</v>
      </c>
    </row>
    <row r="59" spans="1:44">
      <c r="A59" s="1" t="s">
        <v>281</v>
      </c>
      <c r="B59" s="1" t="s">
        <v>282</v>
      </c>
      <c r="C59" s="1" t="s">
        <v>283</v>
      </c>
      <c r="D59" s="1" t="str">
        <f>HYPERLINK("http://eros.fiehnlab.ucdavis.edu:8080/binbase-compound/bin/show/227823?db=rtx5","227823")</f>
        <v>227823</v>
      </c>
      <c r="E59" s="1" t="s">
        <v>284</v>
      </c>
      <c r="F59" s="1" t="str">
        <f>HYPERLINK("http://www.genome.ad.jp/dbget-bin/www_bget?compound+C00275","C00275")</f>
        <v>C00275</v>
      </c>
      <c r="G59" s="1" t="str">
        <f>HYPERLINK("http://pubchem.ncbi.nlm.nih.gov/summary/summary.cgi?cid=65127","65127")</f>
        <v>65127</v>
      </c>
      <c r="H59" s="1"/>
      <c r="I59" s="5">
        <v>410</v>
      </c>
      <c r="J59" s="5">
        <v>363</v>
      </c>
      <c r="K59" s="5">
        <v>247</v>
      </c>
      <c r="L59" s="5">
        <v>192</v>
      </c>
      <c r="M59" s="5">
        <v>40</v>
      </c>
      <c r="N59" s="5">
        <v>163</v>
      </c>
      <c r="O59" s="5">
        <v>248</v>
      </c>
      <c r="P59" s="5">
        <v>179</v>
      </c>
      <c r="Q59" s="5">
        <v>224</v>
      </c>
      <c r="R59" s="5">
        <v>220</v>
      </c>
      <c r="S59" s="5">
        <v>209</v>
      </c>
      <c r="T59" s="5">
        <v>249</v>
      </c>
      <c r="U59" s="5">
        <v>140</v>
      </c>
      <c r="V59" s="5">
        <v>174</v>
      </c>
      <c r="W59" s="5">
        <v>203</v>
      </c>
      <c r="X59" s="5">
        <v>227</v>
      </c>
      <c r="Y59" s="5">
        <v>179</v>
      </c>
      <c r="Z59" s="5">
        <v>364</v>
      </c>
      <c r="AA59" s="5">
        <v>245</v>
      </c>
      <c r="AB59" s="5">
        <v>235</v>
      </c>
      <c r="AC59" s="5">
        <v>132</v>
      </c>
      <c r="AD59" s="5">
        <v>171</v>
      </c>
      <c r="AE59" s="5">
        <v>169</v>
      </c>
      <c r="AF59" s="5">
        <v>173</v>
      </c>
      <c r="AG59" s="5">
        <v>268</v>
      </c>
      <c r="AH59" s="5">
        <v>129</v>
      </c>
      <c r="AI59" s="5">
        <v>224</v>
      </c>
      <c r="AJ59" s="5">
        <v>156</v>
      </c>
      <c r="AK59" s="5">
        <v>214</v>
      </c>
      <c r="AL59" s="5">
        <v>268</v>
      </c>
      <c r="AM59" s="5">
        <v>183</v>
      </c>
      <c r="AN59" s="5">
        <v>289</v>
      </c>
      <c r="AO59" s="5">
        <v>143</v>
      </c>
      <c r="AP59" s="5">
        <v>191</v>
      </c>
      <c r="AQ59" s="5">
        <v>365</v>
      </c>
      <c r="AR59" s="5">
        <v>151</v>
      </c>
    </row>
    <row r="60" spans="1:44">
      <c r="A60" s="1" t="s">
        <v>1176</v>
      </c>
      <c r="B60" s="1" t="s">
        <v>285</v>
      </c>
      <c r="C60" s="1" t="s">
        <v>286</v>
      </c>
      <c r="D60" s="1" t="str">
        <f>HYPERLINK("http://eros.fiehnlab.ucdavis.edu:8080/binbase-compound/bin/show/204171?db=rtx5","204171")</f>
        <v>204171</v>
      </c>
      <c r="E60" s="1" t="s">
        <v>287</v>
      </c>
      <c r="F60" s="1" t="str">
        <f>HYPERLINK("http://www.genome.ad.jp/dbget-bin/www_bget?compound+C00208","C00208")</f>
        <v>C00208</v>
      </c>
      <c r="G60" s="1" t="str">
        <f>HYPERLINK("http://pubchem.ncbi.nlm.nih.gov/summary/summary.cgi?cid=6255","6255")</f>
        <v>6255</v>
      </c>
      <c r="H60" s="1"/>
      <c r="I60" s="5">
        <v>338</v>
      </c>
      <c r="J60" s="5">
        <v>412</v>
      </c>
      <c r="K60" s="5">
        <v>192</v>
      </c>
      <c r="L60" s="5">
        <v>211</v>
      </c>
      <c r="M60" s="5">
        <v>245</v>
      </c>
      <c r="N60" s="5">
        <v>112</v>
      </c>
      <c r="O60" s="5">
        <v>545</v>
      </c>
      <c r="P60" s="5">
        <v>547</v>
      </c>
      <c r="Q60" s="5">
        <v>646</v>
      </c>
      <c r="R60" s="5">
        <v>218</v>
      </c>
      <c r="S60" s="5">
        <v>248</v>
      </c>
      <c r="T60" s="5">
        <v>1978</v>
      </c>
      <c r="U60" s="5">
        <v>1674</v>
      </c>
      <c r="V60" s="5">
        <v>252</v>
      </c>
      <c r="W60" s="5">
        <v>221</v>
      </c>
      <c r="X60" s="5">
        <v>769</v>
      </c>
      <c r="Y60" s="5">
        <v>214</v>
      </c>
      <c r="Z60" s="5">
        <v>374</v>
      </c>
      <c r="AA60" s="5">
        <v>620</v>
      </c>
      <c r="AB60" s="5">
        <v>135</v>
      </c>
      <c r="AC60" s="5">
        <v>414</v>
      </c>
      <c r="AD60" s="5">
        <v>226</v>
      </c>
      <c r="AE60" s="5">
        <v>323</v>
      </c>
      <c r="AF60" s="5">
        <v>192</v>
      </c>
      <c r="AG60" s="5">
        <v>468</v>
      </c>
      <c r="AH60" s="5">
        <v>275</v>
      </c>
      <c r="AI60" s="5">
        <v>446</v>
      </c>
      <c r="AJ60" s="5">
        <v>273</v>
      </c>
      <c r="AK60" s="5">
        <v>638</v>
      </c>
      <c r="AL60" s="5">
        <v>928</v>
      </c>
      <c r="AM60" s="5">
        <v>307</v>
      </c>
      <c r="AN60" s="5">
        <v>478</v>
      </c>
      <c r="AO60" s="5">
        <v>230</v>
      </c>
      <c r="AP60" s="5">
        <v>324</v>
      </c>
      <c r="AQ60" s="5">
        <v>326</v>
      </c>
      <c r="AR60" s="5">
        <v>246</v>
      </c>
    </row>
    <row r="61" spans="1:44">
      <c r="A61" s="1" t="s">
        <v>288</v>
      </c>
      <c r="B61" s="1" t="s">
        <v>289</v>
      </c>
      <c r="C61" s="1" t="s">
        <v>290</v>
      </c>
      <c r="D61" s="1" t="str">
        <f>HYPERLINK("http://eros.fiehnlab.ucdavis.edu:8080/binbase-compound/bin/show/247180?db=rtx5","247180")</f>
        <v>247180</v>
      </c>
      <c r="E61" s="1" t="s">
        <v>291</v>
      </c>
      <c r="F61" s="1" t="str">
        <f>HYPERLINK("http://www.genome.ad.jp/dbget-bin/www_bget?compound+C00149","C00149")</f>
        <v>C00149</v>
      </c>
      <c r="G61" s="1" t="str">
        <f>HYPERLINK("http://pubchem.ncbi.nlm.nih.gov/summary/summary.cgi?cid=222656","222656")</f>
        <v>222656</v>
      </c>
      <c r="H61" s="1"/>
      <c r="I61" s="5">
        <v>17626</v>
      </c>
      <c r="J61" s="5">
        <v>26257</v>
      </c>
      <c r="K61" s="5">
        <v>5607</v>
      </c>
      <c r="L61" s="5">
        <v>7682</v>
      </c>
      <c r="M61" s="5">
        <v>37305</v>
      </c>
      <c r="N61" s="5">
        <v>6281</v>
      </c>
      <c r="O61" s="5">
        <v>24083</v>
      </c>
      <c r="P61" s="5">
        <v>5837</v>
      </c>
      <c r="Q61" s="5">
        <v>2934</v>
      </c>
      <c r="R61" s="5">
        <v>4984</v>
      </c>
      <c r="S61" s="5">
        <v>5781</v>
      </c>
      <c r="T61" s="5">
        <v>3512</v>
      </c>
      <c r="U61" s="5">
        <v>7696</v>
      </c>
      <c r="V61" s="5">
        <v>29224</v>
      </c>
      <c r="W61" s="5">
        <v>5751</v>
      </c>
      <c r="X61" s="5">
        <v>3787</v>
      </c>
      <c r="Y61" s="5">
        <v>3753</v>
      </c>
      <c r="Z61" s="5">
        <v>23248</v>
      </c>
      <c r="AA61" s="5">
        <v>3647</v>
      </c>
      <c r="AB61" s="5">
        <v>2695</v>
      </c>
      <c r="AC61" s="5">
        <v>3192</v>
      </c>
      <c r="AD61" s="5">
        <v>10399</v>
      </c>
      <c r="AE61" s="5">
        <v>6205</v>
      </c>
      <c r="AF61" s="5">
        <v>12738</v>
      </c>
      <c r="AG61" s="5">
        <v>6524</v>
      </c>
      <c r="AH61" s="5">
        <v>8624</v>
      </c>
      <c r="AI61" s="5">
        <v>8434</v>
      </c>
      <c r="AJ61" s="5">
        <v>5008</v>
      </c>
      <c r="AK61" s="5">
        <v>4242</v>
      </c>
      <c r="AL61" s="5">
        <v>6184</v>
      </c>
      <c r="AM61" s="5">
        <v>2413</v>
      </c>
      <c r="AN61" s="5">
        <v>8664</v>
      </c>
      <c r="AO61" s="5">
        <v>3545</v>
      </c>
      <c r="AP61" s="5">
        <v>5765</v>
      </c>
      <c r="AQ61" s="5">
        <v>66105</v>
      </c>
      <c r="AR61" s="5">
        <v>2111</v>
      </c>
    </row>
    <row r="62" spans="1:44">
      <c r="A62" s="1" t="s">
        <v>292</v>
      </c>
      <c r="B62" s="1" t="s">
        <v>293</v>
      </c>
      <c r="C62" s="1" t="s">
        <v>294</v>
      </c>
      <c r="D62" s="1" t="str">
        <f>HYPERLINK("http://eros.fiehnlab.ucdavis.edu:8080/binbase-compound/bin/show/200907?db=rtx5","200907")</f>
        <v>200907</v>
      </c>
      <c r="E62" s="1" t="s">
        <v>295</v>
      </c>
      <c r="F62" s="1" t="str">
        <f>HYPERLINK("http://www.genome.ad.jp/dbget-bin/www_bget?compound+C07272","C07272")</f>
        <v>C07272</v>
      </c>
      <c r="G62" s="1" t="str">
        <f>HYPERLINK("http://pubchem.ncbi.nlm.nih.gov/summary/summary.cgi?cid=10935","10935")</f>
        <v>10935</v>
      </c>
      <c r="H62" s="1"/>
      <c r="I62" s="5">
        <v>5496</v>
      </c>
      <c r="J62" s="5">
        <v>25005</v>
      </c>
      <c r="K62" s="5">
        <v>3142</v>
      </c>
      <c r="L62" s="5">
        <v>2386</v>
      </c>
      <c r="M62" s="5">
        <v>5100</v>
      </c>
      <c r="N62" s="5">
        <v>9172</v>
      </c>
      <c r="O62" s="5">
        <v>6438</v>
      </c>
      <c r="P62" s="5">
        <v>1702</v>
      </c>
      <c r="Q62" s="5">
        <v>7272</v>
      </c>
      <c r="R62" s="5">
        <v>2634</v>
      </c>
      <c r="S62" s="5">
        <v>3763</v>
      </c>
      <c r="T62" s="5">
        <v>6538</v>
      </c>
      <c r="U62" s="5">
        <v>2228</v>
      </c>
      <c r="V62" s="5">
        <v>6276</v>
      </c>
      <c r="W62" s="5">
        <v>9710</v>
      </c>
      <c r="X62" s="5">
        <v>4374</v>
      </c>
      <c r="Y62" s="5">
        <v>2551</v>
      </c>
      <c r="Z62" s="5">
        <v>15015</v>
      </c>
      <c r="AA62" s="5">
        <v>9039</v>
      </c>
      <c r="AB62" s="5">
        <v>2648</v>
      </c>
      <c r="AC62" s="5">
        <v>3106</v>
      </c>
      <c r="AD62" s="5">
        <v>2137</v>
      </c>
      <c r="AE62" s="5">
        <v>2424</v>
      </c>
      <c r="AF62" s="5">
        <v>2018</v>
      </c>
      <c r="AG62" s="5">
        <v>3487</v>
      </c>
      <c r="AH62" s="5">
        <v>2026</v>
      </c>
      <c r="AI62" s="5">
        <v>5565</v>
      </c>
      <c r="AJ62" s="5">
        <v>1381</v>
      </c>
      <c r="AK62" s="5">
        <v>2184</v>
      </c>
      <c r="AL62" s="5">
        <v>20201</v>
      </c>
      <c r="AM62" s="5">
        <v>1653</v>
      </c>
      <c r="AN62" s="5">
        <v>11686</v>
      </c>
      <c r="AO62" s="5">
        <v>2561</v>
      </c>
      <c r="AP62" s="5">
        <v>2402</v>
      </c>
      <c r="AQ62" s="5">
        <v>26011</v>
      </c>
      <c r="AR62" s="5">
        <v>2626</v>
      </c>
    </row>
    <row r="63" spans="1:44">
      <c r="A63" s="1" t="s">
        <v>1177</v>
      </c>
      <c r="B63" s="1" t="s">
        <v>296</v>
      </c>
      <c r="C63" s="1" t="s">
        <v>89</v>
      </c>
      <c r="D63" s="1" t="str">
        <f>HYPERLINK("http://eros.fiehnlab.ucdavis.edu:8080/binbase-compound/bin/show/323629?db=rtx5","323629")</f>
        <v>323629</v>
      </c>
      <c r="E63" s="1" t="s">
        <v>297</v>
      </c>
      <c r="F63" s="1" t="str">
        <f>HYPERLINK("http://www.genome.ad.jp/dbget-bin/www_bget?compound+n/a","n/a")</f>
        <v>n/a</v>
      </c>
      <c r="G63" s="1" t="str">
        <f>HYPERLINK("http://pubchem.ncbi.nlm.nih.gov/summary/summary.cgi?cid=65550","65550")</f>
        <v>65550</v>
      </c>
      <c r="H63" s="1"/>
      <c r="I63" s="5">
        <v>88124</v>
      </c>
      <c r="J63" s="5">
        <v>99719</v>
      </c>
      <c r="K63" s="5">
        <v>18348</v>
      </c>
      <c r="L63" s="5">
        <v>15577</v>
      </c>
      <c r="M63" s="5">
        <v>19150</v>
      </c>
      <c r="N63" s="5">
        <v>58085</v>
      </c>
      <c r="O63" s="5">
        <v>23705</v>
      </c>
      <c r="P63" s="5">
        <v>350</v>
      </c>
      <c r="Q63" s="5">
        <v>79110</v>
      </c>
      <c r="R63" s="5">
        <v>7533</v>
      </c>
      <c r="S63" s="5">
        <v>19924</v>
      </c>
      <c r="T63" s="5">
        <v>55069</v>
      </c>
      <c r="U63" s="5">
        <v>15567</v>
      </c>
      <c r="V63" s="5">
        <v>26834</v>
      </c>
      <c r="W63" s="5">
        <v>73695</v>
      </c>
      <c r="X63" s="5">
        <v>30943</v>
      </c>
      <c r="Y63" s="5">
        <v>18511</v>
      </c>
      <c r="Z63" s="5">
        <v>139396</v>
      </c>
      <c r="AA63" s="5">
        <v>490642</v>
      </c>
      <c r="AB63" s="5">
        <v>8549</v>
      </c>
      <c r="AC63" s="5">
        <v>20181</v>
      </c>
      <c r="AD63" s="5">
        <v>19023</v>
      </c>
      <c r="AE63" s="5">
        <v>6141</v>
      </c>
      <c r="AF63" s="5">
        <v>9649</v>
      </c>
      <c r="AG63" s="5">
        <v>14111</v>
      </c>
      <c r="AH63" s="5">
        <v>28163</v>
      </c>
      <c r="AI63" s="5">
        <v>33276</v>
      </c>
      <c r="AJ63" s="5">
        <v>13659</v>
      </c>
      <c r="AK63" s="5">
        <v>12989</v>
      </c>
      <c r="AL63" s="5">
        <v>103687</v>
      </c>
      <c r="AM63" s="5">
        <v>4104</v>
      </c>
      <c r="AN63" s="5">
        <v>73283</v>
      </c>
      <c r="AO63" s="5">
        <v>9574</v>
      </c>
      <c r="AP63" s="5">
        <v>10767</v>
      </c>
      <c r="AQ63" s="5">
        <v>177493</v>
      </c>
      <c r="AR63" s="5">
        <v>5840</v>
      </c>
    </row>
    <row r="64" spans="1:44">
      <c r="A64" s="1" t="s">
        <v>298</v>
      </c>
      <c r="B64" s="1" t="s">
        <v>299</v>
      </c>
      <c r="C64" s="1" t="s">
        <v>167</v>
      </c>
      <c r="D64" s="1" t="str">
        <f>HYPERLINK("http://eros.fiehnlab.ucdavis.edu:8080/binbase-compound/bin/show/328426?db=rtx5","328426")</f>
        <v>328426</v>
      </c>
      <c r="E64" s="1" t="s">
        <v>300</v>
      </c>
      <c r="F64" s="1" t="str">
        <f>HYPERLINK("http://www.genome.ad.jp/dbget-bin/www_bget?compound+C00047","C00047")</f>
        <v>C00047</v>
      </c>
      <c r="G64" s="1" t="str">
        <f>HYPERLINK("http://pubchem.ncbi.nlm.nih.gov/summary/summary.cgi?cid=5962","5962")</f>
        <v>5962</v>
      </c>
      <c r="H64" s="1"/>
      <c r="I64" s="5">
        <v>231973</v>
      </c>
      <c r="J64" s="5">
        <v>431797</v>
      </c>
      <c r="K64" s="5">
        <v>63658</v>
      </c>
      <c r="L64" s="5">
        <v>56365</v>
      </c>
      <c r="M64" s="5">
        <v>252872</v>
      </c>
      <c r="N64" s="5">
        <v>403686</v>
      </c>
      <c r="O64" s="5">
        <v>181629</v>
      </c>
      <c r="P64" s="5">
        <v>50926</v>
      </c>
      <c r="Q64" s="5">
        <v>26515</v>
      </c>
      <c r="R64" s="5">
        <v>32774</v>
      </c>
      <c r="S64" s="5">
        <v>129661</v>
      </c>
      <c r="T64" s="5">
        <v>227548</v>
      </c>
      <c r="U64" s="5">
        <v>14288</v>
      </c>
      <c r="V64" s="5">
        <v>183011</v>
      </c>
      <c r="W64" s="5">
        <v>24401</v>
      </c>
      <c r="X64" s="5">
        <v>115951</v>
      </c>
      <c r="Y64" s="5">
        <v>24108</v>
      </c>
      <c r="Z64" s="5">
        <v>477809</v>
      </c>
      <c r="AA64" s="5">
        <v>56517</v>
      </c>
      <c r="AB64" s="5">
        <v>11741</v>
      </c>
      <c r="AC64" s="5">
        <v>5540</v>
      </c>
      <c r="AD64" s="5">
        <v>7501</v>
      </c>
      <c r="AE64" s="5">
        <v>23181</v>
      </c>
      <c r="AF64" s="5">
        <v>18433</v>
      </c>
      <c r="AG64" s="5">
        <v>25036</v>
      </c>
      <c r="AH64" s="5">
        <v>6843</v>
      </c>
      <c r="AI64" s="5">
        <v>351847</v>
      </c>
      <c r="AJ64" s="5">
        <v>10042</v>
      </c>
      <c r="AK64" s="5">
        <v>7817</v>
      </c>
      <c r="AL64" s="5">
        <v>139255</v>
      </c>
      <c r="AM64" s="5">
        <v>11827</v>
      </c>
      <c r="AN64" s="5">
        <v>114318</v>
      </c>
      <c r="AO64" s="5">
        <v>9060</v>
      </c>
      <c r="AP64" s="5">
        <v>12673</v>
      </c>
      <c r="AQ64" s="5">
        <v>285253</v>
      </c>
      <c r="AR64" s="5">
        <v>21479</v>
      </c>
    </row>
    <row r="65" spans="1:44">
      <c r="A65" s="1" t="s">
        <v>301</v>
      </c>
      <c r="B65" s="1" t="s">
        <v>302</v>
      </c>
      <c r="C65" s="1" t="s">
        <v>155</v>
      </c>
      <c r="D65" s="1" t="str">
        <f>HYPERLINK("http://eros.fiehnlab.ucdavis.edu:8080/binbase-compound/bin/show/199201?db=rtx5","199201")</f>
        <v>199201</v>
      </c>
      <c r="E65" s="1" t="s">
        <v>303</v>
      </c>
      <c r="F65" s="1" t="str">
        <f>HYPERLINK("http://www.genome.ad.jp/dbget-bin/www_bget?compound+n/a","n/a")</f>
        <v>n/a</v>
      </c>
      <c r="G65" s="1" t="str">
        <f>HYPERLINK("http://pubchem.ncbi.nlm.nih.gov/summary/summary.cgi?cid=2724705","2724705")</f>
        <v>2724705</v>
      </c>
      <c r="H65" s="1"/>
      <c r="I65" s="5">
        <v>858</v>
      </c>
      <c r="J65" s="5">
        <v>1531</v>
      </c>
      <c r="K65" s="5">
        <v>348</v>
      </c>
      <c r="L65" s="5">
        <v>507</v>
      </c>
      <c r="M65" s="5">
        <v>833</v>
      </c>
      <c r="N65" s="5">
        <v>915</v>
      </c>
      <c r="O65" s="5">
        <v>599</v>
      </c>
      <c r="P65" s="5">
        <v>213</v>
      </c>
      <c r="Q65" s="5">
        <v>681</v>
      </c>
      <c r="R65" s="5">
        <v>429</v>
      </c>
      <c r="S65" s="5">
        <v>263</v>
      </c>
      <c r="T65" s="5">
        <v>875</v>
      </c>
      <c r="U65" s="5">
        <v>226</v>
      </c>
      <c r="V65" s="5">
        <v>610</v>
      </c>
      <c r="W65" s="5">
        <v>618</v>
      </c>
      <c r="X65" s="5">
        <v>514</v>
      </c>
      <c r="Y65" s="5">
        <v>277</v>
      </c>
      <c r="Z65" s="5">
        <v>773</v>
      </c>
      <c r="AA65" s="5">
        <v>434</v>
      </c>
      <c r="AB65" s="5">
        <v>371</v>
      </c>
      <c r="AC65" s="5">
        <v>398</v>
      </c>
      <c r="AD65" s="5">
        <v>460</v>
      </c>
      <c r="AE65" s="5">
        <v>370</v>
      </c>
      <c r="AF65" s="5">
        <v>332</v>
      </c>
      <c r="AG65" s="5">
        <v>552</v>
      </c>
      <c r="AH65" s="5">
        <v>296</v>
      </c>
      <c r="AI65" s="5">
        <v>849</v>
      </c>
      <c r="AJ65" s="5">
        <v>270</v>
      </c>
      <c r="AK65" s="5">
        <v>388</v>
      </c>
      <c r="AL65" s="5">
        <v>1069</v>
      </c>
      <c r="AM65" s="5">
        <v>228</v>
      </c>
      <c r="AN65" s="5">
        <v>709</v>
      </c>
      <c r="AO65" s="5">
        <v>275</v>
      </c>
      <c r="AP65" s="5">
        <v>247</v>
      </c>
      <c r="AQ65" s="5">
        <v>952</v>
      </c>
      <c r="AR65" s="5">
        <v>429</v>
      </c>
    </row>
    <row r="66" spans="1:44">
      <c r="A66" s="1" t="s">
        <v>304</v>
      </c>
      <c r="B66" s="1" t="s">
        <v>305</v>
      </c>
      <c r="C66" s="1" t="s">
        <v>254</v>
      </c>
      <c r="D66" s="1" t="str">
        <f>HYPERLINK("http://eros.fiehnlab.ucdavis.edu:8080/binbase-compound/bin/show/232325?db=rtx5","232325")</f>
        <v>232325</v>
      </c>
      <c r="E66" s="1" t="s">
        <v>306</v>
      </c>
      <c r="F66" s="1" t="str">
        <f>HYPERLINK("http://www.genome.ad.jp/dbget-bin/www_bget?compound+C00123","C00123")</f>
        <v>C00123</v>
      </c>
      <c r="G66" s="1" t="str">
        <f>HYPERLINK("http://pubchem.ncbi.nlm.nih.gov/summary/summary.cgi?cid=6106","6106")</f>
        <v>6106</v>
      </c>
      <c r="H66" s="1"/>
      <c r="I66" s="5">
        <v>310695</v>
      </c>
      <c r="J66" s="5">
        <v>1124377</v>
      </c>
      <c r="K66" s="5">
        <v>248799</v>
      </c>
      <c r="L66" s="5">
        <v>63567</v>
      </c>
      <c r="M66" s="5">
        <v>408220</v>
      </c>
      <c r="N66" s="5">
        <v>521113</v>
      </c>
      <c r="O66" s="5">
        <v>359867</v>
      </c>
      <c r="P66" s="5">
        <v>144325</v>
      </c>
      <c r="Q66" s="5">
        <v>376432</v>
      </c>
      <c r="R66" s="5">
        <v>199200</v>
      </c>
      <c r="S66" s="5">
        <v>278569</v>
      </c>
      <c r="T66" s="5">
        <v>448976</v>
      </c>
      <c r="U66" s="5">
        <v>257776</v>
      </c>
      <c r="V66" s="5">
        <v>285534</v>
      </c>
      <c r="W66" s="5">
        <v>454967</v>
      </c>
      <c r="X66" s="5">
        <v>150601</v>
      </c>
      <c r="Y66" s="5">
        <v>157290</v>
      </c>
      <c r="Z66" s="5">
        <v>931120</v>
      </c>
      <c r="AA66" s="5">
        <v>699131</v>
      </c>
      <c r="AB66" s="5">
        <v>74790</v>
      </c>
      <c r="AC66" s="5">
        <v>133746</v>
      </c>
      <c r="AD66" s="5">
        <v>240191</v>
      </c>
      <c r="AE66" s="5">
        <v>86993</v>
      </c>
      <c r="AF66" s="5">
        <v>179561</v>
      </c>
      <c r="AG66" s="5">
        <v>162206</v>
      </c>
      <c r="AH66" s="5">
        <v>114697</v>
      </c>
      <c r="AI66" s="5">
        <v>433601</v>
      </c>
      <c r="AJ66" s="5">
        <v>118738</v>
      </c>
      <c r="AK66" s="5">
        <v>74194</v>
      </c>
      <c r="AL66" s="5">
        <v>841799</v>
      </c>
      <c r="AM66" s="5">
        <v>107731</v>
      </c>
      <c r="AN66" s="5">
        <v>658948</v>
      </c>
      <c r="AO66" s="5">
        <v>120307</v>
      </c>
      <c r="AP66" s="5">
        <v>138976</v>
      </c>
      <c r="AQ66" s="5">
        <v>1044904</v>
      </c>
      <c r="AR66" s="5">
        <v>104789</v>
      </c>
    </row>
    <row r="67" spans="1:44">
      <c r="A67" s="1" t="s">
        <v>307</v>
      </c>
      <c r="B67" s="1" t="s">
        <v>308</v>
      </c>
      <c r="C67" s="1" t="s">
        <v>124</v>
      </c>
      <c r="D67" s="1" t="str">
        <f>HYPERLINK("http://eros.fiehnlab.ucdavis.edu:8080/binbase-compound/bin/show/228677?db=rtx5","228677")</f>
        <v>228677</v>
      </c>
      <c r="E67" s="1" t="s">
        <v>309</v>
      </c>
      <c r="F67" s="1" t="str">
        <f>HYPERLINK("http://www.genome.ad.jp/dbget-bin/www_bget?compound+C00256","C00256")</f>
        <v>C00256</v>
      </c>
      <c r="G67" s="1" t="str">
        <f>HYPERLINK("http://pubchem.ncbi.nlm.nih.gov/summary/summary.cgi?cid=61503","61503")</f>
        <v>61503</v>
      </c>
      <c r="H67" s="1"/>
      <c r="I67" s="5">
        <v>13925</v>
      </c>
      <c r="J67" s="5">
        <v>4623</v>
      </c>
      <c r="K67" s="5">
        <v>5141</v>
      </c>
      <c r="L67" s="5">
        <v>4728</v>
      </c>
      <c r="M67" s="5">
        <v>4775</v>
      </c>
      <c r="N67" s="5">
        <v>7672</v>
      </c>
      <c r="O67" s="5">
        <v>5212</v>
      </c>
      <c r="P67" s="5">
        <v>5944</v>
      </c>
      <c r="Q67" s="5">
        <v>3955</v>
      </c>
      <c r="R67" s="5">
        <v>4326</v>
      </c>
      <c r="S67" s="5">
        <v>4296</v>
      </c>
      <c r="T67" s="5">
        <v>5841</v>
      </c>
      <c r="U67" s="5">
        <v>4697</v>
      </c>
      <c r="V67" s="5">
        <v>2782</v>
      </c>
      <c r="W67" s="5">
        <v>3484</v>
      </c>
      <c r="X67" s="5">
        <v>7135</v>
      </c>
      <c r="Y67" s="5">
        <v>6417</v>
      </c>
      <c r="Z67" s="5">
        <v>3441</v>
      </c>
      <c r="AA67" s="5">
        <v>7874</v>
      </c>
      <c r="AB67" s="5">
        <v>4686</v>
      </c>
      <c r="AC67" s="5">
        <v>4572</v>
      </c>
      <c r="AD67" s="5">
        <v>4327</v>
      </c>
      <c r="AE67" s="5">
        <v>5328</v>
      </c>
      <c r="AF67" s="5">
        <v>2977</v>
      </c>
      <c r="AG67" s="5">
        <v>3874</v>
      </c>
      <c r="AH67" s="5">
        <v>3312</v>
      </c>
      <c r="AI67" s="5">
        <v>5097</v>
      </c>
      <c r="AJ67" s="5">
        <v>3361</v>
      </c>
      <c r="AK67" s="5">
        <v>4126</v>
      </c>
      <c r="AL67" s="5">
        <v>4317</v>
      </c>
      <c r="AM67" s="5">
        <v>7251</v>
      </c>
      <c r="AN67" s="5">
        <v>4413</v>
      </c>
      <c r="AO67" s="5">
        <v>3871</v>
      </c>
      <c r="AP67" s="5">
        <v>4655</v>
      </c>
      <c r="AQ67" s="5">
        <v>4151</v>
      </c>
      <c r="AR67" s="5">
        <v>3873</v>
      </c>
    </row>
    <row r="68" spans="1:44">
      <c r="A68" s="1" t="s">
        <v>310</v>
      </c>
      <c r="B68" s="1" t="s">
        <v>311</v>
      </c>
      <c r="C68" s="1" t="s">
        <v>135</v>
      </c>
      <c r="D68" s="1" t="str">
        <f>HYPERLINK("http://eros.fiehnlab.ucdavis.edu:8080/binbase-compound/bin/show/200467?db=rtx5","200467")</f>
        <v>200467</v>
      </c>
      <c r="E68" s="1" t="s">
        <v>312</v>
      </c>
      <c r="F68" s="1" t="str">
        <f>HYPERLINK("http://www.genome.ad.jp/dbget-bin/www_bget?compound+n/a","n/a")</f>
        <v>n/a</v>
      </c>
      <c r="G68" s="1" t="str">
        <f>HYPERLINK("http://pubchem.ncbi.nlm.nih.gov/summary/summary.cgi?cid=151152","151152")</f>
        <v>151152</v>
      </c>
      <c r="H68" s="1"/>
      <c r="I68" s="5">
        <v>4198</v>
      </c>
      <c r="J68" s="5">
        <v>14947</v>
      </c>
      <c r="K68" s="5">
        <v>2098</v>
      </c>
      <c r="L68" s="5">
        <v>516</v>
      </c>
      <c r="M68" s="5">
        <v>725</v>
      </c>
      <c r="N68" s="5">
        <v>5377</v>
      </c>
      <c r="O68" s="5">
        <v>863</v>
      </c>
      <c r="P68" s="5">
        <v>330</v>
      </c>
      <c r="Q68" s="5">
        <v>1144</v>
      </c>
      <c r="R68" s="5">
        <v>304</v>
      </c>
      <c r="S68" s="5">
        <v>653</v>
      </c>
      <c r="T68" s="5">
        <v>1173</v>
      </c>
      <c r="U68" s="5">
        <v>636</v>
      </c>
      <c r="V68" s="5">
        <v>5199</v>
      </c>
      <c r="W68" s="5">
        <v>6415</v>
      </c>
      <c r="X68" s="5">
        <v>1694</v>
      </c>
      <c r="Y68" s="5">
        <v>537</v>
      </c>
      <c r="Z68" s="5">
        <v>1724</v>
      </c>
      <c r="AA68" s="5">
        <v>3003</v>
      </c>
      <c r="AB68" s="5">
        <v>1654</v>
      </c>
      <c r="AC68" s="5">
        <v>2524</v>
      </c>
      <c r="AD68" s="5">
        <v>4963</v>
      </c>
      <c r="AE68" s="5">
        <v>1649</v>
      </c>
      <c r="AF68" s="5">
        <v>1635</v>
      </c>
      <c r="AG68" s="5">
        <v>559</v>
      </c>
      <c r="AH68" s="5">
        <v>509</v>
      </c>
      <c r="AI68" s="5">
        <v>1135</v>
      </c>
      <c r="AJ68" s="5">
        <v>823</v>
      </c>
      <c r="AK68" s="5">
        <v>572</v>
      </c>
      <c r="AL68" s="5">
        <v>3795</v>
      </c>
      <c r="AM68" s="5">
        <v>785</v>
      </c>
      <c r="AN68" s="5">
        <v>2389</v>
      </c>
      <c r="AO68" s="5">
        <v>6177</v>
      </c>
      <c r="AP68" s="5">
        <v>904</v>
      </c>
      <c r="AQ68" s="5">
        <v>4082</v>
      </c>
      <c r="AR68" s="5">
        <v>970</v>
      </c>
    </row>
    <row r="69" spans="1:44">
      <c r="A69" s="1" t="s">
        <v>313</v>
      </c>
      <c r="B69" s="1" t="s">
        <v>314</v>
      </c>
      <c r="C69" s="1" t="s">
        <v>315</v>
      </c>
      <c r="D69" s="1" t="str">
        <f>HYPERLINK("http://eros.fiehnlab.ucdavis.edu:8080/binbase-compound/bin/show/206136?db=rtx5","206136")</f>
        <v>206136</v>
      </c>
      <c r="E69" s="1" t="s">
        <v>316</v>
      </c>
      <c r="F69" s="1" t="str">
        <f>HYPERLINK("http://www.genome.ad.jp/dbget-bin/www_bget?compound+C07446","C07446")</f>
        <v>C07446</v>
      </c>
      <c r="G69" s="1" t="str">
        <f>HYPERLINK("http://pubchem.ncbi.nlm.nih.gov/summary/summary.cgi?cid=5922","5922")</f>
        <v>5922</v>
      </c>
      <c r="H69" s="1"/>
      <c r="I69" s="5">
        <v>3880</v>
      </c>
      <c r="J69" s="5">
        <v>14199</v>
      </c>
      <c r="K69" s="5">
        <v>4008</v>
      </c>
      <c r="L69" s="5">
        <v>3046</v>
      </c>
      <c r="M69" s="5">
        <v>3886</v>
      </c>
      <c r="N69" s="5">
        <v>6928</v>
      </c>
      <c r="O69" s="5">
        <v>3579</v>
      </c>
      <c r="P69" s="5">
        <v>3326</v>
      </c>
      <c r="Q69" s="5">
        <v>7805</v>
      </c>
      <c r="R69" s="5">
        <v>4178</v>
      </c>
      <c r="S69" s="5">
        <v>3829</v>
      </c>
      <c r="T69" s="5">
        <v>13236</v>
      </c>
      <c r="U69" s="5">
        <v>4906</v>
      </c>
      <c r="V69" s="5">
        <v>3028</v>
      </c>
      <c r="W69" s="5">
        <v>4728</v>
      </c>
      <c r="X69" s="5">
        <v>1729</v>
      </c>
      <c r="Y69" s="5">
        <v>1338</v>
      </c>
      <c r="Z69" s="5">
        <v>8056</v>
      </c>
      <c r="AA69" s="5">
        <v>4353</v>
      </c>
      <c r="AB69" s="5">
        <v>2971</v>
      </c>
      <c r="AC69" s="5">
        <v>3458</v>
      </c>
      <c r="AD69" s="5">
        <v>14510</v>
      </c>
      <c r="AE69" s="5">
        <v>2978</v>
      </c>
      <c r="AF69" s="5">
        <v>6648</v>
      </c>
      <c r="AG69" s="5">
        <v>3288</v>
      </c>
      <c r="AH69" s="5">
        <v>5342</v>
      </c>
      <c r="AI69" s="5">
        <v>5845</v>
      </c>
      <c r="AJ69" s="5">
        <v>3354</v>
      </c>
      <c r="AK69" s="5">
        <v>2629</v>
      </c>
      <c r="AL69" s="5">
        <v>9779</v>
      </c>
      <c r="AM69" s="5">
        <v>1650</v>
      </c>
      <c r="AN69" s="5">
        <v>7049</v>
      </c>
      <c r="AO69" s="5">
        <v>1460</v>
      </c>
      <c r="AP69" s="5">
        <v>1692</v>
      </c>
      <c r="AQ69" s="5">
        <v>11154</v>
      </c>
      <c r="AR69" s="5">
        <v>1692</v>
      </c>
    </row>
    <row r="70" spans="1:44">
      <c r="A70" s="1" t="s">
        <v>317</v>
      </c>
      <c r="B70" s="1" t="s">
        <v>318</v>
      </c>
      <c r="C70" s="1" t="s">
        <v>254</v>
      </c>
      <c r="D70" s="1" t="str">
        <f>HYPERLINK("http://eros.fiehnlab.ucdavis.edu:8080/binbase-compound/bin/show/215089?db=rtx5","215089")</f>
        <v>215089</v>
      </c>
      <c r="E70" s="1" t="s">
        <v>319</v>
      </c>
      <c r="F70" s="1" t="str">
        <f>HYPERLINK("http://www.genome.ad.jp/dbget-bin/www_bget?compound+C00407","C00407")</f>
        <v>C00407</v>
      </c>
      <c r="G70" s="1" t="str">
        <f>HYPERLINK("http://pubchem.ncbi.nlm.nih.gov/summary/summary.cgi?cid=6306","6306")</f>
        <v>6306</v>
      </c>
      <c r="H70" s="1"/>
      <c r="I70" s="5">
        <v>286852</v>
      </c>
      <c r="J70" s="5">
        <v>1227135</v>
      </c>
      <c r="K70" s="5">
        <v>131663</v>
      </c>
      <c r="L70" s="5">
        <v>83982</v>
      </c>
      <c r="M70" s="5">
        <v>364585</v>
      </c>
      <c r="N70" s="5">
        <v>594626</v>
      </c>
      <c r="O70" s="5">
        <v>339222</v>
      </c>
      <c r="P70" s="5">
        <v>117771</v>
      </c>
      <c r="Q70" s="5">
        <v>427702</v>
      </c>
      <c r="R70" s="5">
        <v>102331</v>
      </c>
      <c r="S70" s="5">
        <v>355694</v>
      </c>
      <c r="T70" s="5">
        <v>539342</v>
      </c>
      <c r="U70" s="5">
        <v>108818</v>
      </c>
      <c r="V70" s="5">
        <v>234597</v>
      </c>
      <c r="W70" s="5">
        <v>440191</v>
      </c>
      <c r="X70" s="5">
        <v>175659</v>
      </c>
      <c r="Y70" s="5">
        <v>83368</v>
      </c>
      <c r="Z70" s="5">
        <v>865884</v>
      </c>
      <c r="AA70" s="5">
        <v>421188</v>
      </c>
      <c r="AB70" s="5">
        <v>83822</v>
      </c>
      <c r="AC70" s="5">
        <v>69176</v>
      </c>
      <c r="AD70" s="5">
        <v>118893</v>
      </c>
      <c r="AE70" s="5">
        <v>86253</v>
      </c>
      <c r="AF70" s="5">
        <v>81030</v>
      </c>
      <c r="AG70" s="5">
        <v>167406</v>
      </c>
      <c r="AH70" s="5">
        <v>75442</v>
      </c>
      <c r="AI70" s="5">
        <v>504508</v>
      </c>
      <c r="AJ70" s="5">
        <v>63397</v>
      </c>
      <c r="AK70" s="5">
        <v>58727</v>
      </c>
      <c r="AL70" s="5">
        <v>859214</v>
      </c>
      <c r="AM70" s="5">
        <v>83235</v>
      </c>
      <c r="AN70" s="5">
        <v>696004</v>
      </c>
      <c r="AO70" s="5">
        <v>63095</v>
      </c>
      <c r="AP70" s="5">
        <v>80227</v>
      </c>
      <c r="AQ70" s="5">
        <v>1071158</v>
      </c>
      <c r="AR70" s="5">
        <v>120473</v>
      </c>
    </row>
    <row r="71" spans="1:44">
      <c r="A71" s="1" t="s">
        <v>320</v>
      </c>
      <c r="B71" s="1" t="s">
        <v>321</v>
      </c>
      <c r="C71" s="1" t="s">
        <v>322</v>
      </c>
      <c r="D71" s="1" t="str">
        <f>HYPERLINK("http://eros.fiehnlab.ucdavis.edu:8080/binbase-compound/bin/show/228005?db=rtx5","228005")</f>
        <v>228005</v>
      </c>
      <c r="E71" s="1" t="s">
        <v>323</v>
      </c>
      <c r="F71" s="1" t="str">
        <f>HYPERLINK("http://www.genome.ad.jp/dbget-bin/www_bget?compound+C00137","C00137")</f>
        <v>C00137</v>
      </c>
      <c r="G71" s="1" t="str">
        <f>HYPERLINK("http://pubchem.ncbi.nlm.nih.gov/summary/summary.cgi?cid=892","892")</f>
        <v>892</v>
      </c>
      <c r="H71" s="1"/>
      <c r="I71" s="5">
        <v>3098</v>
      </c>
      <c r="J71" s="5">
        <v>13900</v>
      </c>
      <c r="K71" s="5">
        <v>197</v>
      </c>
      <c r="L71" s="5">
        <v>694</v>
      </c>
      <c r="M71" s="5">
        <v>176</v>
      </c>
      <c r="N71" s="5">
        <v>6391</v>
      </c>
      <c r="O71" s="5">
        <v>629</v>
      </c>
      <c r="P71" s="5">
        <v>160</v>
      </c>
      <c r="Q71" s="5">
        <v>4845</v>
      </c>
      <c r="R71" s="5">
        <v>837</v>
      </c>
      <c r="S71" s="5">
        <v>387</v>
      </c>
      <c r="T71" s="5">
        <v>4442</v>
      </c>
      <c r="U71" s="5">
        <v>301</v>
      </c>
      <c r="V71" s="5">
        <v>408</v>
      </c>
      <c r="W71" s="5">
        <v>4797</v>
      </c>
      <c r="X71" s="5">
        <v>1344</v>
      </c>
      <c r="Y71" s="5">
        <v>192</v>
      </c>
      <c r="Z71" s="5">
        <v>8651</v>
      </c>
      <c r="AA71" s="5">
        <v>672</v>
      </c>
      <c r="AB71" s="5">
        <v>682</v>
      </c>
      <c r="AC71" s="5">
        <v>734</v>
      </c>
      <c r="AD71" s="5">
        <v>901</v>
      </c>
      <c r="AE71" s="5">
        <v>230</v>
      </c>
      <c r="AF71" s="5">
        <v>832</v>
      </c>
      <c r="AG71" s="5">
        <v>1684</v>
      </c>
      <c r="AH71" s="5">
        <v>140</v>
      </c>
      <c r="AI71" s="5">
        <v>774</v>
      </c>
      <c r="AJ71" s="5">
        <v>396</v>
      </c>
      <c r="AK71" s="5">
        <v>147</v>
      </c>
      <c r="AL71" s="5">
        <v>8699</v>
      </c>
      <c r="AM71" s="5">
        <v>981</v>
      </c>
      <c r="AN71" s="5">
        <v>7311</v>
      </c>
      <c r="AO71" s="5">
        <v>477</v>
      </c>
      <c r="AP71" s="5">
        <v>669</v>
      </c>
      <c r="AQ71" s="5">
        <v>12940</v>
      </c>
      <c r="AR71" s="5">
        <v>896</v>
      </c>
    </row>
    <row r="72" spans="1:44">
      <c r="A72" s="1" t="s">
        <v>324</v>
      </c>
      <c r="B72" s="1" t="s">
        <v>325</v>
      </c>
      <c r="C72" s="1" t="s">
        <v>326</v>
      </c>
      <c r="D72" s="1" t="str">
        <f>HYPERLINK("http://eros.fiehnlab.ucdavis.edu:8080/binbase-compound/bin/show/203304?db=rtx5","203304")</f>
        <v>203304</v>
      </c>
      <c r="E72" s="1" t="s">
        <v>327</v>
      </c>
      <c r="F72" s="1" t="str">
        <f>HYPERLINK("http://www.genome.ad.jp/dbget-bin/www_bget?compound+n/a","n/a")</f>
        <v>n/a</v>
      </c>
      <c r="G72" s="1" t="str">
        <f>HYPERLINK("http://pubchem.ncbi.nlm.nih.gov/summary/summary.cgi?cid=892","892")</f>
        <v>892</v>
      </c>
      <c r="H72" s="1"/>
      <c r="I72" s="5">
        <v>1177</v>
      </c>
      <c r="J72" s="5">
        <v>1858</v>
      </c>
      <c r="K72" s="5">
        <v>340</v>
      </c>
      <c r="L72" s="5">
        <v>167</v>
      </c>
      <c r="M72" s="5">
        <v>553</v>
      </c>
      <c r="N72" s="5">
        <v>794</v>
      </c>
      <c r="O72" s="5">
        <v>962</v>
      </c>
      <c r="P72" s="5">
        <v>348</v>
      </c>
      <c r="Q72" s="5">
        <v>574</v>
      </c>
      <c r="R72" s="5">
        <v>303</v>
      </c>
      <c r="S72" s="5">
        <v>525</v>
      </c>
      <c r="T72" s="5">
        <v>642</v>
      </c>
      <c r="U72" s="5">
        <v>401</v>
      </c>
      <c r="V72" s="5">
        <v>502</v>
      </c>
      <c r="W72" s="5">
        <v>666</v>
      </c>
      <c r="X72" s="5">
        <v>193</v>
      </c>
      <c r="Y72" s="5">
        <v>221</v>
      </c>
      <c r="Z72" s="5">
        <v>1166</v>
      </c>
      <c r="AA72" s="5">
        <v>698</v>
      </c>
      <c r="AB72" s="5">
        <v>201</v>
      </c>
      <c r="AC72" s="5">
        <v>246</v>
      </c>
      <c r="AD72" s="5">
        <v>293</v>
      </c>
      <c r="AE72" s="5">
        <v>430</v>
      </c>
      <c r="AF72" s="5">
        <v>329</v>
      </c>
      <c r="AG72" s="5">
        <v>484</v>
      </c>
      <c r="AH72" s="5">
        <v>234</v>
      </c>
      <c r="AI72" s="5">
        <v>685</v>
      </c>
      <c r="AJ72" s="5">
        <v>210</v>
      </c>
      <c r="AK72" s="5">
        <v>302</v>
      </c>
      <c r="AL72" s="5">
        <v>1326</v>
      </c>
      <c r="AM72" s="5">
        <v>368</v>
      </c>
      <c r="AN72" s="5">
        <v>905</v>
      </c>
      <c r="AO72" s="5">
        <v>196</v>
      </c>
      <c r="AP72" s="5">
        <v>257</v>
      </c>
      <c r="AQ72" s="5">
        <v>1998</v>
      </c>
      <c r="AR72" s="5">
        <v>274</v>
      </c>
    </row>
    <row r="73" spans="1:44">
      <c r="A73" s="1" t="s">
        <v>328</v>
      </c>
      <c r="B73" s="1" t="s">
        <v>329</v>
      </c>
      <c r="C73" s="1" t="s">
        <v>89</v>
      </c>
      <c r="D73" s="1" t="str">
        <f>HYPERLINK("http://eros.fiehnlab.ucdavis.edu:8080/binbase-compound/bin/show/199606?db=rtx5","199606")</f>
        <v>199606</v>
      </c>
      <c r="E73" s="1" t="s">
        <v>330</v>
      </c>
      <c r="F73" s="1" t="str">
        <f>HYPERLINK("http://www.genome.ad.jp/dbget-bin/www_bget?compound+C00294","C00294")</f>
        <v>C00294</v>
      </c>
      <c r="G73" s="1" t="str">
        <f>HYPERLINK("http://pubchem.ncbi.nlm.nih.gov/summary/summary.cgi?cid=6021","6021")</f>
        <v>6021</v>
      </c>
      <c r="H73" s="1"/>
      <c r="I73" s="5">
        <v>2368</v>
      </c>
      <c r="J73" s="5">
        <v>11140</v>
      </c>
      <c r="K73" s="5">
        <v>1526</v>
      </c>
      <c r="L73" s="5">
        <v>1583</v>
      </c>
      <c r="M73" s="5">
        <v>3493</v>
      </c>
      <c r="N73" s="5">
        <v>5641</v>
      </c>
      <c r="O73" s="5">
        <v>742</v>
      </c>
      <c r="P73" s="5">
        <v>574</v>
      </c>
      <c r="Q73" s="5">
        <v>4180</v>
      </c>
      <c r="R73" s="5">
        <v>274</v>
      </c>
      <c r="S73" s="5">
        <v>755</v>
      </c>
      <c r="T73" s="5">
        <v>1328</v>
      </c>
      <c r="U73" s="5">
        <v>1332</v>
      </c>
      <c r="V73" s="5">
        <v>1556</v>
      </c>
      <c r="W73" s="5">
        <v>5245</v>
      </c>
      <c r="X73" s="5">
        <v>2745</v>
      </c>
      <c r="Y73" s="5">
        <v>1784</v>
      </c>
      <c r="Z73" s="5">
        <v>2064</v>
      </c>
      <c r="AA73" s="5">
        <v>6260</v>
      </c>
      <c r="AB73" s="5">
        <v>2509</v>
      </c>
      <c r="AC73" s="5">
        <v>1386</v>
      </c>
      <c r="AD73" s="5">
        <v>649</v>
      </c>
      <c r="AE73" s="5">
        <v>4795</v>
      </c>
      <c r="AF73" s="5">
        <v>1068</v>
      </c>
      <c r="AG73" s="5">
        <v>3687</v>
      </c>
      <c r="AH73" s="5">
        <v>1861</v>
      </c>
      <c r="AI73" s="5">
        <v>3552</v>
      </c>
      <c r="AJ73" s="5">
        <v>1661</v>
      </c>
      <c r="AK73" s="5">
        <v>1758</v>
      </c>
      <c r="AL73" s="5">
        <v>14689</v>
      </c>
      <c r="AM73" s="5">
        <v>2064</v>
      </c>
      <c r="AN73" s="5">
        <v>4629</v>
      </c>
      <c r="AO73" s="5">
        <v>1957</v>
      </c>
      <c r="AP73" s="5">
        <v>2103</v>
      </c>
      <c r="AQ73" s="5">
        <v>9745</v>
      </c>
      <c r="AR73" s="5">
        <v>2775</v>
      </c>
    </row>
    <row r="74" spans="1:44">
      <c r="A74" s="1" t="s">
        <v>331</v>
      </c>
      <c r="B74" s="1" t="s">
        <v>332</v>
      </c>
      <c r="C74" s="1" t="s">
        <v>333</v>
      </c>
      <c r="D74" s="1" t="str">
        <f>HYPERLINK("http://eros.fiehnlab.ucdavis.edu:8080/binbase-compound/bin/show/199598?db=rtx5","199598")</f>
        <v>199598</v>
      </c>
      <c r="E74" s="1" t="s">
        <v>334</v>
      </c>
      <c r="F74" s="1" t="str">
        <f>HYPERLINK("http://www.genome.ad.jp/dbget-bin/www_bget?compound+C00262","C00262")</f>
        <v>C00262</v>
      </c>
      <c r="G74" s="1" t="str">
        <f>HYPERLINK("http://pubchem.ncbi.nlm.nih.gov/summary/summary.cgi?cid=790","790")</f>
        <v>790</v>
      </c>
      <c r="H74" s="1"/>
      <c r="I74" s="5">
        <v>33630</v>
      </c>
      <c r="J74" s="5">
        <v>45019</v>
      </c>
      <c r="K74" s="5">
        <v>57110</v>
      </c>
      <c r="L74" s="5">
        <v>38197</v>
      </c>
      <c r="M74" s="5">
        <v>26789</v>
      </c>
      <c r="N74" s="5">
        <v>39556</v>
      </c>
      <c r="O74" s="5">
        <v>18171</v>
      </c>
      <c r="P74" s="5">
        <v>20574</v>
      </c>
      <c r="Q74" s="5">
        <v>24933</v>
      </c>
      <c r="R74" s="5">
        <v>28986</v>
      </c>
      <c r="S74" s="5">
        <v>11636</v>
      </c>
      <c r="T74" s="5">
        <v>39994</v>
      </c>
      <c r="U74" s="5">
        <v>26882</v>
      </c>
      <c r="V74" s="5">
        <v>15015</v>
      </c>
      <c r="W74" s="5">
        <v>28374</v>
      </c>
      <c r="X74" s="5">
        <v>19576</v>
      </c>
      <c r="Y74" s="5">
        <v>21975</v>
      </c>
      <c r="Z74" s="5">
        <v>28789</v>
      </c>
      <c r="AA74" s="5">
        <v>36215</v>
      </c>
      <c r="AB74" s="5">
        <v>46431</v>
      </c>
      <c r="AC74" s="5">
        <v>46416</v>
      </c>
      <c r="AD74" s="5">
        <v>50315</v>
      </c>
      <c r="AE74" s="5">
        <v>67583</v>
      </c>
      <c r="AF74" s="5">
        <v>57463</v>
      </c>
      <c r="AG74" s="5">
        <v>46185</v>
      </c>
      <c r="AH74" s="5">
        <v>61025</v>
      </c>
      <c r="AI74" s="5">
        <v>28026</v>
      </c>
      <c r="AJ74" s="5">
        <v>28637</v>
      </c>
      <c r="AK74" s="5">
        <v>38118</v>
      </c>
      <c r="AL74" s="5">
        <v>48902</v>
      </c>
      <c r="AM74" s="5">
        <v>22984</v>
      </c>
      <c r="AN74" s="5">
        <v>28141</v>
      </c>
      <c r="AO74" s="5">
        <v>33165</v>
      </c>
      <c r="AP74" s="5">
        <v>14679</v>
      </c>
      <c r="AQ74" s="5">
        <v>30337</v>
      </c>
      <c r="AR74" s="5">
        <v>26802</v>
      </c>
    </row>
    <row r="75" spans="1:44">
      <c r="A75" s="1" t="s">
        <v>335</v>
      </c>
      <c r="B75" s="1" t="s">
        <v>336</v>
      </c>
      <c r="C75" s="1" t="s">
        <v>95</v>
      </c>
      <c r="D75" s="1" t="str">
        <f>HYPERLINK("http://eros.fiehnlab.ucdavis.edu:8080/binbase-compound/bin/show/210191?db=rtx5","210191")</f>
        <v>210191</v>
      </c>
      <c r="E75" s="1" t="s">
        <v>337</v>
      </c>
      <c r="F75" s="1" t="str">
        <f>HYPERLINK("http://www.genome.ad.jp/dbget-bin/www_bget?compound+C00192","C00192")</f>
        <v>C00192</v>
      </c>
      <c r="G75" s="1" t="str">
        <f>HYPERLINK("http://pubchem.ncbi.nlm.nih.gov/summary/summary.cgi?cid=787","787")</f>
        <v>787</v>
      </c>
      <c r="H75" s="1"/>
      <c r="I75" s="5">
        <v>13132</v>
      </c>
      <c r="J75" s="5">
        <v>11430</v>
      </c>
      <c r="K75" s="5">
        <v>15842</v>
      </c>
      <c r="L75" s="5">
        <v>18644</v>
      </c>
      <c r="M75" s="5">
        <v>12574</v>
      </c>
      <c r="N75" s="5">
        <v>11076</v>
      </c>
      <c r="O75" s="5">
        <v>13791</v>
      </c>
      <c r="P75" s="5">
        <v>14925</v>
      </c>
      <c r="Q75" s="5">
        <v>15822</v>
      </c>
      <c r="R75" s="5">
        <v>14776</v>
      </c>
      <c r="S75" s="5">
        <v>15879</v>
      </c>
      <c r="T75" s="5">
        <v>13546</v>
      </c>
      <c r="U75" s="5">
        <v>15801</v>
      </c>
      <c r="V75" s="5">
        <v>12289</v>
      </c>
      <c r="W75" s="5">
        <v>10509</v>
      </c>
      <c r="X75" s="5">
        <v>11064</v>
      </c>
      <c r="Y75" s="5">
        <v>15698</v>
      </c>
      <c r="Z75" s="5">
        <v>14022</v>
      </c>
      <c r="AA75" s="5">
        <v>15187</v>
      </c>
      <c r="AB75" s="5">
        <v>8375</v>
      </c>
      <c r="AC75" s="5">
        <v>10721</v>
      </c>
      <c r="AD75" s="5">
        <v>15351</v>
      </c>
      <c r="AE75" s="5">
        <v>14855</v>
      </c>
      <c r="AF75" s="5">
        <v>13682</v>
      </c>
      <c r="AG75" s="5">
        <v>14133</v>
      </c>
      <c r="AH75" s="5">
        <v>17439</v>
      </c>
      <c r="AI75" s="5">
        <v>16872</v>
      </c>
      <c r="AJ75" s="5">
        <v>13887</v>
      </c>
      <c r="AK75" s="5">
        <v>16878</v>
      </c>
      <c r="AL75" s="5">
        <v>13358</v>
      </c>
      <c r="AM75" s="5">
        <v>12532</v>
      </c>
      <c r="AN75" s="5">
        <v>13038</v>
      </c>
      <c r="AO75" s="5">
        <v>16360</v>
      </c>
      <c r="AP75" s="5">
        <v>14155</v>
      </c>
      <c r="AQ75" s="5">
        <v>14129</v>
      </c>
      <c r="AR75" s="5">
        <v>15118</v>
      </c>
    </row>
    <row r="76" spans="1:44">
      <c r="A76" s="1" t="s">
        <v>338</v>
      </c>
      <c r="B76" s="1" t="s">
        <v>339</v>
      </c>
      <c r="C76" s="1" t="s">
        <v>114</v>
      </c>
      <c r="D76" s="1" t="str">
        <f>HYPERLINK("http://eros.fiehnlab.ucdavis.edu:8080/binbase-compound/bin/show/227861?db=rtx5","227861")</f>
        <v>227861</v>
      </c>
      <c r="E76" s="1" t="s">
        <v>340</v>
      </c>
      <c r="F76" s="1" t="str">
        <f>HYPERLINK("http://www.genome.ad.jp/dbget-bin/www_bget?compound+C00263","C00263")</f>
        <v>C00263</v>
      </c>
      <c r="G76" s="1" t="str">
        <f>HYPERLINK("http://pubchem.ncbi.nlm.nih.gov/summary/summary.cgi?cid=12647","12647")</f>
        <v>12647</v>
      </c>
      <c r="H76" s="1"/>
      <c r="I76" s="5">
        <v>614</v>
      </c>
      <c r="J76" s="5">
        <v>2394</v>
      </c>
      <c r="K76" s="5">
        <v>637</v>
      </c>
      <c r="L76" s="5">
        <v>79</v>
      </c>
      <c r="M76" s="5">
        <v>883</v>
      </c>
      <c r="N76" s="5">
        <v>1281</v>
      </c>
      <c r="O76" s="5">
        <v>2851</v>
      </c>
      <c r="P76" s="5">
        <v>848</v>
      </c>
      <c r="Q76" s="5">
        <v>790</v>
      </c>
      <c r="R76" s="5">
        <v>643</v>
      </c>
      <c r="S76" s="5">
        <v>3385</v>
      </c>
      <c r="T76" s="5">
        <v>1768</v>
      </c>
      <c r="U76" s="5">
        <v>281</v>
      </c>
      <c r="V76" s="5">
        <v>524</v>
      </c>
      <c r="W76" s="5">
        <v>563</v>
      </c>
      <c r="X76" s="5">
        <v>543</v>
      </c>
      <c r="Y76" s="5">
        <v>199</v>
      </c>
      <c r="Z76" s="5">
        <v>1077</v>
      </c>
      <c r="AA76" s="5">
        <v>412</v>
      </c>
      <c r="AB76" s="5">
        <v>408</v>
      </c>
      <c r="AC76" s="5">
        <v>311</v>
      </c>
      <c r="AD76" s="5">
        <v>527</v>
      </c>
      <c r="AE76" s="5">
        <v>257</v>
      </c>
      <c r="AF76" s="5">
        <v>383</v>
      </c>
      <c r="AG76" s="5">
        <v>517</v>
      </c>
      <c r="AH76" s="5">
        <v>351</v>
      </c>
      <c r="AI76" s="5">
        <v>816</v>
      </c>
      <c r="AJ76" s="5">
        <v>384</v>
      </c>
      <c r="AK76" s="5">
        <v>232</v>
      </c>
      <c r="AL76" s="5">
        <v>999</v>
      </c>
      <c r="AM76" s="5">
        <v>346</v>
      </c>
      <c r="AN76" s="5">
        <v>1669</v>
      </c>
      <c r="AO76" s="5">
        <v>338</v>
      </c>
      <c r="AP76" s="5">
        <v>274</v>
      </c>
      <c r="AQ76" s="5">
        <v>1568</v>
      </c>
      <c r="AR76" s="5">
        <v>433</v>
      </c>
    </row>
    <row r="77" spans="1:44">
      <c r="A77" s="1" t="s">
        <v>341</v>
      </c>
      <c r="B77" s="1" t="s">
        <v>342</v>
      </c>
      <c r="C77" s="1" t="s">
        <v>273</v>
      </c>
      <c r="D77" s="1" t="str">
        <f>HYPERLINK("http://eros.fiehnlab.ucdavis.edu:8080/binbase-compound/bin/show/236875?db=rtx5","236875")</f>
        <v>236875</v>
      </c>
      <c r="E77" s="1" t="s">
        <v>343</v>
      </c>
      <c r="F77" s="1" t="str">
        <f>HYPERLINK("http://www.genome.ad.jp/dbget-bin/www_bget?compound+C01817","C01817")</f>
        <v>C01817</v>
      </c>
      <c r="G77" s="1" t="str">
        <f>HYPERLINK("http://pubchem.ncbi.nlm.nih.gov/summary/summary.cgi?cid=439579","439579")</f>
        <v>439579</v>
      </c>
      <c r="H77" s="1"/>
      <c r="I77" s="5">
        <v>506</v>
      </c>
      <c r="J77" s="5">
        <v>1325</v>
      </c>
      <c r="K77" s="5">
        <v>285</v>
      </c>
      <c r="L77" s="5">
        <v>349</v>
      </c>
      <c r="M77" s="5">
        <v>709</v>
      </c>
      <c r="N77" s="5">
        <v>441</v>
      </c>
      <c r="O77" s="5">
        <v>415</v>
      </c>
      <c r="P77" s="5">
        <v>636</v>
      </c>
      <c r="Q77" s="5">
        <v>1321</v>
      </c>
      <c r="R77" s="5">
        <v>1302</v>
      </c>
      <c r="S77" s="5">
        <v>1290</v>
      </c>
      <c r="T77" s="5">
        <v>10523</v>
      </c>
      <c r="U77" s="5">
        <v>450</v>
      </c>
      <c r="V77" s="5">
        <v>405</v>
      </c>
      <c r="W77" s="5">
        <v>1116</v>
      </c>
      <c r="X77" s="5">
        <v>325</v>
      </c>
      <c r="Y77" s="5">
        <v>206</v>
      </c>
      <c r="Z77" s="5">
        <v>1116</v>
      </c>
      <c r="AA77" s="5">
        <v>326</v>
      </c>
      <c r="AB77" s="5">
        <v>276</v>
      </c>
      <c r="AC77" s="5">
        <v>207</v>
      </c>
      <c r="AD77" s="5">
        <v>226</v>
      </c>
      <c r="AE77" s="5">
        <v>492</v>
      </c>
      <c r="AF77" s="5">
        <v>237</v>
      </c>
      <c r="AG77" s="5">
        <v>1018</v>
      </c>
      <c r="AH77" s="5">
        <v>542</v>
      </c>
      <c r="AI77" s="5">
        <v>920</v>
      </c>
      <c r="AJ77" s="5">
        <v>436</v>
      </c>
      <c r="AK77" s="5">
        <v>375</v>
      </c>
      <c r="AL77" s="5">
        <v>1322</v>
      </c>
      <c r="AM77" s="5">
        <v>321</v>
      </c>
      <c r="AN77" s="5">
        <v>491</v>
      </c>
      <c r="AO77" s="5">
        <v>173</v>
      </c>
      <c r="AP77" s="5">
        <v>287</v>
      </c>
      <c r="AQ77" s="5">
        <v>2173</v>
      </c>
      <c r="AR77" s="5">
        <v>269</v>
      </c>
    </row>
    <row r="78" spans="1:44">
      <c r="A78" s="1" t="s">
        <v>344</v>
      </c>
      <c r="B78" s="1" t="s">
        <v>345</v>
      </c>
      <c r="C78" s="1" t="s">
        <v>346</v>
      </c>
      <c r="D78" s="1" t="str">
        <f>HYPERLINK("http://eros.fiehnlab.ucdavis.edu:8080/binbase-compound/bin/show/238365?db=rtx5","238365")</f>
        <v>238365</v>
      </c>
      <c r="E78" s="1" t="s">
        <v>347</v>
      </c>
      <c r="F78" s="1" t="str">
        <f>HYPERLINK("http://www.genome.ad.jp/dbget-bin/www_bget?compound+C00387","C00387")</f>
        <v>C00387</v>
      </c>
      <c r="G78" s="1" t="str">
        <f>HYPERLINK("http://pubchem.ncbi.nlm.nih.gov/summary/summary.cgi?cid=6802","6802")</f>
        <v>6802</v>
      </c>
      <c r="H78" s="1"/>
      <c r="I78" s="5">
        <v>252</v>
      </c>
      <c r="J78" s="5">
        <v>255</v>
      </c>
      <c r="K78" s="5">
        <v>155</v>
      </c>
      <c r="L78" s="5">
        <v>231</v>
      </c>
      <c r="M78" s="5">
        <v>227</v>
      </c>
      <c r="N78" s="5">
        <v>264</v>
      </c>
      <c r="O78" s="5">
        <v>416</v>
      </c>
      <c r="P78" s="5">
        <v>235</v>
      </c>
      <c r="Q78" s="5">
        <v>405</v>
      </c>
      <c r="R78" s="5">
        <v>208</v>
      </c>
      <c r="S78" s="5">
        <v>599</v>
      </c>
      <c r="T78" s="5">
        <v>437</v>
      </c>
      <c r="U78" s="5">
        <v>258</v>
      </c>
      <c r="V78" s="5">
        <v>187</v>
      </c>
      <c r="W78" s="5">
        <v>1209</v>
      </c>
      <c r="X78" s="5">
        <v>738</v>
      </c>
      <c r="Y78" s="5">
        <v>138</v>
      </c>
      <c r="Z78" s="5">
        <v>274</v>
      </c>
      <c r="AA78" s="5">
        <v>949</v>
      </c>
      <c r="AB78" s="5">
        <v>351</v>
      </c>
      <c r="AC78" s="5">
        <v>202</v>
      </c>
      <c r="AD78" s="5">
        <v>110</v>
      </c>
      <c r="AE78" s="5">
        <v>879</v>
      </c>
      <c r="AF78" s="5">
        <v>187</v>
      </c>
      <c r="AG78" s="5">
        <v>404</v>
      </c>
      <c r="AH78" s="5">
        <v>155</v>
      </c>
      <c r="AI78" s="5">
        <v>304</v>
      </c>
      <c r="AJ78" s="5">
        <v>231</v>
      </c>
      <c r="AK78" s="5">
        <v>302</v>
      </c>
      <c r="AL78" s="5">
        <v>1657</v>
      </c>
      <c r="AM78" s="5">
        <v>298</v>
      </c>
      <c r="AN78" s="5">
        <v>1242</v>
      </c>
      <c r="AO78" s="5">
        <v>242</v>
      </c>
      <c r="AP78" s="5">
        <v>208</v>
      </c>
      <c r="AQ78" s="5">
        <v>256</v>
      </c>
      <c r="AR78" s="5">
        <v>582</v>
      </c>
    </row>
    <row r="79" spans="1:44">
      <c r="A79" s="1" t="s">
        <v>348</v>
      </c>
      <c r="B79" s="1" t="s">
        <v>349</v>
      </c>
      <c r="C79" s="1" t="s">
        <v>350</v>
      </c>
      <c r="D79" s="1" t="str">
        <f>HYPERLINK("http://eros.fiehnlab.ucdavis.edu:8080/binbase-compound/bin/show/213138?db=rtx5","213138")</f>
        <v>213138</v>
      </c>
      <c r="E79" s="1" t="s">
        <v>351</v>
      </c>
      <c r="F79" s="1" t="str">
        <f>HYPERLINK("http://www.genome.ad.jp/dbget-bin/www_bget?compound+C00242","C00242")</f>
        <v>C00242</v>
      </c>
      <c r="G79" s="1" t="str">
        <f>HYPERLINK("http://pubchem.ncbi.nlm.nih.gov/summary/summary.cgi?cid=764","764")</f>
        <v>764</v>
      </c>
      <c r="H79" s="1"/>
      <c r="I79" s="5">
        <v>489</v>
      </c>
      <c r="J79" s="5">
        <v>310</v>
      </c>
      <c r="K79" s="5">
        <v>544</v>
      </c>
      <c r="L79" s="5">
        <v>342</v>
      </c>
      <c r="M79" s="5">
        <v>191</v>
      </c>
      <c r="N79" s="5">
        <v>332</v>
      </c>
      <c r="O79" s="5">
        <v>845</v>
      </c>
      <c r="P79" s="5">
        <v>440</v>
      </c>
      <c r="Q79" s="5">
        <v>919</v>
      </c>
      <c r="R79" s="5">
        <v>335</v>
      </c>
      <c r="S79" s="5">
        <v>3874</v>
      </c>
      <c r="T79" s="5">
        <v>4174</v>
      </c>
      <c r="U79" s="5">
        <v>648</v>
      </c>
      <c r="V79" s="5">
        <v>279</v>
      </c>
      <c r="W79" s="5">
        <v>3520</v>
      </c>
      <c r="X79" s="5">
        <v>3084</v>
      </c>
      <c r="Y79" s="5">
        <v>312</v>
      </c>
      <c r="Z79" s="5">
        <v>283</v>
      </c>
      <c r="AA79" s="5">
        <v>2511</v>
      </c>
      <c r="AB79" s="5">
        <v>2726</v>
      </c>
      <c r="AC79" s="5">
        <v>963</v>
      </c>
      <c r="AD79" s="5">
        <v>195</v>
      </c>
      <c r="AE79" s="5">
        <v>5273</v>
      </c>
      <c r="AF79" s="5">
        <v>386</v>
      </c>
      <c r="AG79" s="5">
        <v>2473</v>
      </c>
      <c r="AH79" s="5">
        <v>455</v>
      </c>
      <c r="AI79" s="5">
        <v>457</v>
      </c>
      <c r="AJ79" s="5">
        <v>840</v>
      </c>
      <c r="AK79" s="5">
        <v>1898</v>
      </c>
      <c r="AL79" s="5">
        <v>2477</v>
      </c>
      <c r="AM79" s="5">
        <v>1671</v>
      </c>
      <c r="AN79" s="5">
        <v>3833</v>
      </c>
      <c r="AO79" s="5">
        <v>1246</v>
      </c>
      <c r="AP79" s="5">
        <v>685</v>
      </c>
      <c r="AQ79" s="5">
        <v>316</v>
      </c>
      <c r="AR79" s="5">
        <v>2958</v>
      </c>
    </row>
    <row r="80" spans="1:44">
      <c r="A80" s="1" t="s">
        <v>352</v>
      </c>
      <c r="B80" s="1" t="s">
        <v>353</v>
      </c>
      <c r="C80" s="1" t="s">
        <v>117</v>
      </c>
      <c r="D80" s="1" t="str">
        <f>HYPERLINK("http://eros.fiehnlab.ucdavis.edu:8080/binbase-compound/bin/show/357057?db=rtx5","357057")</f>
        <v>357057</v>
      </c>
      <c r="E80" s="1" t="s">
        <v>354</v>
      </c>
      <c r="F80" s="1" t="s">
        <v>0</v>
      </c>
      <c r="G80" s="1" t="s">
        <v>0</v>
      </c>
      <c r="H80" s="1"/>
      <c r="I80" s="5">
        <v>90598</v>
      </c>
      <c r="J80" s="5">
        <v>55281</v>
      </c>
      <c r="K80" s="5">
        <v>5985</v>
      </c>
      <c r="L80" s="5">
        <v>27309</v>
      </c>
      <c r="M80" s="5">
        <v>19534</v>
      </c>
      <c r="N80" s="5">
        <v>66313</v>
      </c>
      <c r="O80" s="5">
        <v>13912</v>
      </c>
      <c r="P80" s="5">
        <v>15063</v>
      </c>
      <c r="Q80" s="5">
        <v>9597</v>
      </c>
      <c r="R80" s="5">
        <v>7638</v>
      </c>
      <c r="S80" s="5">
        <v>35619</v>
      </c>
      <c r="T80" s="5">
        <v>20737</v>
      </c>
      <c r="U80" s="5">
        <v>6345</v>
      </c>
      <c r="V80" s="5">
        <v>63971</v>
      </c>
      <c r="W80" s="5">
        <v>1651</v>
      </c>
      <c r="X80" s="5">
        <v>20899</v>
      </c>
      <c r="Y80" s="5">
        <v>5681</v>
      </c>
      <c r="Z80" s="5">
        <v>11015</v>
      </c>
      <c r="AA80" s="5">
        <v>27957</v>
      </c>
      <c r="AB80" s="5">
        <v>661</v>
      </c>
      <c r="AC80" s="5">
        <v>618</v>
      </c>
      <c r="AD80" s="5">
        <v>1272</v>
      </c>
      <c r="AE80" s="5">
        <v>7268</v>
      </c>
      <c r="AF80" s="5">
        <v>4170</v>
      </c>
      <c r="AG80" s="5">
        <v>3261</v>
      </c>
      <c r="AH80" s="5">
        <v>1582</v>
      </c>
      <c r="AI80" s="5">
        <v>14050</v>
      </c>
      <c r="AJ80" s="5">
        <v>5425</v>
      </c>
      <c r="AK80" s="5">
        <v>1514</v>
      </c>
      <c r="AL80" s="5">
        <v>50440</v>
      </c>
      <c r="AM80" s="5">
        <v>2967</v>
      </c>
      <c r="AN80" s="5">
        <v>14241</v>
      </c>
      <c r="AO80" s="5">
        <v>3985</v>
      </c>
      <c r="AP80" s="5">
        <v>9155</v>
      </c>
      <c r="AQ80" s="5">
        <v>18695</v>
      </c>
      <c r="AR80" s="5">
        <v>26478</v>
      </c>
    </row>
    <row r="81" spans="1:44">
      <c r="A81" s="1" t="s">
        <v>355</v>
      </c>
      <c r="B81" s="1" t="s">
        <v>356</v>
      </c>
      <c r="C81" s="1" t="s">
        <v>187</v>
      </c>
      <c r="D81" s="1" t="str">
        <f>HYPERLINK("http://eros.fiehnlab.ucdavis.edu:8080/binbase-compound/bin/show/216047?db=rtx5","216047")</f>
        <v>216047</v>
      </c>
      <c r="E81" s="1" t="s">
        <v>357</v>
      </c>
      <c r="F81" s="1" t="str">
        <f>HYPERLINK("http://www.genome.ad.jp/dbget-bin/www_bget?compound+C00160","C00160")</f>
        <v>C00160</v>
      </c>
      <c r="G81" s="1" t="str">
        <f>HYPERLINK("http://pubchem.ncbi.nlm.nih.gov/summary/summary.cgi?cid=757","757")</f>
        <v>757</v>
      </c>
      <c r="H81" s="1"/>
      <c r="I81" s="5">
        <v>3277</v>
      </c>
      <c r="J81" s="5">
        <v>3805</v>
      </c>
      <c r="K81" s="5">
        <v>2158</v>
      </c>
      <c r="L81" s="5">
        <v>2066</v>
      </c>
      <c r="M81" s="5">
        <v>732</v>
      </c>
      <c r="N81" s="5">
        <v>2466</v>
      </c>
      <c r="O81" s="5">
        <v>3749</v>
      </c>
      <c r="P81" s="5">
        <v>1555</v>
      </c>
      <c r="Q81" s="5">
        <v>1895</v>
      </c>
      <c r="R81" s="5">
        <v>1826</v>
      </c>
      <c r="S81" s="5">
        <v>1621</v>
      </c>
      <c r="T81" s="5">
        <v>1517</v>
      </c>
      <c r="U81" s="5">
        <v>3298</v>
      </c>
      <c r="V81" s="5">
        <v>2581</v>
      </c>
      <c r="W81" s="5">
        <v>2574</v>
      </c>
      <c r="X81" s="5">
        <v>1751</v>
      </c>
      <c r="Y81" s="5">
        <v>1509</v>
      </c>
      <c r="Z81" s="5">
        <v>2359</v>
      </c>
      <c r="AA81" s="5">
        <v>1838</v>
      </c>
      <c r="AB81" s="5">
        <v>1601</v>
      </c>
      <c r="AC81" s="5">
        <v>1855</v>
      </c>
      <c r="AD81" s="5">
        <v>2636</v>
      </c>
      <c r="AE81" s="5">
        <v>1498</v>
      </c>
      <c r="AF81" s="5">
        <v>1881</v>
      </c>
      <c r="AG81" s="5">
        <v>1613</v>
      </c>
      <c r="AH81" s="5">
        <v>1286</v>
      </c>
      <c r="AI81" s="5">
        <v>1627</v>
      </c>
      <c r="AJ81" s="5">
        <v>1101</v>
      </c>
      <c r="AK81" s="5">
        <v>1181</v>
      </c>
      <c r="AL81" s="5">
        <v>1704</v>
      </c>
      <c r="AM81" s="5">
        <v>1490</v>
      </c>
      <c r="AN81" s="5">
        <v>1922</v>
      </c>
      <c r="AO81" s="5">
        <v>2258</v>
      </c>
      <c r="AP81" s="5">
        <v>1405</v>
      </c>
      <c r="AQ81" s="5">
        <v>2434</v>
      </c>
      <c r="AR81" s="5">
        <v>1373</v>
      </c>
    </row>
    <row r="82" spans="1:44">
      <c r="A82" s="1" t="s">
        <v>358</v>
      </c>
      <c r="B82" s="1" t="s">
        <v>359</v>
      </c>
      <c r="C82" s="1" t="s">
        <v>117</v>
      </c>
      <c r="D82" s="1" t="str">
        <f>HYPERLINK("http://eros.fiehnlab.ucdavis.edu:8080/binbase-compound/bin/show/227957?db=rtx5","227957")</f>
        <v>227957</v>
      </c>
      <c r="E82" s="1" t="s">
        <v>360</v>
      </c>
      <c r="F82" s="1" t="str">
        <f>HYPERLINK("http://www.genome.ad.jp/dbget-bin/www_bget?compound+C00037","C00037")</f>
        <v>C00037</v>
      </c>
      <c r="G82" s="1" t="str">
        <f>HYPERLINK("http://pubchem.ncbi.nlm.nih.gov/summary/summary.cgi?cid=750","750")</f>
        <v>750</v>
      </c>
      <c r="H82" s="1"/>
      <c r="I82" s="5">
        <v>152549</v>
      </c>
      <c r="J82" s="5">
        <v>590064</v>
      </c>
      <c r="K82" s="5">
        <v>69813</v>
      </c>
      <c r="L82" s="5">
        <v>46061</v>
      </c>
      <c r="M82" s="5">
        <v>211342</v>
      </c>
      <c r="N82" s="5">
        <v>296497</v>
      </c>
      <c r="O82" s="5">
        <v>251685</v>
      </c>
      <c r="P82" s="5">
        <v>81511</v>
      </c>
      <c r="Q82" s="5">
        <v>168900</v>
      </c>
      <c r="R82" s="5">
        <v>67533</v>
      </c>
      <c r="S82" s="5">
        <v>218905</v>
      </c>
      <c r="T82" s="5">
        <v>61882</v>
      </c>
      <c r="U82" s="5">
        <v>64249</v>
      </c>
      <c r="V82" s="5">
        <v>196502</v>
      </c>
      <c r="W82" s="5">
        <v>211664</v>
      </c>
      <c r="X82" s="5">
        <v>68129</v>
      </c>
      <c r="Y82" s="5">
        <v>42646</v>
      </c>
      <c r="Z82" s="5">
        <v>376480</v>
      </c>
      <c r="AA82" s="5">
        <v>124247</v>
      </c>
      <c r="AB82" s="5">
        <v>33983</v>
      </c>
      <c r="AC82" s="5">
        <v>28958</v>
      </c>
      <c r="AD82" s="5">
        <v>66679</v>
      </c>
      <c r="AE82" s="5">
        <v>50905</v>
      </c>
      <c r="AF82" s="5">
        <v>54690</v>
      </c>
      <c r="AG82" s="5">
        <v>54671</v>
      </c>
      <c r="AH82" s="5">
        <v>51684</v>
      </c>
      <c r="AI82" s="5">
        <v>222220</v>
      </c>
      <c r="AJ82" s="5">
        <v>50515</v>
      </c>
      <c r="AK82" s="5">
        <v>29724</v>
      </c>
      <c r="AL82" s="5">
        <v>337961</v>
      </c>
      <c r="AM82" s="5">
        <v>25433</v>
      </c>
      <c r="AN82" s="5">
        <v>333719</v>
      </c>
      <c r="AO82" s="5">
        <v>25689</v>
      </c>
      <c r="AP82" s="5">
        <v>29541</v>
      </c>
      <c r="AQ82" s="5">
        <v>583091</v>
      </c>
      <c r="AR82" s="5">
        <v>30890</v>
      </c>
    </row>
    <row r="83" spans="1:44">
      <c r="A83" s="1" t="s">
        <v>361</v>
      </c>
      <c r="B83" s="1" t="s">
        <v>362</v>
      </c>
      <c r="C83" s="1" t="s">
        <v>363</v>
      </c>
      <c r="D83" s="1" t="str">
        <f>HYPERLINK("http://eros.fiehnlab.ucdavis.edu:8080/binbase-compound/bin/show/199419?db=rtx5","199419")</f>
        <v>199419</v>
      </c>
      <c r="E83" s="1" t="s">
        <v>364</v>
      </c>
      <c r="F83" s="1" t="str">
        <f>HYPERLINK("http://www.genome.ad.jp/dbget-bin/www_bget?compound+C00093","C00093")</f>
        <v>C00093</v>
      </c>
      <c r="G83" s="1" t="str">
        <f>HYPERLINK("http://pubchem.ncbi.nlm.nih.gov/summary/summary.cgi?cid=754","754")</f>
        <v>754</v>
      </c>
      <c r="H83" s="1"/>
      <c r="I83" s="5">
        <v>11277</v>
      </c>
      <c r="J83" s="5">
        <v>7686</v>
      </c>
      <c r="K83" s="5">
        <v>5641</v>
      </c>
      <c r="L83" s="5">
        <v>6889</v>
      </c>
      <c r="M83" s="5">
        <v>6329</v>
      </c>
      <c r="N83" s="5">
        <v>7175</v>
      </c>
      <c r="O83" s="5">
        <v>6732</v>
      </c>
      <c r="P83" s="5">
        <v>6743</v>
      </c>
      <c r="Q83" s="5">
        <v>5890</v>
      </c>
      <c r="R83" s="5">
        <v>5780</v>
      </c>
      <c r="S83" s="5">
        <v>6777</v>
      </c>
      <c r="T83" s="5">
        <v>7831</v>
      </c>
      <c r="U83" s="5">
        <v>6682</v>
      </c>
      <c r="V83" s="5">
        <v>8286</v>
      </c>
      <c r="W83" s="5">
        <v>5326</v>
      </c>
      <c r="X83" s="5">
        <v>10411</v>
      </c>
      <c r="Y83" s="5">
        <v>3587</v>
      </c>
      <c r="Z83" s="5">
        <v>12501</v>
      </c>
      <c r="AA83" s="5">
        <v>4301</v>
      </c>
      <c r="AB83" s="5">
        <v>6966</v>
      </c>
      <c r="AC83" s="5">
        <v>7313</v>
      </c>
      <c r="AD83" s="5">
        <v>7658</v>
      </c>
      <c r="AE83" s="5">
        <v>12736</v>
      </c>
      <c r="AF83" s="5">
        <v>4653</v>
      </c>
      <c r="AG83" s="5">
        <v>8632</v>
      </c>
      <c r="AH83" s="5">
        <v>5632</v>
      </c>
      <c r="AI83" s="5">
        <v>12386</v>
      </c>
      <c r="AJ83" s="5">
        <v>6297</v>
      </c>
      <c r="AK83" s="5">
        <v>6636</v>
      </c>
      <c r="AL83" s="5">
        <v>11736</v>
      </c>
      <c r="AM83" s="5">
        <v>6854</v>
      </c>
      <c r="AN83" s="5">
        <v>9378</v>
      </c>
      <c r="AO83" s="5">
        <v>4187</v>
      </c>
      <c r="AP83" s="5">
        <v>6307</v>
      </c>
      <c r="AQ83" s="5">
        <v>6018</v>
      </c>
      <c r="AR83" s="5">
        <v>6775</v>
      </c>
    </row>
    <row r="84" spans="1:44">
      <c r="A84" s="1" t="s">
        <v>365</v>
      </c>
      <c r="B84" s="1" t="s">
        <v>366</v>
      </c>
      <c r="C84" s="1" t="s">
        <v>155</v>
      </c>
      <c r="D84" s="1" t="str">
        <f>HYPERLINK("http://eros.fiehnlab.ucdavis.edu:8080/binbase-compound/bin/show/225851?db=rtx5","225851")</f>
        <v>225851</v>
      </c>
      <c r="E84" s="1" t="s">
        <v>367</v>
      </c>
      <c r="F84" s="1" t="str">
        <f>HYPERLINK("http://www.genome.ad.jp/dbget-bin/www_bget?compound+C05401","C05401")</f>
        <v>C05401</v>
      </c>
      <c r="G84" s="1" t="str">
        <f>HYPERLINK("http://pubchem.ncbi.nlm.nih.gov/summary/summary.cgi?cid=656504","656504")</f>
        <v>656504</v>
      </c>
      <c r="H84" s="1"/>
      <c r="I84" s="5">
        <v>10784</v>
      </c>
      <c r="J84" s="5">
        <v>8625</v>
      </c>
      <c r="K84" s="5">
        <v>6917</v>
      </c>
      <c r="L84" s="5">
        <v>8329</v>
      </c>
      <c r="M84" s="5">
        <v>7577</v>
      </c>
      <c r="N84" s="5">
        <v>6576</v>
      </c>
      <c r="O84" s="5">
        <v>7293</v>
      </c>
      <c r="P84" s="5">
        <v>9479</v>
      </c>
      <c r="Q84" s="5">
        <v>9118</v>
      </c>
      <c r="R84" s="5">
        <v>9884</v>
      </c>
      <c r="S84" s="5">
        <v>11379</v>
      </c>
      <c r="T84" s="5">
        <v>12715</v>
      </c>
      <c r="U84" s="5">
        <v>6677</v>
      </c>
      <c r="V84" s="5">
        <v>6718</v>
      </c>
      <c r="W84" s="5">
        <v>6770</v>
      </c>
      <c r="X84" s="5">
        <v>6423</v>
      </c>
      <c r="Y84" s="5">
        <v>4328</v>
      </c>
      <c r="Z84" s="5">
        <v>10416</v>
      </c>
      <c r="AA84" s="5">
        <v>7157</v>
      </c>
      <c r="AB84" s="5">
        <v>8270</v>
      </c>
      <c r="AC84" s="5">
        <v>6090</v>
      </c>
      <c r="AD84" s="5">
        <v>9927</v>
      </c>
      <c r="AE84" s="5">
        <v>10996</v>
      </c>
      <c r="AF84" s="5">
        <v>7560</v>
      </c>
      <c r="AG84" s="5">
        <v>10319</v>
      </c>
      <c r="AH84" s="5">
        <v>10919</v>
      </c>
      <c r="AI84" s="5">
        <v>9548</v>
      </c>
      <c r="AJ84" s="5">
        <v>8109</v>
      </c>
      <c r="AK84" s="5">
        <v>8089</v>
      </c>
      <c r="AL84" s="5">
        <v>12390</v>
      </c>
      <c r="AM84" s="5">
        <v>6494</v>
      </c>
      <c r="AN84" s="5">
        <v>11304</v>
      </c>
      <c r="AO84" s="5">
        <v>6825</v>
      </c>
      <c r="AP84" s="5">
        <v>8484</v>
      </c>
      <c r="AQ84" s="5">
        <v>11076</v>
      </c>
      <c r="AR84" s="5">
        <v>7012</v>
      </c>
    </row>
    <row r="85" spans="1:44">
      <c r="A85" s="1" t="s">
        <v>368</v>
      </c>
      <c r="B85" s="1" t="s">
        <v>369</v>
      </c>
      <c r="C85" s="1" t="s">
        <v>370</v>
      </c>
      <c r="D85" s="1" t="str">
        <f>HYPERLINK("http://eros.fiehnlab.ucdavis.edu:8080/binbase-compound/bin/show/199174?db=rtx5","199174")</f>
        <v>199174</v>
      </c>
      <c r="E85" s="1" t="s">
        <v>371</v>
      </c>
      <c r="F85" s="1" t="str">
        <f>HYPERLINK("http://www.genome.ad.jp/dbget-bin/www_bget?compound+C00258","C00258")</f>
        <v>C00258</v>
      </c>
      <c r="G85" s="1" t="str">
        <f>HYPERLINK("http://pubchem.ncbi.nlm.nih.gov/summary/summary.cgi?cid=439194","439194")</f>
        <v>439194</v>
      </c>
      <c r="H85" s="1"/>
      <c r="I85" s="5">
        <v>6486</v>
      </c>
      <c r="J85" s="5">
        <v>15023</v>
      </c>
      <c r="K85" s="5">
        <v>4167</v>
      </c>
      <c r="L85" s="5">
        <v>2791</v>
      </c>
      <c r="M85" s="5">
        <v>3459</v>
      </c>
      <c r="N85" s="5">
        <v>5975</v>
      </c>
      <c r="O85" s="5">
        <v>3744</v>
      </c>
      <c r="P85" s="5">
        <v>2710</v>
      </c>
      <c r="Q85" s="5">
        <v>4253</v>
      </c>
      <c r="R85" s="5">
        <v>2007</v>
      </c>
      <c r="S85" s="5">
        <v>2331</v>
      </c>
      <c r="T85" s="5">
        <v>5098</v>
      </c>
      <c r="U85" s="5">
        <v>5228</v>
      </c>
      <c r="V85" s="5">
        <v>6180</v>
      </c>
      <c r="W85" s="5">
        <v>7517</v>
      </c>
      <c r="X85" s="5">
        <v>2892</v>
      </c>
      <c r="Y85" s="5">
        <v>2132</v>
      </c>
      <c r="Z85" s="5">
        <v>3896</v>
      </c>
      <c r="AA85" s="5">
        <v>4055</v>
      </c>
      <c r="AB85" s="5">
        <v>4057</v>
      </c>
      <c r="AC85" s="5">
        <v>8017</v>
      </c>
      <c r="AD85" s="5">
        <v>16962</v>
      </c>
      <c r="AE85" s="5">
        <v>7500</v>
      </c>
      <c r="AF85" s="5">
        <v>10639</v>
      </c>
      <c r="AG85" s="5">
        <v>4492</v>
      </c>
      <c r="AH85" s="5">
        <v>14858</v>
      </c>
      <c r="AI85" s="5">
        <v>3045</v>
      </c>
      <c r="AJ85" s="5">
        <v>8573</v>
      </c>
      <c r="AK85" s="5">
        <v>4976</v>
      </c>
      <c r="AL85" s="5">
        <v>6297</v>
      </c>
      <c r="AM85" s="5">
        <v>3009</v>
      </c>
      <c r="AN85" s="5">
        <v>4252</v>
      </c>
      <c r="AO85" s="5">
        <v>8723</v>
      </c>
      <c r="AP85" s="5">
        <v>4497</v>
      </c>
      <c r="AQ85" s="5">
        <v>7140</v>
      </c>
      <c r="AR85" s="5">
        <v>2883</v>
      </c>
    </row>
    <row r="86" spans="1:44">
      <c r="A86" s="1" t="s">
        <v>372</v>
      </c>
      <c r="B86" s="1" t="s">
        <v>373</v>
      </c>
      <c r="C86" s="1" t="s">
        <v>167</v>
      </c>
      <c r="D86" s="1" t="str">
        <f>HYPERLINK("http://eros.fiehnlab.ucdavis.edu:8080/binbase-compound/bin/show/199776?db=rtx5","199776")</f>
        <v>199776</v>
      </c>
      <c r="E86" s="1" t="s">
        <v>374</v>
      </c>
      <c r="F86" s="1" t="str">
        <f>HYPERLINK("http://www.genome.ad.jp/dbget-bin/www_bget?compound+C00064","C00064")</f>
        <v>C00064</v>
      </c>
      <c r="G86" s="1" t="str">
        <f>HYPERLINK("http://pubchem.ncbi.nlm.nih.gov/summary/summary.cgi?cid=5961","5961")</f>
        <v>5961</v>
      </c>
      <c r="H86" s="1"/>
      <c r="I86" s="5">
        <v>3079</v>
      </c>
      <c r="J86" s="5">
        <v>8131</v>
      </c>
      <c r="K86" s="5">
        <v>1618</v>
      </c>
      <c r="L86" s="5">
        <v>1642</v>
      </c>
      <c r="M86" s="5">
        <v>7499</v>
      </c>
      <c r="N86" s="5">
        <v>5394</v>
      </c>
      <c r="O86" s="5">
        <v>8742</v>
      </c>
      <c r="P86" s="5">
        <v>1445</v>
      </c>
      <c r="Q86" s="5">
        <v>4365</v>
      </c>
      <c r="R86" s="5">
        <v>1270</v>
      </c>
      <c r="S86" s="5">
        <v>3118</v>
      </c>
      <c r="T86" s="5">
        <v>2899</v>
      </c>
      <c r="U86" s="5">
        <v>1192</v>
      </c>
      <c r="V86" s="5">
        <v>6395</v>
      </c>
      <c r="W86" s="5">
        <v>4876</v>
      </c>
      <c r="X86" s="5">
        <v>1091</v>
      </c>
      <c r="Y86" s="5">
        <v>746</v>
      </c>
      <c r="Z86" s="5">
        <v>9335</v>
      </c>
      <c r="AA86" s="5">
        <v>7751</v>
      </c>
      <c r="AB86" s="5">
        <v>1557</v>
      </c>
      <c r="AC86" s="5">
        <v>982</v>
      </c>
      <c r="AD86" s="5">
        <v>1131</v>
      </c>
      <c r="AE86" s="5">
        <v>1753</v>
      </c>
      <c r="AF86" s="5">
        <v>871</v>
      </c>
      <c r="AG86" s="5">
        <v>3206</v>
      </c>
      <c r="AH86" s="5">
        <v>1108</v>
      </c>
      <c r="AI86" s="5">
        <v>10160</v>
      </c>
      <c r="AJ86" s="5">
        <v>674</v>
      </c>
      <c r="AK86" s="5">
        <v>767</v>
      </c>
      <c r="AL86" s="5">
        <v>6351</v>
      </c>
      <c r="AM86" s="5">
        <v>1095</v>
      </c>
      <c r="AN86" s="5">
        <v>8670</v>
      </c>
      <c r="AO86" s="5">
        <v>1110</v>
      </c>
      <c r="AP86" s="5">
        <v>1319</v>
      </c>
      <c r="AQ86" s="5">
        <v>10581</v>
      </c>
      <c r="AR86" s="5">
        <v>1301</v>
      </c>
    </row>
    <row r="87" spans="1:44">
      <c r="A87" s="1" t="s">
        <v>375</v>
      </c>
      <c r="B87" s="1" t="s">
        <v>376</v>
      </c>
      <c r="C87" s="1" t="s">
        <v>377</v>
      </c>
      <c r="D87" s="1" t="str">
        <f>HYPERLINK("http://eros.fiehnlab.ucdavis.edu:8080/binbase-compound/bin/show/227977?db=rtx5","227977")</f>
        <v>227977</v>
      </c>
      <c r="E87" s="1" t="s">
        <v>378</v>
      </c>
      <c r="F87" s="1" t="str">
        <f>HYPERLINK("http://www.genome.ad.jp/dbget-bin/www_bget?compound+C00025","C00025")</f>
        <v>C00025</v>
      </c>
      <c r="G87" s="1" t="str">
        <f>HYPERLINK("http://pubchem.ncbi.nlm.nih.gov/summary/summary.cgi?cid=33032","33032")</f>
        <v>33032</v>
      </c>
      <c r="H87" s="1"/>
      <c r="I87" s="5">
        <v>41595</v>
      </c>
      <c r="J87" s="5">
        <v>294622</v>
      </c>
      <c r="K87" s="5">
        <v>4973</v>
      </c>
      <c r="L87" s="5">
        <v>3946</v>
      </c>
      <c r="M87" s="5">
        <v>50557</v>
      </c>
      <c r="N87" s="5">
        <v>128353</v>
      </c>
      <c r="O87" s="5">
        <v>48910</v>
      </c>
      <c r="P87" s="5">
        <v>3600</v>
      </c>
      <c r="Q87" s="5">
        <v>31143</v>
      </c>
      <c r="R87" s="5">
        <v>13927</v>
      </c>
      <c r="S87" s="5">
        <v>74427</v>
      </c>
      <c r="T87" s="5">
        <v>36710</v>
      </c>
      <c r="U87" s="5">
        <v>11213</v>
      </c>
      <c r="V87" s="5">
        <v>44208</v>
      </c>
      <c r="W87" s="5">
        <v>56897</v>
      </c>
      <c r="X87" s="5">
        <v>21453</v>
      </c>
      <c r="Y87" s="5">
        <v>8200</v>
      </c>
      <c r="Z87" s="5">
        <v>126413</v>
      </c>
      <c r="AA87" s="5">
        <v>39869</v>
      </c>
      <c r="AB87" s="5">
        <v>2998</v>
      </c>
      <c r="AC87" s="5">
        <v>1111</v>
      </c>
      <c r="AD87" s="5">
        <v>3703</v>
      </c>
      <c r="AE87" s="5">
        <v>12818</v>
      </c>
      <c r="AF87" s="5">
        <v>3876</v>
      </c>
      <c r="AG87" s="5">
        <v>27274</v>
      </c>
      <c r="AH87" s="5">
        <v>3256</v>
      </c>
      <c r="AI87" s="5">
        <v>117983</v>
      </c>
      <c r="AJ87" s="5">
        <v>7187</v>
      </c>
      <c r="AK87" s="5">
        <v>2687</v>
      </c>
      <c r="AL87" s="5">
        <v>81221</v>
      </c>
      <c r="AM87" s="5">
        <v>13053</v>
      </c>
      <c r="AN87" s="5">
        <v>154526</v>
      </c>
      <c r="AO87" s="5">
        <v>1761</v>
      </c>
      <c r="AP87" s="5">
        <v>19798</v>
      </c>
      <c r="AQ87" s="5">
        <v>234352</v>
      </c>
      <c r="AR87" s="5">
        <v>20774</v>
      </c>
    </row>
    <row r="88" spans="1:44">
      <c r="A88" s="1" t="s">
        <v>1178</v>
      </c>
      <c r="B88" s="1" t="s">
        <v>379</v>
      </c>
      <c r="C88" s="1" t="s">
        <v>283</v>
      </c>
      <c r="D88" s="1" t="str">
        <f>HYPERLINK("http://eros.fiehnlab.ucdavis.edu:8080/binbase-compound/bin/show/199915?db=rtx5","199915")</f>
        <v>199915</v>
      </c>
      <c r="E88" s="1" t="s">
        <v>380</v>
      </c>
      <c r="F88" s="1" t="str">
        <f>HYPERLINK("http://www.genome.ad.jp/dbget-bin/www_bget?compound+C00092","C00092")</f>
        <v>C00092</v>
      </c>
      <c r="G88" s="1" t="str">
        <f>HYPERLINK("http://pubchem.ncbi.nlm.nih.gov/summary/summary.cgi?cid=5958","5958")</f>
        <v>5958</v>
      </c>
      <c r="H88" s="1"/>
      <c r="I88" s="5">
        <v>263</v>
      </c>
      <c r="J88" s="5">
        <v>698</v>
      </c>
      <c r="K88" s="5">
        <v>234</v>
      </c>
      <c r="L88" s="5">
        <v>225</v>
      </c>
      <c r="M88" s="5">
        <v>215</v>
      </c>
      <c r="N88" s="5">
        <v>410</v>
      </c>
      <c r="O88" s="5">
        <v>238</v>
      </c>
      <c r="P88" s="5">
        <v>178</v>
      </c>
      <c r="Q88" s="5">
        <v>310</v>
      </c>
      <c r="R88" s="5">
        <v>185</v>
      </c>
      <c r="S88" s="5">
        <v>256</v>
      </c>
      <c r="T88" s="5">
        <v>535</v>
      </c>
      <c r="U88" s="5">
        <v>148</v>
      </c>
      <c r="V88" s="5">
        <v>336</v>
      </c>
      <c r="W88" s="5">
        <v>219</v>
      </c>
      <c r="X88" s="5">
        <v>214</v>
      </c>
      <c r="Y88" s="5">
        <v>144</v>
      </c>
      <c r="Z88" s="5">
        <v>298</v>
      </c>
      <c r="AA88" s="5">
        <v>117</v>
      </c>
      <c r="AB88" s="5">
        <v>165</v>
      </c>
      <c r="AC88" s="5">
        <v>151</v>
      </c>
      <c r="AD88" s="5">
        <v>160</v>
      </c>
      <c r="AE88" s="5">
        <v>287</v>
      </c>
      <c r="AF88" s="5">
        <v>193</v>
      </c>
      <c r="AG88" s="5">
        <v>261</v>
      </c>
      <c r="AH88" s="5">
        <v>182</v>
      </c>
      <c r="AI88" s="5">
        <v>414</v>
      </c>
      <c r="AJ88" s="5">
        <v>168</v>
      </c>
      <c r="AK88" s="5">
        <v>232</v>
      </c>
      <c r="AL88" s="5">
        <v>325</v>
      </c>
      <c r="AM88" s="5">
        <v>235</v>
      </c>
      <c r="AN88" s="5">
        <v>362</v>
      </c>
      <c r="AO88" s="5">
        <v>169</v>
      </c>
      <c r="AP88" s="5">
        <v>263</v>
      </c>
      <c r="AQ88" s="5">
        <v>452</v>
      </c>
      <c r="AR88" s="5">
        <v>196</v>
      </c>
    </row>
    <row r="89" spans="1:44">
      <c r="A89" s="1" t="s">
        <v>381</v>
      </c>
      <c r="B89" s="1" t="s">
        <v>382</v>
      </c>
      <c r="C89" s="1" t="s">
        <v>89</v>
      </c>
      <c r="D89" s="1" t="str">
        <f>HYPERLINK("http://eros.fiehnlab.ucdavis.edu:8080/binbase-compound/bin/show/199178?db=rtx5","199178")</f>
        <v>199178</v>
      </c>
      <c r="E89" s="1" t="s">
        <v>383</v>
      </c>
      <c r="F89" s="1" t="str">
        <f>HYPERLINK("http://www.genome.ad.jp/dbget-bin/www_bget?compound+C00103","C00103")</f>
        <v>C00103</v>
      </c>
      <c r="G89" s="1" t="str">
        <f>HYPERLINK("http://pubchem.ncbi.nlm.nih.gov/summary/summary.cgi?cid=65533","65533")</f>
        <v>65533</v>
      </c>
      <c r="H89" s="1"/>
      <c r="I89" s="5">
        <v>3506</v>
      </c>
      <c r="J89" s="5">
        <v>1939</v>
      </c>
      <c r="K89" s="5">
        <v>2028</v>
      </c>
      <c r="L89" s="5">
        <v>2147</v>
      </c>
      <c r="M89" s="5">
        <v>2432</v>
      </c>
      <c r="N89" s="5">
        <v>1643</v>
      </c>
      <c r="O89" s="5">
        <v>929</v>
      </c>
      <c r="P89" s="5">
        <v>1232</v>
      </c>
      <c r="Q89" s="5">
        <v>2287</v>
      </c>
      <c r="R89" s="5">
        <v>1731</v>
      </c>
      <c r="S89" s="5">
        <v>1464</v>
      </c>
      <c r="T89" s="5">
        <v>3159</v>
      </c>
      <c r="U89" s="5">
        <v>1786</v>
      </c>
      <c r="V89" s="5">
        <v>1814</v>
      </c>
      <c r="W89" s="5">
        <v>732</v>
      </c>
      <c r="X89" s="5">
        <v>1000</v>
      </c>
      <c r="Y89" s="5">
        <v>675</v>
      </c>
      <c r="Z89" s="5">
        <v>1757</v>
      </c>
      <c r="AA89" s="5">
        <v>1481</v>
      </c>
      <c r="AB89" s="5">
        <v>1660</v>
      </c>
      <c r="AC89" s="5">
        <v>1683</v>
      </c>
      <c r="AD89" s="5">
        <v>1494</v>
      </c>
      <c r="AE89" s="5">
        <v>1566</v>
      </c>
      <c r="AF89" s="5">
        <v>1431</v>
      </c>
      <c r="AG89" s="5">
        <v>2539</v>
      </c>
      <c r="AH89" s="5">
        <v>1689</v>
      </c>
      <c r="AI89" s="5">
        <v>2297</v>
      </c>
      <c r="AJ89" s="5">
        <v>1838</v>
      </c>
      <c r="AK89" s="5">
        <v>1437</v>
      </c>
      <c r="AL89" s="5">
        <v>1851</v>
      </c>
      <c r="AM89" s="5">
        <v>854</v>
      </c>
      <c r="AN89" s="5">
        <v>1670</v>
      </c>
      <c r="AO89" s="5">
        <v>1439</v>
      </c>
      <c r="AP89" s="5">
        <v>1850</v>
      </c>
      <c r="AQ89" s="5">
        <v>2597</v>
      </c>
      <c r="AR89" s="5">
        <v>1708</v>
      </c>
    </row>
    <row r="90" spans="1:44">
      <c r="A90" s="1" t="s">
        <v>1179</v>
      </c>
      <c r="B90" s="1" t="s">
        <v>384</v>
      </c>
      <c r="C90" s="1" t="s">
        <v>385</v>
      </c>
      <c r="D90" s="1" t="str">
        <f>HYPERLINK("http://eros.fiehnlab.ucdavis.edu:8080/binbase-compound/bin/show/219881?db=rtx5","219881")</f>
        <v>219881</v>
      </c>
      <c r="E90" s="1" t="s">
        <v>386</v>
      </c>
      <c r="F90" s="1" t="str">
        <f>HYPERLINK("http://www.genome.ad.jp/dbget-bin/www_bget?compound+C00031","C00031")</f>
        <v>C00031</v>
      </c>
      <c r="G90" s="1" t="str">
        <f>HYPERLINK("http://pubchem.ncbi.nlm.nih.gov/summary/summary.cgi?cid=5793","5793")</f>
        <v>5793</v>
      </c>
      <c r="H90" s="1"/>
      <c r="I90" s="5">
        <v>1121</v>
      </c>
      <c r="J90" s="5">
        <v>1677</v>
      </c>
      <c r="K90" s="5">
        <v>697</v>
      </c>
      <c r="L90" s="5">
        <v>729</v>
      </c>
      <c r="M90" s="5">
        <v>810</v>
      </c>
      <c r="N90" s="5">
        <v>2216</v>
      </c>
      <c r="O90" s="5">
        <v>483</v>
      </c>
      <c r="P90" s="5">
        <v>666</v>
      </c>
      <c r="Q90" s="5">
        <v>1128</v>
      </c>
      <c r="R90" s="5">
        <v>535</v>
      </c>
      <c r="S90" s="5">
        <v>3082</v>
      </c>
      <c r="T90" s="5">
        <v>4362</v>
      </c>
      <c r="U90" s="5">
        <v>1405</v>
      </c>
      <c r="V90" s="5">
        <v>337</v>
      </c>
      <c r="W90" s="5">
        <v>1510</v>
      </c>
      <c r="X90" s="5">
        <v>3136</v>
      </c>
      <c r="Y90" s="5">
        <v>503</v>
      </c>
      <c r="Z90" s="5">
        <v>1027</v>
      </c>
      <c r="AA90" s="5">
        <v>1206</v>
      </c>
      <c r="AB90" s="5">
        <v>450</v>
      </c>
      <c r="AC90" s="5">
        <v>1249</v>
      </c>
      <c r="AD90" s="5">
        <v>573</v>
      </c>
      <c r="AE90" s="5">
        <v>1329</v>
      </c>
      <c r="AF90" s="5">
        <v>474</v>
      </c>
      <c r="AG90" s="5">
        <v>959</v>
      </c>
      <c r="AH90" s="5">
        <v>670</v>
      </c>
      <c r="AI90" s="5">
        <v>1269</v>
      </c>
      <c r="AJ90" s="5">
        <v>790</v>
      </c>
      <c r="AK90" s="5">
        <v>1009</v>
      </c>
      <c r="AL90" s="5">
        <v>4115</v>
      </c>
      <c r="AM90" s="5">
        <v>853</v>
      </c>
      <c r="AN90" s="5">
        <v>2835</v>
      </c>
      <c r="AO90" s="5">
        <v>647</v>
      </c>
      <c r="AP90" s="5">
        <v>979</v>
      </c>
      <c r="AQ90" s="5">
        <v>3798</v>
      </c>
      <c r="AR90" s="5">
        <v>1005</v>
      </c>
    </row>
    <row r="91" spans="1:44">
      <c r="A91" s="1" t="s">
        <v>387</v>
      </c>
      <c r="B91" s="1" t="s">
        <v>388</v>
      </c>
      <c r="C91" s="1" t="s">
        <v>389</v>
      </c>
      <c r="D91" s="1" t="str">
        <f>HYPERLINK("http://eros.fiehnlab.ucdavis.edu:8080/binbase-compound/bin/show/238197?db=rtx5","238197")</f>
        <v>238197</v>
      </c>
      <c r="E91" s="1" t="s">
        <v>390</v>
      </c>
      <c r="F91" s="1" t="str">
        <f>HYPERLINK("http://www.genome.ad.jp/dbget-bin/www_bget?compound+C08349","C08349")</f>
        <v>C08349</v>
      </c>
      <c r="G91" s="1" t="str">
        <f>HYPERLINK("http://pubchem.ncbi.nlm.nih.gov/summary/summary.cgi?cid=441477","441477")</f>
        <v>441477</v>
      </c>
      <c r="H91" s="1"/>
      <c r="I91" s="5">
        <v>192</v>
      </c>
      <c r="J91" s="5">
        <v>195</v>
      </c>
      <c r="K91" s="5">
        <v>438</v>
      </c>
      <c r="L91" s="5">
        <v>327</v>
      </c>
      <c r="M91" s="5">
        <v>135</v>
      </c>
      <c r="N91" s="5">
        <v>302</v>
      </c>
      <c r="O91" s="5">
        <v>152</v>
      </c>
      <c r="P91" s="5">
        <v>257</v>
      </c>
      <c r="Q91" s="5">
        <v>286</v>
      </c>
      <c r="R91" s="5">
        <v>258</v>
      </c>
      <c r="S91" s="5">
        <v>120</v>
      </c>
      <c r="T91" s="5">
        <v>126</v>
      </c>
      <c r="U91" s="5">
        <v>246</v>
      </c>
      <c r="V91" s="5">
        <v>161</v>
      </c>
      <c r="W91" s="5">
        <v>158</v>
      </c>
      <c r="X91" s="5">
        <v>164</v>
      </c>
      <c r="Y91" s="5">
        <v>203</v>
      </c>
      <c r="Z91" s="5">
        <v>287</v>
      </c>
      <c r="AA91" s="5">
        <v>242</v>
      </c>
      <c r="AB91" s="5">
        <v>276</v>
      </c>
      <c r="AC91" s="5">
        <v>273</v>
      </c>
      <c r="AD91" s="5">
        <v>431</v>
      </c>
      <c r="AE91" s="5">
        <v>177</v>
      </c>
      <c r="AF91" s="5">
        <v>301</v>
      </c>
      <c r="AG91" s="5">
        <v>170</v>
      </c>
      <c r="AH91" s="5">
        <v>260</v>
      </c>
      <c r="AI91" s="5">
        <v>106</v>
      </c>
      <c r="AJ91" s="5">
        <v>235</v>
      </c>
      <c r="AK91" s="5">
        <v>167</v>
      </c>
      <c r="AL91" s="5">
        <v>187</v>
      </c>
      <c r="AM91" s="5">
        <v>120</v>
      </c>
      <c r="AN91" s="5">
        <v>148</v>
      </c>
      <c r="AO91" s="5">
        <v>187</v>
      </c>
      <c r="AP91" s="5">
        <v>161</v>
      </c>
      <c r="AQ91" s="5">
        <v>144</v>
      </c>
      <c r="AR91" s="5">
        <v>183</v>
      </c>
    </row>
    <row r="92" spans="1:44">
      <c r="A92" s="1" t="s">
        <v>1180</v>
      </c>
      <c r="B92" s="1" t="s">
        <v>391</v>
      </c>
      <c r="C92" s="1" t="s">
        <v>155</v>
      </c>
      <c r="D92" s="1" t="str">
        <f>HYPERLINK("http://eros.fiehnlab.ucdavis.edu:8080/binbase-compound/bin/show/211957?db=rtx5","211957")</f>
        <v>211957</v>
      </c>
      <c r="E92" s="1" t="s">
        <v>392</v>
      </c>
      <c r="F92" s="1" t="str">
        <f>HYPERLINK("http://www.genome.ad.jp/dbget-bin/www_bget?compound+C01235","C01235")</f>
        <v>C01235</v>
      </c>
      <c r="G92" s="1" t="str">
        <f>HYPERLINK("http://pubchem.ncbi.nlm.nih.gov/summary/summary.cgi?cid=439451","439451")</f>
        <v>439451</v>
      </c>
      <c r="H92" s="1"/>
      <c r="I92" s="5">
        <v>1303</v>
      </c>
      <c r="J92" s="5">
        <v>2870</v>
      </c>
      <c r="K92" s="5">
        <v>766</v>
      </c>
      <c r="L92" s="5">
        <v>655</v>
      </c>
      <c r="M92" s="5">
        <v>1436</v>
      </c>
      <c r="N92" s="5">
        <v>1322</v>
      </c>
      <c r="O92" s="5">
        <v>1088</v>
      </c>
      <c r="P92" s="5">
        <v>469</v>
      </c>
      <c r="Q92" s="5">
        <v>1414</v>
      </c>
      <c r="R92" s="5">
        <v>476</v>
      </c>
      <c r="S92" s="5">
        <v>1019</v>
      </c>
      <c r="T92" s="5">
        <v>1044</v>
      </c>
      <c r="U92" s="5">
        <v>520</v>
      </c>
      <c r="V92" s="5">
        <v>1072</v>
      </c>
      <c r="W92" s="5">
        <v>1454</v>
      </c>
      <c r="X92" s="5">
        <v>637</v>
      </c>
      <c r="Y92" s="5">
        <v>357</v>
      </c>
      <c r="Z92" s="5">
        <v>2140</v>
      </c>
      <c r="AA92" s="5">
        <v>831</v>
      </c>
      <c r="AB92" s="5">
        <v>487</v>
      </c>
      <c r="AC92" s="5">
        <v>518</v>
      </c>
      <c r="AD92" s="5">
        <v>586</v>
      </c>
      <c r="AE92" s="5">
        <v>602</v>
      </c>
      <c r="AF92" s="5">
        <v>494</v>
      </c>
      <c r="AG92" s="5">
        <v>613</v>
      </c>
      <c r="AH92" s="5">
        <v>487</v>
      </c>
      <c r="AI92" s="5">
        <v>919</v>
      </c>
      <c r="AJ92" s="5">
        <v>431</v>
      </c>
      <c r="AK92" s="5">
        <v>405</v>
      </c>
      <c r="AL92" s="5">
        <v>2462</v>
      </c>
      <c r="AM92" s="5">
        <v>489</v>
      </c>
      <c r="AN92" s="5">
        <v>1878</v>
      </c>
      <c r="AO92" s="5">
        <v>495</v>
      </c>
      <c r="AP92" s="5">
        <v>540</v>
      </c>
      <c r="AQ92" s="5">
        <v>3045</v>
      </c>
      <c r="AR92" s="5">
        <v>507</v>
      </c>
    </row>
    <row r="93" spans="1:44">
      <c r="A93" s="1" t="s">
        <v>393</v>
      </c>
      <c r="B93" s="1" t="s">
        <v>394</v>
      </c>
      <c r="C93" s="1" t="s">
        <v>117</v>
      </c>
      <c r="D93" s="1" t="str">
        <f>HYPERLINK("http://eros.fiehnlab.ucdavis.edu:8080/binbase-compound/bin/show/218463?db=rtx5","218463")</f>
        <v>218463</v>
      </c>
      <c r="E93" s="1" t="s">
        <v>395</v>
      </c>
      <c r="F93" s="1" t="str">
        <f>HYPERLINK("http://www.genome.ad.jp/dbget-bin/www_bget?compound+C00334","C00334")</f>
        <v>C00334</v>
      </c>
      <c r="G93" s="1" t="str">
        <f>HYPERLINK("http://pubchem.ncbi.nlm.nih.gov/summary/summary.cgi?cid=119","119")</f>
        <v>119</v>
      </c>
      <c r="H93" s="1"/>
      <c r="I93" s="5">
        <v>27639</v>
      </c>
      <c r="J93" s="5">
        <v>50852</v>
      </c>
      <c r="K93" s="5">
        <v>7583</v>
      </c>
      <c r="L93" s="5">
        <v>15591</v>
      </c>
      <c r="M93" s="5">
        <v>51517</v>
      </c>
      <c r="N93" s="5">
        <v>30375</v>
      </c>
      <c r="O93" s="5">
        <v>13894</v>
      </c>
      <c r="P93" s="5">
        <v>5520</v>
      </c>
      <c r="Q93" s="5">
        <v>311658</v>
      </c>
      <c r="R93" s="5">
        <v>6977</v>
      </c>
      <c r="S93" s="5">
        <v>38553</v>
      </c>
      <c r="T93" s="5">
        <v>730819</v>
      </c>
      <c r="U93" s="5">
        <v>10110</v>
      </c>
      <c r="V93" s="5">
        <v>11191</v>
      </c>
      <c r="W93" s="5">
        <v>82292</v>
      </c>
      <c r="X93" s="5">
        <v>53743</v>
      </c>
      <c r="Y93" s="5">
        <v>6974</v>
      </c>
      <c r="Z93" s="5">
        <v>29265</v>
      </c>
      <c r="AA93" s="5">
        <v>342004</v>
      </c>
      <c r="AB93" s="5">
        <v>104339</v>
      </c>
      <c r="AC93" s="5">
        <v>91321</v>
      </c>
      <c r="AD93" s="5">
        <v>27556</v>
      </c>
      <c r="AE93" s="5">
        <v>71634</v>
      </c>
      <c r="AF93" s="5">
        <v>30464</v>
      </c>
      <c r="AG93" s="5">
        <v>163485</v>
      </c>
      <c r="AH93" s="5">
        <v>104402</v>
      </c>
      <c r="AI93" s="5">
        <v>79298</v>
      </c>
      <c r="AJ93" s="5">
        <v>173235</v>
      </c>
      <c r="AK93" s="5">
        <v>154477</v>
      </c>
      <c r="AL93" s="5">
        <v>705979</v>
      </c>
      <c r="AM93" s="5">
        <v>14190</v>
      </c>
      <c r="AN93" s="5">
        <v>65732</v>
      </c>
      <c r="AO93" s="5">
        <v>9314</v>
      </c>
      <c r="AP93" s="5">
        <v>21643</v>
      </c>
      <c r="AQ93" s="5">
        <v>82224</v>
      </c>
      <c r="AR93" s="5">
        <v>40620</v>
      </c>
    </row>
    <row r="94" spans="1:44">
      <c r="A94" s="1" t="s">
        <v>396</v>
      </c>
      <c r="B94" s="1" t="s">
        <v>397</v>
      </c>
      <c r="C94" s="1" t="s">
        <v>398</v>
      </c>
      <c r="D94" s="1" t="str">
        <f>HYPERLINK("http://eros.fiehnlab.ucdavis.edu:8080/binbase-compound/bin/show/199198?db=rtx5","199198")</f>
        <v>199198</v>
      </c>
      <c r="E94" s="1" t="s">
        <v>399</v>
      </c>
      <c r="F94" s="1" t="str">
        <f>HYPERLINK("http://www.genome.ad.jp/dbget-bin/www_bget?compound+C00122","C00122")</f>
        <v>C00122</v>
      </c>
      <c r="G94" s="1" t="str">
        <f>HYPERLINK("http://pubchem.ncbi.nlm.nih.gov/summary/summary.cgi?cid=444972","444972")</f>
        <v>444972</v>
      </c>
      <c r="H94" s="1"/>
      <c r="I94" s="5">
        <v>12277</v>
      </c>
      <c r="J94" s="5">
        <v>14544</v>
      </c>
      <c r="K94" s="5">
        <v>4784</v>
      </c>
      <c r="L94" s="5">
        <v>5816</v>
      </c>
      <c r="M94" s="5">
        <v>24119</v>
      </c>
      <c r="N94" s="5">
        <v>9693</v>
      </c>
      <c r="O94" s="5">
        <v>17110</v>
      </c>
      <c r="P94" s="5">
        <v>4396</v>
      </c>
      <c r="Q94" s="5">
        <v>2514</v>
      </c>
      <c r="R94" s="5">
        <v>4050</v>
      </c>
      <c r="S94" s="5">
        <v>3101</v>
      </c>
      <c r="T94" s="5">
        <v>2408</v>
      </c>
      <c r="U94" s="5">
        <v>4298</v>
      </c>
      <c r="V94" s="5">
        <v>21065</v>
      </c>
      <c r="W94" s="5">
        <v>3728</v>
      </c>
      <c r="X94" s="5">
        <v>2716</v>
      </c>
      <c r="Y94" s="5">
        <v>2635</v>
      </c>
      <c r="Z94" s="5">
        <v>17129</v>
      </c>
      <c r="AA94" s="5">
        <v>3034</v>
      </c>
      <c r="AB94" s="5">
        <v>1840</v>
      </c>
      <c r="AC94" s="5">
        <v>1794</v>
      </c>
      <c r="AD94" s="5">
        <v>6739</v>
      </c>
      <c r="AE94" s="5">
        <v>3019</v>
      </c>
      <c r="AF94" s="5">
        <v>7467</v>
      </c>
      <c r="AG94" s="5">
        <v>4124</v>
      </c>
      <c r="AH94" s="5">
        <v>4418</v>
      </c>
      <c r="AI94" s="5">
        <v>8325</v>
      </c>
      <c r="AJ94" s="5">
        <v>2827</v>
      </c>
      <c r="AK94" s="5">
        <v>2501</v>
      </c>
      <c r="AL94" s="5">
        <v>4586</v>
      </c>
      <c r="AM94" s="5">
        <v>1834</v>
      </c>
      <c r="AN94" s="5">
        <v>5817</v>
      </c>
      <c r="AO94" s="5">
        <v>2180</v>
      </c>
      <c r="AP94" s="5">
        <v>3295</v>
      </c>
      <c r="AQ94" s="5">
        <v>25015</v>
      </c>
      <c r="AR94" s="5">
        <v>1215</v>
      </c>
    </row>
    <row r="95" spans="1:44">
      <c r="A95" s="1" t="s">
        <v>400</v>
      </c>
      <c r="B95" s="1" t="s">
        <v>401</v>
      </c>
      <c r="C95" s="1" t="s">
        <v>132</v>
      </c>
      <c r="D95" s="1" t="str">
        <f>HYPERLINK("http://eros.fiehnlab.ucdavis.edu:8080/binbase-compound/bin/show/205102?db=rtx5","205102")</f>
        <v>205102</v>
      </c>
      <c r="E95" s="1" t="s">
        <v>402</v>
      </c>
      <c r="F95" s="1" t="str">
        <f>HYPERLINK("http://www.genome.ad.jp/dbget-bin/www_bget?compound+C01018","C01018")</f>
        <v>C01018</v>
      </c>
      <c r="G95" s="1" t="str">
        <f>HYPERLINK("http://pubchem.ncbi.nlm.nih.gov/summary/summary.cgi?cid=94270","94270")</f>
        <v>94270</v>
      </c>
      <c r="H95" s="1"/>
      <c r="I95" s="5">
        <v>788</v>
      </c>
      <c r="J95" s="5">
        <v>3198</v>
      </c>
      <c r="K95" s="5">
        <v>516</v>
      </c>
      <c r="L95" s="5">
        <v>375</v>
      </c>
      <c r="M95" s="5">
        <v>995</v>
      </c>
      <c r="N95" s="5">
        <v>1217</v>
      </c>
      <c r="O95" s="5">
        <v>550</v>
      </c>
      <c r="P95" s="5">
        <v>388</v>
      </c>
      <c r="Q95" s="5">
        <v>1115</v>
      </c>
      <c r="R95" s="5">
        <v>402</v>
      </c>
      <c r="S95" s="5">
        <v>862</v>
      </c>
      <c r="T95" s="5">
        <v>875</v>
      </c>
      <c r="U95" s="5">
        <v>407</v>
      </c>
      <c r="V95" s="5">
        <v>897</v>
      </c>
      <c r="W95" s="5">
        <v>871</v>
      </c>
      <c r="X95" s="5">
        <v>453</v>
      </c>
      <c r="Y95" s="5">
        <v>381</v>
      </c>
      <c r="Z95" s="5">
        <v>2151</v>
      </c>
      <c r="AA95" s="5">
        <v>1198</v>
      </c>
      <c r="AB95" s="5">
        <v>331</v>
      </c>
      <c r="AC95" s="5">
        <v>361</v>
      </c>
      <c r="AD95" s="5">
        <v>826</v>
      </c>
      <c r="AE95" s="5">
        <v>419</v>
      </c>
      <c r="AF95" s="5">
        <v>423</v>
      </c>
      <c r="AG95" s="5">
        <v>509</v>
      </c>
      <c r="AH95" s="5">
        <v>483</v>
      </c>
      <c r="AI95" s="5">
        <v>1279</v>
      </c>
      <c r="AJ95" s="5">
        <v>379</v>
      </c>
      <c r="AK95" s="5">
        <v>340</v>
      </c>
      <c r="AL95" s="5">
        <v>2081</v>
      </c>
      <c r="AM95" s="5">
        <v>415</v>
      </c>
      <c r="AN95" s="5">
        <v>1755</v>
      </c>
      <c r="AO95" s="5">
        <v>292</v>
      </c>
      <c r="AP95" s="5">
        <v>264</v>
      </c>
      <c r="AQ95" s="5">
        <v>2753</v>
      </c>
      <c r="AR95" s="5">
        <v>296</v>
      </c>
    </row>
    <row r="96" spans="1:44">
      <c r="A96" s="1" t="s">
        <v>1181</v>
      </c>
      <c r="B96" s="1" t="s">
        <v>403</v>
      </c>
      <c r="C96" s="1" t="s">
        <v>175</v>
      </c>
      <c r="D96" s="1" t="str">
        <f>HYPERLINK("http://eros.fiehnlab.ucdavis.edu:8080/binbase-compound/bin/show/335365?db=rtx5","335365")</f>
        <v>335365</v>
      </c>
      <c r="E96" s="1" t="s">
        <v>404</v>
      </c>
      <c r="F96" s="1" t="str">
        <f>HYPERLINK("http://www.genome.ad.jp/dbget-bin/www_bget?compound+n/a","n/a")</f>
        <v>n/a</v>
      </c>
      <c r="G96" s="1" t="str">
        <f>HYPERLINK("http://pubchem.ncbi.nlm.nih.gov/summary/summary.cgi?cid=107428","107428")</f>
        <v>107428</v>
      </c>
      <c r="H96" s="1"/>
      <c r="I96" s="5">
        <v>769</v>
      </c>
      <c r="J96" s="5">
        <v>952</v>
      </c>
      <c r="K96" s="5">
        <v>537</v>
      </c>
      <c r="L96" s="5">
        <v>478</v>
      </c>
      <c r="M96" s="5">
        <v>388</v>
      </c>
      <c r="N96" s="5">
        <v>650</v>
      </c>
      <c r="O96" s="5">
        <v>530</v>
      </c>
      <c r="P96" s="5">
        <v>682</v>
      </c>
      <c r="Q96" s="5">
        <v>850</v>
      </c>
      <c r="R96" s="5">
        <v>415</v>
      </c>
      <c r="S96" s="5">
        <v>1010</v>
      </c>
      <c r="T96" s="5">
        <v>2422</v>
      </c>
      <c r="U96" s="5">
        <v>510</v>
      </c>
      <c r="V96" s="5">
        <v>359</v>
      </c>
      <c r="W96" s="5">
        <v>726</v>
      </c>
      <c r="X96" s="5">
        <v>663</v>
      </c>
      <c r="Y96" s="5">
        <v>264</v>
      </c>
      <c r="Z96" s="5">
        <v>667</v>
      </c>
      <c r="AA96" s="5">
        <v>731</v>
      </c>
      <c r="AB96" s="5">
        <v>605</v>
      </c>
      <c r="AC96" s="5">
        <v>682</v>
      </c>
      <c r="AD96" s="5">
        <v>219</v>
      </c>
      <c r="AE96" s="5">
        <v>1075</v>
      </c>
      <c r="AF96" s="5">
        <v>558</v>
      </c>
      <c r="AG96" s="5">
        <v>766</v>
      </c>
      <c r="AH96" s="5">
        <v>348</v>
      </c>
      <c r="AI96" s="5">
        <v>626</v>
      </c>
      <c r="AJ96" s="5">
        <v>792</v>
      </c>
      <c r="AK96" s="5">
        <v>799</v>
      </c>
      <c r="AL96" s="5">
        <v>1706</v>
      </c>
      <c r="AM96" s="5">
        <v>843</v>
      </c>
      <c r="AN96" s="5">
        <v>799</v>
      </c>
      <c r="AO96" s="5">
        <v>726</v>
      </c>
      <c r="AP96" s="5">
        <v>908</v>
      </c>
      <c r="AQ96" s="5">
        <v>1499</v>
      </c>
      <c r="AR96" s="5">
        <v>844</v>
      </c>
    </row>
    <row r="97" spans="1:44">
      <c r="A97" s="1" t="s">
        <v>406</v>
      </c>
      <c r="B97" s="1" t="s">
        <v>407</v>
      </c>
      <c r="C97" s="1" t="s">
        <v>258</v>
      </c>
      <c r="D97" s="1" t="str">
        <f>HYPERLINK("http://eros.fiehnlab.ucdavis.edu:8080/binbase-compound/bin/show/200514?db=rtx5","200514")</f>
        <v>200514</v>
      </c>
      <c r="E97" s="1" t="s">
        <v>408</v>
      </c>
      <c r="F97" s="1" t="str">
        <f>HYPERLINK("http://www.genome.ad.jp/dbget-bin/www_bget?compound+C00503","C00503")</f>
        <v>C00503</v>
      </c>
      <c r="G97" s="1" t="str">
        <f>HYPERLINK("http://pubchem.ncbi.nlm.nih.gov/summary/summary.cgi?cid=222285","222285")</f>
        <v>222285</v>
      </c>
      <c r="H97" s="1"/>
      <c r="I97" s="5">
        <v>684</v>
      </c>
      <c r="J97" s="5">
        <v>981</v>
      </c>
      <c r="K97" s="5">
        <v>231</v>
      </c>
      <c r="L97" s="5">
        <v>324</v>
      </c>
      <c r="M97" s="5">
        <v>378</v>
      </c>
      <c r="N97" s="5">
        <v>1217</v>
      </c>
      <c r="O97" s="5">
        <v>494</v>
      </c>
      <c r="P97" s="5">
        <v>156</v>
      </c>
      <c r="Q97" s="5">
        <v>1416</v>
      </c>
      <c r="R97" s="5">
        <v>666</v>
      </c>
      <c r="S97" s="5">
        <v>527</v>
      </c>
      <c r="T97" s="5">
        <v>1334</v>
      </c>
      <c r="U97" s="5">
        <v>609</v>
      </c>
      <c r="V97" s="5">
        <v>298</v>
      </c>
      <c r="W97" s="5">
        <v>563</v>
      </c>
      <c r="X97" s="5">
        <v>292</v>
      </c>
      <c r="Y97" s="5">
        <v>365</v>
      </c>
      <c r="Z97" s="5">
        <v>1788</v>
      </c>
      <c r="AA97" s="5">
        <v>449</v>
      </c>
      <c r="AB97" s="5">
        <v>189</v>
      </c>
      <c r="AC97" s="5">
        <v>333</v>
      </c>
      <c r="AD97" s="5">
        <v>684</v>
      </c>
      <c r="AE97" s="5">
        <v>1250</v>
      </c>
      <c r="AF97" s="5">
        <v>578</v>
      </c>
      <c r="AG97" s="5">
        <v>757</v>
      </c>
      <c r="AH97" s="5">
        <v>408</v>
      </c>
      <c r="AI97" s="5">
        <v>916</v>
      </c>
      <c r="AJ97" s="5">
        <v>155</v>
      </c>
      <c r="AK97" s="5">
        <v>848</v>
      </c>
      <c r="AL97" s="5">
        <v>1032</v>
      </c>
      <c r="AM97" s="5">
        <v>196</v>
      </c>
      <c r="AN97" s="5">
        <v>1007</v>
      </c>
      <c r="AO97" s="5">
        <v>209</v>
      </c>
      <c r="AP97" s="5">
        <v>406</v>
      </c>
      <c r="AQ97" s="5">
        <v>1503</v>
      </c>
      <c r="AR97" s="5">
        <v>330</v>
      </c>
    </row>
    <row r="98" spans="1:44">
      <c r="A98" s="1" t="s">
        <v>409</v>
      </c>
      <c r="B98" s="1" t="s">
        <v>410</v>
      </c>
      <c r="C98" s="1" t="s">
        <v>240</v>
      </c>
      <c r="D98" s="1" t="str">
        <f>HYPERLINK("http://eros.fiehnlab.ucdavis.edu:8080/binbase-compound/bin/show/201152?db=rtx5","201152")</f>
        <v>201152</v>
      </c>
      <c r="E98" s="1" t="s">
        <v>411</v>
      </c>
      <c r="F98" s="1" t="str">
        <f>HYPERLINK("http://www.genome.ad.jp/dbget-bin/www_bget?compound+C01712","C01712")</f>
        <v>C01712</v>
      </c>
      <c r="G98" s="1" t="str">
        <f>HYPERLINK("http://pubchem.ncbi.nlm.nih.gov/summary/summary.cgi?cid=5282749","5282749")</f>
        <v>5282749</v>
      </c>
      <c r="H98" s="1"/>
      <c r="I98" s="5">
        <v>1288</v>
      </c>
      <c r="J98" s="5">
        <v>1275</v>
      </c>
      <c r="K98" s="5">
        <v>675</v>
      </c>
      <c r="L98" s="5">
        <v>441</v>
      </c>
      <c r="M98" s="5">
        <v>343</v>
      </c>
      <c r="N98" s="5">
        <v>695</v>
      </c>
      <c r="O98" s="5">
        <v>590</v>
      </c>
      <c r="P98" s="5">
        <v>653</v>
      </c>
      <c r="Q98" s="5">
        <v>560</v>
      </c>
      <c r="R98" s="5">
        <v>506</v>
      </c>
      <c r="S98" s="5">
        <v>647</v>
      </c>
      <c r="T98" s="5">
        <v>447</v>
      </c>
      <c r="U98" s="5">
        <v>648</v>
      </c>
      <c r="V98" s="5">
        <v>425</v>
      </c>
      <c r="W98" s="5">
        <v>548</v>
      </c>
      <c r="X98" s="5">
        <v>255</v>
      </c>
      <c r="Y98" s="5">
        <v>333</v>
      </c>
      <c r="Z98" s="5">
        <v>849</v>
      </c>
      <c r="AA98" s="5">
        <v>415</v>
      </c>
      <c r="AB98" s="5">
        <v>331</v>
      </c>
      <c r="AC98" s="5">
        <v>328</v>
      </c>
      <c r="AD98" s="5">
        <v>303</v>
      </c>
      <c r="AE98" s="5">
        <v>527</v>
      </c>
      <c r="AF98" s="5">
        <v>294</v>
      </c>
      <c r="AG98" s="5">
        <v>439</v>
      </c>
      <c r="AH98" s="5">
        <v>295</v>
      </c>
      <c r="AI98" s="5">
        <v>1250</v>
      </c>
      <c r="AJ98" s="5">
        <v>207</v>
      </c>
      <c r="AK98" s="5">
        <v>277</v>
      </c>
      <c r="AL98" s="5">
        <v>910</v>
      </c>
      <c r="AM98" s="5">
        <v>215</v>
      </c>
      <c r="AN98" s="5">
        <v>861</v>
      </c>
      <c r="AO98" s="5">
        <v>219</v>
      </c>
      <c r="AP98" s="5">
        <v>198</v>
      </c>
      <c r="AQ98" s="5">
        <v>455</v>
      </c>
      <c r="AR98" s="5">
        <v>393</v>
      </c>
    </row>
    <row r="99" spans="1:44">
      <c r="A99" s="1" t="s">
        <v>412</v>
      </c>
      <c r="B99" s="1" t="s">
        <v>413</v>
      </c>
      <c r="C99" s="1" t="s">
        <v>414</v>
      </c>
      <c r="D99" s="1" t="str">
        <f>HYPERLINK("http://eros.fiehnlab.ucdavis.edu:8080/binbase-compound/bin/show/218955?db=rtx5","218955")</f>
        <v>218955</v>
      </c>
      <c r="E99" s="1" t="s">
        <v>415</v>
      </c>
      <c r="F99" s="1" t="str">
        <f>HYPERLINK("http://www.genome.ad.jp/dbget-bin/www_bget?compound+C02277","C02277")</f>
        <v>C02277</v>
      </c>
      <c r="G99" s="1" t="str">
        <f>HYPERLINK("http://pubchem.ncbi.nlm.nih.gov/summary/summary.cgi?cid=8193","8193")</f>
        <v>8193</v>
      </c>
      <c r="H99" s="1"/>
      <c r="I99" s="5">
        <v>555</v>
      </c>
      <c r="J99" s="5">
        <v>416</v>
      </c>
      <c r="K99" s="5">
        <v>614</v>
      </c>
      <c r="L99" s="5">
        <v>665</v>
      </c>
      <c r="M99" s="5">
        <v>359</v>
      </c>
      <c r="N99" s="5">
        <v>298</v>
      </c>
      <c r="O99" s="5">
        <v>476</v>
      </c>
      <c r="P99" s="5">
        <v>677</v>
      </c>
      <c r="Q99" s="5">
        <v>478</v>
      </c>
      <c r="R99" s="5">
        <v>782</v>
      </c>
      <c r="S99" s="5">
        <v>449</v>
      </c>
      <c r="T99" s="5">
        <v>484</v>
      </c>
      <c r="U99" s="5">
        <v>793</v>
      </c>
      <c r="V99" s="5">
        <v>368</v>
      </c>
      <c r="W99" s="5">
        <v>509</v>
      </c>
      <c r="X99" s="5">
        <v>410</v>
      </c>
      <c r="Y99" s="5">
        <v>581</v>
      </c>
      <c r="Z99" s="5">
        <v>579</v>
      </c>
      <c r="AA99" s="5">
        <v>564</v>
      </c>
      <c r="AB99" s="5">
        <v>312</v>
      </c>
      <c r="AC99" s="5">
        <v>422</v>
      </c>
      <c r="AD99" s="5">
        <v>1015</v>
      </c>
      <c r="AE99" s="5">
        <v>482</v>
      </c>
      <c r="AF99" s="5">
        <v>485</v>
      </c>
      <c r="AG99" s="5">
        <v>494</v>
      </c>
      <c r="AH99" s="5">
        <v>432</v>
      </c>
      <c r="AI99" s="5">
        <v>513</v>
      </c>
      <c r="AJ99" s="5">
        <v>557</v>
      </c>
      <c r="AK99" s="5">
        <v>493</v>
      </c>
      <c r="AL99" s="5">
        <v>576</v>
      </c>
      <c r="AM99" s="5">
        <v>395</v>
      </c>
      <c r="AN99" s="5">
        <v>559</v>
      </c>
      <c r="AO99" s="5">
        <v>487</v>
      </c>
      <c r="AP99" s="5">
        <v>599</v>
      </c>
      <c r="AQ99" s="5">
        <v>533</v>
      </c>
      <c r="AR99" s="5">
        <v>510</v>
      </c>
    </row>
    <row r="100" spans="1:44">
      <c r="A100" s="1" t="s">
        <v>416</v>
      </c>
      <c r="B100" s="1" t="s">
        <v>417</v>
      </c>
      <c r="C100" s="1" t="s">
        <v>418</v>
      </c>
      <c r="D100" s="1" t="str">
        <f>HYPERLINK("http://eros.fiehnlab.ucdavis.edu:8080/binbase-compound/bin/show/221584?db=rtx5","221584")</f>
        <v>221584</v>
      </c>
      <c r="E100" s="1" t="s">
        <v>419</v>
      </c>
      <c r="F100" s="1" t="str">
        <f>HYPERLINK("http://www.genome.ad.jp/dbget-bin/www_bget?compound+C08374","C08374")</f>
        <v>C08374</v>
      </c>
      <c r="G100" s="1" t="str">
        <f>HYPERLINK("http://pubchem.ncbi.nlm.nih.gov/summary/summary.cgi?cid=8182","8182")</f>
        <v>8182</v>
      </c>
      <c r="H100" s="1"/>
      <c r="I100" s="5">
        <v>321</v>
      </c>
      <c r="J100" s="5">
        <v>978</v>
      </c>
      <c r="K100" s="5">
        <v>327</v>
      </c>
      <c r="L100" s="5">
        <v>440</v>
      </c>
      <c r="M100" s="5">
        <v>115</v>
      </c>
      <c r="N100" s="5">
        <v>726</v>
      </c>
      <c r="O100" s="5">
        <v>283</v>
      </c>
      <c r="P100" s="5">
        <v>373</v>
      </c>
      <c r="Q100" s="5">
        <v>179</v>
      </c>
      <c r="R100" s="5">
        <v>333</v>
      </c>
      <c r="S100" s="5">
        <v>523</v>
      </c>
      <c r="T100" s="5">
        <v>131</v>
      </c>
      <c r="U100" s="5">
        <v>296</v>
      </c>
      <c r="V100" s="5">
        <v>317</v>
      </c>
      <c r="W100" s="5">
        <v>351</v>
      </c>
      <c r="X100" s="5">
        <v>328</v>
      </c>
      <c r="Y100" s="5">
        <v>380</v>
      </c>
      <c r="Z100" s="5">
        <v>194</v>
      </c>
      <c r="AA100" s="5">
        <v>573</v>
      </c>
      <c r="AB100" s="5">
        <v>367</v>
      </c>
      <c r="AC100" s="5">
        <v>105</v>
      </c>
      <c r="AD100" s="5">
        <v>305</v>
      </c>
      <c r="AE100" s="5">
        <v>470</v>
      </c>
      <c r="AF100" s="5">
        <v>296</v>
      </c>
      <c r="AG100" s="5">
        <v>348</v>
      </c>
      <c r="AH100" s="5">
        <v>440</v>
      </c>
      <c r="AI100" s="5">
        <v>797</v>
      </c>
      <c r="AJ100" s="5">
        <v>342</v>
      </c>
      <c r="AK100" s="5">
        <v>160</v>
      </c>
      <c r="AL100" s="5">
        <v>649</v>
      </c>
      <c r="AM100" s="5">
        <v>311</v>
      </c>
      <c r="AN100" s="5">
        <v>188</v>
      </c>
      <c r="AO100" s="5">
        <v>414</v>
      </c>
      <c r="AP100" s="5">
        <v>290</v>
      </c>
      <c r="AQ100" s="5">
        <v>1908</v>
      </c>
      <c r="AR100" s="5">
        <v>362</v>
      </c>
    </row>
    <row r="101" spans="1:44">
      <c r="A101" s="1" t="s">
        <v>420</v>
      </c>
      <c r="B101" s="1" t="s">
        <v>421</v>
      </c>
      <c r="C101" s="1" t="s">
        <v>422</v>
      </c>
      <c r="D101" s="1" t="str">
        <f>HYPERLINK("http://eros.fiehnlab.ucdavis.edu:8080/binbase-compound/bin/show/226283?db=rtx5","226283")</f>
        <v>226283</v>
      </c>
      <c r="E101" s="1" t="s">
        <v>423</v>
      </c>
      <c r="F101" s="1" t="str">
        <f>HYPERLINK("http://www.genome.ad.jp/dbget-bin/www_bget?compound+n/a","n/a")</f>
        <v>n/a</v>
      </c>
      <c r="G101" s="1" t="str">
        <f>HYPERLINK("http://pubchem.ncbi.nlm.nih.gov/summary/summary.cgi?cid=227277","227277")</f>
        <v>227277</v>
      </c>
      <c r="H101" s="1"/>
      <c r="I101" s="5">
        <v>557</v>
      </c>
      <c r="J101" s="5">
        <v>984</v>
      </c>
      <c r="K101" s="5">
        <v>702</v>
      </c>
      <c r="L101" s="5">
        <v>572</v>
      </c>
      <c r="M101" s="5">
        <v>444</v>
      </c>
      <c r="N101" s="5">
        <v>676</v>
      </c>
      <c r="O101" s="5">
        <v>553</v>
      </c>
      <c r="P101" s="5">
        <v>272</v>
      </c>
      <c r="Q101" s="5">
        <v>1186</v>
      </c>
      <c r="R101" s="5">
        <v>590</v>
      </c>
      <c r="S101" s="5">
        <v>493</v>
      </c>
      <c r="T101" s="5">
        <v>629</v>
      </c>
      <c r="U101" s="5">
        <v>527</v>
      </c>
      <c r="V101" s="5">
        <v>491</v>
      </c>
      <c r="W101" s="5">
        <v>728</v>
      </c>
      <c r="X101" s="5">
        <v>382</v>
      </c>
      <c r="Y101" s="5">
        <v>371</v>
      </c>
      <c r="Z101" s="5">
        <v>908</v>
      </c>
      <c r="AA101" s="5">
        <v>940</v>
      </c>
      <c r="AB101" s="5">
        <v>609</v>
      </c>
      <c r="AC101" s="5">
        <v>382</v>
      </c>
      <c r="AD101" s="5">
        <v>308</v>
      </c>
      <c r="AE101" s="5">
        <v>606</v>
      </c>
      <c r="AF101" s="5">
        <v>364</v>
      </c>
      <c r="AG101" s="5">
        <v>292</v>
      </c>
      <c r="AH101" s="5">
        <v>335</v>
      </c>
      <c r="AI101" s="5">
        <v>587</v>
      </c>
      <c r="AJ101" s="5">
        <v>470</v>
      </c>
      <c r="AK101" s="5">
        <v>589</v>
      </c>
      <c r="AL101" s="5">
        <v>830</v>
      </c>
      <c r="AM101" s="5">
        <v>303</v>
      </c>
      <c r="AN101" s="5">
        <v>877</v>
      </c>
      <c r="AO101" s="5">
        <v>613</v>
      </c>
      <c r="AP101" s="5">
        <v>342</v>
      </c>
      <c r="AQ101" s="5">
        <v>1077</v>
      </c>
      <c r="AR101" s="5">
        <v>521</v>
      </c>
    </row>
    <row r="102" spans="1:44">
      <c r="A102" s="1" t="s">
        <v>424</v>
      </c>
      <c r="B102" s="1" t="s">
        <v>425</v>
      </c>
      <c r="C102" s="1" t="s">
        <v>426</v>
      </c>
      <c r="D102" s="1" t="str">
        <f>HYPERLINK("http://eros.fiehnlab.ucdavis.edu:8080/binbase-compound/bin/show/227594?db=rtx5","227594")</f>
        <v>227594</v>
      </c>
      <c r="E102" s="1" t="s">
        <v>427</v>
      </c>
      <c r="F102" s="1" t="str">
        <f>HYPERLINK("http://www.genome.ad.jp/dbget-bin/www_bget?compound+C01419","C01419")</f>
        <v>C01419</v>
      </c>
      <c r="G102" s="1" t="str">
        <f>HYPERLINK("http://pubchem.ncbi.nlm.nih.gov/summary/summary.cgi?cid=439498","439498")</f>
        <v>439498</v>
      </c>
      <c r="H102" s="1"/>
      <c r="I102" s="5">
        <v>902</v>
      </c>
      <c r="J102" s="5">
        <v>906</v>
      </c>
      <c r="K102" s="5">
        <v>405</v>
      </c>
      <c r="L102" s="5">
        <v>655</v>
      </c>
      <c r="M102" s="5">
        <v>1769</v>
      </c>
      <c r="N102" s="5">
        <v>839</v>
      </c>
      <c r="O102" s="5">
        <v>348</v>
      </c>
      <c r="P102" s="5">
        <v>861</v>
      </c>
      <c r="Q102" s="5">
        <v>1347</v>
      </c>
      <c r="R102" s="5">
        <v>1022</v>
      </c>
      <c r="S102" s="5">
        <v>1844</v>
      </c>
      <c r="T102" s="5">
        <v>4383</v>
      </c>
      <c r="U102" s="5">
        <v>565</v>
      </c>
      <c r="V102" s="5">
        <v>349</v>
      </c>
      <c r="W102" s="5">
        <v>476</v>
      </c>
      <c r="X102" s="5">
        <v>606</v>
      </c>
      <c r="Y102" s="5">
        <v>262</v>
      </c>
      <c r="Z102" s="5">
        <v>1176</v>
      </c>
      <c r="AA102" s="5">
        <v>530</v>
      </c>
      <c r="AB102" s="5">
        <v>375</v>
      </c>
      <c r="AC102" s="5">
        <v>405</v>
      </c>
      <c r="AD102" s="5">
        <v>476</v>
      </c>
      <c r="AE102" s="5">
        <v>558</v>
      </c>
      <c r="AF102" s="5">
        <v>460</v>
      </c>
      <c r="AG102" s="5">
        <v>830</v>
      </c>
      <c r="AH102" s="5">
        <v>590</v>
      </c>
      <c r="AI102" s="5">
        <v>1073</v>
      </c>
      <c r="AJ102" s="5">
        <v>513</v>
      </c>
      <c r="AK102" s="5">
        <v>625</v>
      </c>
      <c r="AL102" s="5">
        <v>941</v>
      </c>
      <c r="AM102" s="5">
        <v>289</v>
      </c>
      <c r="AN102" s="5">
        <v>613</v>
      </c>
      <c r="AO102" s="5">
        <v>271</v>
      </c>
      <c r="AP102" s="5">
        <v>434</v>
      </c>
      <c r="AQ102" s="5">
        <v>952</v>
      </c>
      <c r="AR102" s="5">
        <v>428</v>
      </c>
    </row>
    <row r="103" spans="1:44">
      <c r="A103" s="1" t="s">
        <v>428</v>
      </c>
      <c r="B103" s="1" t="s">
        <v>429</v>
      </c>
      <c r="C103" s="1" t="s">
        <v>426</v>
      </c>
      <c r="D103" s="1" t="str">
        <f>HYPERLINK("http://eros.fiehnlab.ucdavis.edu:8080/binbase-compound/bin/show/200918?db=rtx5","200918")</f>
        <v>200918</v>
      </c>
      <c r="E103" s="1" t="s">
        <v>430</v>
      </c>
      <c r="F103" s="1" t="str">
        <f>HYPERLINK("http://www.genome.ad.jp/dbget-bin/www_bget?compound+C00097","C00097")</f>
        <v>C00097</v>
      </c>
      <c r="G103" s="1" t="str">
        <f>HYPERLINK("http://pubchem.ncbi.nlm.nih.gov/summary/summary.cgi?cid=594","594")</f>
        <v>594</v>
      </c>
      <c r="H103" s="1"/>
      <c r="I103" s="5">
        <v>324</v>
      </c>
      <c r="J103" s="5">
        <v>1378</v>
      </c>
      <c r="K103" s="5">
        <v>154</v>
      </c>
      <c r="L103" s="5">
        <v>145</v>
      </c>
      <c r="M103" s="5">
        <v>1325</v>
      </c>
      <c r="N103" s="5">
        <v>251</v>
      </c>
      <c r="O103" s="5">
        <v>193</v>
      </c>
      <c r="P103" s="5">
        <v>303</v>
      </c>
      <c r="Q103" s="5">
        <v>580</v>
      </c>
      <c r="R103" s="5">
        <v>942</v>
      </c>
      <c r="S103" s="5">
        <v>1991</v>
      </c>
      <c r="T103" s="5">
        <v>4874</v>
      </c>
      <c r="U103" s="5">
        <v>228</v>
      </c>
      <c r="V103" s="5">
        <v>199</v>
      </c>
      <c r="W103" s="5">
        <v>351</v>
      </c>
      <c r="X103" s="5">
        <v>368</v>
      </c>
      <c r="Y103" s="5">
        <v>215</v>
      </c>
      <c r="Z103" s="5">
        <v>1904</v>
      </c>
      <c r="AA103" s="5">
        <v>313</v>
      </c>
      <c r="AB103" s="5">
        <v>186</v>
      </c>
      <c r="AC103" s="5">
        <v>183</v>
      </c>
      <c r="AD103" s="5">
        <v>181</v>
      </c>
      <c r="AE103" s="5">
        <v>269</v>
      </c>
      <c r="AF103" s="5">
        <v>314</v>
      </c>
      <c r="AG103" s="5">
        <v>521</v>
      </c>
      <c r="AH103" s="5">
        <v>196</v>
      </c>
      <c r="AI103" s="5">
        <v>713</v>
      </c>
      <c r="AJ103" s="5">
        <v>465</v>
      </c>
      <c r="AK103" s="5">
        <v>299</v>
      </c>
      <c r="AL103" s="5">
        <v>1225</v>
      </c>
      <c r="AM103" s="5">
        <v>140</v>
      </c>
      <c r="AN103" s="5">
        <v>977</v>
      </c>
      <c r="AO103" s="5">
        <v>120</v>
      </c>
      <c r="AP103" s="5">
        <v>226</v>
      </c>
      <c r="AQ103" s="5">
        <v>1057</v>
      </c>
      <c r="AR103" s="5">
        <v>195</v>
      </c>
    </row>
    <row r="104" spans="1:44">
      <c r="A104" s="1" t="s">
        <v>431</v>
      </c>
      <c r="B104" s="1" t="s">
        <v>432</v>
      </c>
      <c r="C104" s="1" t="s">
        <v>433</v>
      </c>
      <c r="D104" s="1" t="str">
        <f>HYPERLINK("http://eros.fiehnlab.ucdavis.edu:8080/binbase-compound/bin/show/339415?db=rtx5","339415")</f>
        <v>339415</v>
      </c>
      <c r="E104" s="1" t="s">
        <v>434</v>
      </c>
      <c r="F104" s="1" t="str">
        <f>HYPERLINK("http://www.genome.ad.jp/dbget-bin/www_bget?compound+C00327","C00327")</f>
        <v>C00327</v>
      </c>
      <c r="G104" s="1" t="str">
        <f>HYPERLINK("http://pubchem.ncbi.nlm.nih.gov/summary/summary.cgi?cid=9750","9750")</f>
        <v>9750</v>
      </c>
      <c r="H104" s="1"/>
      <c r="I104" s="5">
        <v>5447</v>
      </c>
      <c r="J104" s="5">
        <v>15481</v>
      </c>
      <c r="K104" s="5">
        <v>2836</v>
      </c>
      <c r="L104" s="5">
        <v>1268</v>
      </c>
      <c r="M104" s="5">
        <v>5157</v>
      </c>
      <c r="N104" s="5">
        <v>6035</v>
      </c>
      <c r="O104" s="5">
        <v>4548</v>
      </c>
      <c r="P104" s="5">
        <v>1895</v>
      </c>
      <c r="Q104" s="5">
        <v>4205</v>
      </c>
      <c r="R104" s="5">
        <v>1655</v>
      </c>
      <c r="S104" s="5">
        <v>3937</v>
      </c>
      <c r="T104" s="5">
        <v>4440</v>
      </c>
      <c r="U104" s="5">
        <v>2561</v>
      </c>
      <c r="V104" s="5">
        <v>5675</v>
      </c>
      <c r="W104" s="5">
        <v>7402</v>
      </c>
      <c r="X104" s="5">
        <v>1980</v>
      </c>
      <c r="Y104" s="5">
        <v>1438</v>
      </c>
      <c r="Z104" s="5">
        <v>11288</v>
      </c>
      <c r="AA104" s="5">
        <v>2597</v>
      </c>
      <c r="AB104" s="5">
        <v>885</v>
      </c>
      <c r="AC104" s="5">
        <v>502</v>
      </c>
      <c r="AD104" s="5">
        <v>1527</v>
      </c>
      <c r="AE104" s="5">
        <v>2008</v>
      </c>
      <c r="AF104" s="5">
        <v>2301</v>
      </c>
      <c r="AG104" s="5">
        <v>1671</v>
      </c>
      <c r="AH104" s="5">
        <v>739</v>
      </c>
      <c r="AI104" s="5">
        <v>5267</v>
      </c>
      <c r="AJ104" s="5">
        <v>833</v>
      </c>
      <c r="AK104" s="5">
        <v>598</v>
      </c>
      <c r="AL104" s="5">
        <v>6216</v>
      </c>
      <c r="AM104" s="5">
        <v>1366</v>
      </c>
      <c r="AN104" s="5">
        <v>8186</v>
      </c>
      <c r="AO104" s="5">
        <v>1142</v>
      </c>
      <c r="AP104" s="5">
        <v>1173</v>
      </c>
      <c r="AQ104" s="5">
        <v>13734</v>
      </c>
      <c r="AR104" s="5">
        <v>1484</v>
      </c>
    </row>
    <row r="105" spans="1:44">
      <c r="A105" s="1" t="s">
        <v>435</v>
      </c>
      <c r="B105" s="1" t="s">
        <v>436</v>
      </c>
      <c r="C105" s="1" t="s">
        <v>437</v>
      </c>
      <c r="D105" s="1" t="str">
        <f>HYPERLINK("http://eros.fiehnlab.ucdavis.edu:8080/binbase-compound/bin/show/372849?db=rtx5","372849")</f>
        <v>372849</v>
      </c>
      <c r="E105" s="1" t="s">
        <v>438</v>
      </c>
      <c r="F105" s="1" t="str">
        <f>HYPERLINK("http://www.genome.ad.jp/dbget-bin/www_bget?compound+C00158","C00158")</f>
        <v>C00158</v>
      </c>
      <c r="G105" s="1" t="str">
        <f>HYPERLINK("http://pubchem.ncbi.nlm.nih.gov/summary/summary.cgi?cid=311","311")</f>
        <v>311</v>
      </c>
      <c r="H105" s="1"/>
      <c r="I105" s="5">
        <v>1496</v>
      </c>
      <c r="J105" s="5">
        <v>5672</v>
      </c>
      <c r="K105" s="5">
        <v>10534</v>
      </c>
      <c r="L105" s="5">
        <v>5119</v>
      </c>
      <c r="M105" s="5">
        <v>395</v>
      </c>
      <c r="N105" s="5">
        <v>1501</v>
      </c>
      <c r="O105" s="5">
        <v>1024</v>
      </c>
      <c r="P105" s="5">
        <v>1820</v>
      </c>
      <c r="Q105" s="5">
        <v>2660</v>
      </c>
      <c r="R105" s="5">
        <v>4303</v>
      </c>
      <c r="S105" s="5">
        <v>2971</v>
      </c>
      <c r="T105" s="5">
        <v>2830</v>
      </c>
      <c r="U105" s="5">
        <v>3129</v>
      </c>
      <c r="V105" s="5">
        <v>1699</v>
      </c>
      <c r="W105" s="5">
        <v>1547</v>
      </c>
      <c r="X105" s="5">
        <v>1536</v>
      </c>
      <c r="Y105" s="5">
        <v>1847</v>
      </c>
      <c r="Z105" s="5">
        <v>1786</v>
      </c>
      <c r="AA105" s="5">
        <v>1806</v>
      </c>
      <c r="AB105" s="5">
        <v>5189</v>
      </c>
      <c r="AC105" s="5">
        <v>8296</v>
      </c>
      <c r="AD105" s="5">
        <v>24822</v>
      </c>
      <c r="AE105" s="5">
        <v>4200</v>
      </c>
      <c r="AF105" s="5">
        <v>27626</v>
      </c>
      <c r="AG105" s="5">
        <v>2209</v>
      </c>
      <c r="AH105" s="5">
        <v>11894</v>
      </c>
      <c r="AI105" s="5">
        <v>2731</v>
      </c>
      <c r="AJ105" s="5">
        <v>6703</v>
      </c>
      <c r="AK105" s="5">
        <v>2753</v>
      </c>
      <c r="AL105" s="5">
        <v>3075</v>
      </c>
      <c r="AM105" s="5">
        <v>2577</v>
      </c>
      <c r="AN105" s="5">
        <v>2934</v>
      </c>
      <c r="AO105" s="5">
        <v>2484</v>
      </c>
      <c r="AP105" s="5">
        <v>2587</v>
      </c>
      <c r="AQ105" s="5">
        <v>3248</v>
      </c>
      <c r="AR105" s="5">
        <v>4015</v>
      </c>
    </row>
    <row r="106" spans="1:44">
      <c r="A106" s="1" t="s">
        <v>439</v>
      </c>
      <c r="B106" s="1" t="s">
        <v>440</v>
      </c>
      <c r="C106" s="1" t="s">
        <v>222</v>
      </c>
      <c r="D106" s="1" t="str">
        <f>HYPERLINK("http://eros.fiehnlab.ucdavis.edu:8080/binbase-compound/bin/show/372926?db=rtx5","372926")</f>
        <v>372926</v>
      </c>
      <c r="E106" s="1" t="s">
        <v>441</v>
      </c>
      <c r="F106" s="1" t="s">
        <v>0</v>
      </c>
      <c r="G106" s="1" t="s">
        <v>0</v>
      </c>
      <c r="H106" s="1"/>
      <c r="I106" s="5">
        <v>1919</v>
      </c>
      <c r="J106" s="5">
        <v>1305</v>
      </c>
      <c r="K106" s="5">
        <v>664</v>
      </c>
      <c r="L106" s="5">
        <v>1474</v>
      </c>
      <c r="M106" s="5">
        <v>550</v>
      </c>
      <c r="N106" s="5">
        <v>812</v>
      </c>
      <c r="O106" s="5">
        <v>543</v>
      </c>
      <c r="P106" s="5">
        <v>1210</v>
      </c>
      <c r="Q106" s="5">
        <v>1374</v>
      </c>
      <c r="R106" s="5">
        <v>546</v>
      </c>
      <c r="S106" s="5">
        <v>1418</v>
      </c>
      <c r="T106" s="5">
        <v>1787</v>
      </c>
      <c r="U106" s="5">
        <v>1362</v>
      </c>
      <c r="V106" s="5">
        <v>565</v>
      </c>
      <c r="W106" s="5">
        <v>1039</v>
      </c>
      <c r="X106" s="5">
        <v>1987</v>
      </c>
      <c r="Y106" s="5">
        <v>1806</v>
      </c>
      <c r="Z106" s="5">
        <v>828</v>
      </c>
      <c r="AA106" s="5">
        <v>1207</v>
      </c>
      <c r="AB106" s="5">
        <v>1208</v>
      </c>
      <c r="AC106" s="5">
        <v>605</v>
      </c>
      <c r="AD106" s="5">
        <v>531</v>
      </c>
      <c r="AE106" s="5">
        <v>1801</v>
      </c>
      <c r="AF106" s="5">
        <v>488</v>
      </c>
      <c r="AG106" s="5">
        <v>1618</v>
      </c>
      <c r="AH106" s="5">
        <v>409</v>
      </c>
      <c r="AI106" s="5">
        <v>591</v>
      </c>
      <c r="AJ106" s="5">
        <v>552</v>
      </c>
      <c r="AK106" s="5">
        <v>1385</v>
      </c>
      <c r="AL106" s="5">
        <v>2050</v>
      </c>
      <c r="AM106" s="5">
        <v>702</v>
      </c>
      <c r="AN106" s="5">
        <v>1329</v>
      </c>
      <c r="AO106" s="5">
        <v>400</v>
      </c>
      <c r="AP106" s="5">
        <v>607</v>
      </c>
      <c r="AQ106" s="5">
        <v>899</v>
      </c>
      <c r="AR106" s="5">
        <v>511</v>
      </c>
    </row>
    <row r="107" spans="1:44">
      <c r="A107" s="1" t="s">
        <v>442</v>
      </c>
      <c r="B107" s="1" t="s">
        <v>443</v>
      </c>
      <c r="C107" s="1" t="s">
        <v>132</v>
      </c>
      <c r="D107" s="1" t="str">
        <f>HYPERLINK("http://eros.fiehnlab.ucdavis.edu:8080/binbase-compound/bin/show/213517?db=rtx5","213517")</f>
        <v>213517</v>
      </c>
      <c r="E107" s="1" t="s">
        <v>444</v>
      </c>
      <c r="F107" s="1" t="str">
        <f>HYPERLINK("http://www.genome.ad.jp/dbget-bin/www_bget?compound+C01571","C01571")</f>
        <v>C01571</v>
      </c>
      <c r="G107" s="1" t="str">
        <f>HYPERLINK("http://pubchem.ncbi.nlm.nih.gov/summary/summary.cgi?cid=2969","2969")</f>
        <v>2969</v>
      </c>
      <c r="H107" s="1"/>
      <c r="I107" s="5">
        <v>2643</v>
      </c>
      <c r="J107" s="5">
        <v>3208</v>
      </c>
      <c r="K107" s="5">
        <v>2071</v>
      </c>
      <c r="L107" s="5">
        <v>1957</v>
      </c>
      <c r="M107" s="5">
        <v>1661</v>
      </c>
      <c r="N107" s="5">
        <v>2572</v>
      </c>
      <c r="O107" s="5">
        <v>3558</v>
      </c>
      <c r="P107" s="5">
        <v>2350</v>
      </c>
      <c r="Q107" s="5">
        <v>2800</v>
      </c>
      <c r="R107" s="5">
        <v>1793</v>
      </c>
      <c r="S107" s="5">
        <v>2748</v>
      </c>
      <c r="T107" s="5">
        <v>2048</v>
      </c>
      <c r="U107" s="5">
        <v>1963</v>
      </c>
      <c r="V107" s="5">
        <v>2219</v>
      </c>
      <c r="W107" s="5">
        <v>3083</v>
      </c>
      <c r="X107" s="5">
        <v>2158</v>
      </c>
      <c r="Y107" s="5">
        <v>2177</v>
      </c>
      <c r="Z107" s="5">
        <v>2574</v>
      </c>
      <c r="AA107" s="5">
        <v>3363</v>
      </c>
      <c r="AB107" s="5">
        <v>1676</v>
      </c>
      <c r="AC107" s="5">
        <v>1038</v>
      </c>
      <c r="AD107" s="5">
        <v>1192</v>
      </c>
      <c r="AE107" s="5">
        <v>1427</v>
      </c>
      <c r="AF107" s="5">
        <v>1972</v>
      </c>
      <c r="AG107" s="5">
        <v>2501</v>
      </c>
      <c r="AH107" s="5">
        <v>1381</v>
      </c>
      <c r="AI107" s="5">
        <v>3385</v>
      </c>
      <c r="AJ107" s="5">
        <v>2352</v>
      </c>
      <c r="AK107" s="5">
        <v>1666</v>
      </c>
      <c r="AL107" s="5">
        <v>2334</v>
      </c>
      <c r="AM107" s="5">
        <v>1847</v>
      </c>
      <c r="AN107" s="5">
        <v>2505</v>
      </c>
      <c r="AO107" s="5">
        <v>1742</v>
      </c>
      <c r="AP107" s="5">
        <v>1236</v>
      </c>
      <c r="AQ107" s="5">
        <v>3036</v>
      </c>
      <c r="AR107" s="5">
        <v>2232</v>
      </c>
    </row>
    <row r="108" spans="1:44">
      <c r="A108" s="1" t="s">
        <v>445</v>
      </c>
      <c r="B108" s="1" t="s">
        <v>446</v>
      </c>
      <c r="C108" s="1" t="s">
        <v>190</v>
      </c>
      <c r="D108" s="1" t="str">
        <f>HYPERLINK("http://eros.fiehnlab.ucdavis.edu:8080/binbase-compound/bin/show/200952?db=rtx5","200952")</f>
        <v>200952</v>
      </c>
      <c r="E108" s="1" t="s">
        <v>447</v>
      </c>
      <c r="F108" s="1" t="str">
        <f>HYPERLINK("http://www.genome.ad.jp/dbget-bin/www_bget?compound+n/a","n/a")</f>
        <v>n/a</v>
      </c>
      <c r="G108" s="1" t="str">
        <f>HYPERLINK("http://pubchem.ncbi.nlm.nih.gov/summary/summary.cgi?cid=12025","12025")</f>
        <v>12025</v>
      </c>
      <c r="H108" s="1"/>
      <c r="I108" s="5">
        <v>1229</v>
      </c>
      <c r="J108" s="5">
        <v>2344</v>
      </c>
      <c r="K108" s="5">
        <v>888</v>
      </c>
      <c r="L108" s="5">
        <v>592</v>
      </c>
      <c r="M108" s="5">
        <v>1654</v>
      </c>
      <c r="N108" s="5">
        <v>1074</v>
      </c>
      <c r="O108" s="5">
        <v>1265</v>
      </c>
      <c r="P108" s="5">
        <v>782</v>
      </c>
      <c r="Q108" s="5">
        <v>4565</v>
      </c>
      <c r="R108" s="5">
        <v>287</v>
      </c>
      <c r="S108" s="5">
        <v>1356</v>
      </c>
      <c r="T108" s="5">
        <v>10352</v>
      </c>
      <c r="U108" s="5">
        <v>868</v>
      </c>
      <c r="V108" s="5">
        <v>984</v>
      </c>
      <c r="W108" s="5">
        <v>2339</v>
      </c>
      <c r="X108" s="5">
        <v>1459</v>
      </c>
      <c r="Y108" s="5">
        <v>505</v>
      </c>
      <c r="Z108" s="5">
        <v>2071</v>
      </c>
      <c r="AA108" s="5">
        <v>5364</v>
      </c>
      <c r="AB108" s="5">
        <v>1712</v>
      </c>
      <c r="AC108" s="5">
        <v>2269</v>
      </c>
      <c r="AD108" s="5">
        <v>766</v>
      </c>
      <c r="AE108" s="5">
        <v>1360</v>
      </c>
      <c r="AF108" s="5">
        <v>780</v>
      </c>
      <c r="AG108" s="5">
        <v>2900</v>
      </c>
      <c r="AH108" s="5">
        <v>1567</v>
      </c>
      <c r="AI108" s="5">
        <v>1827</v>
      </c>
      <c r="AJ108" s="5">
        <v>2938</v>
      </c>
      <c r="AK108" s="5">
        <v>1973</v>
      </c>
      <c r="AL108" s="5">
        <v>10008</v>
      </c>
      <c r="AM108" s="5">
        <v>536</v>
      </c>
      <c r="AN108" s="5">
        <v>2012</v>
      </c>
      <c r="AO108" s="5">
        <v>981</v>
      </c>
      <c r="AP108" s="5">
        <v>829</v>
      </c>
      <c r="AQ108" s="5">
        <v>3544</v>
      </c>
      <c r="AR108" s="5">
        <v>1129</v>
      </c>
    </row>
    <row r="109" spans="1:44">
      <c r="A109" s="1" t="s">
        <v>448</v>
      </c>
      <c r="B109" s="1" t="s">
        <v>449</v>
      </c>
      <c r="C109" s="1" t="s">
        <v>414</v>
      </c>
      <c r="D109" s="1" t="str">
        <f>HYPERLINK("http://eros.fiehnlab.ucdavis.edu:8080/binbase-compound/bin/show/362095?db=rtx5","362095")</f>
        <v>362095</v>
      </c>
      <c r="E109" s="1" t="s">
        <v>450</v>
      </c>
      <c r="F109" s="1" t="s">
        <v>0</v>
      </c>
      <c r="G109" s="1" t="s">
        <v>0</v>
      </c>
      <c r="H109" s="1"/>
      <c r="I109" s="5">
        <v>937</v>
      </c>
      <c r="J109" s="5">
        <v>1055</v>
      </c>
      <c r="K109" s="5">
        <v>434</v>
      </c>
      <c r="L109" s="5">
        <v>496</v>
      </c>
      <c r="M109" s="5">
        <v>632</v>
      </c>
      <c r="N109" s="5">
        <v>1194</v>
      </c>
      <c r="O109" s="5">
        <v>569</v>
      </c>
      <c r="P109" s="5">
        <v>528</v>
      </c>
      <c r="Q109" s="5">
        <v>1843</v>
      </c>
      <c r="R109" s="5">
        <v>899</v>
      </c>
      <c r="S109" s="5">
        <v>383</v>
      </c>
      <c r="T109" s="5">
        <v>308</v>
      </c>
      <c r="U109" s="5">
        <v>365</v>
      </c>
      <c r="V109" s="5">
        <v>196</v>
      </c>
      <c r="W109" s="5">
        <v>540</v>
      </c>
      <c r="X109" s="5">
        <v>630</v>
      </c>
      <c r="Y109" s="5">
        <v>296</v>
      </c>
      <c r="Z109" s="5">
        <v>298</v>
      </c>
      <c r="AA109" s="5">
        <v>182</v>
      </c>
      <c r="AB109" s="5">
        <v>415</v>
      </c>
      <c r="AC109" s="5">
        <v>546</v>
      </c>
      <c r="AD109" s="5">
        <v>824</v>
      </c>
      <c r="AE109" s="5">
        <v>667</v>
      </c>
      <c r="AF109" s="5">
        <v>517</v>
      </c>
      <c r="AG109" s="5">
        <v>275</v>
      </c>
      <c r="AH109" s="5">
        <v>672</v>
      </c>
      <c r="AI109" s="5">
        <v>213</v>
      </c>
      <c r="AJ109" s="5">
        <v>499</v>
      </c>
      <c r="AK109" s="5">
        <v>491</v>
      </c>
      <c r="AL109" s="5">
        <v>2572</v>
      </c>
      <c r="AM109" s="5">
        <v>338</v>
      </c>
      <c r="AN109" s="5">
        <v>263</v>
      </c>
      <c r="AO109" s="5">
        <v>319</v>
      </c>
      <c r="AP109" s="5">
        <v>458</v>
      </c>
      <c r="AQ109" s="5">
        <v>1142</v>
      </c>
      <c r="AR109" s="5">
        <v>542</v>
      </c>
    </row>
    <row r="110" spans="1:44">
      <c r="A110" s="1" t="s">
        <v>1182</v>
      </c>
      <c r="B110" s="1" t="s">
        <v>451</v>
      </c>
      <c r="C110" s="1" t="s">
        <v>385</v>
      </c>
      <c r="D110" s="1" t="str">
        <f>HYPERLINK("http://eros.fiehnlab.ucdavis.edu:8080/binbase-compound/bin/show/233311?db=rtx5","233311")</f>
        <v>233311</v>
      </c>
      <c r="E110" s="1" t="s">
        <v>452</v>
      </c>
      <c r="F110" s="1" t="str">
        <f>HYPERLINK("http://www.genome.ad.jp/dbget-bin/www_bget?compound+C08240","C08240")</f>
        <v>C08240</v>
      </c>
      <c r="G110" s="1" t="str">
        <f>HYPERLINK("http://pubchem.ncbi.nlm.nih.gov/summary/summary.cgi?cid=441422","441422")</f>
        <v>441422</v>
      </c>
      <c r="H110" s="1"/>
      <c r="I110" s="5">
        <v>254</v>
      </c>
      <c r="J110" s="5">
        <v>207</v>
      </c>
      <c r="K110" s="5">
        <v>140</v>
      </c>
      <c r="L110" s="5">
        <v>220</v>
      </c>
      <c r="M110" s="5">
        <v>129</v>
      </c>
      <c r="N110" s="5">
        <v>263</v>
      </c>
      <c r="O110" s="5">
        <v>164</v>
      </c>
      <c r="P110" s="5">
        <v>141</v>
      </c>
      <c r="Q110" s="5">
        <v>320</v>
      </c>
      <c r="R110" s="5">
        <v>290</v>
      </c>
      <c r="S110" s="5">
        <v>294</v>
      </c>
      <c r="T110" s="5">
        <v>962</v>
      </c>
      <c r="U110" s="5">
        <v>154</v>
      </c>
      <c r="V110" s="5">
        <v>231</v>
      </c>
      <c r="W110" s="5">
        <v>146</v>
      </c>
      <c r="X110" s="5">
        <v>227</v>
      </c>
      <c r="Y110" s="5">
        <v>246</v>
      </c>
      <c r="Z110" s="5">
        <v>472</v>
      </c>
      <c r="AA110" s="5">
        <v>183</v>
      </c>
      <c r="AB110" s="5">
        <v>201</v>
      </c>
      <c r="AC110" s="5">
        <v>352</v>
      </c>
      <c r="AD110" s="5">
        <v>308</v>
      </c>
      <c r="AE110" s="5">
        <v>416</v>
      </c>
      <c r="AF110" s="5">
        <v>542</v>
      </c>
      <c r="AG110" s="5">
        <v>318</v>
      </c>
      <c r="AH110" s="5">
        <v>367</v>
      </c>
      <c r="AI110" s="5">
        <v>191</v>
      </c>
      <c r="AJ110" s="5">
        <v>339</v>
      </c>
      <c r="AK110" s="5">
        <v>355</v>
      </c>
      <c r="AL110" s="5">
        <v>365</v>
      </c>
      <c r="AM110" s="5">
        <v>176</v>
      </c>
      <c r="AN110" s="5">
        <v>204</v>
      </c>
      <c r="AO110" s="5">
        <v>170</v>
      </c>
      <c r="AP110" s="5">
        <v>375</v>
      </c>
      <c r="AQ110" s="5">
        <v>383</v>
      </c>
      <c r="AR110" s="5">
        <v>259</v>
      </c>
    </row>
    <row r="111" spans="1:44">
      <c r="A111" s="1" t="s">
        <v>453</v>
      </c>
      <c r="B111" s="1" t="s">
        <v>454</v>
      </c>
      <c r="C111" s="1" t="s">
        <v>455</v>
      </c>
      <c r="D111" s="1" t="str">
        <f>HYPERLINK("http://eros.fiehnlab.ucdavis.edu:8080/binbase-compound/bin/show/233412?db=rtx5","233412")</f>
        <v>233412</v>
      </c>
      <c r="E111" s="1" t="s">
        <v>456</v>
      </c>
      <c r="F111" s="1" t="str">
        <f>HYPERLINK("http://www.genome.ad.jp/dbget-bin/www_bget?compound+C00099","C00099")</f>
        <v>C00099</v>
      </c>
      <c r="G111" s="1" t="str">
        <f>HYPERLINK("http://pubchem.ncbi.nlm.nih.gov/summary/summary.cgi?cid=239","239")</f>
        <v>239</v>
      </c>
      <c r="H111" s="1"/>
      <c r="I111" s="5">
        <v>555</v>
      </c>
      <c r="J111" s="5">
        <v>554</v>
      </c>
      <c r="K111" s="5">
        <v>314</v>
      </c>
      <c r="L111" s="5">
        <v>242</v>
      </c>
      <c r="M111" s="5">
        <v>372</v>
      </c>
      <c r="N111" s="5">
        <v>277</v>
      </c>
      <c r="O111" s="5">
        <v>276</v>
      </c>
      <c r="P111" s="5">
        <v>354</v>
      </c>
      <c r="Q111" s="5">
        <v>283</v>
      </c>
      <c r="R111" s="5">
        <v>246</v>
      </c>
      <c r="S111" s="5">
        <v>366</v>
      </c>
      <c r="T111" s="5">
        <v>262</v>
      </c>
      <c r="U111" s="5">
        <v>366</v>
      </c>
      <c r="V111" s="5">
        <v>168</v>
      </c>
      <c r="W111" s="5">
        <v>203</v>
      </c>
      <c r="X111" s="5">
        <v>198</v>
      </c>
      <c r="Y111" s="5">
        <v>105</v>
      </c>
      <c r="Z111" s="5">
        <v>281</v>
      </c>
      <c r="AA111" s="5">
        <v>251</v>
      </c>
      <c r="AB111" s="5">
        <v>402</v>
      </c>
      <c r="AC111" s="5">
        <v>218</v>
      </c>
      <c r="AD111" s="5">
        <v>518</v>
      </c>
      <c r="AE111" s="5">
        <v>390</v>
      </c>
      <c r="AF111" s="5">
        <v>224</v>
      </c>
      <c r="AG111" s="5">
        <v>381</v>
      </c>
      <c r="AH111" s="5">
        <v>355</v>
      </c>
      <c r="AI111" s="5">
        <v>237</v>
      </c>
      <c r="AJ111" s="5">
        <v>173</v>
      </c>
      <c r="AK111" s="5">
        <v>212</v>
      </c>
      <c r="AL111" s="5">
        <v>311</v>
      </c>
      <c r="AM111" s="5">
        <v>160</v>
      </c>
      <c r="AN111" s="5">
        <v>279</v>
      </c>
      <c r="AO111" s="5">
        <v>135</v>
      </c>
      <c r="AP111" s="5">
        <v>170</v>
      </c>
      <c r="AQ111" s="5">
        <v>305</v>
      </c>
      <c r="AR111" s="5">
        <v>185</v>
      </c>
    </row>
    <row r="112" spans="1:44">
      <c r="A112" s="1" t="s">
        <v>1183</v>
      </c>
      <c r="B112" s="1" t="s">
        <v>457</v>
      </c>
      <c r="C112" s="1" t="s">
        <v>116</v>
      </c>
      <c r="D112" s="1" t="str">
        <f>HYPERLINK("http://eros.fiehnlab.ucdavis.edu:8080/binbase-compound/bin/show/386128?db=rtx5","386128")</f>
        <v>386128</v>
      </c>
      <c r="E112" s="1" t="s">
        <v>458</v>
      </c>
      <c r="F112" s="1" t="s">
        <v>0</v>
      </c>
      <c r="G112" s="1" t="s">
        <v>0</v>
      </c>
      <c r="H112" s="1"/>
      <c r="I112" s="5">
        <v>90314</v>
      </c>
      <c r="J112" s="5">
        <v>85747</v>
      </c>
      <c r="K112" s="5">
        <v>101066</v>
      </c>
      <c r="L112" s="5">
        <v>99950</v>
      </c>
      <c r="M112" s="5">
        <v>90552</v>
      </c>
      <c r="N112" s="5">
        <v>95144</v>
      </c>
      <c r="O112" s="5">
        <v>94670</v>
      </c>
      <c r="P112" s="5">
        <v>89838</v>
      </c>
      <c r="Q112" s="5">
        <v>94693</v>
      </c>
      <c r="R112" s="5">
        <v>87714</v>
      </c>
      <c r="S112" s="5">
        <v>98469</v>
      </c>
      <c r="T112" s="5">
        <v>90597</v>
      </c>
      <c r="U112" s="5">
        <v>105320</v>
      </c>
      <c r="V112" s="5">
        <v>88554</v>
      </c>
      <c r="W112" s="5">
        <v>80422</v>
      </c>
      <c r="X112" s="5">
        <v>86749</v>
      </c>
      <c r="Y112" s="5">
        <v>105081</v>
      </c>
      <c r="Z112" s="5">
        <v>96446</v>
      </c>
      <c r="AA112" s="5">
        <v>102892</v>
      </c>
      <c r="AB112" s="5">
        <v>92211</v>
      </c>
      <c r="AC112" s="5">
        <v>85382</v>
      </c>
      <c r="AD112" s="5">
        <v>84417</v>
      </c>
      <c r="AE112" s="5">
        <v>91553</v>
      </c>
      <c r="AF112" s="5">
        <v>80008</v>
      </c>
      <c r="AG112" s="5">
        <v>91218</v>
      </c>
      <c r="AH112" s="5">
        <v>99826</v>
      </c>
      <c r="AI112" s="5">
        <v>104362</v>
      </c>
      <c r="AJ112" s="5">
        <v>86442</v>
      </c>
      <c r="AK112" s="5">
        <v>99938</v>
      </c>
      <c r="AL112" s="5">
        <v>90482</v>
      </c>
      <c r="AM112" s="5">
        <v>78551</v>
      </c>
      <c r="AN112" s="5">
        <v>85549</v>
      </c>
      <c r="AO112" s="5">
        <v>96970</v>
      </c>
      <c r="AP112" s="5">
        <v>82771</v>
      </c>
      <c r="AQ112" s="5">
        <v>95305</v>
      </c>
      <c r="AR112" s="5">
        <v>93291</v>
      </c>
    </row>
    <row r="113" spans="1:44">
      <c r="A113" s="1" t="s">
        <v>459</v>
      </c>
      <c r="B113" s="1" t="s">
        <v>460</v>
      </c>
      <c r="C113" s="1" t="s">
        <v>132</v>
      </c>
      <c r="D113" s="1" t="str">
        <f>HYPERLINK("http://eros.fiehnlab.ucdavis.edu:8080/binbase-compound/bin/show/203290?db=rtx5","203290")</f>
        <v>203290</v>
      </c>
      <c r="E113" s="1" t="s">
        <v>461</v>
      </c>
      <c r="F113" s="1" t="str">
        <f>HYPERLINK("http://www.genome.ad.jp/dbget-bin/www_bget?compound+C08281","C08281")</f>
        <v>C08281</v>
      </c>
      <c r="G113" s="1" t="str">
        <f>HYPERLINK("http://pubchem.ncbi.nlm.nih.gov/summary/summary.cgi?cid=8215","8215")</f>
        <v>8215</v>
      </c>
      <c r="H113" s="1"/>
      <c r="I113" s="5">
        <v>1689</v>
      </c>
      <c r="J113" s="5">
        <v>977</v>
      </c>
      <c r="K113" s="5">
        <v>719</v>
      </c>
      <c r="L113" s="5">
        <v>770</v>
      </c>
      <c r="M113" s="5">
        <v>829</v>
      </c>
      <c r="N113" s="5">
        <v>1013</v>
      </c>
      <c r="O113" s="5">
        <v>928</v>
      </c>
      <c r="P113" s="5">
        <v>619</v>
      </c>
      <c r="Q113" s="5">
        <v>1513</v>
      </c>
      <c r="R113" s="5">
        <v>530</v>
      </c>
      <c r="S113" s="5">
        <v>1046</v>
      </c>
      <c r="T113" s="5">
        <v>1119</v>
      </c>
      <c r="U113" s="5">
        <v>1723</v>
      </c>
      <c r="V113" s="5">
        <v>778</v>
      </c>
      <c r="W113" s="5">
        <v>959</v>
      </c>
      <c r="X113" s="5">
        <v>1072</v>
      </c>
      <c r="Y113" s="5">
        <v>903</v>
      </c>
      <c r="Z113" s="5">
        <v>1134</v>
      </c>
      <c r="AA113" s="5">
        <v>1341</v>
      </c>
      <c r="AB113" s="5">
        <v>806</v>
      </c>
      <c r="AC113" s="5">
        <v>773</v>
      </c>
      <c r="AD113" s="5">
        <v>737</v>
      </c>
      <c r="AE113" s="5">
        <v>1017</v>
      </c>
      <c r="AF113" s="5">
        <v>702</v>
      </c>
      <c r="AG113" s="5">
        <v>865</v>
      </c>
      <c r="AH113" s="5">
        <v>640</v>
      </c>
      <c r="AI113" s="5">
        <v>871</v>
      </c>
      <c r="AJ113" s="5">
        <v>465</v>
      </c>
      <c r="AK113" s="5">
        <v>755</v>
      </c>
      <c r="AL113" s="5">
        <v>1198</v>
      </c>
      <c r="AM113" s="5">
        <v>810</v>
      </c>
      <c r="AN113" s="5">
        <v>1556</v>
      </c>
      <c r="AO113" s="5">
        <v>680</v>
      </c>
      <c r="AP113" s="5">
        <v>810</v>
      </c>
      <c r="AQ113" s="5">
        <v>1412</v>
      </c>
      <c r="AR113" s="5">
        <v>6449</v>
      </c>
    </row>
    <row r="114" spans="1:44">
      <c r="A114" s="1" t="s">
        <v>462</v>
      </c>
      <c r="B114" s="1" t="s">
        <v>463</v>
      </c>
      <c r="C114" s="1" t="s">
        <v>464</v>
      </c>
      <c r="D114" s="1" t="str">
        <f>HYPERLINK("http://eros.fiehnlab.ucdavis.edu:8080/binbase-compound/bin/show/199612?db=rtx5","199612")</f>
        <v>199612</v>
      </c>
      <c r="E114" s="1" t="s">
        <v>465</v>
      </c>
      <c r="F114" s="1" t="str">
        <f>HYPERLINK("http://www.genome.ad.jp/dbget-bin/www_bget?compound+C00049","C00049")</f>
        <v>C00049</v>
      </c>
      <c r="G114" s="1" t="str">
        <f>HYPERLINK("http://pubchem.ncbi.nlm.nih.gov/summary/summary.cgi?cid=5960","5960")</f>
        <v>5960</v>
      </c>
      <c r="H114" s="1"/>
      <c r="I114" s="5">
        <v>24589</v>
      </c>
      <c r="J114" s="5">
        <v>27842</v>
      </c>
      <c r="K114" s="5">
        <v>7751</v>
      </c>
      <c r="L114" s="5">
        <v>8393</v>
      </c>
      <c r="M114" s="5">
        <v>27929</v>
      </c>
      <c r="N114" s="5">
        <v>15982</v>
      </c>
      <c r="O114" s="5">
        <v>21261</v>
      </c>
      <c r="P114" s="5">
        <v>7784</v>
      </c>
      <c r="Q114" s="5">
        <v>12769</v>
      </c>
      <c r="R114" s="5">
        <v>15311</v>
      </c>
      <c r="S114" s="5">
        <v>12469</v>
      </c>
      <c r="T114" s="5">
        <v>31128</v>
      </c>
      <c r="U114" s="5">
        <v>9112</v>
      </c>
      <c r="V114" s="5">
        <v>16137</v>
      </c>
      <c r="W114" s="5">
        <v>12896</v>
      </c>
      <c r="X114" s="5">
        <v>6569</v>
      </c>
      <c r="Y114" s="5">
        <v>5953</v>
      </c>
      <c r="Z114" s="5">
        <v>56172</v>
      </c>
      <c r="AA114" s="5">
        <v>8527</v>
      </c>
      <c r="AB114" s="5">
        <v>4567</v>
      </c>
      <c r="AC114" s="5">
        <v>3585</v>
      </c>
      <c r="AD114" s="5">
        <v>19890</v>
      </c>
      <c r="AE114" s="5">
        <v>13263</v>
      </c>
      <c r="AF114" s="5">
        <v>19388</v>
      </c>
      <c r="AG114" s="5">
        <v>10021</v>
      </c>
      <c r="AH114" s="5">
        <v>9518</v>
      </c>
      <c r="AI114" s="5">
        <v>20921</v>
      </c>
      <c r="AJ114" s="5">
        <v>7780</v>
      </c>
      <c r="AK114" s="5">
        <v>7066</v>
      </c>
      <c r="AL114" s="5">
        <v>21312</v>
      </c>
      <c r="AM114" s="5">
        <v>5344</v>
      </c>
      <c r="AN114" s="5">
        <v>24879</v>
      </c>
      <c r="AO114" s="5">
        <v>4831</v>
      </c>
      <c r="AP114" s="5">
        <v>9515</v>
      </c>
      <c r="AQ114" s="5">
        <v>49612</v>
      </c>
      <c r="AR114" s="5">
        <v>4853</v>
      </c>
    </row>
    <row r="115" spans="1:44">
      <c r="A115" s="1" t="s">
        <v>1184</v>
      </c>
      <c r="B115" s="1" t="s">
        <v>466</v>
      </c>
      <c r="C115" s="1" t="s">
        <v>203</v>
      </c>
      <c r="D115" s="1" t="str">
        <f>HYPERLINK("http://eros.fiehnlab.ucdavis.edu:8080/binbase-compound/bin/show/200518?db=rtx5","200518")</f>
        <v>200518</v>
      </c>
      <c r="E115" s="1" t="s">
        <v>467</v>
      </c>
      <c r="F115" s="1" t="str">
        <f>HYPERLINK("http://www.genome.ad.jp/dbget-bin/www_bget?compound+C00152","C00152")</f>
        <v>C00152</v>
      </c>
      <c r="G115" s="1" t="str">
        <f>HYPERLINK("http://pubchem.ncbi.nlm.nih.gov/summary/summary.cgi?cid=236","236")</f>
        <v>236</v>
      </c>
      <c r="H115" s="1"/>
      <c r="I115" s="5">
        <v>1387</v>
      </c>
      <c r="J115" s="5">
        <v>8883</v>
      </c>
      <c r="K115" s="5">
        <v>879</v>
      </c>
      <c r="L115" s="5">
        <v>503</v>
      </c>
      <c r="M115" s="5">
        <v>1360</v>
      </c>
      <c r="N115" s="5">
        <v>3107</v>
      </c>
      <c r="O115" s="5">
        <v>2002</v>
      </c>
      <c r="P115" s="5">
        <v>503</v>
      </c>
      <c r="Q115" s="5">
        <v>1445</v>
      </c>
      <c r="R115" s="5">
        <v>554</v>
      </c>
      <c r="S115" s="5">
        <v>1335</v>
      </c>
      <c r="T115" s="5">
        <v>2068</v>
      </c>
      <c r="U115" s="5">
        <v>1371</v>
      </c>
      <c r="V115" s="5">
        <v>1507</v>
      </c>
      <c r="W115" s="5">
        <v>2691</v>
      </c>
      <c r="X115" s="5">
        <v>850</v>
      </c>
      <c r="Y115" s="5">
        <v>642</v>
      </c>
      <c r="Z115" s="5">
        <v>4051</v>
      </c>
      <c r="AA115" s="5">
        <v>1504</v>
      </c>
      <c r="AB115" s="5">
        <v>678</v>
      </c>
      <c r="AC115" s="5">
        <v>572</v>
      </c>
      <c r="AD115" s="5">
        <v>718</v>
      </c>
      <c r="AE115" s="5">
        <v>706</v>
      </c>
      <c r="AF115" s="5">
        <v>617</v>
      </c>
      <c r="AG115" s="5">
        <v>894</v>
      </c>
      <c r="AH115" s="5">
        <v>579</v>
      </c>
      <c r="AI115" s="5">
        <v>2029</v>
      </c>
      <c r="AJ115" s="5">
        <v>506</v>
      </c>
      <c r="AK115" s="5">
        <v>411</v>
      </c>
      <c r="AL115" s="5">
        <v>4845</v>
      </c>
      <c r="AM115" s="5">
        <v>461</v>
      </c>
      <c r="AN115" s="5">
        <v>4498</v>
      </c>
      <c r="AO115" s="5">
        <v>766</v>
      </c>
      <c r="AP115" s="5">
        <v>529</v>
      </c>
      <c r="AQ115" s="5">
        <v>6322</v>
      </c>
      <c r="AR115" s="5">
        <v>607</v>
      </c>
    </row>
    <row r="116" spans="1:44">
      <c r="A116" s="1" t="s">
        <v>468</v>
      </c>
      <c r="B116" s="1" t="s">
        <v>469</v>
      </c>
      <c r="C116" s="1" t="s">
        <v>190</v>
      </c>
      <c r="D116" s="1" t="str">
        <f>HYPERLINK("http://eros.fiehnlab.ucdavis.edu:8080/binbase-compound/bin/show/199796?db=rtx5","199796")</f>
        <v>199796</v>
      </c>
      <c r="E116" s="1" t="s">
        <v>470</v>
      </c>
      <c r="F116" s="1" t="str">
        <f>HYPERLINK("http://www.genome.ad.jp/dbget-bin/www_bget?compound+C00062","C00062")</f>
        <v>C00062</v>
      </c>
      <c r="G116" s="1" t="str">
        <f>HYPERLINK("http://pubchem.ncbi.nlm.nih.gov/summary/summary.cgi?cid=232","232")</f>
        <v>232</v>
      </c>
      <c r="H116" s="1"/>
      <c r="I116" s="5">
        <v>27450</v>
      </c>
      <c r="J116" s="5">
        <v>81521</v>
      </c>
      <c r="K116" s="5">
        <v>11886</v>
      </c>
      <c r="L116" s="5">
        <v>4329</v>
      </c>
      <c r="M116" s="5">
        <v>22389</v>
      </c>
      <c r="N116" s="5">
        <v>30838</v>
      </c>
      <c r="O116" s="5">
        <v>17155</v>
      </c>
      <c r="P116" s="5">
        <v>6666</v>
      </c>
      <c r="Q116" s="5">
        <v>21247</v>
      </c>
      <c r="R116" s="5">
        <v>5594</v>
      </c>
      <c r="S116" s="5">
        <v>16123</v>
      </c>
      <c r="T116" s="5">
        <v>23550</v>
      </c>
      <c r="U116" s="5">
        <v>9369</v>
      </c>
      <c r="V116" s="5">
        <v>20200</v>
      </c>
      <c r="W116" s="5">
        <v>29165</v>
      </c>
      <c r="X116" s="5">
        <v>6824</v>
      </c>
      <c r="Y116" s="5">
        <v>6052</v>
      </c>
      <c r="Z116" s="5">
        <v>48930</v>
      </c>
      <c r="AA116" s="5">
        <v>20324</v>
      </c>
      <c r="AB116" s="5">
        <v>3956</v>
      </c>
      <c r="AC116" s="5">
        <v>2581</v>
      </c>
      <c r="AD116" s="5">
        <v>5620</v>
      </c>
      <c r="AE116" s="5">
        <v>6712</v>
      </c>
      <c r="AF116" s="5">
        <v>7117</v>
      </c>
      <c r="AG116" s="5">
        <v>7266</v>
      </c>
      <c r="AH116" s="5">
        <v>3414</v>
      </c>
      <c r="AI116" s="5">
        <v>24926</v>
      </c>
      <c r="AJ116" s="5">
        <v>2876</v>
      </c>
      <c r="AK116" s="5">
        <v>2746</v>
      </c>
      <c r="AL116" s="5">
        <v>37997</v>
      </c>
      <c r="AM116" s="5">
        <v>5030</v>
      </c>
      <c r="AN116" s="5">
        <v>40186</v>
      </c>
      <c r="AO116" s="5">
        <v>5028</v>
      </c>
      <c r="AP116" s="5">
        <v>4768</v>
      </c>
      <c r="AQ116" s="5">
        <v>69353</v>
      </c>
      <c r="AR116" s="5">
        <v>5366</v>
      </c>
    </row>
    <row r="117" spans="1:44">
      <c r="A117" s="1" t="s">
        <v>471</v>
      </c>
      <c r="B117" s="1" t="s">
        <v>472</v>
      </c>
      <c r="C117" s="1" t="s">
        <v>132</v>
      </c>
      <c r="D117" s="1" t="str">
        <f>HYPERLINK("http://eros.fiehnlab.ucdavis.edu:8080/binbase-compound/bin/show/201822?db=rtx5","201822")</f>
        <v>201822</v>
      </c>
      <c r="E117" s="1" t="s">
        <v>473</v>
      </c>
      <c r="F117" s="1" t="str">
        <f>HYPERLINK("http://www.genome.ad.jp/dbget-bin/www_bget?compound+C06425","C06425")</f>
        <v>C06425</v>
      </c>
      <c r="G117" s="1" t="str">
        <f>HYPERLINK("http://pubchem.ncbi.nlm.nih.gov/summary/summary.cgi?cid=10467","10467")</f>
        <v>10467</v>
      </c>
      <c r="H117" s="1"/>
      <c r="I117" s="5">
        <v>11338</v>
      </c>
      <c r="J117" s="5">
        <v>2291</v>
      </c>
      <c r="K117" s="5">
        <v>1481</v>
      </c>
      <c r="L117" s="5">
        <v>1484</v>
      </c>
      <c r="M117" s="5">
        <v>1690</v>
      </c>
      <c r="N117" s="5">
        <v>2189</v>
      </c>
      <c r="O117" s="5">
        <v>3022</v>
      </c>
      <c r="P117" s="5">
        <v>2344</v>
      </c>
      <c r="Q117" s="5">
        <v>7799</v>
      </c>
      <c r="R117" s="5">
        <v>1656</v>
      </c>
      <c r="S117" s="5">
        <v>2651</v>
      </c>
      <c r="T117" s="5">
        <v>1914</v>
      </c>
      <c r="U117" s="5">
        <v>14240</v>
      </c>
      <c r="V117" s="5">
        <v>1602</v>
      </c>
      <c r="W117" s="5">
        <v>2265</v>
      </c>
      <c r="X117" s="5">
        <v>1916</v>
      </c>
      <c r="Y117" s="5">
        <v>2608</v>
      </c>
      <c r="Z117" s="5">
        <v>1256</v>
      </c>
      <c r="AA117" s="5">
        <v>3684</v>
      </c>
      <c r="AB117" s="5">
        <v>1484</v>
      </c>
      <c r="AC117" s="5">
        <v>1058</v>
      </c>
      <c r="AD117" s="5">
        <v>1462</v>
      </c>
      <c r="AE117" s="5">
        <v>2407</v>
      </c>
      <c r="AF117" s="5">
        <v>1385</v>
      </c>
      <c r="AG117" s="5">
        <v>2681</v>
      </c>
      <c r="AH117" s="5">
        <v>979</v>
      </c>
      <c r="AI117" s="5">
        <v>2284</v>
      </c>
      <c r="AJ117" s="5">
        <v>1247</v>
      </c>
      <c r="AK117" s="5">
        <v>2545</v>
      </c>
      <c r="AL117" s="5">
        <v>1583</v>
      </c>
      <c r="AM117" s="5">
        <v>2143</v>
      </c>
      <c r="AN117" s="5">
        <v>2129</v>
      </c>
      <c r="AO117" s="5">
        <v>1591</v>
      </c>
      <c r="AP117" s="5">
        <v>2190</v>
      </c>
      <c r="AQ117" s="5">
        <v>3108</v>
      </c>
      <c r="AR117" s="5">
        <v>6173</v>
      </c>
    </row>
    <row r="118" spans="1:44">
      <c r="A118" s="1" t="s">
        <v>474</v>
      </c>
      <c r="B118" s="1" t="s">
        <v>475</v>
      </c>
      <c r="C118" s="1" t="s">
        <v>175</v>
      </c>
      <c r="D118" s="1" t="str">
        <f>HYPERLINK("http://eros.fiehnlab.ucdavis.edu:8080/binbase-compound/bin/show/362029?db=rtx5","362029")</f>
        <v>362029</v>
      </c>
      <c r="E118" s="1" t="s">
        <v>476</v>
      </c>
      <c r="F118" s="1" t="s">
        <v>0</v>
      </c>
      <c r="G118" s="1" t="s">
        <v>0</v>
      </c>
      <c r="H118" s="1"/>
      <c r="I118" s="5">
        <v>1871</v>
      </c>
      <c r="J118" s="5">
        <v>2089</v>
      </c>
      <c r="K118" s="5">
        <v>541</v>
      </c>
      <c r="L118" s="5">
        <v>940</v>
      </c>
      <c r="M118" s="5">
        <v>1429</v>
      </c>
      <c r="N118" s="5">
        <v>2381</v>
      </c>
      <c r="O118" s="5">
        <v>1030</v>
      </c>
      <c r="P118" s="5">
        <v>1016</v>
      </c>
      <c r="Q118" s="5">
        <v>4150</v>
      </c>
      <c r="R118" s="5">
        <v>1792</v>
      </c>
      <c r="S118" s="5">
        <v>3811</v>
      </c>
      <c r="T118" s="5">
        <v>11667</v>
      </c>
      <c r="U118" s="5">
        <v>544</v>
      </c>
      <c r="V118" s="5">
        <v>502</v>
      </c>
      <c r="W118" s="5">
        <v>1189</v>
      </c>
      <c r="X118" s="5">
        <v>1235</v>
      </c>
      <c r="Y118" s="5">
        <v>567</v>
      </c>
      <c r="Z118" s="5">
        <v>3456</v>
      </c>
      <c r="AA118" s="5">
        <v>1442</v>
      </c>
      <c r="AB118" s="5">
        <v>726</v>
      </c>
      <c r="AC118" s="5">
        <v>963</v>
      </c>
      <c r="AD118" s="5">
        <v>1871</v>
      </c>
      <c r="AE118" s="5">
        <v>1480</v>
      </c>
      <c r="AF118" s="5">
        <v>1071</v>
      </c>
      <c r="AG118" s="5">
        <v>1351</v>
      </c>
      <c r="AH118" s="5">
        <v>1378</v>
      </c>
      <c r="AI118" s="5">
        <v>2402</v>
      </c>
      <c r="AJ118" s="5">
        <v>1157</v>
      </c>
      <c r="AK118" s="5">
        <v>1103</v>
      </c>
      <c r="AL118" s="5">
        <v>5467</v>
      </c>
      <c r="AM118" s="5">
        <v>618</v>
      </c>
      <c r="AN118" s="5">
        <v>1894</v>
      </c>
      <c r="AO118" s="5">
        <v>521</v>
      </c>
      <c r="AP118" s="5">
        <v>892</v>
      </c>
      <c r="AQ118" s="5">
        <v>2557</v>
      </c>
      <c r="AR118" s="5">
        <v>1144</v>
      </c>
    </row>
    <row r="119" spans="1:44">
      <c r="A119" s="1" t="s">
        <v>477</v>
      </c>
      <c r="B119" s="1" t="s">
        <v>478</v>
      </c>
      <c r="C119" s="1" t="s">
        <v>89</v>
      </c>
      <c r="D119" s="1" t="str">
        <f>HYPERLINK("http://eros.fiehnlab.ucdavis.edu:8080/binbase-compound/bin/show/202065?db=rtx5","202065")</f>
        <v>202065</v>
      </c>
      <c r="E119" s="1" t="s">
        <v>479</v>
      </c>
      <c r="F119" s="1" t="str">
        <f>HYPERLINK("http://www.genome.ad.jp/dbget-bin/www_bget?compound+C00259","C00259")</f>
        <v>C00259</v>
      </c>
      <c r="G119" s="1" t="str">
        <f>HYPERLINK("http://pubchem.ncbi.nlm.nih.gov/summary/summary.cgi?cid=229","229")</f>
        <v>229</v>
      </c>
      <c r="H119" s="1"/>
      <c r="I119" s="5">
        <v>766313</v>
      </c>
      <c r="J119" s="5">
        <v>829014</v>
      </c>
      <c r="K119" s="5">
        <v>504920</v>
      </c>
      <c r="L119" s="5">
        <v>363973</v>
      </c>
      <c r="M119" s="5">
        <v>1046099</v>
      </c>
      <c r="N119" s="5">
        <v>1155863</v>
      </c>
      <c r="O119" s="5">
        <v>600080</v>
      </c>
      <c r="P119" s="5">
        <v>363349</v>
      </c>
      <c r="Q119" s="5">
        <v>702426</v>
      </c>
      <c r="R119" s="5">
        <v>325268</v>
      </c>
      <c r="S119" s="5">
        <v>424230</v>
      </c>
      <c r="T119" s="5">
        <v>707054</v>
      </c>
      <c r="U119" s="5">
        <v>340144</v>
      </c>
      <c r="V119" s="5">
        <v>588885</v>
      </c>
      <c r="W119" s="5">
        <v>636463</v>
      </c>
      <c r="X119" s="5">
        <v>474830</v>
      </c>
      <c r="Y119" s="5">
        <v>187198</v>
      </c>
      <c r="Z119" s="5">
        <v>829584</v>
      </c>
      <c r="AA119" s="5">
        <v>424864</v>
      </c>
      <c r="AB119" s="5">
        <v>234087</v>
      </c>
      <c r="AC119" s="5">
        <v>385833</v>
      </c>
      <c r="AD119" s="5">
        <v>518165</v>
      </c>
      <c r="AE119" s="5">
        <v>318711</v>
      </c>
      <c r="AF119" s="5">
        <v>256690</v>
      </c>
      <c r="AG119" s="5">
        <v>370178</v>
      </c>
      <c r="AH119" s="5">
        <v>384004</v>
      </c>
      <c r="AI119" s="5">
        <v>712661</v>
      </c>
      <c r="AJ119" s="5">
        <v>265461</v>
      </c>
      <c r="AK119" s="5">
        <v>200452</v>
      </c>
      <c r="AL119" s="5">
        <v>790664</v>
      </c>
      <c r="AM119" s="5">
        <v>219657</v>
      </c>
      <c r="AN119" s="5">
        <v>687481</v>
      </c>
      <c r="AO119" s="5">
        <v>166985</v>
      </c>
      <c r="AP119" s="5">
        <v>205957</v>
      </c>
      <c r="AQ119" s="5">
        <v>819780</v>
      </c>
      <c r="AR119" s="5">
        <v>346227</v>
      </c>
    </row>
    <row r="120" spans="1:44">
      <c r="A120" s="1" t="s">
        <v>480</v>
      </c>
      <c r="B120" s="1" t="s">
        <v>481</v>
      </c>
      <c r="C120" s="1" t="s">
        <v>114</v>
      </c>
      <c r="D120" s="1" t="str">
        <f>HYPERLINK("http://eros.fiehnlab.ucdavis.edu:8080/binbase-compound/bin/show/240264?db=rtx5","240264")</f>
        <v>240264</v>
      </c>
      <c r="E120" s="1" t="s">
        <v>482</v>
      </c>
      <c r="F120" s="1" t="str">
        <f>HYPERLINK("http://www.genome.ad.jp/dbget-bin/www_bget?compound+C00872","C00872")</f>
        <v>C00872</v>
      </c>
      <c r="G120" s="1" t="str">
        <f>HYPERLINK("http://pubchem.ncbi.nlm.nih.gov/summary/summary.cgi?cid=100714","100714")</f>
        <v>100714</v>
      </c>
      <c r="H120" s="1"/>
      <c r="I120" s="5">
        <v>367</v>
      </c>
      <c r="J120" s="5">
        <v>1394</v>
      </c>
      <c r="K120" s="5">
        <v>181</v>
      </c>
      <c r="L120" s="5">
        <v>213</v>
      </c>
      <c r="M120" s="5">
        <v>269</v>
      </c>
      <c r="N120" s="5">
        <v>571</v>
      </c>
      <c r="O120" s="5">
        <v>292</v>
      </c>
      <c r="P120" s="5">
        <v>140</v>
      </c>
      <c r="Q120" s="5">
        <v>495</v>
      </c>
      <c r="R120" s="5">
        <v>165</v>
      </c>
      <c r="S120" s="5">
        <v>325</v>
      </c>
      <c r="T120" s="5">
        <v>249</v>
      </c>
      <c r="U120" s="5">
        <v>228</v>
      </c>
      <c r="V120" s="5">
        <v>324</v>
      </c>
      <c r="W120" s="5">
        <v>520</v>
      </c>
      <c r="X120" s="5">
        <v>244</v>
      </c>
      <c r="Y120" s="5">
        <v>171</v>
      </c>
      <c r="Z120" s="5">
        <v>680</v>
      </c>
      <c r="AA120" s="5">
        <v>1694</v>
      </c>
      <c r="AB120" s="5">
        <v>147</v>
      </c>
      <c r="AC120" s="5">
        <v>167</v>
      </c>
      <c r="AD120" s="5">
        <v>160</v>
      </c>
      <c r="AE120" s="5">
        <v>185</v>
      </c>
      <c r="AF120" s="5">
        <v>179</v>
      </c>
      <c r="AG120" s="5">
        <v>174</v>
      </c>
      <c r="AH120" s="5">
        <v>194</v>
      </c>
      <c r="AI120" s="5">
        <v>396</v>
      </c>
      <c r="AJ120" s="5">
        <v>156</v>
      </c>
      <c r="AK120" s="5">
        <v>179</v>
      </c>
      <c r="AL120" s="5">
        <v>976</v>
      </c>
      <c r="AM120" s="5">
        <v>135</v>
      </c>
      <c r="AN120" s="5">
        <v>715</v>
      </c>
      <c r="AO120" s="5">
        <v>179</v>
      </c>
      <c r="AP120" s="5">
        <v>164</v>
      </c>
      <c r="AQ120" s="5">
        <v>1362</v>
      </c>
      <c r="AR120" s="5">
        <v>156</v>
      </c>
    </row>
    <row r="121" spans="1:44">
      <c r="A121" s="1" t="s">
        <v>485</v>
      </c>
      <c r="B121" s="1" t="s">
        <v>486</v>
      </c>
      <c r="C121" s="1" t="s">
        <v>483</v>
      </c>
      <c r="D121" s="1" t="str">
        <f>HYPERLINK("http://eros.fiehnlab.ucdavis.edu:8080/binbase-compound/bin/show/199651?db=rtx5","199651")</f>
        <v>199651</v>
      </c>
      <c r="E121" s="1" t="s">
        <v>487</v>
      </c>
      <c r="F121" s="1" t="str">
        <f>HYPERLINK("http://www.genome.ad.jp/dbget-bin/www_bget?compound+C00041","C00041")</f>
        <v>C00041</v>
      </c>
      <c r="G121" s="1" t="str">
        <f>HYPERLINK("http://pubchem.ncbi.nlm.nih.gov/summary/summary.cgi?cid=5950","5950")</f>
        <v>5950</v>
      </c>
      <c r="H121" s="1"/>
      <c r="I121" s="5">
        <v>386187</v>
      </c>
      <c r="J121" s="5">
        <v>1065889</v>
      </c>
      <c r="K121" s="5">
        <v>132328</v>
      </c>
      <c r="L121" s="5">
        <v>45577</v>
      </c>
      <c r="M121" s="5">
        <v>445729</v>
      </c>
      <c r="N121" s="5">
        <v>410056</v>
      </c>
      <c r="O121" s="5">
        <v>399914</v>
      </c>
      <c r="P121" s="5">
        <v>122716</v>
      </c>
      <c r="Q121" s="5">
        <v>261702</v>
      </c>
      <c r="R121" s="5">
        <v>90414</v>
      </c>
      <c r="S121" s="5">
        <v>247234</v>
      </c>
      <c r="T121" s="5">
        <v>111104</v>
      </c>
      <c r="U121" s="5">
        <v>120798</v>
      </c>
      <c r="V121" s="5">
        <v>334839</v>
      </c>
      <c r="W121" s="5">
        <v>433862</v>
      </c>
      <c r="X121" s="5">
        <v>117712</v>
      </c>
      <c r="Y121" s="5">
        <v>68364</v>
      </c>
      <c r="Z121" s="5">
        <v>643172</v>
      </c>
      <c r="AA121" s="5">
        <v>310370</v>
      </c>
      <c r="AB121" s="5">
        <v>77211</v>
      </c>
      <c r="AC121" s="5">
        <v>58840</v>
      </c>
      <c r="AD121" s="5">
        <v>102627</v>
      </c>
      <c r="AE121" s="5">
        <v>99641</v>
      </c>
      <c r="AF121" s="5">
        <v>77611</v>
      </c>
      <c r="AG121" s="5">
        <v>139919</v>
      </c>
      <c r="AH121" s="5">
        <v>65349</v>
      </c>
      <c r="AI121" s="5">
        <v>396512</v>
      </c>
      <c r="AJ121" s="5">
        <v>48458</v>
      </c>
      <c r="AK121" s="5">
        <v>31301</v>
      </c>
      <c r="AL121" s="5">
        <v>693852</v>
      </c>
      <c r="AM121" s="5">
        <v>76659</v>
      </c>
      <c r="AN121" s="5">
        <v>629836</v>
      </c>
      <c r="AO121" s="5">
        <v>72251</v>
      </c>
      <c r="AP121" s="5">
        <v>52088</v>
      </c>
      <c r="AQ121" s="5">
        <v>997993</v>
      </c>
      <c r="AR121" s="5">
        <v>61361</v>
      </c>
    </row>
    <row r="122" spans="1:44">
      <c r="A122" s="1" t="s">
        <v>488</v>
      </c>
      <c r="B122" s="1" t="s">
        <v>489</v>
      </c>
      <c r="C122" s="1" t="s">
        <v>490</v>
      </c>
      <c r="D122" s="1" t="str">
        <f>HYPERLINK("http://eros.fiehnlab.ucdavis.edu:8080/binbase-compound/bin/show/218815?db=rtx5","218815")</f>
        <v>218815</v>
      </c>
      <c r="E122" s="1" t="s">
        <v>491</v>
      </c>
      <c r="F122" s="1" t="str">
        <f>HYPERLINK("http://www.genome.ad.jp/dbget-bin/www_bget?compound+C06104","C06104")</f>
        <v>C06104</v>
      </c>
      <c r="G122" s="1" t="str">
        <f>HYPERLINK("http://pubchem.ncbi.nlm.nih.gov/summary/summary.cgi?cid=196","196")</f>
        <v>196</v>
      </c>
      <c r="H122" s="1"/>
      <c r="I122" s="5">
        <v>1278</v>
      </c>
      <c r="J122" s="5">
        <v>1115</v>
      </c>
      <c r="K122" s="5">
        <v>1092</v>
      </c>
      <c r="L122" s="5">
        <v>1205</v>
      </c>
      <c r="M122" s="5">
        <v>1300</v>
      </c>
      <c r="N122" s="5">
        <v>1615</v>
      </c>
      <c r="O122" s="5">
        <v>1631</v>
      </c>
      <c r="P122" s="5">
        <v>900</v>
      </c>
      <c r="Q122" s="5">
        <v>1374</v>
      </c>
      <c r="R122" s="5">
        <v>1064</v>
      </c>
      <c r="S122" s="5">
        <v>1070</v>
      </c>
      <c r="T122" s="5">
        <v>1079</v>
      </c>
      <c r="U122" s="5">
        <v>1197</v>
      </c>
      <c r="V122" s="5">
        <v>964</v>
      </c>
      <c r="W122" s="5">
        <v>1026</v>
      </c>
      <c r="X122" s="5">
        <v>1582</v>
      </c>
      <c r="Y122" s="5">
        <v>842</v>
      </c>
      <c r="Z122" s="5">
        <v>1163</v>
      </c>
      <c r="AA122" s="5">
        <v>1082</v>
      </c>
      <c r="AB122" s="5">
        <v>951</v>
      </c>
      <c r="AC122" s="5">
        <v>752</v>
      </c>
      <c r="AD122" s="5">
        <v>1029</v>
      </c>
      <c r="AE122" s="5">
        <v>1250</v>
      </c>
      <c r="AF122" s="5">
        <v>982</v>
      </c>
      <c r="AG122" s="5">
        <v>939</v>
      </c>
      <c r="AH122" s="5">
        <v>981</v>
      </c>
      <c r="AI122" s="5">
        <v>1356</v>
      </c>
      <c r="AJ122" s="5">
        <v>841</v>
      </c>
      <c r="AK122" s="5">
        <v>1071</v>
      </c>
      <c r="AL122" s="5">
        <v>1317</v>
      </c>
      <c r="AM122" s="5">
        <v>773</v>
      </c>
      <c r="AN122" s="5">
        <v>1390</v>
      </c>
      <c r="AO122" s="5">
        <v>1156</v>
      </c>
      <c r="AP122" s="5">
        <v>987</v>
      </c>
      <c r="AQ122" s="5">
        <v>1151</v>
      </c>
      <c r="AR122" s="5">
        <v>925</v>
      </c>
    </row>
    <row r="123" spans="1:44">
      <c r="A123" s="1" t="s">
        <v>492</v>
      </c>
      <c r="B123" s="1" t="s">
        <v>493</v>
      </c>
      <c r="C123" s="1" t="s">
        <v>494</v>
      </c>
      <c r="D123" s="1" t="str">
        <f>HYPERLINK("http://eros.fiehnlab.ucdavis.edu:8080/binbase-compound/bin/show/362149?db=rtx5","362149")</f>
        <v>362149</v>
      </c>
      <c r="E123" s="1" t="s">
        <v>495</v>
      </c>
      <c r="F123" s="1" t="s">
        <v>0</v>
      </c>
      <c r="G123" s="1" t="s">
        <v>0</v>
      </c>
      <c r="H123" s="1"/>
      <c r="I123" s="5">
        <v>34942</v>
      </c>
      <c r="J123" s="5">
        <v>21583</v>
      </c>
      <c r="K123" s="5">
        <v>10814</v>
      </c>
      <c r="L123" s="5">
        <v>12132</v>
      </c>
      <c r="M123" s="5">
        <v>16483</v>
      </c>
      <c r="N123" s="5">
        <v>19709</v>
      </c>
      <c r="O123" s="5">
        <v>16851</v>
      </c>
      <c r="P123" s="5">
        <v>7105</v>
      </c>
      <c r="Q123" s="5">
        <v>5796</v>
      </c>
      <c r="R123" s="5">
        <v>6799</v>
      </c>
      <c r="S123" s="5">
        <v>8311</v>
      </c>
      <c r="T123" s="5">
        <v>8767</v>
      </c>
      <c r="U123" s="5">
        <v>4054</v>
      </c>
      <c r="V123" s="5">
        <v>11177</v>
      </c>
      <c r="W123" s="5">
        <v>5082</v>
      </c>
      <c r="X123" s="5">
        <v>5498</v>
      </c>
      <c r="Y123" s="5">
        <v>2416</v>
      </c>
      <c r="Z123" s="5">
        <v>20074</v>
      </c>
      <c r="AA123" s="5">
        <v>7189</v>
      </c>
      <c r="AB123" s="5">
        <v>5523</v>
      </c>
      <c r="AC123" s="5">
        <v>9312</v>
      </c>
      <c r="AD123" s="5">
        <v>9463</v>
      </c>
      <c r="AE123" s="5">
        <v>9415</v>
      </c>
      <c r="AF123" s="5">
        <v>6738</v>
      </c>
      <c r="AG123" s="5">
        <v>5865</v>
      </c>
      <c r="AH123" s="5">
        <v>6967</v>
      </c>
      <c r="AI123" s="5">
        <v>10310</v>
      </c>
      <c r="AJ123" s="5">
        <v>6249</v>
      </c>
      <c r="AK123" s="5">
        <v>5138</v>
      </c>
      <c r="AL123" s="5">
        <v>10996</v>
      </c>
      <c r="AM123" s="5">
        <v>4600</v>
      </c>
      <c r="AN123" s="5">
        <v>8694</v>
      </c>
      <c r="AO123" s="5">
        <v>6235</v>
      </c>
      <c r="AP123" s="5">
        <v>5924</v>
      </c>
      <c r="AQ123" s="5">
        <v>7439</v>
      </c>
      <c r="AR123" s="5">
        <v>4021</v>
      </c>
    </row>
    <row r="124" spans="1:44">
      <c r="A124" s="1" t="s">
        <v>496</v>
      </c>
      <c r="B124" s="1" t="s">
        <v>497</v>
      </c>
      <c r="C124" s="1" t="s">
        <v>498</v>
      </c>
      <c r="D124" s="1" t="str">
        <f>HYPERLINK("http://eros.fiehnlab.ucdavis.edu:8080/binbase-compound/bin/show/211944?db=rtx5","211944")</f>
        <v>211944</v>
      </c>
      <c r="E124" s="1" t="s">
        <v>499</v>
      </c>
      <c r="F124" s="1" t="str">
        <f>HYPERLINK("http://www.genome.ad.jp/dbget-bin/www_bget?compound+C00212","C00212")</f>
        <v>C00212</v>
      </c>
      <c r="G124" s="1" t="str">
        <f>HYPERLINK("http://pubchem.ncbi.nlm.nih.gov/summary/summary.cgi?cid=60961","60961")</f>
        <v>60961</v>
      </c>
      <c r="H124" s="1"/>
      <c r="I124" s="5">
        <v>671</v>
      </c>
      <c r="J124" s="5">
        <v>1269</v>
      </c>
      <c r="K124" s="5">
        <v>283</v>
      </c>
      <c r="L124" s="5">
        <v>1050</v>
      </c>
      <c r="M124" s="5">
        <v>1299</v>
      </c>
      <c r="N124" s="5">
        <v>542</v>
      </c>
      <c r="O124" s="5">
        <v>969</v>
      </c>
      <c r="P124" s="5">
        <v>2379</v>
      </c>
      <c r="Q124" s="5">
        <v>805</v>
      </c>
      <c r="R124" s="5">
        <v>1056</v>
      </c>
      <c r="S124" s="5">
        <v>6257</v>
      </c>
      <c r="T124" s="5">
        <v>1995</v>
      </c>
      <c r="U124" s="5">
        <v>558</v>
      </c>
      <c r="V124" s="5">
        <v>1656</v>
      </c>
      <c r="W124" s="5">
        <v>4356</v>
      </c>
      <c r="X124" s="5">
        <v>6476</v>
      </c>
      <c r="Y124" s="5">
        <v>235</v>
      </c>
      <c r="Z124" s="5">
        <v>828</v>
      </c>
      <c r="AA124" s="5">
        <v>2803</v>
      </c>
      <c r="AB124" s="5">
        <v>1264</v>
      </c>
      <c r="AC124" s="5">
        <v>297</v>
      </c>
      <c r="AD124" s="5">
        <v>251</v>
      </c>
      <c r="AE124" s="5">
        <v>1186</v>
      </c>
      <c r="AF124" s="5">
        <v>455</v>
      </c>
      <c r="AG124" s="5">
        <v>1136</v>
      </c>
      <c r="AH124" s="5">
        <v>559</v>
      </c>
      <c r="AI124" s="5">
        <v>3824</v>
      </c>
      <c r="AJ124" s="5">
        <v>430</v>
      </c>
      <c r="AK124" s="5">
        <v>477</v>
      </c>
      <c r="AL124" s="5">
        <v>1686</v>
      </c>
      <c r="AM124" s="5">
        <v>1361</v>
      </c>
      <c r="AN124" s="5">
        <v>10104</v>
      </c>
      <c r="AO124" s="5">
        <v>453</v>
      </c>
      <c r="AP124" s="5">
        <v>765</v>
      </c>
      <c r="AQ124" s="5">
        <v>8858</v>
      </c>
      <c r="AR124" s="5">
        <v>2098</v>
      </c>
    </row>
    <row r="125" spans="1:44">
      <c r="A125" s="1" t="s">
        <v>500</v>
      </c>
      <c r="B125" s="1" t="s">
        <v>501</v>
      </c>
      <c r="C125" s="1" t="s">
        <v>502</v>
      </c>
      <c r="D125" s="1" t="str">
        <f>HYPERLINK("http://eros.fiehnlab.ucdavis.edu:8080/binbase-compound/bin/show/307666?db=rtx5","307666")</f>
        <v>307666</v>
      </c>
      <c r="E125" s="1" t="s">
        <v>503</v>
      </c>
      <c r="F125" s="1" t="str">
        <f>HYPERLINK("http://www.genome.ad.jp/dbget-bin/www_bget?compound+C00147","C00147")</f>
        <v>C00147</v>
      </c>
      <c r="G125" s="1" t="str">
        <f>HYPERLINK("http://pubchem.ncbi.nlm.nih.gov/summary/summary.cgi?cid=190","190")</f>
        <v>190</v>
      </c>
      <c r="H125" s="1"/>
      <c r="I125" s="5">
        <v>4026</v>
      </c>
      <c r="J125" s="5">
        <v>4321</v>
      </c>
      <c r="K125" s="5">
        <v>3241</v>
      </c>
      <c r="L125" s="5">
        <v>2679</v>
      </c>
      <c r="M125" s="5">
        <v>4060</v>
      </c>
      <c r="N125" s="5">
        <v>3325</v>
      </c>
      <c r="O125" s="5">
        <v>1905</v>
      </c>
      <c r="P125" s="5">
        <v>2367</v>
      </c>
      <c r="Q125" s="5">
        <v>2886</v>
      </c>
      <c r="R125" s="5">
        <v>1974</v>
      </c>
      <c r="S125" s="5">
        <v>51356</v>
      </c>
      <c r="T125" s="5">
        <v>23992</v>
      </c>
      <c r="U125" s="5">
        <v>2906</v>
      </c>
      <c r="V125" s="5">
        <v>7651</v>
      </c>
      <c r="W125" s="5">
        <v>11736</v>
      </c>
      <c r="X125" s="5">
        <v>26521</v>
      </c>
      <c r="Y125" s="5">
        <v>1386</v>
      </c>
      <c r="Z125" s="5">
        <v>2474</v>
      </c>
      <c r="AA125" s="5">
        <v>8928</v>
      </c>
      <c r="AB125" s="5">
        <v>9103</v>
      </c>
      <c r="AC125" s="5">
        <v>2909</v>
      </c>
      <c r="AD125" s="5">
        <v>2942</v>
      </c>
      <c r="AE125" s="5">
        <v>7625</v>
      </c>
      <c r="AF125" s="5">
        <v>2068</v>
      </c>
      <c r="AG125" s="5">
        <v>7248</v>
      </c>
      <c r="AH125" s="5">
        <v>4466</v>
      </c>
      <c r="AI125" s="5">
        <v>17340</v>
      </c>
      <c r="AJ125" s="5">
        <v>2995</v>
      </c>
      <c r="AK125" s="5">
        <v>4545</v>
      </c>
      <c r="AL125" s="5">
        <v>4799</v>
      </c>
      <c r="AM125" s="5">
        <v>6725</v>
      </c>
      <c r="AN125" s="5">
        <v>31537</v>
      </c>
      <c r="AO125" s="5">
        <v>3866</v>
      </c>
      <c r="AP125" s="5">
        <v>2519</v>
      </c>
      <c r="AQ125" s="5">
        <v>12725</v>
      </c>
      <c r="AR125" s="5">
        <v>9569</v>
      </c>
    </row>
    <row r="126" spans="1:44">
      <c r="A126" s="1" t="s">
        <v>504</v>
      </c>
      <c r="B126" s="1" t="s">
        <v>505</v>
      </c>
      <c r="C126" s="1" t="s">
        <v>506</v>
      </c>
      <c r="D126" s="1" t="str">
        <f>HYPERLINK("http://eros.fiehnlab.ucdavis.edu:8080/binbase-compound/bin/show/211899?db=rtx5","211899")</f>
        <v>211899</v>
      </c>
      <c r="E126" s="1" t="s">
        <v>507</v>
      </c>
      <c r="F126" s="1" t="str">
        <f>HYPERLINK("http://www.genome.ad.jp/dbget-bin/www_bget?compound+C07113","C07113")</f>
        <v>C07113</v>
      </c>
      <c r="G126" s="1" t="str">
        <f>HYPERLINK("http://pubchem.ncbi.nlm.nih.gov/summary/summary.cgi?cid=7410","7410")</f>
        <v>7410</v>
      </c>
      <c r="H126" s="1"/>
      <c r="I126" s="5">
        <v>1951</v>
      </c>
      <c r="J126" s="5">
        <v>1336</v>
      </c>
      <c r="K126" s="5">
        <v>1268</v>
      </c>
      <c r="L126" s="5">
        <v>713</v>
      </c>
      <c r="M126" s="5">
        <v>1351</v>
      </c>
      <c r="N126" s="5">
        <v>1159</v>
      </c>
      <c r="O126" s="5">
        <v>1002</v>
      </c>
      <c r="P126" s="5">
        <v>748</v>
      </c>
      <c r="Q126" s="5">
        <v>1873</v>
      </c>
      <c r="R126" s="5">
        <v>1653</v>
      </c>
      <c r="S126" s="5">
        <v>2134</v>
      </c>
      <c r="T126" s="5">
        <v>2337</v>
      </c>
      <c r="U126" s="5">
        <v>1421</v>
      </c>
      <c r="V126" s="5">
        <v>1833</v>
      </c>
      <c r="W126" s="5">
        <v>1993</v>
      </c>
      <c r="X126" s="5">
        <v>995</v>
      </c>
      <c r="Y126" s="5">
        <v>1256</v>
      </c>
      <c r="Z126" s="5">
        <v>1112</v>
      </c>
      <c r="AA126" s="5">
        <v>4187</v>
      </c>
      <c r="AB126" s="5">
        <v>1211</v>
      </c>
      <c r="AC126" s="5">
        <v>1585</v>
      </c>
      <c r="AD126" s="5">
        <v>1196</v>
      </c>
      <c r="AE126" s="5">
        <v>1117</v>
      </c>
      <c r="AF126" s="5">
        <v>1618</v>
      </c>
      <c r="AG126" s="5">
        <v>1270</v>
      </c>
      <c r="AH126" s="5">
        <v>1099</v>
      </c>
      <c r="AI126" s="5">
        <v>954</v>
      </c>
      <c r="AJ126" s="5">
        <v>1531</v>
      </c>
      <c r="AK126" s="5">
        <v>1222</v>
      </c>
      <c r="AL126" s="5">
        <v>1423</v>
      </c>
      <c r="AM126" s="5">
        <v>1489</v>
      </c>
      <c r="AN126" s="5">
        <v>1412</v>
      </c>
      <c r="AO126" s="5">
        <v>1169</v>
      </c>
      <c r="AP126" s="5">
        <v>1485</v>
      </c>
      <c r="AQ126" s="5">
        <v>1478</v>
      </c>
      <c r="AR126" s="5">
        <v>1212</v>
      </c>
    </row>
    <row r="127" spans="1:44">
      <c r="A127" s="1" t="s">
        <v>508</v>
      </c>
      <c r="B127" s="1" t="s">
        <v>509</v>
      </c>
      <c r="C127" s="1" t="s">
        <v>498</v>
      </c>
      <c r="D127" s="1" t="str">
        <f>HYPERLINK("http://eros.fiehnlab.ucdavis.edu:8080/binbase-compound/bin/show/213373?db=rtx5","213373")</f>
        <v>213373</v>
      </c>
      <c r="E127" s="1" t="s">
        <v>510</v>
      </c>
      <c r="F127" s="1" t="str">
        <f>HYPERLINK("http://www.genome.ad.jp/dbget-bin/www_bget?compound+C00170","C00170")</f>
        <v>C00170</v>
      </c>
      <c r="G127" s="1" t="str">
        <f>HYPERLINK("http://pubchem.ncbi.nlm.nih.gov/summary/summary.cgi?cid=439176","439176")</f>
        <v>439176</v>
      </c>
      <c r="H127" s="1"/>
      <c r="I127" s="5">
        <v>513</v>
      </c>
      <c r="J127" s="5">
        <v>616</v>
      </c>
      <c r="K127" s="5">
        <v>241</v>
      </c>
      <c r="L127" s="5">
        <v>236</v>
      </c>
      <c r="M127" s="5">
        <v>642</v>
      </c>
      <c r="N127" s="5">
        <v>184</v>
      </c>
      <c r="O127" s="5">
        <v>255</v>
      </c>
      <c r="P127" s="5">
        <v>333</v>
      </c>
      <c r="Q127" s="5">
        <v>647</v>
      </c>
      <c r="R127" s="5">
        <v>314</v>
      </c>
      <c r="S127" s="5">
        <v>793</v>
      </c>
      <c r="T127" s="5">
        <v>1146</v>
      </c>
      <c r="U127" s="5">
        <v>309</v>
      </c>
      <c r="V127" s="5">
        <v>195</v>
      </c>
      <c r="W127" s="5">
        <v>284</v>
      </c>
      <c r="X127" s="5">
        <v>185</v>
      </c>
      <c r="Y127" s="5">
        <v>206</v>
      </c>
      <c r="Z127" s="5">
        <v>570</v>
      </c>
      <c r="AA127" s="5">
        <v>438</v>
      </c>
      <c r="AB127" s="5">
        <v>314</v>
      </c>
      <c r="AC127" s="5">
        <v>201</v>
      </c>
      <c r="AD127" s="5">
        <v>252</v>
      </c>
      <c r="AE127" s="5">
        <v>484</v>
      </c>
      <c r="AF127" s="5">
        <v>275</v>
      </c>
      <c r="AG127" s="5">
        <v>513</v>
      </c>
      <c r="AH127" s="5">
        <v>414</v>
      </c>
      <c r="AI127" s="5">
        <v>305</v>
      </c>
      <c r="AJ127" s="5">
        <v>293</v>
      </c>
      <c r="AK127" s="5">
        <v>160</v>
      </c>
      <c r="AL127" s="5">
        <v>688</v>
      </c>
      <c r="AM127" s="5">
        <v>156</v>
      </c>
      <c r="AN127" s="5">
        <v>832</v>
      </c>
      <c r="AO127" s="5">
        <v>171</v>
      </c>
      <c r="AP127" s="5">
        <v>300</v>
      </c>
      <c r="AQ127" s="5">
        <v>584</v>
      </c>
      <c r="AR127" s="5">
        <v>254</v>
      </c>
    </row>
    <row r="128" spans="1:44">
      <c r="A128" s="1" t="s">
        <v>511</v>
      </c>
      <c r="B128" s="1" t="s">
        <v>512</v>
      </c>
      <c r="C128" s="1" t="s">
        <v>117</v>
      </c>
      <c r="D128" s="1" t="str">
        <f>HYPERLINK("http://eros.fiehnlab.ucdavis.edu:8080/binbase-compound/bin/show/238442?db=rtx5","238442")</f>
        <v>238442</v>
      </c>
      <c r="E128" s="1" t="s">
        <v>513</v>
      </c>
      <c r="F128" s="1" t="str">
        <f>HYPERLINK("http://www.genome.ad.jp/dbget-bin/www_bget?compound+C00431","C00431")</f>
        <v>C00431</v>
      </c>
      <c r="G128" s="1" t="str">
        <f>HYPERLINK("http://pubchem.ncbi.nlm.nih.gov/summary/summary.cgi?cid=138","138")</f>
        <v>138</v>
      </c>
      <c r="H128" s="1"/>
      <c r="I128" s="5">
        <v>2310</v>
      </c>
      <c r="J128" s="5">
        <v>8544</v>
      </c>
      <c r="K128" s="5">
        <v>2080</v>
      </c>
      <c r="L128" s="5">
        <v>2106</v>
      </c>
      <c r="M128" s="5">
        <v>1965</v>
      </c>
      <c r="N128" s="5">
        <v>3509</v>
      </c>
      <c r="O128" s="5">
        <v>1913</v>
      </c>
      <c r="P128" s="5">
        <v>1423</v>
      </c>
      <c r="Q128" s="5">
        <v>2530</v>
      </c>
      <c r="R128" s="5">
        <v>2757</v>
      </c>
      <c r="S128" s="5">
        <v>2937</v>
      </c>
      <c r="T128" s="5">
        <v>24301</v>
      </c>
      <c r="U128" s="5">
        <v>2697</v>
      </c>
      <c r="V128" s="5">
        <v>1499</v>
      </c>
      <c r="W128" s="5">
        <v>2451</v>
      </c>
      <c r="X128" s="5">
        <v>1269</v>
      </c>
      <c r="Y128" s="5">
        <v>1810</v>
      </c>
      <c r="Z128" s="5">
        <v>10663</v>
      </c>
      <c r="AA128" s="5">
        <v>2131</v>
      </c>
      <c r="AB128" s="5">
        <v>1708</v>
      </c>
      <c r="AC128" s="5">
        <v>1184</v>
      </c>
      <c r="AD128" s="5">
        <v>2634</v>
      </c>
      <c r="AE128" s="5">
        <v>2445</v>
      </c>
      <c r="AF128" s="5">
        <v>4246</v>
      </c>
      <c r="AG128" s="5">
        <v>1468</v>
      </c>
      <c r="AH128" s="5">
        <v>2192</v>
      </c>
      <c r="AI128" s="5">
        <v>3999</v>
      </c>
      <c r="AJ128" s="5">
        <v>2158</v>
      </c>
      <c r="AK128" s="5">
        <v>1807</v>
      </c>
      <c r="AL128" s="5">
        <v>6321</v>
      </c>
      <c r="AM128" s="5">
        <v>892</v>
      </c>
      <c r="AN128" s="5">
        <v>4514</v>
      </c>
      <c r="AO128" s="5">
        <v>641</v>
      </c>
      <c r="AP128" s="5">
        <v>2115</v>
      </c>
      <c r="AQ128" s="5">
        <v>7570</v>
      </c>
      <c r="AR128" s="5">
        <v>1503</v>
      </c>
    </row>
    <row r="129" spans="1:44">
      <c r="A129" s="1" t="s">
        <v>514</v>
      </c>
      <c r="B129" s="1" t="s">
        <v>515</v>
      </c>
      <c r="C129" s="1" t="s">
        <v>516</v>
      </c>
      <c r="D129" s="1" t="str">
        <f>HYPERLINK("http://eros.fiehnlab.ucdavis.edu:8080/binbase-compound/bin/show/308448?db=rtx5","308448")</f>
        <v>308448</v>
      </c>
      <c r="E129" s="1" t="s">
        <v>517</v>
      </c>
      <c r="F129" s="1" t="str">
        <f>HYPERLINK("http://www.genome.ad.jp/dbget-bin/www_bget?compound+C00642","C00642")</f>
        <v>C00642</v>
      </c>
      <c r="G129" s="1" t="str">
        <f>HYPERLINK("http://pubchem.ncbi.nlm.nih.gov/summary/summary.cgi?cid=127","127")</f>
        <v>127</v>
      </c>
      <c r="H129" s="1"/>
      <c r="I129" s="5">
        <v>278</v>
      </c>
      <c r="J129" s="5">
        <v>277</v>
      </c>
      <c r="K129" s="5">
        <v>120</v>
      </c>
      <c r="L129" s="5">
        <v>71</v>
      </c>
      <c r="M129" s="5">
        <v>127</v>
      </c>
      <c r="N129" s="5">
        <v>173</v>
      </c>
      <c r="O129" s="5">
        <v>136</v>
      </c>
      <c r="P129" s="5">
        <v>127</v>
      </c>
      <c r="Q129" s="5">
        <v>216</v>
      </c>
      <c r="R129" s="5">
        <v>137</v>
      </c>
      <c r="S129" s="5">
        <v>148</v>
      </c>
      <c r="T129" s="5">
        <v>148</v>
      </c>
      <c r="U129" s="5">
        <v>228</v>
      </c>
      <c r="V129" s="5">
        <v>54</v>
      </c>
      <c r="W129" s="5">
        <v>165</v>
      </c>
      <c r="X129" s="5">
        <v>152</v>
      </c>
      <c r="Y129" s="5">
        <v>120</v>
      </c>
      <c r="Z129" s="5">
        <v>211</v>
      </c>
      <c r="AA129" s="5">
        <v>204</v>
      </c>
      <c r="AB129" s="5">
        <v>165</v>
      </c>
      <c r="AC129" s="5">
        <v>33</v>
      </c>
      <c r="AD129" s="5">
        <v>185</v>
      </c>
      <c r="AE129" s="5">
        <v>136</v>
      </c>
      <c r="AF129" s="5">
        <v>111</v>
      </c>
      <c r="AG129" s="5">
        <v>145</v>
      </c>
      <c r="AH129" s="5">
        <v>165</v>
      </c>
      <c r="AI129" s="5">
        <v>175</v>
      </c>
      <c r="AJ129" s="5">
        <v>144</v>
      </c>
      <c r="AK129" s="5">
        <v>175</v>
      </c>
      <c r="AL129" s="5">
        <v>207</v>
      </c>
      <c r="AM129" s="5">
        <v>169</v>
      </c>
      <c r="AN129" s="5">
        <v>150</v>
      </c>
      <c r="AO129" s="5">
        <v>164</v>
      </c>
      <c r="AP129" s="5">
        <v>121</v>
      </c>
      <c r="AQ129" s="5">
        <v>199</v>
      </c>
      <c r="AR129" s="5">
        <v>133</v>
      </c>
    </row>
    <row r="130" spans="1:44">
      <c r="A130" s="1" t="s">
        <v>607</v>
      </c>
      <c r="B130" s="1" t="s">
        <v>608</v>
      </c>
      <c r="C130" s="1" t="s">
        <v>363</v>
      </c>
      <c r="D130" s="1" t="str">
        <f>HYPERLINK("http://eros.fiehnlab.ucdavis.edu:8080/binbase-compound/bin/show/234616?db=rtx5","234616")</f>
        <v>234616</v>
      </c>
      <c r="E130" s="1" t="s">
        <v>609</v>
      </c>
      <c r="F130" s="1" t="str">
        <f>HYPERLINK("http://www.genome.ad.jp/dbget-bin/www_bget?compound+C00197","C00197")</f>
        <v>C00197</v>
      </c>
      <c r="G130" s="1" t="str">
        <f>HYPERLINK("http://pubchem.ncbi.nlm.nih.gov/summary/summary.cgi?cid=724","724")</f>
        <v>724</v>
      </c>
      <c r="H130" s="1"/>
      <c r="I130" s="5">
        <v>55456</v>
      </c>
      <c r="J130" s="5">
        <v>47548</v>
      </c>
      <c r="K130" s="5">
        <v>53040</v>
      </c>
      <c r="L130" s="5">
        <v>52286</v>
      </c>
      <c r="M130" s="5">
        <v>29832</v>
      </c>
      <c r="N130" s="5">
        <v>45058</v>
      </c>
      <c r="O130" s="5">
        <v>24561</v>
      </c>
      <c r="P130" s="5">
        <v>36428</v>
      </c>
      <c r="Q130" s="5">
        <v>39183</v>
      </c>
      <c r="R130" s="5">
        <v>47375</v>
      </c>
      <c r="S130" s="5">
        <v>33780</v>
      </c>
      <c r="T130" s="5">
        <v>64646</v>
      </c>
      <c r="U130" s="5">
        <v>19075</v>
      </c>
      <c r="V130" s="5">
        <v>25578</v>
      </c>
      <c r="W130" s="5">
        <v>25348</v>
      </c>
      <c r="X130" s="5">
        <v>24857</v>
      </c>
      <c r="Y130" s="5">
        <v>17819</v>
      </c>
      <c r="Z130" s="5">
        <v>62543</v>
      </c>
      <c r="AA130" s="5">
        <v>21776</v>
      </c>
      <c r="AB130" s="5">
        <v>37138</v>
      </c>
      <c r="AC130" s="5">
        <v>38244</v>
      </c>
      <c r="AD130" s="5">
        <v>42342</v>
      </c>
      <c r="AE130" s="5">
        <v>53839</v>
      </c>
      <c r="AF130" s="5">
        <v>64350</v>
      </c>
      <c r="AG130" s="5">
        <v>49617</v>
      </c>
      <c r="AH130" s="5">
        <v>71338</v>
      </c>
      <c r="AI130" s="5">
        <v>32104</v>
      </c>
      <c r="AJ130" s="5">
        <v>52853</v>
      </c>
      <c r="AK130" s="5">
        <v>43419</v>
      </c>
      <c r="AL130" s="5">
        <v>47961</v>
      </c>
      <c r="AM130" s="5">
        <v>24379</v>
      </c>
      <c r="AN130" s="5">
        <v>41838</v>
      </c>
      <c r="AO130" s="5">
        <v>34671</v>
      </c>
      <c r="AP130" s="5">
        <v>32987</v>
      </c>
      <c r="AQ130" s="5">
        <v>35812</v>
      </c>
      <c r="AR130" s="5">
        <v>27477</v>
      </c>
    </row>
    <row r="131" spans="1:44">
      <c r="A131" s="1" t="s">
        <v>610</v>
      </c>
      <c r="B131" s="1" t="s">
        <v>611</v>
      </c>
      <c r="C131" s="1" t="s">
        <v>163</v>
      </c>
      <c r="D131" s="1" t="str">
        <f>HYPERLINK("http://eros.fiehnlab.ucdavis.edu:8080/binbase-compound/bin/show/213134?db=rtx5","213134")</f>
        <v>213134</v>
      </c>
      <c r="E131" s="1" t="s">
        <v>612</v>
      </c>
      <c r="F131" s="1" t="str">
        <f>HYPERLINK("http://www.genome.ad.jp/dbget-bin/www_bget?compound+C05607","C05607")</f>
        <v>C05607</v>
      </c>
      <c r="G131" s="1" t="str">
        <f>HYPERLINK("http://pubchem.ncbi.nlm.nih.gov/summary/summary.cgi?cid=3848","3848")</f>
        <v>3848</v>
      </c>
      <c r="H131" s="1"/>
      <c r="I131" s="5">
        <v>1342</v>
      </c>
      <c r="J131" s="5">
        <v>1764</v>
      </c>
      <c r="K131" s="5">
        <v>945</v>
      </c>
      <c r="L131" s="5">
        <v>655</v>
      </c>
      <c r="M131" s="5">
        <v>931</v>
      </c>
      <c r="N131" s="5">
        <v>1481</v>
      </c>
      <c r="O131" s="5">
        <v>665</v>
      </c>
      <c r="P131" s="5">
        <v>1023</v>
      </c>
      <c r="Q131" s="5">
        <v>1986</v>
      </c>
      <c r="R131" s="5">
        <v>760</v>
      </c>
      <c r="S131" s="5">
        <v>1183</v>
      </c>
      <c r="T131" s="5">
        <v>6194</v>
      </c>
      <c r="U131" s="5">
        <v>555</v>
      </c>
      <c r="V131" s="5">
        <v>523</v>
      </c>
      <c r="W131" s="5">
        <v>1171</v>
      </c>
      <c r="X131" s="5">
        <v>758</v>
      </c>
      <c r="Y131" s="5">
        <v>488</v>
      </c>
      <c r="Z131" s="5">
        <v>2703</v>
      </c>
      <c r="AA131" s="5">
        <v>1078</v>
      </c>
      <c r="AB131" s="5">
        <v>763</v>
      </c>
      <c r="AC131" s="5">
        <v>513</v>
      </c>
      <c r="AD131" s="5">
        <v>1305</v>
      </c>
      <c r="AE131" s="5">
        <v>1334</v>
      </c>
      <c r="AF131" s="5">
        <v>726</v>
      </c>
      <c r="AG131" s="5">
        <v>1007</v>
      </c>
      <c r="AH131" s="5">
        <v>1112</v>
      </c>
      <c r="AI131" s="5">
        <v>1463</v>
      </c>
      <c r="AJ131" s="5">
        <v>756</v>
      </c>
      <c r="AK131" s="5">
        <v>720</v>
      </c>
      <c r="AL131" s="5">
        <v>3260</v>
      </c>
      <c r="AM131" s="5">
        <v>791</v>
      </c>
      <c r="AN131" s="5">
        <v>1642</v>
      </c>
      <c r="AO131" s="5">
        <v>640</v>
      </c>
      <c r="AP131" s="5">
        <v>787</v>
      </c>
      <c r="AQ131" s="5">
        <v>2129</v>
      </c>
      <c r="AR131" s="5">
        <v>885</v>
      </c>
    </row>
    <row r="132" spans="1:44">
      <c r="A132" s="1" t="s">
        <v>613</v>
      </c>
      <c r="B132" s="1" t="s">
        <v>614</v>
      </c>
      <c r="C132" s="1" t="s">
        <v>187</v>
      </c>
      <c r="D132" s="1" t="str">
        <f>HYPERLINK("http://eros.fiehnlab.ucdavis.edu:8080/binbase-compound/bin/show/213283?db=rtx5","213283")</f>
        <v>213283</v>
      </c>
      <c r="E132" s="1" t="s">
        <v>615</v>
      </c>
      <c r="F132" s="1" t="str">
        <f>HYPERLINK("http://www.genome.ad.jp/dbget-bin/www_bget?compound+C01013","C01013")</f>
        <v>C01013</v>
      </c>
      <c r="G132" s="1" t="str">
        <f>HYPERLINK("http://pubchem.ncbi.nlm.nih.gov/summary/summary.cgi?cid=68152","68152")</f>
        <v>68152</v>
      </c>
      <c r="H132" s="1"/>
      <c r="I132" s="5">
        <v>1003</v>
      </c>
      <c r="J132" s="5">
        <v>2750</v>
      </c>
      <c r="K132" s="5">
        <v>808</v>
      </c>
      <c r="L132" s="5">
        <v>1033</v>
      </c>
      <c r="M132" s="5">
        <v>1182</v>
      </c>
      <c r="N132" s="5">
        <v>1446</v>
      </c>
      <c r="O132" s="5">
        <v>1016</v>
      </c>
      <c r="P132" s="5">
        <v>713</v>
      </c>
      <c r="Q132" s="5">
        <v>1223</v>
      </c>
      <c r="R132" s="5">
        <v>502</v>
      </c>
      <c r="S132" s="5">
        <v>1037</v>
      </c>
      <c r="T132" s="5">
        <v>1456</v>
      </c>
      <c r="U132" s="5">
        <v>792</v>
      </c>
      <c r="V132" s="5">
        <v>1209</v>
      </c>
      <c r="W132" s="5">
        <v>1257</v>
      </c>
      <c r="X132" s="5">
        <v>972</v>
      </c>
      <c r="Y132" s="5">
        <v>722</v>
      </c>
      <c r="Z132" s="5">
        <v>1729</v>
      </c>
      <c r="AA132" s="5">
        <v>1687</v>
      </c>
      <c r="AB132" s="5">
        <v>780</v>
      </c>
      <c r="AC132" s="5">
        <v>586</v>
      </c>
      <c r="AD132" s="5">
        <v>538</v>
      </c>
      <c r="AE132" s="5">
        <v>606</v>
      </c>
      <c r="AF132" s="5">
        <v>742</v>
      </c>
      <c r="AG132" s="5">
        <v>786</v>
      </c>
      <c r="AH132" s="5">
        <v>763</v>
      </c>
      <c r="AI132" s="5">
        <v>1357</v>
      </c>
      <c r="AJ132" s="5">
        <v>482</v>
      </c>
      <c r="AK132" s="5">
        <v>648</v>
      </c>
      <c r="AL132" s="5">
        <v>2020</v>
      </c>
      <c r="AM132" s="5">
        <v>808</v>
      </c>
      <c r="AN132" s="5">
        <v>1462</v>
      </c>
      <c r="AO132" s="5">
        <v>669</v>
      </c>
      <c r="AP132" s="5">
        <v>514</v>
      </c>
      <c r="AQ132" s="5">
        <v>2255</v>
      </c>
      <c r="AR132" s="5">
        <v>702</v>
      </c>
    </row>
    <row r="133" spans="1:44">
      <c r="A133" s="1" t="s">
        <v>739</v>
      </c>
      <c r="B133" s="1" t="s">
        <v>740</v>
      </c>
      <c r="C133" s="1" t="s">
        <v>716</v>
      </c>
      <c r="D133" s="1" t="str">
        <f>HYPERLINK("http://eros.fiehnlab.ucdavis.edu:8080/binbase-compound/bin/show/228128?db=rtx5","228128")</f>
        <v>228128</v>
      </c>
      <c r="E133" s="1" t="s">
        <v>741</v>
      </c>
      <c r="F133" s="1" t="str">
        <f>HYPERLINK("http://www.genome.ad.jp/dbget-bin/www_bget?compound+n/a","n/a")</f>
        <v>n/a</v>
      </c>
      <c r="G133" s="1" t="str">
        <f>HYPERLINK("http://pubchem.ncbi.nlm.nih.gov/summary/summary.cgi?cid=152265","152265")</f>
        <v>152265</v>
      </c>
      <c r="H133" s="1"/>
      <c r="I133" s="5">
        <v>1642</v>
      </c>
      <c r="J133" s="5">
        <v>10134</v>
      </c>
      <c r="K133" s="5">
        <v>787</v>
      </c>
      <c r="L133" s="5">
        <v>574</v>
      </c>
      <c r="M133" s="5">
        <v>2390</v>
      </c>
      <c r="N133" s="5">
        <v>4293</v>
      </c>
      <c r="O133" s="5">
        <v>2567</v>
      </c>
      <c r="P133" s="5">
        <v>749</v>
      </c>
      <c r="Q133" s="5">
        <v>3053</v>
      </c>
      <c r="R133" s="5">
        <v>534</v>
      </c>
      <c r="S133" s="5">
        <v>2386</v>
      </c>
      <c r="T133" s="5">
        <v>2713</v>
      </c>
      <c r="U133" s="5">
        <v>816</v>
      </c>
      <c r="V133" s="5">
        <v>2003</v>
      </c>
      <c r="W133" s="5">
        <v>3044</v>
      </c>
      <c r="X133" s="5">
        <v>875</v>
      </c>
      <c r="Y133" s="5">
        <v>437</v>
      </c>
      <c r="Z133" s="5">
        <v>5845</v>
      </c>
      <c r="AA133" s="5">
        <v>2741</v>
      </c>
      <c r="AB133" s="5">
        <v>615</v>
      </c>
      <c r="AC133" s="5">
        <v>374</v>
      </c>
      <c r="AD133" s="5">
        <v>515</v>
      </c>
      <c r="AE133" s="5">
        <v>712</v>
      </c>
      <c r="AF133" s="5">
        <v>326</v>
      </c>
      <c r="AG133" s="5">
        <v>1049</v>
      </c>
      <c r="AH133" s="5">
        <v>481</v>
      </c>
      <c r="AI133" s="5">
        <v>3617</v>
      </c>
      <c r="AJ133" s="5">
        <v>330</v>
      </c>
      <c r="AK133" s="5">
        <v>326</v>
      </c>
      <c r="AL133" s="5">
        <v>5804</v>
      </c>
      <c r="AM133" s="5">
        <v>502</v>
      </c>
      <c r="AN133" s="5">
        <v>5177</v>
      </c>
      <c r="AO133" s="5">
        <v>471</v>
      </c>
      <c r="AP133" s="5">
        <v>458</v>
      </c>
      <c r="AQ133" s="5">
        <v>8831</v>
      </c>
      <c r="AR133" s="5">
        <v>688</v>
      </c>
    </row>
    <row r="134" spans="1:44">
      <c r="A134" s="1" t="s">
        <v>1185</v>
      </c>
      <c r="B134" s="1" t="s">
        <v>742</v>
      </c>
      <c r="C134" s="1" t="s">
        <v>743</v>
      </c>
      <c r="D134" s="1" t="str">
        <f>HYPERLINK("http://eros.fiehnlab.ucdavis.edu:8080/binbase-compound/bin/show/213388?db=rtx5","213388")</f>
        <v>213388</v>
      </c>
      <c r="E134" s="1" t="s">
        <v>744</v>
      </c>
      <c r="F134" s="1" t="str">
        <f>HYPERLINK("http://www.genome.ad.jp/dbget-bin/www_bget?compound+C00233","C00233")</f>
        <v>C00233</v>
      </c>
      <c r="G134" s="1" t="str">
        <f>HYPERLINK("http://pubchem.ncbi.nlm.nih.gov/summary/summary.cgi?cid=70","70")</f>
        <v>70</v>
      </c>
      <c r="H134" s="1"/>
      <c r="I134" s="5">
        <v>430</v>
      </c>
      <c r="J134" s="5">
        <v>369</v>
      </c>
      <c r="K134" s="5">
        <v>370</v>
      </c>
      <c r="L134" s="5">
        <v>157</v>
      </c>
      <c r="M134" s="5">
        <v>913</v>
      </c>
      <c r="N134" s="5">
        <v>222</v>
      </c>
      <c r="O134" s="5">
        <v>1223</v>
      </c>
      <c r="P134" s="5">
        <v>843</v>
      </c>
      <c r="Q134" s="5">
        <v>826</v>
      </c>
      <c r="R134" s="5">
        <v>1664</v>
      </c>
      <c r="S134" s="5">
        <v>1235</v>
      </c>
      <c r="T134" s="5">
        <v>1586</v>
      </c>
      <c r="U134" s="5">
        <v>963</v>
      </c>
      <c r="V134" s="5">
        <v>212</v>
      </c>
      <c r="W134" s="5">
        <v>237</v>
      </c>
      <c r="X134" s="5">
        <v>184</v>
      </c>
      <c r="Y134" s="5">
        <v>1090</v>
      </c>
      <c r="Z134" s="5">
        <v>1943</v>
      </c>
      <c r="AA134" s="5">
        <v>132</v>
      </c>
      <c r="AB134" s="5">
        <v>196</v>
      </c>
      <c r="AC134" s="5">
        <v>187</v>
      </c>
      <c r="AD134" s="5">
        <v>243</v>
      </c>
      <c r="AE134" s="5">
        <v>189</v>
      </c>
      <c r="AF134" s="5">
        <v>1381</v>
      </c>
      <c r="AG134" s="5">
        <v>666</v>
      </c>
      <c r="AH134" s="5">
        <v>214</v>
      </c>
      <c r="AI134" s="5">
        <v>699</v>
      </c>
      <c r="AJ134" s="5">
        <v>392</v>
      </c>
      <c r="AK134" s="5">
        <v>174</v>
      </c>
      <c r="AL134" s="5">
        <v>417</v>
      </c>
      <c r="AM134" s="5">
        <v>245</v>
      </c>
      <c r="AN134" s="5">
        <v>294</v>
      </c>
      <c r="AO134" s="5">
        <v>153</v>
      </c>
      <c r="AP134" s="5">
        <v>224</v>
      </c>
      <c r="AQ134" s="5">
        <v>672</v>
      </c>
      <c r="AR134" s="5">
        <v>192</v>
      </c>
    </row>
    <row r="135" spans="1:44">
      <c r="A135" s="1" t="s">
        <v>745</v>
      </c>
      <c r="B135" s="1" t="s">
        <v>746</v>
      </c>
      <c r="C135" s="1" t="s">
        <v>222</v>
      </c>
      <c r="D135" s="1" t="str">
        <f>HYPERLINK("http://eros.fiehnlab.ucdavis.edu:8080/binbase-compound/bin/show/214409?db=rtx5","214409")</f>
        <v>214409</v>
      </c>
      <c r="E135" s="1" t="s">
        <v>747</v>
      </c>
      <c r="F135" s="1" t="str">
        <f>HYPERLINK("http://www.genome.ad.jp/dbget-bin/www_bget?compound+C02630","C02630")</f>
        <v>C02630</v>
      </c>
      <c r="G135" s="1" t="str">
        <f>HYPERLINK("http://pubchem.ncbi.nlm.nih.gov/summary/summary.cgi?cid=43","43")</f>
        <v>43</v>
      </c>
      <c r="H135" s="1"/>
      <c r="I135" s="5">
        <v>8257</v>
      </c>
      <c r="J135" s="5">
        <v>15770</v>
      </c>
      <c r="K135" s="5">
        <v>3217</v>
      </c>
      <c r="L135" s="5">
        <v>3470</v>
      </c>
      <c r="M135" s="5">
        <v>8075</v>
      </c>
      <c r="N135" s="5">
        <v>8436</v>
      </c>
      <c r="O135" s="5">
        <v>13679</v>
      </c>
      <c r="P135" s="5">
        <v>4385</v>
      </c>
      <c r="Q135" s="5">
        <v>3279</v>
      </c>
      <c r="R135" s="5">
        <v>4128</v>
      </c>
      <c r="S135" s="5">
        <v>11016</v>
      </c>
      <c r="T135" s="5">
        <v>6746</v>
      </c>
      <c r="U135" s="5">
        <v>2972</v>
      </c>
      <c r="V135" s="5">
        <v>6823</v>
      </c>
      <c r="W135" s="5">
        <v>2865</v>
      </c>
      <c r="X135" s="5">
        <v>2180</v>
      </c>
      <c r="Y135" s="5">
        <v>1569</v>
      </c>
      <c r="Z135" s="5">
        <v>4395</v>
      </c>
      <c r="AA135" s="5">
        <v>5208</v>
      </c>
      <c r="AB135" s="5">
        <v>2017</v>
      </c>
      <c r="AC135" s="5">
        <v>1757</v>
      </c>
      <c r="AD135" s="5">
        <v>1830</v>
      </c>
      <c r="AE135" s="5">
        <v>6159</v>
      </c>
      <c r="AF135" s="5">
        <v>1940</v>
      </c>
      <c r="AG135" s="5">
        <v>4834</v>
      </c>
      <c r="AH135" s="5">
        <v>2982</v>
      </c>
      <c r="AI135" s="5">
        <v>5078</v>
      </c>
      <c r="AJ135" s="5">
        <v>2991</v>
      </c>
      <c r="AK135" s="5">
        <v>3543</v>
      </c>
      <c r="AL135" s="5">
        <v>9369</v>
      </c>
      <c r="AM135" s="5">
        <v>2617</v>
      </c>
      <c r="AN135" s="5">
        <v>7193</v>
      </c>
      <c r="AO135" s="5">
        <v>2890</v>
      </c>
      <c r="AP135" s="5">
        <v>3785</v>
      </c>
      <c r="AQ135" s="5">
        <v>9482</v>
      </c>
      <c r="AR135" s="5">
        <v>2901</v>
      </c>
    </row>
    <row r="136" spans="1:44">
      <c r="A136" s="1" t="s">
        <v>748</v>
      </c>
      <c r="B136" s="1" t="s">
        <v>749</v>
      </c>
      <c r="C136" s="1" t="s">
        <v>643</v>
      </c>
      <c r="D136" s="1" t="str">
        <f>HYPERLINK("http://eros.fiehnlab.ucdavis.edu:8080/binbase-compound/bin/show/213131?db=rtx5","213131")</f>
        <v>213131</v>
      </c>
      <c r="E136" s="1" t="s">
        <v>750</v>
      </c>
      <c r="F136" s="1" t="str">
        <f>HYPERLINK("http://www.genome.ad.jp/dbget-bin/www_bget?compound+C00956","C00956")</f>
        <v>C00956</v>
      </c>
      <c r="G136" s="1" t="str">
        <f>HYPERLINK("http://pubchem.ncbi.nlm.nih.gov/summary/summary.cgi?cid=469","469")</f>
        <v>469</v>
      </c>
      <c r="H136" s="1"/>
      <c r="I136" s="5">
        <v>734</v>
      </c>
      <c r="J136" s="5">
        <v>669</v>
      </c>
      <c r="K136" s="5">
        <v>348</v>
      </c>
      <c r="L136" s="5">
        <v>615</v>
      </c>
      <c r="M136" s="5">
        <v>187</v>
      </c>
      <c r="N136" s="5">
        <v>908</v>
      </c>
      <c r="O136" s="5">
        <v>203</v>
      </c>
      <c r="P136" s="5">
        <v>213</v>
      </c>
      <c r="Q136" s="5">
        <v>418</v>
      </c>
      <c r="R136" s="5">
        <v>535</v>
      </c>
      <c r="S136" s="5">
        <v>1789</v>
      </c>
      <c r="T136" s="5">
        <v>1632</v>
      </c>
      <c r="U136" s="5">
        <v>339</v>
      </c>
      <c r="V136" s="5">
        <v>141</v>
      </c>
      <c r="W136" s="5">
        <v>520</v>
      </c>
      <c r="X136" s="5">
        <v>711</v>
      </c>
      <c r="Y136" s="5">
        <v>269</v>
      </c>
      <c r="Z136" s="5">
        <v>1007</v>
      </c>
      <c r="AA136" s="5">
        <v>351</v>
      </c>
      <c r="AB136" s="5">
        <v>274</v>
      </c>
      <c r="AC136" s="5">
        <v>194</v>
      </c>
      <c r="AD136" s="5">
        <v>611</v>
      </c>
      <c r="AE136" s="5">
        <v>840</v>
      </c>
      <c r="AF136" s="5">
        <v>568</v>
      </c>
      <c r="AG136" s="5">
        <v>503</v>
      </c>
      <c r="AH136" s="5">
        <v>392</v>
      </c>
      <c r="AI136" s="5">
        <v>737</v>
      </c>
      <c r="AJ136" s="5">
        <v>753</v>
      </c>
      <c r="AK136" s="5">
        <v>602</v>
      </c>
      <c r="AL136" s="5">
        <v>1369</v>
      </c>
      <c r="AM136" s="5">
        <v>465</v>
      </c>
      <c r="AN136" s="5">
        <v>696</v>
      </c>
      <c r="AO136" s="5">
        <v>225</v>
      </c>
      <c r="AP136" s="5">
        <v>880</v>
      </c>
      <c r="AQ136" s="5">
        <v>3044</v>
      </c>
      <c r="AR136" s="5">
        <v>508</v>
      </c>
    </row>
    <row r="137" spans="1:44">
      <c r="A137" s="1" t="s">
        <v>1150</v>
      </c>
      <c r="B137" s="1" t="s">
        <v>1151</v>
      </c>
      <c r="C137" s="1" t="s">
        <v>1152</v>
      </c>
      <c r="D137" s="1" t="str">
        <f>HYPERLINK("http://eros.fiehnlab.ucdavis.edu:8080/binbase-compound/bin/show/202835?db=rtx5","202835")</f>
        <v>202835</v>
      </c>
      <c r="E137" s="1" t="s">
        <v>1153</v>
      </c>
      <c r="F137" s="1" t="str">
        <f>HYPERLINK("http://www.genome.ad.jp/dbget-bin/www_bget?compound+D01947","D01947")</f>
        <v>D01947</v>
      </c>
      <c r="G137" s="1" t="str">
        <f>HYPERLINK("http://pubchem.ncbi.nlm.nih.gov/summary/summary.cgi?cid=24699","24699")</f>
        <v>24699</v>
      </c>
      <c r="H137" s="1"/>
      <c r="I137" s="5">
        <v>1578</v>
      </c>
      <c r="J137" s="5">
        <v>250</v>
      </c>
      <c r="K137" s="5">
        <v>816</v>
      </c>
      <c r="L137" s="5">
        <v>192</v>
      </c>
      <c r="M137" s="5">
        <v>346</v>
      </c>
      <c r="N137" s="5">
        <v>211</v>
      </c>
      <c r="O137" s="5">
        <v>289</v>
      </c>
      <c r="P137" s="5">
        <v>459</v>
      </c>
      <c r="Q137" s="5">
        <v>1883</v>
      </c>
      <c r="R137" s="5">
        <v>141</v>
      </c>
      <c r="S137" s="5">
        <v>252</v>
      </c>
      <c r="T137" s="5">
        <v>212</v>
      </c>
      <c r="U137" s="5">
        <v>2571</v>
      </c>
      <c r="V137" s="5">
        <v>401</v>
      </c>
      <c r="W137" s="5">
        <v>178</v>
      </c>
      <c r="X137" s="5">
        <v>281</v>
      </c>
      <c r="Y137" s="5">
        <v>346</v>
      </c>
      <c r="Z137" s="5">
        <v>325</v>
      </c>
      <c r="AA137" s="5">
        <v>478</v>
      </c>
      <c r="AB137" s="5">
        <v>65</v>
      </c>
      <c r="AC137" s="5">
        <v>306</v>
      </c>
      <c r="AD137" s="5">
        <v>200</v>
      </c>
      <c r="AE137" s="5">
        <v>147</v>
      </c>
      <c r="AF137" s="5">
        <v>197</v>
      </c>
      <c r="AG137" s="5">
        <v>209</v>
      </c>
      <c r="AH137" s="5">
        <v>189</v>
      </c>
      <c r="AI137" s="5">
        <v>252</v>
      </c>
      <c r="AJ137" s="5">
        <v>263</v>
      </c>
      <c r="AK137" s="5">
        <v>270</v>
      </c>
      <c r="AL137" s="5">
        <v>238</v>
      </c>
      <c r="AM137" s="5">
        <v>329</v>
      </c>
      <c r="AN137" s="5">
        <v>275</v>
      </c>
      <c r="AO137" s="5">
        <v>228</v>
      </c>
      <c r="AP137" s="5">
        <v>217</v>
      </c>
      <c r="AQ137" s="5">
        <v>241</v>
      </c>
      <c r="AR137" s="5">
        <v>157</v>
      </c>
    </row>
    <row r="138" spans="1:44">
      <c r="A138" s="1" t="s">
        <v>1154</v>
      </c>
      <c r="B138" s="1" t="s">
        <v>1155</v>
      </c>
      <c r="C138" s="1" t="s">
        <v>363</v>
      </c>
      <c r="D138" s="1" t="str">
        <f>HYPERLINK("http://eros.fiehnlab.ucdavis.edu:8080/binbase-compound/bin/show/213408?db=rtx5","213408")</f>
        <v>213408</v>
      </c>
      <c r="E138" s="1" t="s">
        <v>1156</v>
      </c>
      <c r="F138" s="1" t="str">
        <f>HYPERLINK("http://www.genome.ad.jp/dbget-bin/www_bget?compound+C00823","C00823")</f>
        <v>C00823</v>
      </c>
      <c r="G138" s="1" t="str">
        <f>HYPERLINK("http://pubchem.ncbi.nlm.nih.gov/summary/summary.cgi?cid=2682","2682")</f>
        <v>2682</v>
      </c>
      <c r="H138" s="1"/>
      <c r="I138" s="5">
        <v>346</v>
      </c>
      <c r="J138" s="5">
        <v>487</v>
      </c>
      <c r="K138" s="5">
        <v>316</v>
      </c>
      <c r="L138" s="5">
        <v>426</v>
      </c>
      <c r="M138" s="5">
        <v>422</v>
      </c>
      <c r="N138" s="5">
        <v>336</v>
      </c>
      <c r="O138" s="5">
        <v>519</v>
      </c>
      <c r="P138" s="5">
        <v>192</v>
      </c>
      <c r="Q138" s="5">
        <v>223</v>
      </c>
      <c r="R138" s="5">
        <v>394</v>
      </c>
      <c r="S138" s="5">
        <v>544</v>
      </c>
      <c r="T138" s="5">
        <v>515</v>
      </c>
      <c r="U138" s="5">
        <v>336</v>
      </c>
      <c r="V138" s="5">
        <v>299</v>
      </c>
      <c r="W138" s="5">
        <v>358</v>
      </c>
      <c r="X138" s="5">
        <v>450</v>
      </c>
      <c r="Y138" s="5">
        <v>389</v>
      </c>
      <c r="Z138" s="5">
        <v>295</v>
      </c>
      <c r="AA138" s="5">
        <v>608</v>
      </c>
      <c r="AB138" s="5">
        <v>393</v>
      </c>
      <c r="AC138" s="5">
        <v>327</v>
      </c>
      <c r="AD138" s="5">
        <v>311</v>
      </c>
      <c r="AE138" s="5">
        <v>335</v>
      </c>
      <c r="AF138" s="5">
        <v>266</v>
      </c>
      <c r="AG138" s="5">
        <v>274</v>
      </c>
      <c r="AH138" s="5">
        <v>253</v>
      </c>
      <c r="AI138" s="5">
        <v>286</v>
      </c>
      <c r="AJ138" s="5">
        <v>301</v>
      </c>
      <c r="AK138" s="5">
        <v>468</v>
      </c>
      <c r="AL138" s="5">
        <v>255</v>
      </c>
      <c r="AM138" s="5">
        <v>319</v>
      </c>
      <c r="AN138" s="5">
        <v>413</v>
      </c>
      <c r="AO138" s="5">
        <v>312</v>
      </c>
      <c r="AP138" s="5">
        <v>341</v>
      </c>
      <c r="AQ138" s="5">
        <v>361</v>
      </c>
      <c r="AR138" s="5">
        <v>346</v>
      </c>
    </row>
    <row r="139" spans="1:44">
      <c r="A139" s="1" t="s">
        <v>1057</v>
      </c>
      <c r="B139" s="1" t="s">
        <v>1058</v>
      </c>
      <c r="C139" s="1" t="s">
        <v>258</v>
      </c>
      <c r="D139" s="1" t="str">
        <f>HYPERLINK("http://eros.fiehnlab.ucdavis.edu:8080/binbase-compound/bin/show/214201?db=rtx5","214201")</f>
        <v>214201</v>
      </c>
      <c r="E139" s="1" t="s">
        <v>1059</v>
      </c>
      <c r="F139" s="1" t="str">
        <f>HYPERLINK("http://www.genome.ad.jp/dbget-bin/www_bget?compound+C01796","C01796")</f>
        <v>C01796</v>
      </c>
      <c r="G139" s="1" t="str">
        <f>HYPERLINK("http://pubchem.ncbi.nlm.nih.gov/summary/summary.cgi?cid=94176","94176")</f>
        <v>94176</v>
      </c>
      <c r="H139" s="1"/>
      <c r="I139" s="5">
        <v>233</v>
      </c>
      <c r="J139" s="5">
        <v>390</v>
      </c>
      <c r="K139" s="5">
        <v>179</v>
      </c>
      <c r="L139" s="5">
        <v>166</v>
      </c>
      <c r="M139" s="5">
        <v>164</v>
      </c>
      <c r="N139" s="5">
        <v>77</v>
      </c>
      <c r="O139" s="5">
        <v>205</v>
      </c>
      <c r="P139" s="5">
        <v>214</v>
      </c>
      <c r="Q139" s="5">
        <v>256</v>
      </c>
      <c r="R139" s="5">
        <v>166</v>
      </c>
      <c r="S139" s="5">
        <v>83</v>
      </c>
      <c r="T139" s="5">
        <v>152</v>
      </c>
      <c r="U139" s="5">
        <v>188</v>
      </c>
      <c r="V139" s="5">
        <v>201</v>
      </c>
      <c r="W139" s="5">
        <v>271</v>
      </c>
      <c r="X139" s="5">
        <v>226</v>
      </c>
      <c r="Y139" s="5">
        <v>178</v>
      </c>
      <c r="Z139" s="5">
        <v>137</v>
      </c>
      <c r="AA139" s="5">
        <v>136</v>
      </c>
      <c r="AB139" s="5">
        <v>153</v>
      </c>
      <c r="AC139" s="5">
        <v>164</v>
      </c>
      <c r="AD139" s="5">
        <v>179</v>
      </c>
      <c r="AE139" s="5">
        <v>239</v>
      </c>
      <c r="AF139" s="5">
        <v>171</v>
      </c>
      <c r="AG139" s="5">
        <v>196</v>
      </c>
      <c r="AH139" s="5">
        <v>182</v>
      </c>
      <c r="AI139" s="5">
        <v>225</v>
      </c>
      <c r="AJ139" s="5">
        <v>194</v>
      </c>
      <c r="AK139" s="5">
        <v>139</v>
      </c>
      <c r="AL139" s="5">
        <v>265</v>
      </c>
      <c r="AM139" s="5">
        <v>186</v>
      </c>
      <c r="AN139" s="5">
        <v>173</v>
      </c>
      <c r="AO139" s="5">
        <v>158</v>
      </c>
      <c r="AP139" s="5">
        <v>154</v>
      </c>
      <c r="AQ139" s="5">
        <v>264</v>
      </c>
      <c r="AR139" s="5">
        <v>195</v>
      </c>
    </row>
    <row r="140" spans="1:44">
      <c r="A140" s="1" t="s">
        <v>602</v>
      </c>
      <c r="B140" s="1" t="s">
        <v>603</v>
      </c>
      <c r="C140" s="1" t="s">
        <v>604</v>
      </c>
      <c r="D140" s="1" t="str">
        <f>HYPERLINK("http://eros.fiehnlab.ucdavis.edu:8080/binbase-compound/bin/show/408490?db=rtx5","408490")</f>
        <v>408490</v>
      </c>
      <c r="E140" s="1" t="s">
        <v>605</v>
      </c>
      <c r="F140" s="1" t="s">
        <v>0</v>
      </c>
      <c r="G140" s="1" t="s">
        <v>0</v>
      </c>
      <c r="H140" s="1"/>
      <c r="I140" s="5">
        <v>1366</v>
      </c>
      <c r="J140" s="5">
        <v>1317</v>
      </c>
      <c r="K140" s="5">
        <v>1218</v>
      </c>
      <c r="L140" s="5">
        <v>1317</v>
      </c>
      <c r="M140" s="5">
        <v>1327</v>
      </c>
      <c r="N140" s="5">
        <v>1137</v>
      </c>
      <c r="O140" s="5">
        <v>1187</v>
      </c>
      <c r="P140" s="5">
        <v>1281</v>
      </c>
      <c r="Q140" s="5">
        <v>1189</v>
      </c>
      <c r="R140" s="5">
        <v>977</v>
      </c>
      <c r="S140" s="5">
        <v>1358</v>
      </c>
      <c r="T140" s="5">
        <v>1248</v>
      </c>
      <c r="U140" s="5">
        <v>1196</v>
      </c>
      <c r="V140" s="5">
        <v>1189</v>
      </c>
      <c r="W140" s="5">
        <v>1338</v>
      </c>
      <c r="X140" s="5">
        <v>1264</v>
      </c>
      <c r="Y140" s="5">
        <v>1181</v>
      </c>
      <c r="Z140" s="5">
        <v>1428</v>
      </c>
      <c r="AA140" s="5">
        <v>1450</v>
      </c>
      <c r="AB140" s="5">
        <v>1121</v>
      </c>
      <c r="AC140" s="5">
        <v>1376</v>
      </c>
      <c r="AD140" s="5">
        <v>1057</v>
      </c>
      <c r="AE140" s="5">
        <v>1302</v>
      </c>
      <c r="AF140" s="5">
        <v>1267</v>
      </c>
      <c r="AG140" s="5">
        <v>1131</v>
      </c>
      <c r="AH140" s="5">
        <v>1210</v>
      </c>
      <c r="AI140" s="5">
        <v>1204</v>
      </c>
      <c r="AJ140" s="5">
        <v>1091</v>
      </c>
      <c r="AK140" s="5">
        <v>1350</v>
      </c>
      <c r="AL140" s="5">
        <v>1602</v>
      </c>
      <c r="AM140" s="5">
        <v>1051</v>
      </c>
      <c r="AN140" s="5">
        <v>1361</v>
      </c>
      <c r="AO140" s="5">
        <v>1169</v>
      </c>
      <c r="AP140" s="5">
        <v>1059</v>
      </c>
      <c r="AQ140" s="5">
        <v>1521</v>
      </c>
      <c r="AR140" s="5">
        <v>1091</v>
      </c>
    </row>
    <row r="141" spans="1:44">
      <c r="A141" s="1" t="s">
        <v>626</v>
      </c>
      <c r="B141" s="1" t="s">
        <v>627</v>
      </c>
      <c r="C141" s="1" t="s">
        <v>95</v>
      </c>
      <c r="D141" s="1" t="str">
        <f>HYPERLINK("http://eros.fiehnlab.ucdavis.edu:8080/binbase-compound/bin/show/382318?db=rtx5","382318")</f>
        <v>382318</v>
      </c>
      <c r="E141" s="1" t="s">
        <v>628</v>
      </c>
      <c r="F141" s="1" t="s">
        <v>0</v>
      </c>
      <c r="G141" s="1" t="s">
        <v>0</v>
      </c>
      <c r="H141" s="1"/>
      <c r="I141" s="5">
        <v>5587</v>
      </c>
      <c r="J141" s="5">
        <v>6195</v>
      </c>
      <c r="K141" s="5">
        <v>6688</v>
      </c>
      <c r="L141" s="5">
        <v>7491</v>
      </c>
      <c r="M141" s="5">
        <v>5526</v>
      </c>
      <c r="N141" s="5">
        <v>6558</v>
      </c>
      <c r="O141" s="5">
        <v>5505</v>
      </c>
      <c r="P141" s="5">
        <v>6010</v>
      </c>
      <c r="Q141" s="5">
        <v>6843</v>
      </c>
      <c r="R141" s="5">
        <v>5865</v>
      </c>
      <c r="S141" s="5">
        <v>6726</v>
      </c>
      <c r="T141" s="5">
        <v>6213</v>
      </c>
      <c r="U141" s="5">
        <v>6351</v>
      </c>
      <c r="V141" s="5">
        <v>6040</v>
      </c>
      <c r="W141" s="5">
        <v>5483</v>
      </c>
      <c r="X141" s="5">
        <v>5841</v>
      </c>
      <c r="Y141" s="5">
        <v>6612</v>
      </c>
      <c r="Z141" s="5">
        <v>5949</v>
      </c>
      <c r="AA141" s="5">
        <v>7238</v>
      </c>
      <c r="AB141" s="5">
        <v>6098</v>
      </c>
      <c r="AC141" s="5">
        <v>5700</v>
      </c>
      <c r="AD141" s="5">
        <v>5514</v>
      </c>
      <c r="AE141" s="5">
        <v>6273</v>
      </c>
      <c r="AF141" s="5">
        <v>4955</v>
      </c>
      <c r="AG141" s="5">
        <v>5714</v>
      </c>
      <c r="AH141" s="5">
        <v>6975</v>
      </c>
      <c r="AI141" s="5">
        <v>7413</v>
      </c>
      <c r="AJ141" s="5">
        <v>5621</v>
      </c>
      <c r="AK141" s="5">
        <v>6740</v>
      </c>
      <c r="AL141" s="5">
        <v>6085</v>
      </c>
      <c r="AM141" s="5">
        <v>5574</v>
      </c>
      <c r="AN141" s="5">
        <v>5802</v>
      </c>
      <c r="AO141" s="5">
        <v>6324</v>
      </c>
      <c r="AP141" s="5">
        <v>5982</v>
      </c>
      <c r="AQ141" s="5">
        <v>6234</v>
      </c>
      <c r="AR141" s="5">
        <v>6411</v>
      </c>
    </row>
    <row r="142" spans="1:44">
      <c r="A142" s="1" t="s">
        <v>639</v>
      </c>
      <c r="B142" s="1" t="s">
        <v>640</v>
      </c>
      <c r="C142" s="1" t="s">
        <v>641</v>
      </c>
      <c r="D142" s="1" t="str">
        <f>HYPERLINK("http://eros.fiehnlab.ucdavis.edu:8080/binbase-compound/bin/show/369638?db=rtx5","369638")</f>
        <v>369638</v>
      </c>
      <c r="E142" s="1" t="s">
        <v>642</v>
      </c>
      <c r="F142" s="1" t="s">
        <v>0</v>
      </c>
      <c r="G142" s="1" t="s">
        <v>0</v>
      </c>
      <c r="H142" s="1"/>
      <c r="I142" s="5">
        <v>7572</v>
      </c>
      <c r="J142" s="5">
        <v>4811</v>
      </c>
      <c r="K142" s="5">
        <v>4886</v>
      </c>
      <c r="L142" s="5">
        <v>7228</v>
      </c>
      <c r="M142" s="5">
        <v>8805</v>
      </c>
      <c r="N142" s="5">
        <v>4158</v>
      </c>
      <c r="O142" s="5">
        <v>1194</v>
      </c>
      <c r="P142" s="5">
        <v>3582</v>
      </c>
      <c r="Q142" s="5">
        <v>5430</v>
      </c>
      <c r="R142" s="5">
        <v>3797</v>
      </c>
      <c r="S142" s="5">
        <v>7491</v>
      </c>
      <c r="T142" s="5">
        <v>7890</v>
      </c>
      <c r="U142" s="5">
        <v>2330</v>
      </c>
      <c r="V142" s="5">
        <v>4815</v>
      </c>
      <c r="W142" s="5">
        <v>3994</v>
      </c>
      <c r="X142" s="5">
        <v>6621</v>
      </c>
      <c r="Y142" s="5">
        <v>2382</v>
      </c>
      <c r="Z142" s="5">
        <v>7827</v>
      </c>
      <c r="AA142" s="5">
        <v>4660</v>
      </c>
      <c r="AB142" s="5">
        <v>4746</v>
      </c>
      <c r="AC142" s="5">
        <v>5025</v>
      </c>
      <c r="AD142" s="5">
        <v>6713</v>
      </c>
      <c r="AE142" s="5">
        <v>7819</v>
      </c>
      <c r="AF142" s="5">
        <v>5141</v>
      </c>
      <c r="AG142" s="5">
        <v>6139</v>
      </c>
      <c r="AH142" s="5">
        <v>6989</v>
      </c>
      <c r="AI142" s="5">
        <v>7083</v>
      </c>
      <c r="AJ142" s="5">
        <v>4511</v>
      </c>
      <c r="AK142" s="5">
        <v>4662</v>
      </c>
      <c r="AL142" s="5">
        <v>7784</v>
      </c>
      <c r="AM142" s="5">
        <v>4093</v>
      </c>
      <c r="AN142" s="5">
        <v>6887</v>
      </c>
      <c r="AO142" s="5">
        <v>4258</v>
      </c>
      <c r="AP142" s="5">
        <v>4112</v>
      </c>
      <c r="AQ142" s="5">
        <v>5280</v>
      </c>
      <c r="AR142" s="5">
        <v>3858</v>
      </c>
    </row>
    <row r="143" spans="1:44">
      <c r="A143" s="1" t="s">
        <v>663</v>
      </c>
      <c r="B143" s="1" t="s">
        <v>664</v>
      </c>
      <c r="C143" s="1" t="s">
        <v>167</v>
      </c>
      <c r="D143" s="1" t="str">
        <f>HYPERLINK("http://eros.fiehnlab.ucdavis.edu:8080/binbase-compound/bin/show/359697?db=rtx5","359697")</f>
        <v>359697</v>
      </c>
      <c r="E143" s="1" t="s">
        <v>665</v>
      </c>
      <c r="F143" s="1" t="s">
        <v>0</v>
      </c>
      <c r="G143" s="1" t="s">
        <v>0</v>
      </c>
      <c r="H143" s="1"/>
      <c r="I143" s="5">
        <v>9075</v>
      </c>
      <c r="J143" s="5">
        <v>51497</v>
      </c>
      <c r="K143" s="5">
        <v>3841</v>
      </c>
      <c r="L143" s="5">
        <v>2631</v>
      </c>
      <c r="M143" s="5">
        <v>13385</v>
      </c>
      <c r="N143" s="5">
        <v>20593</v>
      </c>
      <c r="O143" s="5">
        <v>11889</v>
      </c>
      <c r="P143" s="5">
        <v>4608</v>
      </c>
      <c r="Q143" s="5">
        <v>16845</v>
      </c>
      <c r="R143" s="5">
        <v>2184</v>
      </c>
      <c r="S143" s="5">
        <v>10324</v>
      </c>
      <c r="T143" s="5">
        <v>14423</v>
      </c>
      <c r="U143" s="5">
        <v>3420</v>
      </c>
      <c r="V143" s="5">
        <v>9424</v>
      </c>
      <c r="W143" s="5">
        <v>19207</v>
      </c>
      <c r="X143" s="5">
        <v>5029</v>
      </c>
      <c r="Y143" s="5">
        <v>2118</v>
      </c>
      <c r="Z143" s="5">
        <v>32210</v>
      </c>
      <c r="AA143" s="5">
        <v>17389</v>
      </c>
      <c r="AB143" s="5">
        <v>2144</v>
      </c>
      <c r="AC143" s="5">
        <v>1901</v>
      </c>
      <c r="AD143" s="5">
        <v>4235</v>
      </c>
      <c r="AE143" s="5">
        <v>3967</v>
      </c>
      <c r="AF143" s="5">
        <v>2720</v>
      </c>
      <c r="AG143" s="5">
        <v>4436</v>
      </c>
      <c r="AH143" s="5">
        <v>2277</v>
      </c>
      <c r="AI143" s="5">
        <v>16927</v>
      </c>
      <c r="AJ143" s="5">
        <v>1752</v>
      </c>
      <c r="AK143" s="5">
        <v>1558</v>
      </c>
      <c r="AL143" s="5">
        <v>35157</v>
      </c>
      <c r="AM143" s="5">
        <v>2500</v>
      </c>
      <c r="AN143" s="5">
        <v>28170</v>
      </c>
      <c r="AO143" s="5">
        <v>1783</v>
      </c>
      <c r="AP143" s="5">
        <v>2004</v>
      </c>
      <c r="AQ143" s="5">
        <v>49669</v>
      </c>
      <c r="AR143" s="5">
        <v>2686</v>
      </c>
    </row>
    <row r="144" spans="1:44">
      <c r="A144" s="1" t="s">
        <v>672</v>
      </c>
      <c r="B144" s="1" t="s">
        <v>673</v>
      </c>
      <c r="C144" s="1" t="s">
        <v>167</v>
      </c>
      <c r="D144" s="1" t="str">
        <f>HYPERLINK("http://eros.fiehnlab.ucdavis.edu:8080/binbase-compound/bin/show/359513?db=rtx5","359513")</f>
        <v>359513</v>
      </c>
      <c r="E144" s="1" t="s">
        <v>674</v>
      </c>
      <c r="F144" s="1" t="s">
        <v>0</v>
      </c>
      <c r="G144" s="1" t="s">
        <v>0</v>
      </c>
      <c r="H144" s="1"/>
      <c r="I144" s="5">
        <v>10235</v>
      </c>
      <c r="J144" s="5">
        <v>64941</v>
      </c>
      <c r="K144" s="5">
        <v>4207</v>
      </c>
      <c r="L144" s="5">
        <v>3095</v>
      </c>
      <c r="M144" s="5">
        <v>14797</v>
      </c>
      <c r="N144" s="5">
        <v>24607</v>
      </c>
      <c r="O144" s="5">
        <v>13232</v>
      </c>
      <c r="P144" s="5">
        <v>4712</v>
      </c>
      <c r="Q144" s="5">
        <v>18329</v>
      </c>
      <c r="R144" s="5">
        <v>2319</v>
      </c>
      <c r="S144" s="5">
        <v>12356</v>
      </c>
      <c r="T144" s="5">
        <v>17903</v>
      </c>
      <c r="U144" s="5">
        <v>3531</v>
      </c>
      <c r="V144" s="5">
        <v>11426</v>
      </c>
      <c r="W144" s="5">
        <v>21194</v>
      </c>
      <c r="X144" s="5">
        <v>6312</v>
      </c>
      <c r="Y144" s="5">
        <v>1769</v>
      </c>
      <c r="Z144" s="5">
        <v>38723</v>
      </c>
      <c r="AA144" s="5">
        <v>22246</v>
      </c>
      <c r="AB144" s="5">
        <v>3262</v>
      </c>
      <c r="AC144" s="5">
        <v>2460</v>
      </c>
      <c r="AD144" s="5">
        <v>4768</v>
      </c>
      <c r="AE144" s="5">
        <v>6953</v>
      </c>
      <c r="AF144" s="5">
        <v>3851</v>
      </c>
      <c r="AG144" s="5">
        <v>6437</v>
      </c>
      <c r="AH144" s="5">
        <v>3079</v>
      </c>
      <c r="AI144" s="5">
        <v>20590</v>
      </c>
      <c r="AJ144" s="5">
        <v>2465</v>
      </c>
      <c r="AK144" s="5">
        <v>2523</v>
      </c>
      <c r="AL144" s="5">
        <v>45678</v>
      </c>
      <c r="AM144" s="5">
        <v>2969</v>
      </c>
      <c r="AN144" s="5">
        <v>35078</v>
      </c>
      <c r="AO144" s="5">
        <v>2236</v>
      </c>
      <c r="AP144" s="5">
        <v>2211</v>
      </c>
      <c r="AQ144" s="5">
        <v>57631</v>
      </c>
      <c r="AR144" s="5">
        <v>3474</v>
      </c>
    </row>
    <row r="145" spans="1:44">
      <c r="A145" s="1" t="s">
        <v>689</v>
      </c>
      <c r="B145" s="1" t="s">
        <v>690</v>
      </c>
      <c r="C145" s="1" t="s">
        <v>580</v>
      </c>
      <c r="D145" s="1" t="str">
        <f>HYPERLINK("http://eros.fiehnlab.ucdavis.edu:8080/binbase-compound/bin/show/354038?db=rtx5","354038")</f>
        <v>354038</v>
      </c>
      <c r="E145" s="1" t="s">
        <v>691</v>
      </c>
      <c r="F145" s="1" t="s">
        <v>0</v>
      </c>
      <c r="G145" s="1" t="s">
        <v>0</v>
      </c>
      <c r="H145" s="1"/>
      <c r="I145" s="5">
        <v>1681</v>
      </c>
      <c r="J145" s="5">
        <v>1609</v>
      </c>
      <c r="K145" s="5">
        <v>1643</v>
      </c>
      <c r="L145" s="5">
        <v>1515</v>
      </c>
      <c r="M145" s="5">
        <v>1612</v>
      </c>
      <c r="N145" s="5">
        <v>1646</v>
      </c>
      <c r="O145" s="5">
        <v>1692</v>
      </c>
      <c r="P145" s="5">
        <v>1457</v>
      </c>
      <c r="Q145" s="5">
        <v>1372</v>
      </c>
      <c r="R145" s="5">
        <v>1591</v>
      </c>
      <c r="S145" s="5">
        <v>1604</v>
      </c>
      <c r="T145" s="5">
        <v>1588</v>
      </c>
      <c r="U145" s="5">
        <v>1470</v>
      </c>
      <c r="V145" s="5">
        <v>1658</v>
      </c>
      <c r="W145" s="5">
        <v>1354</v>
      </c>
      <c r="X145" s="5">
        <v>1612</v>
      </c>
      <c r="Y145" s="5">
        <v>1718</v>
      </c>
      <c r="Z145" s="5">
        <v>1751</v>
      </c>
      <c r="AA145" s="5">
        <v>1652</v>
      </c>
      <c r="AB145" s="5">
        <v>1639</v>
      </c>
      <c r="AC145" s="5">
        <v>1373</v>
      </c>
      <c r="AD145" s="5">
        <v>1412</v>
      </c>
      <c r="AE145" s="5">
        <v>1720</v>
      </c>
      <c r="AF145" s="5">
        <v>1435</v>
      </c>
      <c r="AG145" s="5">
        <v>1622</v>
      </c>
      <c r="AH145" s="5">
        <v>1592</v>
      </c>
      <c r="AI145" s="5">
        <v>1723</v>
      </c>
      <c r="AJ145" s="5">
        <v>1564</v>
      </c>
      <c r="AK145" s="5">
        <v>1605</v>
      </c>
      <c r="AL145" s="5">
        <v>1743</v>
      </c>
      <c r="AM145" s="5">
        <v>1482</v>
      </c>
      <c r="AN145" s="5">
        <v>1560</v>
      </c>
      <c r="AO145" s="5">
        <v>1691</v>
      </c>
      <c r="AP145" s="5">
        <v>1480</v>
      </c>
      <c r="AQ145" s="5">
        <v>1769</v>
      </c>
      <c r="AR145" s="5">
        <v>1571</v>
      </c>
    </row>
    <row r="146" spans="1:44">
      <c r="A146" s="1" t="s">
        <v>791</v>
      </c>
      <c r="B146" s="1" t="s">
        <v>792</v>
      </c>
      <c r="C146" s="1" t="s">
        <v>793</v>
      </c>
      <c r="D146" s="1" t="str">
        <f>HYPERLINK("http://eros.fiehnlab.ucdavis.edu:8080/binbase-compound/bin/show/272849?db=rtx5","272849")</f>
        <v>272849</v>
      </c>
      <c r="E146" s="1" t="s">
        <v>794</v>
      </c>
      <c r="F146" s="1" t="s">
        <v>0</v>
      </c>
      <c r="G146" s="1" t="s">
        <v>0</v>
      </c>
      <c r="H146" s="1"/>
      <c r="I146" s="5">
        <v>59473</v>
      </c>
      <c r="J146" s="5">
        <v>60968</v>
      </c>
      <c r="K146" s="5">
        <v>66101</v>
      </c>
      <c r="L146" s="5">
        <v>73952</v>
      </c>
      <c r="M146" s="5">
        <v>60898</v>
      </c>
      <c r="N146" s="5">
        <v>72692</v>
      </c>
      <c r="O146" s="5">
        <v>64415</v>
      </c>
      <c r="P146" s="5">
        <v>65885</v>
      </c>
      <c r="Q146" s="5">
        <v>69574</v>
      </c>
      <c r="R146" s="5">
        <v>66393</v>
      </c>
      <c r="S146" s="5">
        <v>69228</v>
      </c>
      <c r="T146" s="5">
        <v>63975</v>
      </c>
      <c r="U146" s="5">
        <v>59650</v>
      </c>
      <c r="V146" s="5">
        <v>64947</v>
      </c>
      <c r="W146" s="5">
        <v>56500</v>
      </c>
      <c r="X146" s="5">
        <v>64758</v>
      </c>
      <c r="Y146" s="5">
        <v>67410</v>
      </c>
      <c r="Z146" s="5">
        <v>63931</v>
      </c>
      <c r="AA146" s="5">
        <v>68811</v>
      </c>
      <c r="AB146" s="5">
        <v>63017</v>
      </c>
      <c r="AC146" s="5">
        <v>62614</v>
      </c>
      <c r="AD146" s="5">
        <v>61319</v>
      </c>
      <c r="AE146" s="5">
        <v>67451</v>
      </c>
      <c r="AF146" s="5">
        <v>56606</v>
      </c>
      <c r="AG146" s="5">
        <v>64584</v>
      </c>
      <c r="AH146" s="5">
        <v>69488</v>
      </c>
      <c r="AI146" s="5">
        <v>70036</v>
      </c>
      <c r="AJ146" s="5">
        <v>63965</v>
      </c>
      <c r="AK146" s="5">
        <v>65879</v>
      </c>
      <c r="AL146" s="5">
        <v>64791</v>
      </c>
      <c r="AM146" s="5">
        <v>60196</v>
      </c>
      <c r="AN146" s="5">
        <v>57652</v>
      </c>
      <c r="AO146" s="5">
        <v>66582</v>
      </c>
      <c r="AP146" s="5">
        <v>64206</v>
      </c>
      <c r="AQ146" s="5">
        <v>64255</v>
      </c>
      <c r="AR146" s="5">
        <v>66097</v>
      </c>
    </row>
    <row r="147" spans="1:44">
      <c r="A147" s="1" t="s">
        <v>798</v>
      </c>
      <c r="B147" s="1" t="s">
        <v>799</v>
      </c>
      <c r="C147" s="1" t="s">
        <v>433</v>
      </c>
      <c r="D147" s="1" t="str">
        <f>HYPERLINK("http://eros.fiehnlab.ucdavis.edu:8080/binbase-compound/bin/show/270066?db=rtx5","270066")</f>
        <v>270066</v>
      </c>
      <c r="E147" s="1" t="s">
        <v>800</v>
      </c>
      <c r="F147" s="1" t="s">
        <v>0</v>
      </c>
      <c r="G147" s="1" t="s">
        <v>0</v>
      </c>
      <c r="H147" s="1"/>
      <c r="I147" s="5">
        <v>23883</v>
      </c>
      <c r="J147" s="5">
        <v>24334</v>
      </c>
      <c r="K147" s="5">
        <v>26398</v>
      </c>
      <c r="L147" s="5">
        <v>28974</v>
      </c>
      <c r="M147" s="5">
        <v>23884</v>
      </c>
      <c r="N147" s="5">
        <v>26391</v>
      </c>
      <c r="O147" s="5">
        <v>22907</v>
      </c>
      <c r="P147" s="5">
        <v>25025</v>
      </c>
      <c r="Q147" s="5">
        <v>24648</v>
      </c>
      <c r="R147" s="5">
        <v>23979</v>
      </c>
      <c r="S147" s="5">
        <v>26956</v>
      </c>
      <c r="T147" s="5">
        <v>23559</v>
      </c>
      <c r="U147" s="5">
        <v>24566</v>
      </c>
      <c r="V147" s="5">
        <v>24464</v>
      </c>
      <c r="W147" s="5">
        <v>22827</v>
      </c>
      <c r="X147" s="5">
        <v>24331</v>
      </c>
      <c r="Y147" s="5">
        <v>28172</v>
      </c>
      <c r="Z147" s="5">
        <v>25333</v>
      </c>
      <c r="AA147" s="5">
        <v>28711</v>
      </c>
      <c r="AB147" s="5">
        <v>25504</v>
      </c>
      <c r="AC147" s="5">
        <v>24231</v>
      </c>
      <c r="AD147" s="5">
        <v>23162</v>
      </c>
      <c r="AE147" s="5">
        <v>26347</v>
      </c>
      <c r="AF147" s="5">
        <v>22569</v>
      </c>
      <c r="AG147" s="5">
        <v>24494</v>
      </c>
      <c r="AH147" s="5">
        <v>29538</v>
      </c>
      <c r="AI147" s="5">
        <v>27518</v>
      </c>
      <c r="AJ147" s="5">
        <v>24200</v>
      </c>
      <c r="AK147" s="5">
        <v>27447</v>
      </c>
      <c r="AL147" s="5">
        <v>25338</v>
      </c>
      <c r="AM147" s="5">
        <v>22986</v>
      </c>
      <c r="AN147" s="5">
        <v>23696</v>
      </c>
      <c r="AO147" s="5">
        <v>26214</v>
      </c>
      <c r="AP147" s="5">
        <v>23855</v>
      </c>
      <c r="AQ147" s="5">
        <v>24973</v>
      </c>
      <c r="AR147" s="5">
        <v>25713</v>
      </c>
    </row>
    <row r="148" spans="1:44">
      <c r="A148" s="1" t="s">
        <v>808</v>
      </c>
      <c r="B148" s="1" t="s">
        <v>809</v>
      </c>
      <c r="C148" s="1" t="s">
        <v>167</v>
      </c>
      <c r="D148" s="1" t="str">
        <f>HYPERLINK("http://eros.fiehnlab.ucdavis.edu:8080/binbase-compound/bin/show/269294?db=rtx5","269294")</f>
        <v>269294</v>
      </c>
      <c r="E148" s="1" t="s">
        <v>810</v>
      </c>
      <c r="F148" s="1" t="s">
        <v>0</v>
      </c>
      <c r="G148" s="1" t="s">
        <v>0</v>
      </c>
      <c r="H148" s="1"/>
      <c r="I148" s="5">
        <v>3581</v>
      </c>
      <c r="J148" s="5">
        <v>21588</v>
      </c>
      <c r="K148" s="5">
        <v>1428</v>
      </c>
      <c r="L148" s="5">
        <v>929</v>
      </c>
      <c r="M148" s="5">
        <v>5030</v>
      </c>
      <c r="N148" s="5">
        <v>7949</v>
      </c>
      <c r="O148" s="5">
        <v>4570</v>
      </c>
      <c r="P148" s="5">
        <v>1760</v>
      </c>
      <c r="Q148" s="5">
        <v>6158</v>
      </c>
      <c r="R148" s="5">
        <v>944</v>
      </c>
      <c r="S148" s="5">
        <v>4117</v>
      </c>
      <c r="T148" s="5">
        <v>5890</v>
      </c>
      <c r="U148" s="5">
        <v>1395</v>
      </c>
      <c r="V148" s="5">
        <v>4256</v>
      </c>
      <c r="W148" s="5">
        <v>7508</v>
      </c>
      <c r="X148" s="5">
        <v>2060</v>
      </c>
      <c r="Y148" s="5">
        <v>833</v>
      </c>
      <c r="Z148" s="5">
        <v>13127</v>
      </c>
      <c r="AA148" s="5">
        <v>6881</v>
      </c>
      <c r="AB148" s="5">
        <v>815</v>
      </c>
      <c r="AC148" s="5">
        <v>799</v>
      </c>
      <c r="AD148" s="5">
        <v>1323</v>
      </c>
      <c r="AE148" s="5">
        <v>1419</v>
      </c>
      <c r="AF148" s="5">
        <v>879</v>
      </c>
      <c r="AG148" s="5">
        <v>1654</v>
      </c>
      <c r="AH148" s="5">
        <v>744</v>
      </c>
      <c r="AI148" s="5">
        <v>6726</v>
      </c>
      <c r="AJ148" s="5">
        <v>681</v>
      </c>
      <c r="AK148" s="5">
        <v>625</v>
      </c>
      <c r="AL148" s="5">
        <v>13822</v>
      </c>
      <c r="AM148" s="5">
        <v>1040</v>
      </c>
      <c r="AN148" s="5">
        <v>11544</v>
      </c>
      <c r="AO148" s="5">
        <v>707</v>
      </c>
      <c r="AP148" s="5">
        <v>766</v>
      </c>
      <c r="AQ148" s="5">
        <v>20222</v>
      </c>
      <c r="AR148" s="5">
        <v>1014</v>
      </c>
    </row>
    <row r="149" spans="1:44">
      <c r="A149" s="1" t="s">
        <v>817</v>
      </c>
      <c r="B149" s="1" t="s">
        <v>818</v>
      </c>
      <c r="C149" s="1" t="s">
        <v>819</v>
      </c>
      <c r="D149" s="1" t="str">
        <f>HYPERLINK("http://eros.fiehnlab.ucdavis.edu:8080/binbase-compound/bin/show/268585?db=rtx5","268585")</f>
        <v>268585</v>
      </c>
      <c r="E149" s="1" t="s">
        <v>820</v>
      </c>
      <c r="F149" s="1" t="s">
        <v>0</v>
      </c>
      <c r="G149" s="1" t="s">
        <v>0</v>
      </c>
      <c r="H149" s="1"/>
      <c r="I149" s="5">
        <v>37369</v>
      </c>
      <c r="J149" s="5">
        <v>41291</v>
      </c>
      <c r="K149" s="5">
        <v>48842</v>
      </c>
      <c r="L149" s="5">
        <v>61975</v>
      </c>
      <c r="M149" s="5">
        <v>36970</v>
      </c>
      <c r="N149" s="5">
        <v>50454</v>
      </c>
      <c r="O149" s="5">
        <v>38106</v>
      </c>
      <c r="P149" s="5">
        <v>45936</v>
      </c>
      <c r="Q149" s="5">
        <v>56323</v>
      </c>
      <c r="R149" s="5">
        <v>44765</v>
      </c>
      <c r="S149" s="5">
        <v>45650</v>
      </c>
      <c r="T149" s="5">
        <v>40221</v>
      </c>
      <c r="U149" s="5">
        <v>43705</v>
      </c>
      <c r="V149" s="5">
        <v>43675</v>
      </c>
      <c r="W149" s="5">
        <v>39406</v>
      </c>
      <c r="X149" s="5">
        <v>40338</v>
      </c>
      <c r="Y149" s="5">
        <v>44328</v>
      </c>
      <c r="Z149" s="5">
        <v>39913</v>
      </c>
      <c r="AA149" s="5">
        <v>52217</v>
      </c>
      <c r="AB149" s="5">
        <v>42421</v>
      </c>
      <c r="AC149" s="5">
        <v>38560</v>
      </c>
      <c r="AD149" s="5">
        <v>37825</v>
      </c>
      <c r="AE149" s="5">
        <v>43942</v>
      </c>
      <c r="AF149" s="5">
        <v>36206</v>
      </c>
      <c r="AG149" s="5">
        <v>42485</v>
      </c>
      <c r="AH149" s="5">
        <v>53298</v>
      </c>
      <c r="AI149" s="5">
        <v>54325</v>
      </c>
      <c r="AJ149" s="5">
        <v>38146</v>
      </c>
      <c r="AK149" s="5">
        <v>52035</v>
      </c>
      <c r="AL149" s="5">
        <v>38968</v>
      </c>
      <c r="AM149" s="5">
        <v>39234</v>
      </c>
      <c r="AN149" s="5">
        <v>36583</v>
      </c>
      <c r="AO149" s="5">
        <v>47966</v>
      </c>
      <c r="AP149" s="5">
        <v>42437</v>
      </c>
      <c r="AQ149" s="5">
        <v>40970</v>
      </c>
      <c r="AR149" s="5">
        <v>48254</v>
      </c>
    </row>
    <row r="150" spans="1:44">
      <c r="A150" s="1" t="s">
        <v>827</v>
      </c>
      <c r="B150" s="1" t="s">
        <v>828</v>
      </c>
      <c r="C150" s="1" t="s">
        <v>829</v>
      </c>
      <c r="D150" s="1" t="str">
        <f>HYPERLINK("http://eros.fiehnlab.ucdavis.edu:8080/binbase-compound/bin/show/268313?db=rtx5","268313")</f>
        <v>268313</v>
      </c>
      <c r="E150" s="1" t="s">
        <v>830</v>
      </c>
      <c r="F150" s="1" t="s">
        <v>0</v>
      </c>
      <c r="G150" s="1" t="s">
        <v>0</v>
      </c>
      <c r="H150" s="1"/>
      <c r="I150" s="5">
        <v>13288</v>
      </c>
      <c r="J150" s="5">
        <v>14316</v>
      </c>
      <c r="K150" s="5">
        <v>14073</v>
      </c>
      <c r="L150" s="5">
        <v>14125</v>
      </c>
      <c r="M150" s="5">
        <v>13162</v>
      </c>
      <c r="N150" s="5">
        <v>14334</v>
      </c>
      <c r="O150" s="5">
        <v>12708</v>
      </c>
      <c r="P150" s="5">
        <v>13352</v>
      </c>
      <c r="Q150" s="5">
        <v>14781</v>
      </c>
      <c r="R150" s="5">
        <v>13176</v>
      </c>
      <c r="S150" s="5">
        <v>14352</v>
      </c>
      <c r="T150" s="5">
        <v>13405</v>
      </c>
      <c r="U150" s="5">
        <v>13081</v>
      </c>
      <c r="V150" s="5">
        <v>13342</v>
      </c>
      <c r="W150" s="5">
        <v>12379</v>
      </c>
      <c r="X150" s="5">
        <v>13266</v>
      </c>
      <c r="Y150" s="5">
        <v>13850</v>
      </c>
      <c r="Z150" s="5">
        <v>14536</v>
      </c>
      <c r="AA150" s="5">
        <v>15085</v>
      </c>
      <c r="AB150" s="5">
        <v>13015</v>
      </c>
      <c r="AC150" s="5">
        <v>12482</v>
      </c>
      <c r="AD150" s="5">
        <v>12003</v>
      </c>
      <c r="AE150" s="5">
        <v>13433</v>
      </c>
      <c r="AF150" s="5">
        <v>11492</v>
      </c>
      <c r="AG150" s="5">
        <v>13782</v>
      </c>
      <c r="AH150" s="5">
        <v>14080</v>
      </c>
      <c r="AI150" s="5">
        <v>15656</v>
      </c>
      <c r="AJ150" s="5">
        <v>12506</v>
      </c>
      <c r="AK150" s="5">
        <v>14257</v>
      </c>
      <c r="AL150" s="5">
        <v>14724</v>
      </c>
      <c r="AM150" s="5">
        <v>11415</v>
      </c>
      <c r="AN150" s="5">
        <v>13623</v>
      </c>
      <c r="AO150" s="5">
        <v>14586</v>
      </c>
      <c r="AP150" s="5">
        <v>12337</v>
      </c>
      <c r="AQ150" s="5">
        <v>15048</v>
      </c>
      <c r="AR150" s="5">
        <v>13386</v>
      </c>
    </row>
    <row r="151" spans="1:44">
      <c r="A151" s="1" t="s">
        <v>834</v>
      </c>
      <c r="B151" s="1" t="s">
        <v>835</v>
      </c>
      <c r="C151" s="1" t="s">
        <v>167</v>
      </c>
      <c r="D151" s="1" t="str">
        <f>HYPERLINK("http://eros.fiehnlab.ucdavis.edu:8080/binbase-compound/bin/show/267904?db=rtx5","267904")</f>
        <v>267904</v>
      </c>
      <c r="E151" s="1" t="s">
        <v>836</v>
      </c>
      <c r="F151" s="1" t="s">
        <v>0</v>
      </c>
      <c r="G151" s="1" t="s">
        <v>0</v>
      </c>
      <c r="H151" s="1"/>
      <c r="I151" s="5">
        <v>4919</v>
      </c>
      <c r="J151" s="5">
        <v>24708</v>
      </c>
      <c r="K151" s="5">
        <v>2486</v>
      </c>
      <c r="L151" s="5">
        <v>2152</v>
      </c>
      <c r="M151" s="5">
        <v>6254</v>
      </c>
      <c r="N151" s="5">
        <v>11534</v>
      </c>
      <c r="O151" s="5">
        <v>6696</v>
      </c>
      <c r="P151" s="5">
        <v>1664</v>
      </c>
      <c r="Q151" s="5">
        <v>10820</v>
      </c>
      <c r="R151" s="5">
        <v>836</v>
      </c>
      <c r="S151" s="5">
        <v>5237</v>
      </c>
      <c r="T151" s="5">
        <v>10296</v>
      </c>
      <c r="U151" s="5">
        <v>1313</v>
      </c>
      <c r="V151" s="5">
        <v>4864</v>
      </c>
      <c r="W151" s="5">
        <v>12338</v>
      </c>
      <c r="X151" s="5">
        <v>2807</v>
      </c>
      <c r="Y151" s="5">
        <v>690</v>
      </c>
      <c r="Z151" s="5">
        <v>15509</v>
      </c>
      <c r="AA151" s="5">
        <v>8532</v>
      </c>
      <c r="AB151" s="5">
        <v>1344</v>
      </c>
      <c r="AC151" s="5">
        <v>2007</v>
      </c>
      <c r="AD151" s="5">
        <v>3416</v>
      </c>
      <c r="AE151" s="5">
        <v>2609</v>
      </c>
      <c r="AF151" s="5">
        <v>1898</v>
      </c>
      <c r="AG151" s="5">
        <v>2441</v>
      </c>
      <c r="AH151" s="5">
        <v>1906</v>
      </c>
      <c r="AI151" s="5">
        <v>7649</v>
      </c>
      <c r="AJ151" s="5">
        <v>1425</v>
      </c>
      <c r="AK151" s="5">
        <v>1011</v>
      </c>
      <c r="AL151" s="5">
        <v>16593</v>
      </c>
      <c r="AM151" s="5">
        <v>1838</v>
      </c>
      <c r="AN151" s="5">
        <v>12213</v>
      </c>
      <c r="AO151" s="5">
        <v>1410</v>
      </c>
      <c r="AP151" s="5">
        <v>1293</v>
      </c>
      <c r="AQ151" s="5">
        <v>22532</v>
      </c>
      <c r="AR151" s="5">
        <v>1852</v>
      </c>
    </row>
    <row r="152" spans="1:44">
      <c r="A152" s="1" t="s">
        <v>840</v>
      </c>
      <c r="B152" s="1" t="s">
        <v>841</v>
      </c>
      <c r="C152" s="1" t="s">
        <v>167</v>
      </c>
      <c r="D152" s="1" t="str">
        <f>HYPERLINK("http://eros.fiehnlab.ucdavis.edu:8080/binbase-compound/bin/show/267692?db=rtx5","267692")</f>
        <v>267692</v>
      </c>
      <c r="E152" s="1" t="s">
        <v>842</v>
      </c>
      <c r="F152" s="1" t="s">
        <v>0</v>
      </c>
      <c r="G152" s="1" t="s">
        <v>0</v>
      </c>
      <c r="H152" s="1"/>
      <c r="I152" s="5">
        <v>7583</v>
      </c>
      <c r="J152" s="5">
        <v>27064</v>
      </c>
      <c r="K152" s="5">
        <v>3298</v>
      </c>
      <c r="L152" s="5">
        <v>4207</v>
      </c>
      <c r="M152" s="5">
        <v>8996</v>
      </c>
      <c r="N152" s="5">
        <v>12079</v>
      </c>
      <c r="O152" s="5">
        <v>6400</v>
      </c>
      <c r="P152" s="5">
        <v>2652</v>
      </c>
      <c r="Q152" s="5">
        <v>10690</v>
      </c>
      <c r="R152" s="5">
        <v>1885</v>
      </c>
      <c r="S152" s="5">
        <v>6502</v>
      </c>
      <c r="T152" s="5">
        <v>15895</v>
      </c>
      <c r="U152" s="5">
        <v>3189</v>
      </c>
      <c r="V152" s="5">
        <v>5631</v>
      </c>
      <c r="W152" s="5">
        <v>10651</v>
      </c>
      <c r="X152" s="5">
        <v>4142</v>
      </c>
      <c r="Y152" s="5">
        <v>1078</v>
      </c>
      <c r="Z152" s="5">
        <v>16869</v>
      </c>
      <c r="AA152" s="5">
        <v>9356</v>
      </c>
      <c r="AB152" s="5">
        <v>3002</v>
      </c>
      <c r="AC152" s="5">
        <v>4124</v>
      </c>
      <c r="AD152" s="5">
        <v>10314</v>
      </c>
      <c r="AE152" s="5">
        <v>5018</v>
      </c>
      <c r="AF152" s="5">
        <v>3487</v>
      </c>
      <c r="AG152" s="5">
        <v>4505</v>
      </c>
      <c r="AH152" s="5">
        <v>5449</v>
      </c>
      <c r="AI152" s="5">
        <v>10019</v>
      </c>
      <c r="AJ152" s="5">
        <v>3807</v>
      </c>
      <c r="AK152" s="5">
        <v>3042</v>
      </c>
      <c r="AL152" s="5">
        <v>19526</v>
      </c>
      <c r="AM152" s="5">
        <v>2743</v>
      </c>
      <c r="AN152" s="5">
        <v>14224</v>
      </c>
      <c r="AO152" s="5">
        <v>2265</v>
      </c>
      <c r="AP152" s="5">
        <v>849</v>
      </c>
      <c r="AQ152" s="5">
        <v>24396</v>
      </c>
      <c r="AR152" s="5">
        <v>2755</v>
      </c>
    </row>
    <row r="153" spans="1:44">
      <c r="A153" s="1" t="s">
        <v>843</v>
      </c>
      <c r="B153" s="1" t="s">
        <v>844</v>
      </c>
      <c r="C153" s="1" t="s">
        <v>845</v>
      </c>
      <c r="D153" s="1" t="str">
        <f>HYPERLINK("http://eros.fiehnlab.ucdavis.edu:8080/binbase-compound/bin/show/242417?db=rtx5","242417")</f>
        <v>242417</v>
      </c>
      <c r="E153" s="1" t="s">
        <v>846</v>
      </c>
      <c r="F153" s="1" t="s">
        <v>0</v>
      </c>
      <c r="G153" s="1" t="s">
        <v>0</v>
      </c>
      <c r="H153" s="1"/>
      <c r="I153" s="5">
        <v>3735</v>
      </c>
      <c r="J153" s="5">
        <v>4238</v>
      </c>
      <c r="K153" s="5">
        <v>4055</v>
      </c>
      <c r="L153" s="5">
        <v>3961</v>
      </c>
      <c r="M153" s="5">
        <v>3824</v>
      </c>
      <c r="N153" s="5">
        <v>4511</v>
      </c>
      <c r="O153" s="5">
        <v>3666</v>
      </c>
      <c r="P153" s="5">
        <v>3370</v>
      </c>
      <c r="Q153" s="5">
        <v>4145</v>
      </c>
      <c r="R153" s="5">
        <v>3599</v>
      </c>
      <c r="S153" s="5">
        <v>4410</v>
      </c>
      <c r="T153" s="5">
        <v>4113</v>
      </c>
      <c r="U153" s="5">
        <v>3772</v>
      </c>
      <c r="V153" s="5">
        <v>4065</v>
      </c>
      <c r="W153" s="5">
        <v>3533</v>
      </c>
      <c r="X153" s="5">
        <v>3601</v>
      </c>
      <c r="Y153" s="5">
        <v>4108</v>
      </c>
      <c r="Z153" s="5">
        <v>4364</v>
      </c>
      <c r="AA153" s="5">
        <v>4282</v>
      </c>
      <c r="AB153" s="5">
        <v>3924</v>
      </c>
      <c r="AC153" s="5">
        <v>3474</v>
      </c>
      <c r="AD153" s="5">
        <v>3278</v>
      </c>
      <c r="AE153" s="5">
        <v>3869</v>
      </c>
      <c r="AF153" s="5">
        <v>3393</v>
      </c>
      <c r="AG153" s="5">
        <v>3986</v>
      </c>
      <c r="AH153" s="5">
        <v>3983</v>
      </c>
      <c r="AI153" s="5">
        <v>4772</v>
      </c>
      <c r="AJ153" s="5">
        <v>3531</v>
      </c>
      <c r="AK153" s="5">
        <v>4205</v>
      </c>
      <c r="AL153" s="5">
        <v>4309</v>
      </c>
      <c r="AM153" s="5">
        <v>3623</v>
      </c>
      <c r="AN153" s="5">
        <v>3947</v>
      </c>
      <c r="AO153" s="5">
        <v>4020</v>
      </c>
      <c r="AP153" s="5">
        <v>3450</v>
      </c>
      <c r="AQ153" s="5">
        <v>1734</v>
      </c>
      <c r="AR153" s="5">
        <v>4240</v>
      </c>
    </row>
    <row r="154" spans="1:44">
      <c r="A154" s="1" t="s">
        <v>861</v>
      </c>
      <c r="B154" s="1" t="s">
        <v>862</v>
      </c>
      <c r="C154" s="1" t="s">
        <v>502</v>
      </c>
      <c r="D154" s="1" t="str">
        <f>HYPERLINK("http://eros.fiehnlab.ucdavis.edu:8080/binbase-compound/bin/show/241090?db=rtx5","241090")</f>
        <v>241090</v>
      </c>
      <c r="E154" s="1" t="s">
        <v>863</v>
      </c>
      <c r="F154" s="1" t="s">
        <v>0</v>
      </c>
      <c r="G154" s="1" t="s">
        <v>0</v>
      </c>
      <c r="H154" s="1"/>
      <c r="I154" s="5">
        <v>762</v>
      </c>
      <c r="J154" s="5">
        <v>576</v>
      </c>
      <c r="K154" s="5">
        <v>363</v>
      </c>
      <c r="L154" s="5">
        <v>296</v>
      </c>
      <c r="M154" s="5">
        <v>279</v>
      </c>
      <c r="N154" s="5">
        <v>408</v>
      </c>
      <c r="O154" s="5">
        <v>383</v>
      </c>
      <c r="P154" s="5">
        <v>608</v>
      </c>
      <c r="Q154" s="5">
        <v>789</v>
      </c>
      <c r="R154" s="5">
        <v>311</v>
      </c>
      <c r="S154" s="5">
        <v>893</v>
      </c>
      <c r="T154" s="5">
        <v>1134</v>
      </c>
      <c r="U154" s="5">
        <v>525</v>
      </c>
      <c r="V154" s="5">
        <v>248</v>
      </c>
      <c r="W154" s="5">
        <v>396</v>
      </c>
      <c r="X154" s="5">
        <v>628</v>
      </c>
      <c r="Y154" s="5">
        <v>432</v>
      </c>
      <c r="Z154" s="5">
        <v>449</v>
      </c>
      <c r="AA154" s="5">
        <v>442</v>
      </c>
      <c r="AB154" s="5">
        <v>399</v>
      </c>
      <c r="AC154" s="5">
        <v>456</v>
      </c>
      <c r="AD154" s="5">
        <v>499</v>
      </c>
      <c r="AE154" s="5">
        <v>1090</v>
      </c>
      <c r="AF154" s="5">
        <v>518</v>
      </c>
      <c r="AG154" s="5">
        <v>633</v>
      </c>
      <c r="AH154" s="5">
        <v>377</v>
      </c>
      <c r="AI154" s="5">
        <v>164</v>
      </c>
      <c r="AJ154" s="5">
        <v>360</v>
      </c>
      <c r="AK154" s="5">
        <v>639</v>
      </c>
      <c r="AL154" s="5">
        <v>1074</v>
      </c>
      <c r="AM154" s="5">
        <v>630</v>
      </c>
      <c r="AN154" s="5">
        <v>921</v>
      </c>
      <c r="AO154" s="5">
        <v>387</v>
      </c>
      <c r="AP154" s="5">
        <v>569</v>
      </c>
      <c r="AQ154" s="5">
        <v>719</v>
      </c>
      <c r="AR154" s="5">
        <v>385</v>
      </c>
    </row>
    <row r="155" spans="1:44">
      <c r="A155" s="1" t="s">
        <v>904</v>
      </c>
      <c r="B155" s="1" t="s">
        <v>905</v>
      </c>
      <c r="C155" s="1" t="s">
        <v>906</v>
      </c>
      <c r="D155" s="1" t="str">
        <f>HYPERLINK("http://eros.fiehnlab.ucdavis.edu:8080/binbase-compound/bin/show/237731?db=rtx5","237731")</f>
        <v>237731</v>
      </c>
      <c r="E155" s="1" t="s">
        <v>907</v>
      </c>
      <c r="F155" s="1" t="s">
        <v>0</v>
      </c>
      <c r="G155" s="1" t="s">
        <v>0</v>
      </c>
      <c r="H155" s="1"/>
      <c r="I155" s="5">
        <v>5779</v>
      </c>
      <c r="J155" s="5">
        <v>3737</v>
      </c>
      <c r="K155" s="5">
        <v>4381</v>
      </c>
      <c r="L155" s="5">
        <v>5784</v>
      </c>
      <c r="M155" s="5">
        <v>3390</v>
      </c>
      <c r="N155" s="5">
        <v>4019</v>
      </c>
      <c r="O155" s="5">
        <v>2633</v>
      </c>
      <c r="P155" s="5">
        <v>1819</v>
      </c>
      <c r="Q155" s="5">
        <v>1771</v>
      </c>
      <c r="R155" s="5">
        <v>2450</v>
      </c>
      <c r="S155" s="5">
        <v>2448</v>
      </c>
      <c r="T155" s="5">
        <v>2483</v>
      </c>
      <c r="U155" s="5">
        <v>1382</v>
      </c>
      <c r="V155" s="5">
        <v>2386</v>
      </c>
      <c r="W155" s="5">
        <v>1755</v>
      </c>
      <c r="X155" s="5">
        <v>1531</v>
      </c>
      <c r="Y155" s="5">
        <v>651</v>
      </c>
      <c r="Z155" s="5">
        <v>7381</v>
      </c>
      <c r="AA155" s="5">
        <v>1829</v>
      </c>
      <c r="AB155" s="5">
        <v>2072</v>
      </c>
      <c r="AC155" s="5">
        <v>2327</v>
      </c>
      <c r="AD155" s="5">
        <v>3881</v>
      </c>
      <c r="AE155" s="5">
        <v>2650</v>
      </c>
      <c r="AF155" s="5">
        <v>2868</v>
      </c>
      <c r="AG155" s="5">
        <v>2238</v>
      </c>
      <c r="AH155" s="5">
        <v>5667</v>
      </c>
      <c r="AI155" s="5">
        <v>2990</v>
      </c>
      <c r="AJ155" s="5">
        <v>3488</v>
      </c>
      <c r="AK155" s="5">
        <v>2457</v>
      </c>
      <c r="AL155" s="5">
        <v>2364</v>
      </c>
      <c r="AM155" s="5">
        <v>492</v>
      </c>
      <c r="AN155" s="5">
        <v>3622</v>
      </c>
      <c r="AO155" s="5">
        <v>1579</v>
      </c>
      <c r="AP155" s="5">
        <v>1984</v>
      </c>
      <c r="AQ155" s="5">
        <v>1574</v>
      </c>
      <c r="AR155" s="5">
        <v>1375</v>
      </c>
    </row>
    <row r="156" spans="1:44">
      <c r="A156" s="1" t="s">
        <v>1013</v>
      </c>
      <c r="B156" s="1" t="s">
        <v>1014</v>
      </c>
      <c r="C156" s="1" t="s">
        <v>167</v>
      </c>
      <c r="D156" s="1" t="str">
        <f>HYPERLINK("http://eros.fiehnlab.ucdavis.edu:8080/binbase-compound/bin/show/223566?db=rtx5","223566")</f>
        <v>223566</v>
      </c>
      <c r="E156" s="1" t="s">
        <v>1015</v>
      </c>
      <c r="F156" s="1" t="s">
        <v>0</v>
      </c>
      <c r="G156" s="1" t="s">
        <v>0</v>
      </c>
      <c r="H156" s="1"/>
      <c r="I156" s="5">
        <v>3257</v>
      </c>
      <c r="J156" s="5">
        <v>13733</v>
      </c>
      <c r="K156" s="5">
        <v>1577</v>
      </c>
      <c r="L156" s="5">
        <v>1079</v>
      </c>
      <c r="M156" s="5">
        <v>3297</v>
      </c>
      <c r="N156" s="5">
        <v>4609</v>
      </c>
      <c r="O156" s="5">
        <v>2890</v>
      </c>
      <c r="P156" s="5">
        <v>1156</v>
      </c>
      <c r="Q156" s="5">
        <v>2747</v>
      </c>
      <c r="R156" s="5">
        <v>1396</v>
      </c>
      <c r="S156" s="5">
        <v>2919</v>
      </c>
      <c r="T156" s="5">
        <v>4927</v>
      </c>
      <c r="U156" s="5">
        <v>807</v>
      </c>
      <c r="V156" s="5">
        <v>3035</v>
      </c>
      <c r="W156" s="5">
        <v>5033</v>
      </c>
      <c r="X156" s="5">
        <v>2091</v>
      </c>
      <c r="Y156" s="5">
        <v>923</v>
      </c>
      <c r="Z156" s="5">
        <v>9763</v>
      </c>
      <c r="AA156" s="5">
        <v>4474</v>
      </c>
      <c r="AB156" s="5">
        <v>1266</v>
      </c>
      <c r="AC156" s="5">
        <v>1202</v>
      </c>
      <c r="AD156" s="5">
        <v>1111</v>
      </c>
      <c r="AE156" s="5">
        <v>1697</v>
      </c>
      <c r="AF156" s="5">
        <v>898</v>
      </c>
      <c r="AG156" s="5">
        <v>2263</v>
      </c>
      <c r="AH156" s="5">
        <v>1057</v>
      </c>
      <c r="AI156" s="5">
        <v>3932</v>
      </c>
      <c r="AJ156" s="5">
        <v>732</v>
      </c>
      <c r="AK156" s="5">
        <v>962</v>
      </c>
      <c r="AL156" s="5">
        <v>12016</v>
      </c>
      <c r="AM156" s="5">
        <v>886</v>
      </c>
      <c r="AN156" s="5">
        <v>8594</v>
      </c>
      <c r="AO156" s="5">
        <v>897</v>
      </c>
      <c r="AP156" s="5">
        <v>827</v>
      </c>
      <c r="AQ156" s="5">
        <v>14631</v>
      </c>
      <c r="AR156" s="5">
        <v>1011</v>
      </c>
    </row>
    <row r="157" spans="1:44">
      <c r="A157" s="1" t="s">
        <v>1054</v>
      </c>
      <c r="B157" s="1" t="s">
        <v>1055</v>
      </c>
      <c r="C157" s="1" t="s">
        <v>1028</v>
      </c>
      <c r="D157" s="1" t="str">
        <f>HYPERLINK("http://eros.fiehnlab.ucdavis.edu:8080/binbase-compound/bin/show/216428?db=rtx5","216428")</f>
        <v>216428</v>
      </c>
      <c r="E157" s="1" t="s">
        <v>1056</v>
      </c>
      <c r="F157" s="1" t="s">
        <v>0</v>
      </c>
      <c r="G157" s="1" t="s">
        <v>0</v>
      </c>
      <c r="H157" s="1"/>
      <c r="I157" s="5">
        <v>4318</v>
      </c>
      <c r="J157" s="5">
        <v>8521</v>
      </c>
      <c r="K157" s="5">
        <v>4642</v>
      </c>
      <c r="L157" s="5">
        <v>4265</v>
      </c>
      <c r="M157" s="5">
        <v>967</v>
      </c>
      <c r="N157" s="5">
        <v>5772</v>
      </c>
      <c r="O157" s="5">
        <v>1654</v>
      </c>
      <c r="P157" s="5">
        <v>5176</v>
      </c>
      <c r="Q157" s="5">
        <v>4133</v>
      </c>
      <c r="R157" s="5">
        <v>7169</v>
      </c>
      <c r="S157" s="5">
        <v>7241</v>
      </c>
      <c r="T157" s="5">
        <v>6266</v>
      </c>
      <c r="U157" s="5">
        <v>4014</v>
      </c>
      <c r="V157" s="5">
        <v>4282</v>
      </c>
      <c r="W157" s="5">
        <v>5428</v>
      </c>
      <c r="X157" s="5">
        <v>8591</v>
      </c>
      <c r="Y157" s="5">
        <v>5709</v>
      </c>
      <c r="Z157" s="5">
        <v>8712</v>
      </c>
      <c r="AA157" s="5">
        <v>14039</v>
      </c>
      <c r="AB157" s="5">
        <v>9673</v>
      </c>
      <c r="AC157" s="5">
        <v>4171</v>
      </c>
      <c r="AD157" s="5">
        <v>5209</v>
      </c>
      <c r="AE157" s="5">
        <v>6844</v>
      </c>
      <c r="AF157" s="5">
        <v>4270</v>
      </c>
      <c r="AG157" s="5">
        <v>7535</v>
      </c>
      <c r="AH157" s="5">
        <v>4669</v>
      </c>
      <c r="AI157" s="5">
        <v>3444</v>
      </c>
      <c r="AJ157" s="5">
        <v>6833</v>
      </c>
      <c r="AK157" s="5">
        <v>5889</v>
      </c>
      <c r="AL157" s="5">
        <v>6257</v>
      </c>
      <c r="AM157" s="5">
        <v>3622</v>
      </c>
      <c r="AN157" s="5">
        <v>4567</v>
      </c>
      <c r="AO157" s="5">
        <v>5209</v>
      </c>
      <c r="AP157" s="5">
        <v>4539</v>
      </c>
      <c r="AQ157" s="5">
        <v>8064</v>
      </c>
      <c r="AR157" s="5">
        <v>5286</v>
      </c>
    </row>
    <row r="158" spans="1:44">
      <c r="A158" s="1" t="s">
        <v>1086</v>
      </c>
      <c r="B158" s="1" t="s">
        <v>1087</v>
      </c>
      <c r="C158" s="1" t="s">
        <v>1088</v>
      </c>
      <c r="D158" s="1" t="str">
        <f>HYPERLINK("http://eros.fiehnlab.ucdavis.edu:8080/binbase-compound/bin/show/212022?db=rtx5","212022")</f>
        <v>212022</v>
      </c>
      <c r="E158" s="1" t="s">
        <v>1089</v>
      </c>
      <c r="F158" s="1" t="s">
        <v>0</v>
      </c>
      <c r="G158" s="1" t="s">
        <v>0</v>
      </c>
      <c r="H158" s="1"/>
      <c r="I158" s="5">
        <v>92108</v>
      </c>
      <c r="J158" s="5">
        <v>53770</v>
      </c>
      <c r="K158" s="5">
        <v>33415</v>
      </c>
      <c r="L158" s="5">
        <v>25222</v>
      </c>
      <c r="M158" s="5">
        <v>72637</v>
      </c>
      <c r="N158" s="5">
        <v>37474</v>
      </c>
      <c r="O158" s="5">
        <v>58159</v>
      </c>
      <c r="P158" s="5">
        <v>31902</v>
      </c>
      <c r="Q158" s="5">
        <v>52825</v>
      </c>
      <c r="R158" s="5">
        <v>20543</v>
      </c>
      <c r="S158" s="5">
        <v>61796</v>
      </c>
      <c r="T158" s="5">
        <v>30083</v>
      </c>
      <c r="U158" s="5">
        <v>119357</v>
      </c>
      <c r="V158" s="5">
        <v>64006</v>
      </c>
      <c r="W158" s="5">
        <v>29023</v>
      </c>
      <c r="X158" s="5">
        <v>40779</v>
      </c>
      <c r="Y158" s="5">
        <v>16430</v>
      </c>
      <c r="Z158" s="5">
        <v>29703</v>
      </c>
      <c r="AA158" s="5">
        <v>28333</v>
      </c>
      <c r="AB158" s="5">
        <v>6077</v>
      </c>
      <c r="AC158" s="5">
        <v>7291</v>
      </c>
      <c r="AD158" s="5">
        <v>4563</v>
      </c>
      <c r="AE158" s="5">
        <v>31839</v>
      </c>
      <c r="AF158" s="5">
        <v>4861</v>
      </c>
      <c r="AG158" s="5">
        <v>21878</v>
      </c>
      <c r="AH158" s="5">
        <v>8759</v>
      </c>
      <c r="AI158" s="5">
        <v>26003</v>
      </c>
      <c r="AJ158" s="5">
        <v>9885</v>
      </c>
      <c r="AK158" s="5">
        <v>13307</v>
      </c>
      <c r="AL158" s="5">
        <v>10502</v>
      </c>
      <c r="AM158" s="5">
        <v>18320</v>
      </c>
      <c r="AN158" s="5">
        <v>14420</v>
      </c>
      <c r="AO158" s="5">
        <v>8912</v>
      </c>
      <c r="AP158" s="5">
        <v>9999</v>
      </c>
      <c r="AQ158" s="5">
        <v>27663</v>
      </c>
      <c r="AR158" s="5">
        <v>5546</v>
      </c>
    </row>
    <row r="159" spans="1:44">
      <c r="A159" s="1" t="s">
        <v>1096</v>
      </c>
      <c r="B159" s="1" t="s">
        <v>1097</v>
      </c>
      <c r="C159" s="1" t="s">
        <v>190</v>
      </c>
      <c r="D159" s="1" t="str">
        <f>HYPERLINK("http://eros.fiehnlab.ucdavis.edu:8080/binbase-compound/bin/show/207223?db=rtx5","207223")</f>
        <v>207223</v>
      </c>
      <c r="E159" s="1" t="s">
        <v>1098</v>
      </c>
      <c r="F159" s="1" t="s">
        <v>0</v>
      </c>
      <c r="G159" s="1" t="s">
        <v>0</v>
      </c>
      <c r="H159" s="1"/>
      <c r="I159" s="5">
        <v>2072</v>
      </c>
      <c r="J159" s="5">
        <v>2762</v>
      </c>
      <c r="K159" s="5">
        <v>1823</v>
      </c>
      <c r="L159" s="5">
        <v>1461</v>
      </c>
      <c r="M159" s="5">
        <v>1964</v>
      </c>
      <c r="N159" s="5">
        <v>2373</v>
      </c>
      <c r="O159" s="5">
        <v>259</v>
      </c>
      <c r="P159" s="5">
        <v>1483</v>
      </c>
      <c r="Q159" s="5">
        <v>1857</v>
      </c>
      <c r="R159" s="5">
        <v>1998</v>
      </c>
      <c r="S159" s="5">
        <v>2182</v>
      </c>
      <c r="T159" s="5">
        <v>2119</v>
      </c>
      <c r="U159" s="5">
        <v>1574</v>
      </c>
      <c r="V159" s="5">
        <v>2162</v>
      </c>
      <c r="W159" s="5">
        <v>1570</v>
      </c>
      <c r="X159" s="5">
        <v>1364</v>
      </c>
      <c r="Y159" s="5">
        <v>1917</v>
      </c>
      <c r="Z159" s="5">
        <v>2765</v>
      </c>
      <c r="AA159" s="5">
        <v>2402</v>
      </c>
      <c r="AB159" s="5">
        <v>1963</v>
      </c>
      <c r="AC159" s="5">
        <v>1312</v>
      </c>
      <c r="AD159" s="5">
        <v>1491</v>
      </c>
      <c r="AE159" s="5">
        <v>1546</v>
      </c>
      <c r="AF159" s="5">
        <v>1206</v>
      </c>
      <c r="AG159" s="5">
        <v>2083</v>
      </c>
      <c r="AH159" s="5">
        <v>1831</v>
      </c>
      <c r="AI159" s="5">
        <v>2797</v>
      </c>
      <c r="AJ159" s="5">
        <v>1646</v>
      </c>
      <c r="AK159" s="5">
        <v>1883</v>
      </c>
      <c r="AL159" s="5">
        <v>2160</v>
      </c>
      <c r="AM159" s="5">
        <v>1652</v>
      </c>
      <c r="AN159" s="5">
        <v>2418</v>
      </c>
      <c r="AO159" s="5">
        <v>1687</v>
      </c>
      <c r="AP159" s="5">
        <v>1681</v>
      </c>
      <c r="AQ159" s="5">
        <v>2473</v>
      </c>
      <c r="AR159" s="5">
        <v>2075</v>
      </c>
    </row>
    <row r="160" spans="1:44">
      <c r="A160" s="1" t="s">
        <v>929</v>
      </c>
      <c r="B160" s="1" t="s">
        <v>930</v>
      </c>
      <c r="C160" s="1" t="s">
        <v>731</v>
      </c>
      <c r="D160" s="1" t="str">
        <f>HYPERLINK("http://eros.fiehnlab.ucdavis.edu:8080/binbase-compound/bin/show/235965?db=rtx5","235965")</f>
        <v>235965</v>
      </c>
      <c r="E160" s="1" t="s">
        <v>931</v>
      </c>
      <c r="F160" s="1" t="s">
        <v>0</v>
      </c>
      <c r="G160" s="1" t="s">
        <v>0</v>
      </c>
      <c r="H160" s="1"/>
      <c r="I160" s="5">
        <v>850407</v>
      </c>
      <c r="J160" s="5">
        <v>553287</v>
      </c>
      <c r="K160" s="5">
        <v>351601</v>
      </c>
      <c r="L160" s="5">
        <v>519892</v>
      </c>
      <c r="M160" s="5">
        <v>286205</v>
      </c>
      <c r="N160" s="5">
        <v>560012</v>
      </c>
      <c r="O160" s="5">
        <v>193443</v>
      </c>
      <c r="P160" s="5">
        <v>507191</v>
      </c>
      <c r="Q160" s="5">
        <v>747507</v>
      </c>
      <c r="R160" s="5">
        <v>194151</v>
      </c>
      <c r="S160" s="5">
        <v>595911</v>
      </c>
      <c r="T160" s="5">
        <v>1018984</v>
      </c>
      <c r="U160" s="5">
        <v>620926</v>
      </c>
      <c r="V160" s="5">
        <v>238203</v>
      </c>
      <c r="W160" s="5">
        <v>412186</v>
      </c>
      <c r="X160" s="5">
        <v>922814</v>
      </c>
      <c r="Y160" s="5">
        <v>745993</v>
      </c>
      <c r="Z160" s="5">
        <v>371974</v>
      </c>
      <c r="AA160" s="5">
        <v>586447</v>
      </c>
      <c r="AB160" s="5">
        <v>319135</v>
      </c>
      <c r="AC160" s="5">
        <v>1653</v>
      </c>
      <c r="AD160" s="5">
        <v>1468</v>
      </c>
      <c r="AE160" s="5">
        <v>572832</v>
      </c>
      <c r="AF160" s="5">
        <v>1458</v>
      </c>
      <c r="AG160" s="5">
        <v>655415</v>
      </c>
      <c r="AH160" s="5">
        <v>870</v>
      </c>
      <c r="AI160" s="5">
        <v>389464</v>
      </c>
      <c r="AJ160" s="5">
        <v>1344</v>
      </c>
      <c r="AK160" s="5">
        <v>1004879</v>
      </c>
      <c r="AL160" s="5">
        <v>1080392</v>
      </c>
      <c r="AM160" s="5">
        <v>290071</v>
      </c>
      <c r="AN160" s="5">
        <v>812812</v>
      </c>
      <c r="AO160" s="5">
        <v>2143</v>
      </c>
      <c r="AP160" s="5">
        <v>998</v>
      </c>
      <c r="AQ160" s="5">
        <v>689621</v>
      </c>
      <c r="AR160" s="5">
        <v>195901</v>
      </c>
    </row>
    <row r="161" spans="1:44">
      <c r="A161" s="1" t="s">
        <v>1114</v>
      </c>
      <c r="B161" s="1" t="s">
        <v>1115</v>
      </c>
      <c r="C161" s="1" t="s">
        <v>769</v>
      </c>
      <c r="D161" s="1" t="str">
        <f>HYPERLINK("http://eros.fiehnlab.ucdavis.edu:8080/binbase-compound/bin/show/202687?db=rtx5","202687")</f>
        <v>202687</v>
      </c>
      <c r="E161" s="1" t="s">
        <v>1116</v>
      </c>
      <c r="F161" s="1" t="s">
        <v>0</v>
      </c>
      <c r="G161" s="1" t="s">
        <v>0</v>
      </c>
      <c r="H161" s="1"/>
      <c r="I161" s="5">
        <v>1326</v>
      </c>
      <c r="J161" s="5">
        <v>2049</v>
      </c>
      <c r="K161" s="5">
        <v>831</v>
      </c>
      <c r="L161" s="5">
        <v>1889</v>
      </c>
      <c r="M161" s="5">
        <v>1940</v>
      </c>
      <c r="N161" s="5">
        <v>2375</v>
      </c>
      <c r="O161" s="5">
        <v>648</v>
      </c>
      <c r="P161" s="5">
        <v>1012</v>
      </c>
      <c r="Q161" s="5">
        <v>906</v>
      </c>
      <c r="R161" s="5">
        <v>2862</v>
      </c>
      <c r="S161" s="5">
        <v>5431</v>
      </c>
      <c r="T161" s="5">
        <v>27572</v>
      </c>
      <c r="U161" s="5">
        <v>279</v>
      </c>
      <c r="V161" s="5">
        <v>644</v>
      </c>
      <c r="W161" s="5">
        <v>717</v>
      </c>
      <c r="X161" s="5">
        <v>4950</v>
      </c>
      <c r="Y161" s="5">
        <v>4884</v>
      </c>
      <c r="Z161" s="5">
        <v>4402</v>
      </c>
      <c r="AA161" s="5">
        <v>17426</v>
      </c>
      <c r="AB161" s="5">
        <v>17381</v>
      </c>
      <c r="AC161" s="5">
        <v>35122</v>
      </c>
      <c r="AD161" s="5">
        <v>1289</v>
      </c>
      <c r="AE161" s="5">
        <v>1408</v>
      </c>
      <c r="AF161" s="5">
        <v>997</v>
      </c>
      <c r="AG161" s="5">
        <v>2221</v>
      </c>
      <c r="AH161" s="5">
        <v>1977</v>
      </c>
      <c r="AI161" s="5">
        <v>1199</v>
      </c>
      <c r="AJ161" s="5">
        <v>6956</v>
      </c>
      <c r="AK161" s="5">
        <v>7737</v>
      </c>
      <c r="AL161" s="5">
        <v>11618</v>
      </c>
      <c r="AM161" s="5">
        <v>6854</v>
      </c>
      <c r="AN161" s="5">
        <v>8902</v>
      </c>
      <c r="AO161" s="5">
        <v>6467</v>
      </c>
      <c r="AP161" s="5">
        <v>23486</v>
      </c>
      <c r="AQ161" s="5">
        <v>26785</v>
      </c>
      <c r="AR161" s="5">
        <v>27365</v>
      </c>
    </row>
    <row r="162" spans="1:44">
      <c r="A162" s="1" t="s">
        <v>912</v>
      </c>
      <c r="B162" s="1" t="s">
        <v>913</v>
      </c>
      <c r="C162" s="1" t="s">
        <v>389</v>
      </c>
      <c r="D162" s="1" t="str">
        <f>HYPERLINK("http://eros.fiehnlab.ucdavis.edu:8080/binbase-compound/bin/show/237154?db=rtx5","237154")</f>
        <v>237154</v>
      </c>
      <c r="E162" s="1" t="s">
        <v>914</v>
      </c>
      <c r="F162" s="1" t="s">
        <v>0</v>
      </c>
      <c r="G162" s="1" t="s">
        <v>0</v>
      </c>
      <c r="H162" s="1"/>
      <c r="I162" s="5">
        <v>498</v>
      </c>
      <c r="J162" s="5">
        <v>1042</v>
      </c>
      <c r="K162" s="5">
        <v>124</v>
      </c>
      <c r="L162" s="5">
        <v>136</v>
      </c>
      <c r="M162" s="5">
        <v>251</v>
      </c>
      <c r="N162" s="5">
        <v>277</v>
      </c>
      <c r="O162" s="5">
        <v>242</v>
      </c>
      <c r="P162" s="5">
        <v>142</v>
      </c>
      <c r="Q162" s="5">
        <v>304</v>
      </c>
      <c r="R162" s="5">
        <v>193</v>
      </c>
      <c r="S162" s="5">
        <v>609</v>
      </c>
      <c r="T162" s="5">
        <v>1305</v>
      </c>
      <c r="U162" s="5">
        <v>388</v>
      </c>
      <c r="V162" s="5">
        <v>449</v>
      </c>
      <c r="W162" s="5">
        <v>168</v>
      </c>
      <c r="X162" s="5">
        <v>220</v>
      </c>
      <c r="Y162" s="5">
        <v>641</v>
      </c>
      <c r="Z162" s="5">
        <v>6983</v>
      </c>
      <c r="AA162" s="5">
        <v>2512</v>
      </c>
      <c r="AB162" s="5">
        <v>151</v>
      </c>
      <c r="AC162" s="5">
        <v>1307</v>
      </c>
      <c r="AD162" s="5">
        <v>171</v>
      </c>
      <c r="AE162" s="5">
        <v>283</v>
      </c>
      <c r="AF162" s="5">
        <v>9401</v>
      </c>
      <c r="AG162" s="5">
        <v>5382</v>
      </c>
      <c r="AH162" s="5">
        <v>9328</v>
      </c>
      <c r="AI162" s="5">
        <v>1088</v>
      </c>
      <c r="AJ162" s="5">
        <v>366</v>
      </c>
      <c r="AK162" s="5">
        <v>4530</v>
      </c>
      <c r="AL162" s="5">
        <v>569</v>
      </c>
      <c r="AM162" s="5">
        <v>190</v>
      </c>
      <c r="AN162" s="5">
        <v>1620</v>
      </c>
      <c r="AO162" s="5">
        <v>242</v>
      </c>
      <c r="AP162" s="5">
        <v>12107</v>
      </c>
      <c r="AQ162" s="5">
        <v>3379</v>
      </c>
      <c r="AR162" s="5">
        <v>154</v>
      </c>
    </row>
    <row r="163" spans="1:44">
      <c r="A163" s="1" t="s">
        <v>1019</v>
      </c>
      <c r="B163" s="1" t="s">
        <v>1020</v>
      </c>
      <c r="C163" s="1" t="s">
        <v>98</v>
      </c>
      <c r="D163" s="1" t="str">
        <f>HYPERLINK("http://eros.fiehnlab.ucdavis.edu:8080/binbase-compound/bin/show/222169?db=rtx5","222169")</f>
        <v>222169</v>
      </c>
      <c r="E163" s="1" t="s">
        <v>1021</v>
      </c>
      <c r="F163" s="1" t="s">
        <v>0</v>
      </c>
      <c r="G163" s="1" t="s">
        <v>0</v>
      </c>
      <c r="H163" s="1"/>
      <c r="I163" s="5">
        <v>2049</v>
      </c>
      <c r="J163" s="5">
        <v>541</v>
      </c>
      <c r="K163" s="5">
        <v>589</v>
      </c>
      <c r="L163" s="5">
        <v>2051</v>
      </c>
      <c r="M163" s="5">
        <v>324</v>
      </c>
      <c r="N163" s="5">
        <v>302</v>
      </c>
      <c r="O163" s="5">
        <v>645</v>
      </c>
      <c r="P163" s="5">
        <v>494</v>
      </c>
      <c r="Q163" s="5">
        <v>1946</v>
      </c>
      <c r="R163" s="5">
        <v>6266</v>
      </c>
      <c r="S163" s="5">
        <v>2990</v>
      </c>
      <c r="T163" s="5">
        <v>2326</v>
      </c>
      <c r="U163" s="5">
        <v>344</v>
      </c>
      <c r="V163" s="5">
        <v>912</v>
      </c>
      <c r="W163" s="5">
        <v>736</v>
      </c>
      <c r="X163" s="5">
        <v>1889</v>
      </c>
      <c r="Y163" s="5">
        <v>10506</v>
      </c>
      <c r="Z163" s="5">
        <v>5428</v>
      </c>
      <c r="AA163" s="5">
        <v>4424</v>
      </c>
      <c r="AB163" s="5">
        <v>922</v>
      </c>
      <c r="AC163" s="5">
        <v>23024</v>
      </c>
      <c r="AD163" s="5">
        <v>728</v>
      </c>
      <c r="AE163" s="5">
        <v>2918</v>
      </c>
      <c r="AF163" s="5">
        <v>37877</v>
      </c>
      <c r="AG163" s="5">
        <v>9410</v>
      </c>
      <c r="AH163" s="5">
        <v>24458</v>
      </c>
      <c r="AI163" s="5">
        <v>812</v>
      </c>
      <c r="AJ163" s="5">
        <v>10378</v>
      </c>
      <c r="AK163" s="5">
        <v>11691</v>
      </c>
      <c r="AL163" s="5">
        <v>832</v>
      </c>
      <c r="AM163" s="5">
        <v>373</v>
      </c>
      <c r="AN163" s="5">
        <v>1179</v>
      </c>
      <c r="AO163" s="5">
        <v>4093</v>
      </c>
      <c r="AP163" s="5">
        <v>19751</v>
      </c>
      <c r="AQ163" s="5">
        <v>3637</v>
      </c>
      <c r="AR163" s="5">
        <v>826</v>
      </c>
    </row>
    <row r="164" spans="1:44">
      <c r="A164" s="1" t="s">
        <v>1157</v>
      </c>
      <c r="B164" s="1" t="s">
        <v>1158</v>
      </c>
      <c r="C164" s="1" t="s">
        <v>1069</v>
      </c>
      <c r="D164" s="1" t="str">
        <f>HYPERLINK("http://eros.fiehnlab.ucdavis.edu:8080/binbase-compound/bin/show/199942?db=rtx5","199942")</f>
        <v>199942</v>
      </c>
      <c r="E164" s="1" t="s">
        <v>1159</v>
      </c>
      <c r="F164" s="1" t="s">
        <v>0</v>
      </c>
      <c r="G164" s="1" t="s">
        <v>0</v>
      </c>
      <c r="H164" s="1"/>
      <c r="I164" s="5">
        <v>7646</v>
      </c>
      <c r="J164" s="5">
        <v>22697</v>
      </c>
      <c r="K164" s="5">
        <v>903</v>
      </c>
      <c r="L164" s="5">
        <v>1885</v>
      </c>
      <c r="M164" s="5">
        <v>14442</v>
      </c>
      <c r="N164" s="5">
        <v>10086</v>
      </c>
      <c r="O164" s="5">
        <v>7489</v>
      </c>
      <c r="P164" s="5">
        <v>9693</v>
      </c>
      <c r="Q164" s="5">
        <v>31486</v>
      </c>
      <c r="R164" s="5">
        <v>5187</v>
      </c>
      <c r="S164" s="5">
        <v>17861</v>
      </c>
      <c r="T164" s="5">
        <v>16787</v>
      </c>
      <c r="U164" s="5">
        <v>2278</v>
      </c>
      <c r="V164" s="5">
        <v>3667</v>
      </c>
      <c r="W164" s="5">
        <v>9356</v>
      </c>
      <c r="X164" s="5">
        <v>2830</v>
      </c>
      <c r="Y164" s="5">
        <v>1206</v>
      </c>
      <c r="Z164" s="5">
        <v>28168</v>
      </c>
      <c r="AA164" s="5">
        <v>10216</v>
      </c>
      <c r="AB164" s="5">
        <v>892</v>
      </c>
      <c r="AC164" s="5">
        <v>827</v>
      </c>
      <c r="AD164" s="5">
        <v>694</v>
      </c>
      <c r="AE164" s="5">
        <v>2335</v>
      </c>
      <c r="AF164" s="5">
        <v>744</v>
      </c>
      <c r="AG164" s="5">
        <v>7247</v>
      </c>
      <c r="AH164" s="5">
        <v>1609</v>
      </c>
      <c r="AI164" s="5">
        <v>23411</v>
      </c>
      <c r="AJ164" s="5">
        <v>950</v>
      </c>
      <c r="AK164" s="5">
        <v>1271</v>
      </c>
      <c r="AL164" s="5">
        <v>20569</v>
      </c>
      <c r="AM164" s="5">
        <v>800</v>
      </c>
      <c r="AN164" s="5">
        <v>14078</v>
      </c>
      <c r="AO164" s="5">
        <v>877</v>
      </c>
      <c r="AP164" s="5">
        <v>1506</v>
      </c>
      <c r="AQ164" s="5">
        <v>32137</v>
      </c>
      <c r="AR164" s="5">
        <v>2309</v>
      </c>
    </row>
    <row r="165" spans="1:44">
      <c r="A165" s="1" t="s">
        <v>1060</v>
      </c>
      <c r="B165" s="1" t="s">
        <v>1061</v>
      </c>
      <c r="C165" s="1" t="s">
        <v>561</v>
      </c>
      <c r="D165" s="1" t="str">
        <f>HYPERLINK("http://eros.fiehnlab.ucdavis.edu:8080/binbase-compound/bin/show/214152?db=rtx5","214152")</f>
        <v>214152</v>
      </c>
      <c r="E165" s="1" t="s">
        <v>1062</v>
      </c>
      <c r="F165" s="1" t="s">
        <v>0</v>
      </c>
      <c r="G165" s="1" t="s">
        <v>0</v>
      </c>
      <c r="H165" s="1"/>
      <c r="I165" s="5">
        <v>1863</v>
      </c>
      <c r="J165" s="5">
        <v>12105</v>
      </c>
      <c r="K165" s="5">
        <v>328</v>
      </c>
      <c r="L165" s="5">
        <v>266</v>
      </c>
      <c r="M165" s="5">
        <v>2072</v>
      </c>
      <c r="N165" s="5">
        <v>1259</v>
      </c>
      <c r="O165" s="5">
        <v>862</v>
      </c>
      <c r="P165" s="5">
        <v>149</v>
      </c>
      <c r="Q165" s="5">
        <v>3973</v>
      </c>
      <c r="R165" s="5">
        <v>351</v>
      </c>
      <c r="S165" s="5">
        <v>2521</v>
      </c>
      <c r="T165" s="5">
        <v>1908</v>
      </c>
      <c r="U165" s="5">
        <v>474</v>
      </c>
      <c r="V165" s="5">
        <v>3212</v>
      </c>
      <c r="W165" s="5">
        <v>5948</v>
      </c>
      <c r="X165" s="5">
        <v>301</v>
      </c>
      <c r="Y165" s="5">
        <v>138</v>
      </c>
      <c r="Z165" s="5">
        <v>3708</v>
      </c>
      <c r="AA165" s="5">
        <v>190</v>
      </c>
      <c r="AB165" s="5">
        <v>177</v>
      </c>
      <c r="AC165" s="5">
        <v>135</v>
      </c>
      <c r="AD165" s="5">
        <v>220</v>
      </c>
      <c r="AE165" s="5">
        <v>1433</v>
      </c>
      <c r="AF165" s="5">
        <v>506</v>
      </c>
      <c r="AG165" s="5">
        <v>504</v>
      </c>
      <c r="AH165" s="5">
        <v>617</v>
      </c>
      <c r="AI165" s="5">
        <v>2368</v>
      </c>
      <c r="AJ165" s="5">
        <v>431</v>
      </c>
      <c r="AK165" s="5">
        <v>165</v>
      </c>
      <c r="AL165" s="5">
        <v>4561</v>
      </c>
      <c r="AM165" s="5">
        <v>146</v>
      </c>
      <c r="AN165" s="5">
        <v>5065</v>
      </c>
      <c r="AO165" s="5">
        <v>203</v>
      </c>
      <c r="AP165" s="5">
        <v>339</v>
      </c>
      <c r="AQ165" s="5">
        <v>14321</v>
      </c>
      <c r="AR165" s="5">
        <v>304</v>
      </c>
    </row>
    <row r="166" spans="1:44">
      <c r="A166" s="1" t="s">
        <v>1077</v>
      </c>
      <c r="B166" s="1" t="s">
        <v>1078</v>
      </c>
      <c r="C166" s="1" t="s">
        <v>117</v>
      </c>
      <c r="D166" s="1" t="str">
        <f>HYPERLINK("http://eros.fiehnlab.ucdavis.edu:8080/binbase-compound/bin/show/213185?db=rtx5","213185")</f>
        <v>213185</v>
      </c>
      <c r="E166" s="1" t="s">
        <v>1079</v>
      </c>
      <c r="F166" s="1" t="s">
        <v>0</v>
      </c>
      <c r="G166" s="1" t="s">
        <v>0</v>
      </c>
      <c r="H166" s="1"/>
      <c r="I166" s="5">
        <v>725</v>
      </c>
      <c r="J166" s="5">
        <v>6799</v>
      </c>
      <c r="K166" s="5">
        <v>411</v>
      </c>
      <c r="L166" s="5">
        <v>388</v>
      </c>
      <c r="M166" s="5">
        <v>1792</v>
      </c>
      <c r="N166" s="5">
        <v>1870</v>
      </c>
      <c r="O166" s="5">
        <v>653</v>
      </c>
      <c r="P166" s="5">
        <v>461</v>
      </c>
      <c r="Q166" s="5">
        <v>3633</v>
      </c>
      <c r="R166" s="5">
        <v>236</v>
      </c>
      <c r="S166" s="5">
        <v>2426</v>
      </c>
      <c r="T166" s="5">
        <v>1751</v>
      </c>
      <c r="U166" s="5">
        <v>321</v>
      </c>
      <c r="V166" s="5">
        <v>715</v>
      </c>
      <c r="W166" s="5">
        <v>4327</v>
      </c>
      <c r="X166" s="5">
        <v>2030</v>
      </c>
      <c r="Y166" s="5">
        <v>259</v>
      </c>
      <c r="Z166" s="5">
        <v>4340</v>
      </c>
      <c r="AA166" s="5">
        <v>1249</v>
      </c>
      <c r="AB166" s="5">
        <v>229</v>
      </c>
      <c r="AC166" s="5">
        <v>290</v>
      </c>
      <c r="AD166" s="5">
        <v>334</v>
      </c>
      <c r="AE166" s="5">
        <v>320</v>
      </c>
      <c r="AF166" s="5">
        <v>296</v>
      </c>
      <c r="AG166" s="5">
        <v>204</v>
      </c>
      <c r="AH166" s="5">
        <v>345</v>
      </c>
      <c r="AI166" s="5">
        <v>616</v>
      </c>
      <c r="AJ166" s="5">
        <v>231</v>
      </c>
      <c r="AK166" s="5">
        <v>183</v>
      </c>
      <c r="AL166" s="5">
        <v>9162</v>
      </c>
      <c r="AM166" s="5">
        <v>346</v>
      </c>
      <c r="AN166" s="5">
        <v>3765</v>
      </c>
      <c r="AO166" s="5">
        <v>215</v>
      </c>
      <c r="AP166" s="5">
        <v>182</v>
      </c>
      <c r="AQ166" s="5">
        <v>8550</v>
      </c>
      <c r="AR166" s="5">
        <v>236</v>
      </c>
    </row>
    <row r="167" spans="1:44">
      <c r="A167" s="1" t="s">
        <v>854</v>
      </c>
      <c r="B167" s="1" t="s">
        <v>855</v>
      </c>
      <c r="C167" s="1" t="s">
        <v>117</v>
      </c>
      <c r="D167" s="1" t="str">
        <f>HYPERLINK("http://eros.fiehnlab.ucdavis.edu:8080/binbase-compound/bin/show/241658?db=rtx5","241658")</f>
        <v>241658</v>
      </c>
      <c r="E167" s="1" t="s">
        <v>856</v>
      </c>
      <c r="F167" s="1" t="s">
        <v>0</v>
      </c>
      <c r="G167" s="1" t="s">
        <v>0</v>
      </c>
      <c r="H167" s="1"/>
      <c r="I167" s="5">
        <v>1019</v>
      </c>
      <c r="J167" s="5">
        <v>8525</v>
      </c>
      <c r="K167" s="5">
        <v>344</v>
      </c>
      <c r="L167" s="5">
        <v>251</v>
      </c>
      <c r="M167" s="5">
        <v>2224</v>
      </c>
      <c r="N167" s="5">
        <v>1378</v>
      </c>
      <c r="O167" s="5">
        <v>1310</v>
      </c>
      <c r="P167" s="5">
        <v>201</v>
      </c>
      <c r="Q167" s="5">
        <v>1135</v>
      </c>
      <c r="R167" s="5">
        <v>205</v>
      </c>
      <c r="S167" s="5">
        <v>877</v>
      </c>
      <c r="T167" s="5">
        <v>797</v>
      </c>
      <c r="U167" s="5">
        <v>365</v>
      </c>
      <c r="V167" s="5">
        <v>2482</v>
      </c>
      <c r="W167" s="5">
        <v>2660</v>
      </c>
      <c r="X167" s="5">
        <v>499</v>
      </c>
      <c r="Y167" s="5">
        <v>242</v>
      </c>
      <c r="Z167" s="5">
        <v>4578</v>
      </c>
      <c r="AA167" s="5">
        <v>2010</v>
      </c>
      <c r="AB167" s="5">
        <v>322</v>
      </c>
      <c r="AC167" s="5">
        <v>133</v>
      </c>
      <c r="AD167" s="5">
        <v>198</v>
      </c>
      <c r="AE167" s="5">
        <v>526</v>
      </c>
      <c r="AF167" s="5">
        <v>226</v>
      </c>
      <c r="AG167" s="5">
        <v>337</v>
      </c>
      <c r="AH167" s="5">
        <v>254</v>
      </c>
      <c r="AI167" s="5">
        <v>2396</v>
      </c>
      <c r="AJ167" s="5">
        <v>172</v>
      </c>
      <c r="AK167" s="5">
        <v>185</v>
      </c>
      <c r="AL167" s="5">
        <v>3436</v>
      </c>
      <c r="AM167" s="5">
        <v>226</v>
      </c>
      <c r="AN167" s="5">
        <v>6125</v>
      </c>
      <c r="AO167" s="5">
        <v>140</v>
      </c>
      <c r="AP167" s="5">
        <v>287</v>
      </c>
      <c r="AQ167" s="5">
        <v>8209</v>
      </c>
      <c r="AR167" s="5">
        <v>357</v>
      </c>
    </row>
    <row r="168" spans="1:44">
      <c r="A168" s="1" t="s">
        <v>569</v>
      </c>
      <c r="B168" s="1" t="s">
        <v>570</v>
      </c>
      <c r="C168" s="1" t="s">
        <v>190</v>
      </c>
      <c r="D168" s="1" t="str">
        <f>HYPERLINK("http://eros.fiehnlab.ucdavis.edu:8080/binbase-compound/bin/show/408856?db=rtx5","408856")</f>
        <v>408856</v>
      </c>
      <c r="E168" s="1" t="s">
        <v>571</v>
      </c>
      <c r="F168" s="1" t="s">
        <v>0</v>
      </c>
      <c r="G168" s="1" t="s">
        <v>0</v>
      </c>
      <c r="H168" s="1"/>
      <c r="I168" s="5">
        <v>860</v>
      </c>
      <c r="J168" s="5">
        <v>5701</v>
      </c>
      <c r="K168" s="5">
        <v>220</v>
      </c>
      <c r="L168" s="5">
        <v>269</v>
      </c>
      <c r="M168" s="5">
        <v>1506</v>
      </c>
      <c r="N168" s="5">
        <v>1751</v>
      </c>
      <c r="O168" s="5">
        <v>1126</v>
      </c>
      <c r="P168" s="5">
        <v>368</v>
      </c>
      <c r="Q168" s="5">
        <v>1021</v>
      </c>
      <c r="R168" s="5">
        <v>206</v>
      </c>
      <c r="S168" s="5">
        <v>857</v>
      </c>
      <c r="T168" s="5">
        <v>287</v>
      </c>
      <c r="U168" s="5">
        <v>333</v>
      </c>
      <c r="V168" s="5">
        <v>1144</v>
      </c>
      <c r="W168" s="5">
        <v>1517</v>
      </c>
      <c r="X168" s="5">
        <v>313</v>
      </c>
      <c r="Y168" s="5">
        <v>225</v>
      </c>
      <c r="Z168" s="5">
        <v>2651</v>
      </c>
      <c r="AA168" s="5">
        <v>1129</v>
      </c>
      <c r="AB168" s="5">
        <v>206</v>
      </c>
      <c r="AC168" s="5">
        <v>209</v>
      </c>
      <c r="AD168" s="5">
        <v>195</v>
      </c>
      <c r="AE168" s="5">
        <v>197</v>
      </c>
      <c r="AF168" s="5">
        <v>226</v>
      </c>
      <c r="AG168" s="5">
        <v>412</v>
      </c>
      <c r="AH168" s="5">
        <v>187</v>
      </c>
      <c r="AI168" s="5">
        <v>1755</v>
      </c>
      <c r="AJ168" s="5">
        <v>181</v>
      </c>
      <c r="AK168" s="5">
        <v>178</v>
      </c>
      <c r="AL168" s="5">
        <v>3178</v>
      </c>
      <c r="AM168" s="5">
        <v>157</v>
      </c>
      <c r="AN168" s="5">
        <v>3167</v>
      </c>
      <c r="AO168" s="5">
        <v>228</v>
      </c>
      <c r="AP168" s="5">
        <v>254</v>
      </c>
      <c r="AQ168" s="5">
        <v>4790</v>
      </c>
      <c r="AR168" s="5">
        <v>163</v>
      </c>
    </row>
    <row r="169" spans="1:44">
      <c r="A169" s="1" t="s">
        <v>978</v>
      </c>
      <c r="B169" s="1" t="s">
        <v>979</v>
      </c>
      <c r="C169" s="1" t="s">
        <v>89</v>
      </c>
      <c r="D169" s="1" t="str">
        <f>HYPERLINK("http://eros.fiehnlab.ucdavis.edu:8080/binbase-compound/bin/show/228311?db=rtx5","228311")</f>
        <v>228311</v>
      </c>
      <c r="E169" s="1" t="s">
        <v>980</v>
      </c>
      <c r="F169" s="1" t="s">
        <v>0</v>
      </c>
      <c r="G169" s="1" t="s">
        <v>0</v>
      </c>
      <c r="H169" s="1"/>
      <c r="I169" s="5">
        <v>30885</v>
      </c>
      <c r="J169" s="5">
        <v>29571</v>
      </c>
      <c r="K169" s="5">
        <v>7366</v>
      </c>
      <c r="L169" s="5">
        <v>6339</v>
      </c>
      <c r="M169" s="5">
        <v>6179</v>
      </c>
      <c r="N169" s="5">
        <v>19816</v>
      </c>
      <c r="O169" s="5">
        <v>7868</v>
      </c>
      <c r="P169" s="5">
        <v>185</v>
      </c>
      <c r="Q169" s="5">
        <v>27486</v>
      </c>
      <c r="R169" s="5">
        <v>2927</v>
      </c>
      <c r="S169" s="5">
        <v>5775</v>
      </c>
      <c r="T169" s="5">
        <v>17006</v>
      </c>
      <c r="U169" s="5">
        <v>7200</v>
      </c>
      <c r="V169" s="5">
        <v>8636</v>
      </c>
      <c r="W169" s="5">
        <v>23197</v>
      </c>
      <c r="X169" s="5">
        <v>10258</v>
      </c>
      <c r="Y169" s="5">
        <v>6808</v>
      </c>
      <c r="Z169" s="5">
        <v>48446</v>
      </c>
      <c r="AA169" s="5">
        <v>203711</v>
      </c>
      <c r="AB169" s="5">
        <v>2769</v>
      </c>
      <c r="AC169" s="5">
        <v>7633</v>
      </c>
      <c r="AD169" s="5">
        <v>8206</v>
      </c>
      <c r="AE169" s="5">
        <v>1853</v>
      </c>
      <c r="AF169" s="5">
        <v>3660</v>
      </c>
      <c r="AG169" s="5">
        <v>4538</v>
      </c>
      <c r="AH169" s="5">
        <v>9931</v>
      </c>
      <c r="AI169" s="5">
        <v>10589</v>
      </c>
      <c r="AJ169" s="5">
        <v>4811</v>
      </c>
      <c r="AK169" s="5">
        <v>4623</v>
      </c>
      <c r="AL169" s="5">
        <v>34293</v>
      </c>
      <c r="AM169" s="5">
        <v>1136</v>
      </c>
      <c r="AN169" s="5">
        <v>23008</v>
      </c>
      <c r="AO169" s="5">
        <v>3560</v>
      </c>
      <c r="AP169" s="5">
        <v>3652</v>
      </c>
      <c r="AQ169" s="5">
        <v>55929</v>
      </c>
      <c r="AR169" s="5">
        <v>1684</v>
      </c>
    </row>
    <row r="170" spans="1:44">
      <c r="A170" s="1" t="s">
        <v>566</v>
      </c>
      <c r="B170" s="1" t="s">
        <v>567</v>
      </c>
      <c r="C170" s="1" t="s">
        <v>190</v>
      </c>
      <c r="D170" s="1" t="str">
        <f>HYPERLINK("http://eros.fiehnlab.ucdavis.edu:8080/binbase-compound/bin/show/408892?db=rtx5","408892")</f>
        <v>408892</v>
      </c>
      <c r="E170" s="1" t="s">
        <v>568</v>
      </c>
      <c r="F170" s="1" t="s">
        <v>0</v>
      </c>
      <c r="G170" s="1" t="s">
        <v>0</v>
      </c>
      <c r="H170" s="1"/>
      <c r="I170" s="5">
        <v>5467</v>
      </c>
      <c r="J170" s="5">
        <v>23761</v>
      </c>
      <c r="K170" s="5">
        <v>2258</v>
      </c>
      <c r="L170" s="5">
        <v>1067</v>
      </c>
      <c r="M170" s="5">
        <v>7298</v>
      </c>
      <c r="N170" s="5">
        <v>7372</v>
      </c>
      <c r="O170" s="5">
        <v>9413</v>
      </c>
      <c r="P170" s="5">
        <v>2238</v>
      </c>
      <c r="Q170" s="5">
        <v>7032</v>
      </c>
      <c r="R170" s="5">
        <v>1471</v>
      </c>
      <c r="S170" s="5">
        <v>2904</v>
      </c>
      <c r="T170" s="5">
        <v>2442</v>
      </c>
      <c r="U170" s="5">
        <v>1820</v>
      </c>
      <c r="V170" s="5">
        <v>5201</v>
      </c>
      <c r="W170" s="5">
        <v>7454</v>
      </c>
      <c r="X170" s="5">
        <v>966</v>
      </c>
      <c r="Y170" s="5">
        <v>1001</v>
      </c>
      <c r="Z170" s="5">
        <v>16990</v>
      </c>
      <c r="AA170" s="5">
        <v>6235</v>
      </c>
      <c r="AB170" s="5">
        <v>1017</v>
      </c>
      <c r="AC170" s="5">
        <v>925</v>
      </c>
      <c r="AD170" s="5">
        <v>832</v>
      </c>
      <c r="AE170" s="5">
        <v>805</v>
      </c>
      <c r="AF170" s="5">
        <v>1028</v>
      </c>
      <c r="AG170" s="5">
        <v>1842</v>
      </c>
      <c r="AH170" s="5">
        <v>807</v>
      </c>
      <c r="AI170" s="5">
        <v>7529</v>
      </c>
      <c r="AJ170" s="5">
        <v>635</v>
      </c>
      <c r="AK170" s="5">
        <v>501</v>
      </c>
      <c r="AL170" s="5">
        <v>15829</v>
      </c>
      <c r="AM170" s="5">
        <v>869</v>
      </c>
      <c r="AN170" s="5">
        <v>13487</v>
      </c>
      <c r="AO170" s="5">
        <v>895</v>
      </c>
      <c r="AP170" s="5">
        <v>772</v>
      </c>
      <c r="AQ170" s="5">
        <v>26386</v>
      </c>
      <c r="AR170" s="5">
        <v>828</v>
      </c>
    </row>
    <row r="171" spans="1:44">
      <c r="A171" s="1" t="s">
        <v>870</v>
      </c>
      <c r="B171" s="1" t="s">
        <v>871</v>
      </c>
      <c r="C171" s="1" t="s">
        <v>116</v>
      </c>
      <c r="D171" s="1" t="str">
        <f>HYPERLINK("http://eros.fiehnlab.ucdavis.edu:8080/binbase-compound/bin/show/241049?db=rtx5","241049")</f>
        <v>241049</v>
      </c>
      <c r="E171" s="1" t="s">
        <v>872</v>
      </c>
      <c r="F171" s="1" t="s">
        <v>0</v>
      </c>
      <c r="G171" s="1" t="s">
        <v>0</v>
      </c>
      <c r="H171" s="1"/>
      <c r="I171" s="5">
        <v>10144</v>
      </c>
      <c r="J171" s="5">
        <v>59707</v>
      </c>
      <c r="K171" s="5">
        <v>3694</v>
      </c>
      <c r="L171" s="5">
        <v>2209</v>
      </c>
      <c r="M171" s="5">
        <v>14559</v>
      </c>
      <c r="N171" s="5">
        <v>20209</v>
      </c>
      <c r="O171" s="5">
        <v>10439</v>
      </c>
      <c r="P171" s="5">
        <v>3368</v>
      </c>
      <c r="Q171" s="5">
        <v>17664</v>
      </c>
      <c r="R171" s="5">
        <v>2174</v>
      </c>
      <c r="S171" s="5">
        <v>11535</v>
      </c>
      <c r="T171" s="5">
        <v>17094</v>
      </c>
      <c r="U171" s="5">
        <v>3448</v>
      </c>
      <c r="V171" s="5">
        <v>11083</v>
      </c>
      <c r="W171" s="5">
        <v>21521</v>
      </c>
      <c r="X171" s="5">
        <v>5387</v>
      </c>
      <c r="Y171" s="5">
        <v>2003</v>
      </c>
      <c r="Z171" s="5">
        <v>35239</v>
      </c>
      <c r="AA171" s="5">
        <v>18951</v>
      </c>
      <c r="AB171" s="5">
        <v>2483</v>
      </c>
      <c r="AC171" s="5">
        <v>1936</v>
      </c>
      <c r="AD171" s="5">
        <v>2320</v>
      </c>
      <c r="AE171" s="5">
        <v>3157</v>
      </c>
      <c r="AF171" s="5">
        <v>1927</v>
      </c>
      <c r="AG171" s="5">
        <v>4724</v>
      </c>
      <c r="AH171" s="5">
        <v>1773</v>
      </c>
      <c r="AI171" s="5">
        <v>16637</v>
      </c>
      <c r="AJ171" s="5">
        <v>1718</v>
      </c>
      <c r="AK171" s="5">
        <v>1384</v>
      </c>
      <c r="AL171" s="5">
        <v>38729</v>
      </c>
      <c r="AM171" s="5">
        <v>2523</v>
      </c>
      <c r="AN171" s="5">
        <v>32136</v>
      </c>
      <c r="AO171" s="5">
        <v>1699</v>
      </c>
      <c r="AP171" s="5">
        <v>2288</v>
      </c>
      <c r="AQ171" s="5">
        <v>52602</v>
      </c>
      <c r="AR171" s="5">
        <v>3471</v>
      </c>
    </row>
    <row r="172" spans="1:44">
      <c r="A172" s="1" t="s">
        <v>955</v>
      </c>
      <c r="B172" s="1" t="s">
        <v>956</v>
      </c>
      <c r="C172" s="1" t="s">
        <v>957</v>
      </c>
      <c r="D172" s="1" t="str">
        <f>HYPERLINK("http://eros.fiehnlab.ucdavis.edu:8080/binbase-compound/bin/show/231850?db=rtx5","231850")</f>
        <v>231850</v>
      </c>
      <c r="E172" s="1" t="s">
        <v>958</v>
      </c>
      <c r="F172" s="1" t="s">
        <v>0</v>
      </c>
      <c r="G172" s="1" t="s">
        <v>0</v>
      </c>
      <c r="H172" s="1"/>
      <c r="I172" s="5">
        <v>254</v>
      </c>
      <c r="J172" s="5">
        <v>217</v>
      </c>
      <c r="K172" s="5">
        <v>208</v>
      </c>
      <c r="L172" s="5">
        <v>294</v>
      </c>
      <c r="M172" s="5">
        <v>138</v>
      </c>
      <c r="N172" s="5">
        <v>118</v>
      </c>
      <c r="O172" s="5">
        <v>157</v>
      </c>
      <c r="P172" s="5">
        <v>144</v>
      </c>
      <c r="Q172" s="5">
        <v>343</v>
      </c>
      <c r="R172" s="5">
        <v>690</v>
      </c>
      <c r="S172" s="5">
        <v>371</v>
      </c>
      <c r="T172" s="5">
        <v>301</v>
      </c>
      <c r="U172" s="5">
        <v>147</v>
      </c>
      <c r="V172" s="5">
        <v>200</v>
      </c>
      <c r="W172" s="5">
        <v>162</v>
      </c>
      <c r="X172" s="5">
        <v>251</v>
      </c>
      <c r="Y172" s="5">
        <v>1191</v>
      </c>
      <c r="Z172" s="5">
        <v>477</v>
      </c>
      <c r="AA172" s="5">
        <v>570</v>
      </c>
      <c r="AB172" s="5">
        <v>216</v>
      </c>
      <c r="AC172" s="5">
        <v>1997</v>
      </c>
      <c r="AD172" s="5">
        <v>230</v>
      </c>
      <c r="AE172" s="5">
        <v>287</v>
      </c>
      <c r="AF172" s="5">
        <v>4685</v>
      </c>
      <c r="AG172" s="5">
        <v>1506</v>
      </c>
      <c r="AH172" s="5">
        <v>2704</v>
      </c>
      <c r="AI172" s="5">
        <v>201</v>
      </c>
      <c r="AJ172" s="5">
        <v>963</v>
      </c>
      <c r="AK172" s="5">
        <v>1274</v>
      </c>
      <c r="AL172" s="5">
        <v>212</v>
      </c>
      <c r="AM172" s="5">
        <v>158</v>
      </c>
      <c r="AN172" s="5">
        <v>214</v>
      </c>
      <c r="AO172" s="5">
        <v>445</v>
      </c>
      <c r="AP172" s="5">
        <v>2838</v>
      </c>
      <c r="AQ172" s="5">
        <v>375</v>
      </c>
      <c r="AR172" s="5">
        <v>225</v>
      </c>
    </row>
    <row r="173" spans="1:44">
      <c r="A173" s="1" t="s">
        <v>1022</v>
      </c>
      <c r="B173" s="1" t="s">
        <v>1023</v>
      </c>
      <c r="C173" s="1" t="s">
        <v>1024</v>
      </c>
      <c r="D173" s="1" t="str">
        <f>HYPERLINK("http://eros.fiehnlab.ucdavis.edu:8080/binbase-compound/bin/show/222065?db=rtx5","222065")</f>
        <v>222065</v>
      </c>
      <c r="E173" s="1" t="s">
        <v>1025</v>
      </c>
      <c r="F173" s="1" t="s">
        <v>0</v>
      </c>
      <c r="G173" s="1" t="s">
        <v>0</v>
      </c>
      <c r="H173" s="1"/>
      <c r="I173" s="5">
        <v>472</v>
      </c>
      <c r="J173" s="5">
        <v>813</v>
      </c>
      <c r="K173" s="5">
        <v>408</v>
      </c>
      <c r="L173" s="5">
        <v>334</v>
      </c>
      <c r="M173" s="5">
        <v>473</v>
      </c>
      <c r="N173" s="5">
        <v>463</v>
      </c>
      <c r="O173" s="5">
        <v>358</v>
      </c>
      <c r="P173" s="5">
        <v>302</v>
      </c>
      <c r="Q173" s="5">
        <v>404</v>
      </c>
      <c r="R173" s="5">
        <v>573</v>
      </c>
      <c r="S173" s="5">
        <v>1475</v>
      </c>
      <c r="T173" s="5">
        <v>3419</v>
      </c>
      <c r="U173" s="5">
        <v>208</v>
      </c>
      <c r="V173" s="5">
        <v>187</v>
      </c>
      <c r="W173" s="5">
        <v>278</v>
      </c>
      <c r="X173" s="5">
        <v>1083</v>
      </c>
      <c r="Y173" s="5">
        <v>1290</v>
      </c>
      <c r="Z173" s="5">
        <v>1444</v>
      </c>
      <c r="AA173" s="5">
        <v>6283</v>
      </c>
      <c r="AB173" s="5">
        <v>5563</v>
      </c>
      <c r="AC173" s="5">
        <v>5309</v>
      </c>
      <c r="AD173" s="5">
        <v>278</v>
      </c>
      <c r="AE173" s="5">
        <v>445</v>
      </c>
      <c r="AF173" s="5">
        <v>318</v>
      </c>
      <c r="AG173" s="5">
        <v>706</v>
      </c>
      <c r="AH173" s="5">
        <v>404</v>
      </c>
      <c r="AI173" s="5">
        <v>518</v>
      </c>
      <c r="AJ173" s="5">
        <v>1824</v>
      </c>
      <c r="AK173" s="5">
        <v>1947</v>
      </c>
      <c r="AL173" s="5">
        <v>3143</v>
      </c>
      <c r="AM173" s="5">
        <v>1803</v>
      </c>
      <c r="AN173" s="5">
        <v>2877</v>
      </c>
      <c r="AO173" s="5">
        <v>1978</v>
      </c>
      <c r="AP173" s="5">
        <v>7181</v>
      </c>
      <c r="AQ173" s="5">
        <v>9608</v>
      </c>
      <c r="AR173" s="5">
        <v>8503</v>
      </c>
    </row>
    <row r="174" spans="1:44">
      <c r="A174" s="1" t="s">
        <v>879</v>
      </c>
      <c r="B174" s="1" t="s">
        <v>880</v>
      </c>
      <c r="C174" s="1" t="s">
        <v>117</v>
      </c>
      <c r="D174" s="1" t="str">
        <f>HYPERLINK("http://eros.fiehnlab.ucdavis.edu:8080/binbase-compound/bin/show/241028?db=rtx5","241028")</f>
        <v>241028</v>
      </c>
      <c r="E174" s="1" t="s">
        <v>881</v>
      </c>
      <c r="F174" s="1" t="s">
        <v>0</v>
      </c>
      <c r="G174" s="1" t="s">
        <v>0</v>
      </c>
      <c r="H174" s="1"/>
      <c r="I174" s="5">
        <v>3251</v>
      </c>
      <c r="J174" s="5">
        <v>11083</v>
      </c>
      <c r="K174" s="5">
        <v>560</v>
      </c>
      <c r="L174" s="5">
        <v>1168</v>
      </c>
      <c r="M174" s="5">
        <v>3874</v>
      </c>
      <c r="N174" s="5">
        <v>3375</v>
      </c>
      <c r="O174" s="5">
        <v>2279</v>
      </c>
      <c r="P174" s="5">
        <v>996</v>
      </c>
      <c r="Q174" s="5">
        <v>3142</v>
      </c>
      <c r="R174" s="5">
        <v>640</v>
      </c>
      <c r="S174" s="5">
        <v>4126</v>
      </c>
      <c r="T174" s="5">
        <v>5354</v>
      </c>
      <c r="U174" s="5">
        <v>759</v>
      </c>
      <c r="V174" s="5">
        <v>2815</v>
      </c>
      <c r="W174" s="5">
        <v>3357</v>
      </c>
      <c r="X174" s="5">
        <v>1327</v>
      </c>
      <c r="Y174" s="5">
        <v>1125</v>
      </c>
      <c r="Z174" s="5">
        <v>4692</v>
      </c>
      <c r="AA174" s="5">
        <v>2855</v>
      </c>
      <c r="AB174" s="5">
        <v>708</v>
      </c>
      <c r="AC174" s="5">
        <v>193</v>
      </c>
      <c r="AD174" s="5">
        <v>435</v>
      </c>
      <c r="AE174" s="5">
        <v>2226</v>
      </c>
      <c r="AF174" s="5">
        <v>622</v>
      </c>
      <c r="AG174" s="5">
        <v>2293</v>
      </c>
      <c r="AH174" s="5">
        <v>337</v>
      </c>
      <c r="AI174" s="5">
        <v>5176</v>
      </c>
      <c r="AJ174" s="5">
        <v>317</v>
      </c>
      <c r="AK174" s="5">
        <v>685</v>
      </c>
      <c r="AL174" s="5">
        <v>9726</v>
      </c>
      <c r="AM174" s="5">
        <v>491</v>
      </c>
      <c r="AN174" s="5">
        <v>8115</v>
      </c>
      <c r="AO174" s="5">
        <v>454</v>
      </c>
      <c r="AP174" s="5">
        <v>377</v>
      </c>
      <c r="AQ174" s="5">
        <v>7444</v>
      </c>
      <c r="AR174" s="5">
        <v>540</v>
      </c>
    </row>
    <row r="175" spans="1:44">
      <c r="A175" s="1" t="s">
        <v>599</v>
      </c>
      <c r="B175" s="1" t="s">
        <v>600</v>
      </c>
      <c r="C175" s="1" t="s">
        <v>190</v>
      </c>
      <c r="D175" s="1" t="str">
        <f>HYPERLINK("http://eros.fiehnlab.ucdavis.edu:8080/binbase-compound/bin/show/408504?db=rtx5","408504")</f>
        <v>408504</v>
      </c>
      <c r="E175" s="1" t="s">
        <v>601</v>
      </c>
      <c r="F175" s="1" t="s">
        <v>0</v>
      </c>
      <c r="G175" s="1" t="s">
        <v>0</v>
      </c>
      <c r="H175" s="1"/>
      <c r="I175" s="5">
        <v>3003</v>
      </c>
      <c r="J175" s="5">
        <v>13095</v>
      </c>
      <c r="K175" s="5">
        <v>1032</v>
      </c>
      <c r="L175" s="5">
        <v>335</v>
      </c>
      <c r="M175" s="5">
        <v>4144</v>
      </c>
      <c r="N175" s="5">
        <v>4533</v>
      </c>
      <c r="O175" s="5">
        <v>4275</v>
      </c>
      <c r="P175" s="5">
        <v>756</v>
      </c>
      <c r="Q175" s="5">
        <v>4014</v>
      </c>
      <c r="R175" s="5">
        <v>734</v>
      </c>
      <c r="S175" s="5">
        <v>2098</v>
      </c>
      <c r="T175" s="5">
        <v>1466</v>
      </c>
      <c r="U175" s="5">
        <v>618</v>
      </c>
      <c r="V175" s="5">
        <v>3698</v>
      </c>
      <c r="W175" s="5">
        <v>5708</v>
      </c>
      <c r="X175" s="5">
        <v>617</v>
      </c>
      <c r="Y175" s="5">
        <v>261</v>
      </c>
      <c r="Z175" s="5">
        <v>7221</v>
      </c>
      <c r="AA175" s="5">
        <v>3681</v>
      </c>
      <c r="AB175" s="5">
        <v>308</v>
      </c>
      <c r="AC175" s="5">
        <v>304</v>
      </c>
      <c r="AD175" s="5">
        <v>211</v>
      </c>
      <c r="AE175" s="5">
        <v>328</v>
      </c>
      <c r="AF175" s="5">
        <v>504</v>
      </c>
      <c r="AG175" s="5">
        <v>806</v>
      </c>
      <c r="AH175" s="5">
        <v>278</v>
      </c>
      <c r="AI175" s="5">
        <v>4207</v>
      </c>
      <c r="AJ175" s="5">
        <v>228</v>
      </c>
      <c r="AK175" s="5">
        <v>295</v>
      </c>
      <c r="AL175" s="5">
        <v>7984</v>
      </c>
      <c r="AM175" s="5">
        <v>221</v>
      </c>
      <c r="AN175" s="5">
        <v>7731</v>
      </c>
      <c r="AO175" s="5">
        <v>295</v>
      </c>
      <c r="AP175" s="5">
        <v>333</v>
      </c>
      <c r="AQ175" s="5">
        <v>13756</v>
      </c>
      <c r="AR175" s="5">
        <v>309</v>
      </c>
    </row>
    <row r="176" spans="1:44">
      <c r="A176" s="1" t="s">
        <v>578</v>
      </c>
      <c r="B176" s="1" t="s">
        <v>579</v>
      </c>
      <c r="C176" s="1" t="s">
        <v>580</v>
      </c>
      <c r="D176" s="1" t="str">
        <f>HYPERLINK("http://eros.fiehnlab.ucdavis.edu:8080/binbase-compound/bin/show/408797?db=rtx5","408797")</f>
        <v>408797</v>
      </c>
      <c r="E176" s="1" t="s">
        <v>581</v>
      </c>
      <c r="F176" s="1" t="s">
        <v>0</v>
      </c>
      <c r="G176" s="1" t="s">
        <v>0</v>
      </c>
      <c r="H176" s="1"/>
      <c r="I176" s="5">
        <v>1571</v>
      </c>
      <c r="J176" s="5">
        <v>10171</v>
      </c>
      <c r="K176" s="5">
        <v>2485</v>
      </c>
      <c r="L176" s="5">
        <v>453</v>
      </c>
      <c r="M176" s="5">
        <v>292</v>
      </c>
      <c r="N176" s="5">
        <v>6247</v>
      </c>
      <c r="O176" s="5">
        <v>1990</v>
      </c>
      <c r="P176" s="5">
        <v>125</v>
      </c>
      <c r="Q176" s="5">
        <v>338</v>
      </c>
      <c r="R176" s="5">
        <v>126</v>
      </c>
      <c r="S176" s="5">
        <v>254</v>
      </c>
      <c r="T176" s="5">
        <v>275</v>
      </c>
      <c r="U176" s="5">
        <v>322</v>
      </c>
      <c r="V176" s="5">
        <v>1822</v>
      </c>
      <c r="W176" s="5">
        <v>3806</v>
      </c>
      <c r="X176" s="5">
        <v>759</v>
      </c>
      <c r="Y176" s="5">
        <v>275</v>
      </c>
      <c r="Z176" s="5">
        <v>400</v>
      </c>
      <c r="AA176" s="5">
        <v>701</v>
      </c>
      <c r="AB176" s="5">
        <v>714</v>
      </c>
      <c r="AC176" s="5">
        <v>450</v>
      </c>
      <c r="AD176" s="5">
        <v>1145</v>
      </c>
      <c r="AE176" s="5">
        <v>243</v>
      </c>
      <c r="AF176" s="5">
        <v>894</v>
      </c>
      <c r="AG176" s="5">
        <v>218</v>
      </c>
      <c r="AH176" s="5">
        <v>387</v>
      </c>
      <c r="AI176" s="5">
        <v>614</v>
      </c>
      <c r="AJ176" s="5">
        <v>525</v>
      </c>
      <c r="AK176" s="5">
        <v>267</v>
      </c>
      <c r="AL176" s="5">
        <v>4467</v>
      </c>
      <c r="AM176" s="5">
        <v>938</v>
      </c>
      <c r="AN176" s="5">
        <v>2318</v>
      </c>
      <c r="AO176" s="5">
        <v>730</v>
      </c>
      <c r="AP176" s="5">
        <v>661</v>
      </c>
      <c r="AQ176" s="5">
        <v>3884</v>
      </c>
      <c r="AR176" s="5">
        <v>621</v>
      </c>
    </row>
    <row r="177" spans="1:44">
      <c r="A177" s="1" t="s">
        <v>657</v>
      </c>
      <c r="B177" s="1" t="s">
        <v>658</v>
      </c>
      <c r="C177" s="1" t="s">
        <v>254</v>
      </c>
      <c r="D177" s="1" t="str">
        <f>HYPERLINK("http://eros.fiehnlab.ucdavis.edu:8080/binbase-compound/bin/show/362010?db=rtx5","362010")</f>
        <v>362010</v>
      </c>
      <c r="E177" s="1" t="s">
        <v>659</v>
      </c>
      <c r="F177" s="1" t="s">
        <v>0</v>
      </c>
      <c r="G177" s="1" t="s">
        <v>0</v>
      </c>
      <c r="H177" s="1"/>
      <c r="I177" s="5">
        <v>2122</v>
      </c>
      <c r="J177" s="5">
        <v>24212</v>
      </c>
      <c r="K177" s="5">
        <v>1492</v>
      </c>
      <c r="L177" s="5">
        <v>560</v>
      </c>
      <c r="M177" s="5">
        <v>6128</v>
      </c>
      <c r="N177" s="5">
        <v>4628</v>
      </c>
      <c r="O177" s="5">
        <v>5841</v>
      </c>
      <c r="P177" s="5">
        <v>1830</v>
      </c>
      <c r="Q177" s="5">
        <v>2155</v>
      </c>
      <c r="R177" s="5">
        <v>875</v>
      </c>
      <c r="S177" s="5">
        <v>655</v>
      </c>
      <c r="T177" s="5">
        <v>451</v>
      </c>
      <c r="U177" s="5">
        <v>1405</v>
      </c>
      <c r="V177" s="5">
        <v>5057</v>
      </c>
      <c r="W177" s="5">
        <v>8293</v>
      </c>
      <c r="X177" s="5">
        <v>368</v>
      </c>
      <c r="Y177" s="5">
        <v>463</v>
      </c>
      <c r="Z177" s="5">
        <v>7047</v>
      </c>
      <c r="AA177" s="5">
        <v>4063</v>
      </c>
      <c r="AB177" s="5">
        <v>381</v>
      </c>
      <c r="AC177" s="5">
        <v>448</v>
      </c>
      <c r="AD177" s="5">
        <v>617</v>
      </c>
      <c r="AE177" s="5">
        <v>335</v>
      </c>
      <c r="AF177" s="5">
        <v>705</v>
      </c>
      <c r="AG177" s="5">
        <v>536</v>
      </c>
      <c r="AH177" s="5">
        <v>497</v>
      </c>
      <c r="AI177" s="5">
        <v>3553</v>
      </c>
      <c r="AJ177" s="5">
        <v>598</v>
      </c>
      <c r="AK177" s="5">
        <v>313</v>
      </c>
      <c r="AL177" s="5">
        <v>6053</v>
      </c>
      <c r="AM177" s="5">
        <v>580</v>
      </c>
      <c r="AN177" s="5">
        <v>11445</v>
      </c>
      <c r="AO177" s="5">
        <v>585</v>
      </c>
      <c r="AP177" s="5">
        <v>564</v>
      </c>
      <c r="AQ177" s="5">
        <v>22709</v>
      </c>
      <c r="AR177" s="5">
        <v>310</v>
      </c>
    </row>
    <row r="178" spans="1:44">
      <c r="A178" s="1" t="s">
        <v>898</v>
      </c>
      <c r="B178" s="1" t="s">
        <v>899</v>
      </c>
      <c r="C178" s="1" t="s">
        <v>167</v>
      </c>
      <c r="D178" s="1" t="str">
        <f>HYPERLINK("http://eros.fiehnlab.ucdavis.edu:8080/binbase-compound/bin/show/238384?db=rtx5","238384")</f>
        <v>238384</v>
      </c>
      <c r="E178" s="1" t="s">
        <v>900</v>
      </c>
      <c r="F178" s="1" t="s">
        <v>0</v>
      </c>
      <c r="G178" s="1" t="s">
        <v>0</v>
      </c>
      <c r="H178" s="1"/>
      <c r="I178" s="5">
        <v>5881</v>
      </c>
      <c r="J178" s="5">
        <v>30669</v>
      </c>
      <c r="K178" s="5">
        <v>1970</v>
      </c>
      <c r="L178" s="5">
        <v>1442</v>
      </c>
      <c r="M178" s="5">
        <v>8313</v>
      </c>
      <c r="N178" s="5">
        <v>10158</v>
      </c>
      <c r="O178" s="5">
        <v>5955</v>
      </c>
      <c r="P178" s="5">
        <v>1874</v>
      </c>
      <c r="Q178" s="5">
        <v>8519</v>
      </c>
      <c r="R178" s="5">
        <v>1171</v>
      </c>
      <c r="S178" s="5">
        <v>5957</v>
      </c>
      <c r="T178" s="5">
        <v>9191</v>
      </c>
      <c r="U178" s="5">
        <v>1892</v>
      </c>
      <c r="V178" s="5">
        <v>6654</v>
      </c>
      <c r="W178" s="5">
        <v>10753</v>
      </c>
      <c r="X178" s="5">
        <v>3556</v>
      </c>
      <c r="Y178" s="5">
        <v>1359</v>
      </c>
      <c r="Z178" s="5">
        <v>20344</v>
      </c>
      <c r="AA178" s="5">
        <v>9038</v>
      </c>
      <c r="AB178" s="5">
        <v>1280</v>
      </c>
      <c r="AC178" s="5">
        <v>1400</v>
      </c>
      <c r="AD178" s="5">
        <v>1107</v>
      </c>
      <c r="AE178" s="5">
        <v>2013</v>
      </c>
      <c r="AF178" s="5">
        <v>1218</v>
      </c>
      <c r="AG178" s="5">
        <v>2570</v>
      </c>
      <c r="AH178" s="5">
        <v>1067</v>
      </c>
      <c r="AI178" s="5">
        <v>8483</v>
      </c>
      <c r="AJ178" s="5">
        <v>605</v>
      </c>
      <c r="AK178" s="5">
        <v>822</v>
      </c>
      <c r="AL178" s="5">
        <v>23773</v>
      </c>
      <c r="AM178" s="5">
        <v>1078</v>
      </c>
      <c r="AN178" s="5">
        <v>17127</v>
      </c>
      <c r="AO178" s="5">
        <v>1012</v>
      </c>
      <c r="AP178" s="5">
        <v>1137</v>
      </c>
      <c r="AQ178" s="5">
        <v>33123</v>
      </c>
      <c r="AR178" s="5">
        <v>1405</v>
      </c>
    </row>
    <row r="179" spans="1:44">
      <c r="A179" s="1" t="s">
        <v>669</v>
      </c>
      <c r="B179" s="1" t="s">
        <v>670</v>
      </c>
      <c r="C179" s="1" t="s">
        <v>167</v>
      </c>
      <c r="D179" s="1" t="str">
        <f>HYPERLINK("http://eros.fiehnlab.ucdavis.edu:8080/binbase-compound/bin/show/359567?db=rtx5","359567")</f>
        <v>359567</v>
      </c>
      <c r="E179" s="1" t="s">
        <v>671</v>
      </c>
      <c r="F179" s="1" t="s">
        <v>0</v>
      </c>
      <c r="G179" s="1" t="s">
        <v>0</v>
      </c>
      <c r="H179" s="1"/>
      <c r="I179" s="5">
        <v>1115</v>
      </c>
      <c r="J179" s="5">
        <v>5363</v>
      </c>
      <c r="K179" s="5">
        <v>532</v>
      </c>
      <c r="L179" s="5">
        <v>446</v>
      </c>
      <c r="M179" s="5">
        <v>1354</v>
      </c>
      <c r="N179" s="5">
        <v>2267</v>
      </c>
      <c r="O179" s="5">
        <v>1166</v>
      </c>
      <c r="P179" s="5">
        <v>497</v>
      </c>
      <c r="Q179" s="5">
        <v>2245</v>
      </c>
      <c r="R179" s="5">
        <v>293</v>
      </c>
      <c r="S179" s="5">
        <v>1107</v>
      </c>
      <c r="T179" s="5">
        <v>1712</v>
      </c>
      <c r="U179" s="5">
        <v>385</v>
      </c>
      <c r="V179" s="5">
        <v>1066</v>
      </c>
      <c r="W179" s="5">
        <v>2472</v>
      </c>
      <c r="X179" s="5">
        <v>734</v>
      </c>
      <c r="Y179" s="5">
        <v>280</v>
      </c>
      <c r="Z179" s="5">
        <v>3598</v>
      </c>
      <c r="AA179" s="5">
        <v>1821</v>
      </c>
      <c r="AB179" s="5">
        <v>318</v>
      </c>
      <c r="AC179" s="5">
        <v>331</v>
      </c>
      <c r="AD179" s="5">
        <v>582</v>
      </c>
      <c r="AE179" s="5">
        <v>304</v>
      </c>
      <c r="AF179" s="5">
        <v>323</v>
      </c>
      <c r="AG179" s="5">
        <v>334</v>
      </c>
      <c r="AH179" s="5">
        <v>260</v>
      </c>
      <c r="AI179" s="5">
        <v>1532</v>
      </c>
      <c r="AJ179" s="5">
        <v>258</v>
      </c>
      <c r="AK179" s="5">
        <v>257</v>
      </c>
      <c r="AL179" s="5">
        <v>3530</v>
      </c>
      <c r="AM179" s="5">
        <v>334</v>
      </c>
      <c r="AN179" s="5">
        <v>2950</v>
      </c>
      <c r="AO179" s="5">
        <v>311</v>
      </c>
      <c r="AP179" s="5">
        <v>305</v>
      </c>
      <c r="AQ179" s="5">
        <v>5069</v>
      </c>
      <c r="AR179" s="5">
        <v>444</v>
      </c>
    </row>
    <row r="180" spans="1:44">
      <c r="A180" s="1" t="s">
        <v>847</v>
      </c>
      <c r="B180" s="1" t="s">
        <v>848</v>
      </c>
      <c r="C180" s="1" t="s">
        <v>116</v>
      </c>
      <c r="D180" s="1" t="str">
        <f>HYPERLINK("http://eros.fiehnlab.ucdavis.edu:8080/binbase-compound/bin/show/241668?db=rtx5","241668")</f>
        <v>241668</v>
      </c>
      <c r="E180" s="1" t="s">
        <v>849</v>
      </c>
      <c r="F180" s="1" t="s">
        <v>0</v>
      </c>
      <c r="G180" s="1" t="s">
        <v>0</v>
      </c>
      <c r="H180" s="1"/>
      <c r="I180" s="5">
        <v>2803</v>
      </c>
      <c r="J180" s="5">
        <v>14991</v>
      </c>
      <c r="K180" s="5">
        <v>907</v>
      </c>
      <c r="L180" s="5">
        <v>652</v>
      </c>
      <c r="M180" s="5">
        <v>3524</v>
      </c>
      <c r="N180" s="5">
        <v>5298</v>
      </c>
      <c r="O180" s="5">
        <v>2941</v>
      </c>
      <c r="P180" s="5">
        <v>863</v>
      </c>
      <c r="Q180" s="5">
        <v>4614</v>
      </c>
      <c r="R180" s="5">
        <v>641</v>
      </c>
      <c r="S180" s="5">
        <v>2845</v>
      </c>
      <c r="T180" s="5">
        <v>4118</v>
      </c>
      <c r="U180" s="5">
        <v>1006</v>
      </c>
      <c r="V180" s="5">
        <v>2681</v>
      </c>
      <c r="W180" s="5">
        <v>5191</v>
      </c>
      <c r="X180" s="5">
        <v>1465</v>
      </c>
      <c r="Y180" s="5">
        <v>663</v>
      </c>
      <c r="Z180" s="5">
        <v>8409</v>
      </c>
      <c r="AA180" s="5">
        <v>4998</v>
      </c>
      <c r="AB180" s="5">
        <v>761</v>
      </c>
      <c r="AC180" s="5">
        <v>633</v>
      </c>
      <c r="AD180" s="5">
        <v>752</v>
      </c>
      <c r="AE180" s="5">
        <v>1011</v>
      </c>
      <c r="AF180" s="5">
        <v>649</v>
      </c>
      <c r="AG180" s="5">
        <v>1163</v>
      </c>
      <c r="AH180" s="5">
        <v>566</v>
      </c>
      <c r="AI180" s="5">
        <v>4648</v>
      </c>
      <c r="AJ180" s="5">
        <v>503</v>
      </c>
      <c r="AK180" s="5">
        <v>517</v>
      </c>
      <c r="AL180" s="5">
        <v>9785</v>
      </c>
      <c r="AM180" s="5">
        <v>772</v>
      </c>
      <c r="AN180" s="5">
        <v>8570</v>
      </c>
      <c r="AO180" s="5">
        <v>584</v>
      </c>
      <c r="AP180" s="5">
        <v>786</v>
      </c>
      <c r="AQ180" s="5">
        <v>13605</v>
      </c>
      <c r="AR180" s="5">
        <v>1069</v>
      </c>
    </row>
    <row r="181" spans="1:44">
      <c r="A181" s="1" t="s">
        <v>540</v>
      </c>
      <c r="B181" s="1" t="s">
        <v>541</v>
      </c>
      <c r="C181" s="1" t="s">
        <v>167</v>
      </c>
      <c r="D181" s="1" t="str">
        <f>HYPERLINK("http://eros.fiehnlab.ucdavis.edu:8080/binbase-compound/bin/show/409263?db=rtx5","409263")</f>
        <v>409263</v>
      </c>
      <c r="E181" s="1" t="s">
        <v>542</v>
      </c>
      <c r="F181" s="1" t="s">
        <v>0</v>
      </c>
      <c r="G181" s="1" t="s">
        <v>0</v>
      </c>
      <c r="H181" s="1"/>
      <c r="I181" s="5">
        <v>800</v>
      </c>
      <c r="J181" s="5">
        <v>3635</v>
      </c>
      <c r="K181" s="5">
        <v>401</v>
      </c>
      <c r="L181" s="5">
        <v>321</v>
      </c>
      <c r="M181" s="5">
        <v>946</v>
      </c>
      <c r="N181" s="5">
        <v>1561</v>
      </c>
      <c r="O181" s="5">
        <v>1042</v>
      </c>
      <c r="P181" s="5">
        <v>299</v>
      </c>
      <c r="Q181" s="5">
        <v>1678</v>
      </c>
      <c r="R181" s="5">
        <v>202</v>
      </c>
      <c r="S181" s="5">
        <v>832</v>
      </c>
      <c r="T181" s="5">
        <v>983</v>
      </c>
      <c r="U181" s="5">
        <v>274</v>
      </c>
      <c r="V181" s="5">
        <v>735</v>
      </c>
      <c r="W181" s="5">
        <v>2027</v>
      </c>
      <c r="X181" s="5">
        <v>566</v>
      </c>
      <c r="Y181" s="5">
        <v>178</v>
      </c>
      <c r="Z181" s="5">
        <v>2080</v>
      </c>
      <c r="AA181" s="5">
        <v>1133</v>
      </c>
      <c r="AB181" s="5">
        <v>280</v>
      </c>
      <c r="AC181" s="5">
        <v>234</v>
      </c>
      <c r="AD181" s="5">
        <v>328</v>
      </c>
      <c r="AE181" s="5">
        <v>434</v>
      </c>
      <c r="AF181" s="5">
        <v>229</v>
      </c>
      <c r="AG181" s="5">
        <v>377</v>
      </c>
      <c r="AH181" s="5">
        <v>249</v>
      </c>
      <c r="AI181" s="5">
        <v>929</v>
      </c>
      <c r="AJ181" s="5">
        <v>220</v>
      </c>
      <c r="AK181" s="5">
        <v>189</v>
      </c>
      <c r="AL181" s="5">
        <v>2687</v>
      </c>
      <c r="AM181" s="5">
        <v>354</v>
      </c>
      <c r="AN181" s="5">
        <v>2093</v>
      </c>
      <c r="AO181" s="5">
        <v>205</v>
      </c>
      <c r="AP181" s="5">
        <v>256</v>
      </c>
      <c r="AQ181" s="5">
        <v>3387</v>
      </c>
      <c r="AR181" s="5">
        <v>380</v>
      </c>
    </row>
    <row r="182" spans="1:44">
      <c r="A182" s="1" t="s">
        <v>572</v>
      </c>
      <c r="B182" s="1" t="s">
        <v>573</v>
      </c>
      <c r="C182" s="1" t="s">
        <v>190</v>
      </c>
      <c r="D182" s="1" t="str">
        <f>HYPERLINK("http://eros.fiehnlab.ucdavis.edu:8080/binbase-compound/bin/show/408849?db=rtx5","408849")</f>
        <v>408849</v>
      </c>
      <c r="E182" s="1" t="s">
        <v>574</v>
      </c>
      <c r="F182" s="1" t="s">
        <v>0</v>
      </c>
      <c r="G182" s="1" t="s">
        <v>0</v>
      </c>
      <c r="H182" s="1"/>
      <c r="I182" s="5">
        <v>2329</v>
      </c>
      <c r="J182" s="5">
        <v>11956</v>
      </c>
      <c r="K182" s="5">
        <v>1311</v>
      </c>
      <c r="L182" s="5">
        <v>538</v>
      </c>
      <c r="M182" s="5">
        <v>3915</v>
      </c>
      <c r="N182" s="5">
        <v>3764</v>
      </c>
      <c r="O182" s="5">
        <v>4687</v>
      </c>
      <c r="P182" s="5">
        <v>1310</v>
      </c>
      <c r="Q182" s="5">
        <v>3823</v>
      </c>
      <c r="R182" s="5">
        <v>786</v>
      </c>
      <c r="S182" s="5">
        <v>1078</v>
      </c>
      <c r="T182" s="5">
        <v>1586</v>
      </c>
      <c r="U182" s="5">
        <v>1127</v>
      </c>
      <c r="V182" s="5">
        <v>2886</v>
      </c>
      <c r="W182" s="5">
        <v>4263</v>
      </c>
      <c r="X182" s="5">
        <v>562</v>
      </c>
      <c r="Y182" s="5">
        <v>610</v>
      </c>
      <c r="Z182" s="5">
        <v>8681</v>
      </c>
      <c r="AA182" s="5">
        <v>3608</v>
      </c>
      <c r="AB182" s="5">
        <v>834</v>
      </c>
      <c r="AC182" s="5">
        <v>335</v>
      </c>
      <c r="AD182" s="5">
        <v>540</v>
      </c>
      <c r="AE182" s="5">
        <v>325</v>
      </c>
      <c r="AF182" s="5">
        <v>581</v>
      </c>
      <c r="AG182" s="5">
        <v>1042</v>
      </c>
      <c r="AH182" s="5">
        <v>613</v>
      </c>
      <c r="AI182" s="5">
        <v>3925</v>
      </c>
      <c r="AJ182" s="5">
        <v>289</v>
      </c>
      <c r="AK182" s="5">
        <v>326</v>
      </c>
      <c r="AL182" s="5">
        <v>7140</v>
      </c>
      <c r="AM182" s="5">
        <v>553</v>
      </c>
      <c r="AN182" s="5">
        <v>6777</v>
      </c>
      <c r="AO182" s="5">
        <v>518</v>
      </c>
      <c r="AP182" s="5">
        <v>434</v>
      </c>
      <c r="AQ182" s="5">
        <v>13139</v>
      </c>
      <c r="AR182" s="5">
        <v>570</v>
      </c>
    </row>
    <row r="183" spans="1:44">
      <c r="A183" s="1" t="s">
        <v>724</v>
      </c>
      <c r="B183" s="1" t="s">
        <v>725</v>
      </c>
      <c r="C183" s="1" t="s">
        <v>726</v>
      </c>
      <c r="D183" s="1" t="str">
        <f>HYPERLINK("http://eros.fiehnlab.ucdavis.edu:8080/binbase-compound/bin/show/308208?db=rtx5","308208")</f>
        <v>308208</v>
      </c>
      <c r="E183" s="1" t="s">
        <v>727</v>
      </c>
      <c r="F183" s="1" t="s">
        <v>0</v>
      </c>
      <c r="G183" s="1" t="s">
        <v>0</v>
      </c>
      <c r="H183" s="1"/>
      <c r="I183" s="5">
        <v>351</v>
      </c>
      <c r="J183" s="5">
        <v>2964</v>
      </c>
      <c r="K183" s="5">
        <v>291</v>
      </c>
      <c r="L183" s="5">
        <v>195</v>
      </c>
      <c r="M183" s="5">
        <v>540</v>
      </c>
      <c r="N183" s="5">
        <v>1080</v>
      </c>
      <c r="O183" s="5">
        <v>549</v>
      </c>
      <c r="P183" s="5">
        <v>277</v>
      </c>
      <c r="Q183" s="5">
        <v>861</v>
      </c>
      <c r="R183" s="5">
        <v>227</v>
      </c>
      <c r="S183" s="5">
        <v>496</v>
      </c>
      <c r="T183" s="5">
        <v>746</v>
      </c>
      <c r="U183" s="5">
        <v>255</v>
      </c>
      <c r="V183" s="5">
        <v>512</v>
      </c>
      <c r="W183" s="5">
        <v>899</v>
      </c>
      <c r="X183" s="5">
        <v>302</v>
      </c>
      <c r="Y183" s="5">
        <v>204</v>
      </c>
      <c r="Z183" s="5">
        <v>1719</v>
      </c>
      <c r="AA183" s="5">
        <v>804</v>
      </c>
      <c r="AB183" s="5">
        <v>234</v>
      </c>
      <c r="AC183" s="5">
        <v>188</v>
      </c>
      <c r="AD183" s="5">
        <v>204</v>
      </c>
      <c r="AE183" s="5">
        <v>267</v>
      </c>
      <c r="AF183" s="5">
        <v>201</v>
      </c>
      <c r="AG183" s="5">
        <v>279</v>
      </c>
      <c r="AH183" s="5">
        <v>179</v>
      </c>
      <c r="AI183" s="5">
        <v>911</v>
      </c>
      <c r="AJ183" s="5">
        <v>176</v>
      </c>
      <c r="AK183" s="5">
        <v>171</v>
      </c>
      <c r="AL183" s="5">
        <v>1617</v>
      </c>
      <c r="AM183" s="5">
        <v>208</v>
      </c>
      <c r="AN183" s="5">
        <v>1478</v>
      </c>
      <c r="AO183" s="5">
        <v>176</v>
      </c>
      <c r="AP183" s="5">
        <v>209</v>
      </c>
      <c r="AQ183" s="5">
        <v>2686</v>
      </c>
      <c r="AR183" s="5">
        <v>264</v>
      </c>
    </row>
    <row r="184" spans="1:44">
      <c r="A184" s="1" t="s">
        <v>1130</v>
      </c>
      <c r="B184" s="1" t="s">
        <v>1131</v>
      </c>
      <c r="C184" s="1" t="s">
        <v>625</v>
      </c>
      <c r="D184" s="1" t="str">
        <f>HYPERLINK("http://eros.fiehnlab.ucdavis.edu:8080/binbase-compound/bin/show/201005?db=rtx5","201005")</f>
        <v>201005</v>
      </c>
      <c r="E184" s="1" t="s">
        <v>1132</v>
      </c>
      <c r="F184" s="1" t="s">
        <v>0</v>
      </c>
      <c r="G184" s="1" t="s">
        <v>0</v>
      </c>
      <c r="H184" s="1"/>
      <c r="I184" s="5">
        <v>229</v>
      </c>
      <c r="J184" s="5">
        <v>1146</v>
      </c>
      <c r="K184" s="5">
        <v>123</v>
      </c>
      <c r="L184" s="5">
        <v>100</v>
      </c>
      <c r="M184" s="5">
        <v>723</v>
      </c>
      <c r="N184" s="5">
        <v>450</v>
      </c>
      <c r="O184" s="5">
        <v>802</v>
      </c>
      <c r="P184" s="5">
        <v>158</v>
      </c>
      <c r="Q184" s="5">
        <v>309</v>
      </c>
      <c r="R184" s="5">
        <v>165</v>
      </c>
      <c r="S184" s="5">
        <v>281</v>
      </c>
      <c r="T184" s="5">
        <v>223</v>
      </c>
      <c r="U184" s="5">
        <v>179</v>
      </c>
      <c r="V184" s="5">
        <v>417</v>
      </c>
      <c r="W184" s="5">
        <v>432</v>
      </c>
      <c r="X184" s="5">
        <v>141</v>
      </c>
      <c r="Y184" s="5">
        <v>126</v>
      </c>
      <c r="Z184" s="5">
        <v>1258</v>
      </c>
      <c r="AA184" s="5">
        <v>722</v>
      </c>
      <c r="AB184" s="5">
        <v>161</v>
      </c>
      <c r="AC184" s="5">
        <v>104</v>
      </c>
      <c r="AD184" s="5">
        <v>120</v>
      </c>
      <c r="AE184" s="5">
        <v>138</v>
      </c>
      <c r="AF184" s="5">
        <v>124</v>
      </c>
      <c r="AG184" s="5">
        <v>277</v>
      </c>
      <c r="AH184" s="5">
        <v>161</v>
      </c>
      <c r="AI184" s="5">
        <v>1155</v>
      </c>
      <c r="AJ184" s="5">
        <v>112</v>
      </c>
      <c r="AK184" s="5">
        <v>128</v>
      </c>
      <c r="AL184" s="5">
        <v>647</v>
      </c>
      <c r="AM184" s="5">
        <v>166</v>
      </c>
      <c r="AN184" s="5">
        <v>878</v>
      </c>
      <c r="AO184" s="5">
        <v>115</v>
      </c>
      <c r="AP184" s="5">
        <v>150</v>
      </c>
      <c r="AQ184" s="5">
        <v>1900</v>
      </c>
      <c r="AR184" s="5">
        <v>142</v>
      </c>
    </row>
    <row r="185" spans="1:44">
      <c r="A185" s="1" t="s">
        <v>711</v>
      </c>
      <c r="B185" s="1" t="s">
        <v>712</v>
      </c>
      <c r="C185" s="1" t="s">
        <v>167</v>
      </c>
      <c r="D185" s="1" t="str">
        <f>HYPERLINK("http://eros.fiehnlab.ucdavis.edu:8080/binbase-compound/bin/show/312139?db=rtx5","312139")</f>
        <v>312139</v>
      </c>
      <c r="E185" s="1" t="s">
        <v>713</v>
      </c>
      <c r="F185" s="1" t="s">
        <v>0</v>
      </c>
      <c r="G185" s="1" t="s">
        <v>0</v>
      </c>
      <c r="H185" s="1"/>
      <c r="I185" s="5">
        <v>1979</v>
      </c>
      <c r="J185" s="5">
        <v>10618</v>
      </c>
      <c r="K185" s="5">
        <v>714</v>
      </c>
      <c r="L185" s="5">
        <v>635</v>
      </c>
      <c r="M185" s="5">
        <v>2523</v>
      </c>
      <c r="N185" s="5">
        <v>4165</v>
      </c>
      <c r="O185" s="5">
        <v>2247</v>
      </c>
      <c r="P185" s="5">
        <v>908</v>
      </c>
      <c r="Q185" s="5">
        <v>3053</v>
      </c>
      <c r="R185" s="5">
        <v>367</v>
      </c>
      <c r="S185" s="5">
        <v>2038</v>
      </c>
      <c r="T185" s="5">
        <v>2874</v>
      </c>
      <c r="U185" s="5">
        <v>666</v>
      </c>
      <c r="V185" s="5">
        <v>1940</v>
      </c>
      <c r="W185" s="5">
        <v>3914</v>
      </c>
      <c r="X185" s="5">
        <v>979</v>
      </c>
      <c r="Y185" s="5">
        <v>362</v>
      </c>
      <c r="Z185" s="5">
        <v>6445</v>
      </c>
      <c r="AA185" s="5">
        <v>3847</v>
      </c>
      <c r="AB185" s="5">
        <v>594</v>
      </c>
      <c r="AC185" s="5">
        <v>536</v>
      </c>
      <c r="AD185" s="5">
        <v>840</v>
      </c>
      <c r="AE185" s="5">
        <v>630</v>
      </c>
      <c r="AF185" s="5">
        <v>503</v>
      </c>
      <c r="AG185" s="5">
        <v>1034</v>
      </c>
      <c r="AH185" s="5">
        <v>496</v>
      </c>
      <c r="AI185" s="5">
        <v>2925</v>
      </c>
      <c r="AJ185" s="5">
        <v>439</v>
      </c>
      <c r="AK185" s="5">
        <v>461</v>
      </c>
      <c r="AL185" s="5">
        <v>7421</v>
      </c>
      <c r="AM185" s="5">
        <v>651</v>
      </c>
      <c r="AN185" s="5">
        <v>5701</v>
      </c>
      <c r="AO185" s="5">
        <v>343</v>
      </c>
      <c r="AP185" s="5">
        <v>378</v>
      </c>
      <c r="AQ185" s="5">
        <v>10427</v>
      </c>
      <c r="AR185" s="5">
        <v>554</v>
      </c>
    </row>
    <row r="186" spans="1:44">
      <c r="A186" s="1" t="s">
        <v>666</v>
      </c>
      <c r="B186" s="1" t="s">
        <v>667</v>
      </c>
      <c r="C186" s="1" t="s">
        <v>117</v>
      </c>
      <c r="D186" s="1" t="str">
        <f>HYPERLINK("http://eros.fiehnlab.ucdavis.edu:8080/binbase-compound/bin/show/359687?db=rtx5","359687")</f>
        <v>359687</v>
      </c>
      <c r="E186" s="1" t="s">
        <v>668</v>
      </c>
      <c r="F186" s="1" t="s">
        <v>0</v>
      </c>
      <c r="G186" s="1" t="s">
        <v>0</v>
      </c>
      <c r="H186" s="1"/>
      <c r="I186" s="5">
        <v>1145</v>
      </c>
      <c r="J186" s="5">
        <v>4071</v>
      </c>
      <c r="K186" s="5">
        <v>431</v>
      </c>
      <c r="L186" s="5">
        <v>320</v>
      </c>
      <c r="M186" s="5">
        <v>1363</v>
      </c>
      <c r="N186" s="5">
        <v>1034</v>
      </c>
      <c r="O186" s="5">
        <v>741</v>
      </c>
      <c r="P186" s="5">
        <v>383</v>
      </c>
      <c r="Q186" s="5">
        <v>1252</v>
      </c>
      <c r="R186" s="5">
        <v>217</v>
      </c>
      <c r="S186" s="5">
        <v>1048</v>
      </c>
      <c r="T186" s="5">
        <v>1563</v>
      </c>
      <c r="U186" s="5">
        <v>344</v>
      </c>
      <c r="V186" s="5">
        <v>1045</v>
      </c>
      <c r="W186" s="5">
        <v>1609</v>
      </c>
      <c r="X186" s="5">
        <v>716</v>
      </c>
      <c r="Y186" s="5">
        <v>311</v>
      </c>
      <c r="Z186" s="5">
        <v>3458</v>
      </c>
      <c r="AA186" s="5">
        <v>1260</v>
      </c>
      <c r="AB186" s="5">
        <v>478</v>
      </c>
      <c r="AC186" s="5">
        <v>307</v>
      </c>
      <c r="AD186" s="5">
        <v>271</v>
      </c>
      <c r="AE186" s="5">
        <v>786</v>
      </c>
      <c r="AF186" s="5">
        <v>289</v>
      </c>
      <c r="AG186" s="5">
        <v>635</v>
      </c>
      <c r="AH186" s="5">
        <v>296</v>
      </c>
      <c r="AI186" s="5">
        <v>959</v>
      </c>
      <c r="AJ186" s="5">
        <v>289</v>
      </c>
      <c r="AK186" s="5">
        <v>385</v>
      </c>
      <c r="AL186" s="5">
        <v>4332</v>
      </c>
      <c r="AM186" s="5">
        <v>312</v>
      </c>
      <c r="AN186" s="5">
        <v>3082</v>
      </c>
      <c r="AO186" s="5">
        <v>300</v>
      </c>
      <c r="AP186" s="5">
        <v>263</v>
      </c>
      <c r="AQ186" s="5">
        <v>4591</v>
      </c>
      <c r="AR186" s="5">
        <v>348</v>
      </c>
    </row>
    <row r="187" spans="1:44">
      <c r="A187" s="1" t="s">
        <v>728</v>
      </c>
      <c r="B187" s="1" t="s">
        <v>729</v>
      </c>
      <c r="C187" s="1" t="s">
        <v>155</v>
      </c>
      <c r="D187" s="1" t="str">
        <f>HYPERLINK("http://eros.fiehnlab.ucdavis.edu:8080/binbase-compound/bin/show/308198?db=rtx5","308198")</f>
        <v>308198</v>
      </c>
      <c r="E187" s="1" t="s">
        <v>730</v>
      </c>
      <c r="F187" s="1" t="s">
        <v>0</v>
      </c>
      <c r="G187" s="1" t="s">
        <v>0</v>
      </c>
      <c r="H187" s="1"/>
      <c r="I187" s="5">
        <v>443</v>
      </c>
      <c r="J187" s="5">
        <v>3082</v>
      </c>
      <c r="K187" s="5">
        <v>271</v>
      </c>
      <c r="L187" s="5">
        <v>194</v>
      </c>
      <c r="M187" s="5">
        <v>847</v>
      </c>
      <c r="N187" s="5">
        <v>931</v>
      </c>
      <c r="O187" s="5">
        <v>606</v>
      </c>
      <c r="P187" s="5">
        <v>210</v>
      </c>
      <c r="Q187" s="5">
        <v>427</v>
      </c>
      <c r="R187" s="5">
        <v>245</v>
      </c>
      <c r="S187" s="5">
        <v>453</v>
      </c>
      <c r="T187" s="5">
        <v>579</v>
      </c>
      <c r="U187" s="5">
        <v>273</v>
      </c>
      <c r="V187" s="5">
        <v>538</v>
      </c>
      <c r="W187" s="5">
        <v>912</v>
      </c>
      <c r="X187" s="5">
        <v>360</v>
      </c>
      <c r="Y187" s="5">
        <v>230</v>
      </c>
      <c r="Z187" s="5">
        <v>1727</v>
      </c>
      <c r="AA187" s="5">
        <v>538</v>
      </c>
      <c r="AB187" s="5">
        <v>213</v>
      </c>
      <c r="AC187" s="5">
        <v>163</v>
      </c>
      <c r="AD187" s="5">
        <v>198</v>
      </c>
      <c r="AE187" s="5">
        <v>259</v>
      </c>
      <c r="AF187" s="5">
        <v>222</v>
      </c>
      <c r="AG187" s="5">
        <v>342</v>
      </c>
      <c r="AH187" s="5">
        <v>153</v>
      </c>
      <c r="AI187" s="5">
        <v>712</v>
      </c>
      <c r="AJ187" s="5">
        <v>229</v>
      </c>
      <c r="AK187" s="5">
        <v>157</v>
      </c>
      <c r="AL187" s="5">
        <v>2489</v>
      </c>
      <c r="AM187" s="5">
        <v>218</v>
      </c>
      <c r="AN187" s="5">
        <v>1444</v>
      </c>
      <c r="AO187" s="5">
        <v>156</v>
      </c>
      <c r="AP187" s="5">
        <v>237</v>
      </c>
      <c r="AQ187" s="5">
        <v>3496</v>
      </c>
      <c r="AR187" s="5">
        <v>250</v>
      </c>
    </row>
    <row r="188" spans="1:44">
      <c r="A188" s="1" t="s">
        <v>864</v>
      </c>
      <c r="B188" s="1" t="s">
        <v>865</v>
      </c>
      <c r="C188" s="1" t="s">
        <v>852</v>
      </c>
      <c r="D188" s="1" t="str">
        <f>HYPERLINK("http://eros.fiehnlab.ucdavis.edu:8080/binbase-compound/bin/show/241064?db=rtx5","241064")</f>
        <v>241064</v>
      </c>
      <c r="E188" s="1" t="s">
        <v>866</v>
      </c>
      <c r="F188" s="1" t="s">
        <v>0</v>
      </c>
      <c r="G188" s="1" t="s">
        <v>0</v>
      </c>
      <c r="H188" s="1"/>
      <c r="I188" s="5">
        <v>1152</v>
      </c>
      <c r="J188" s="5">
        <v>7310</v>
      </c>
      <c r="K188" s="5">
        <v>473</v>
      </c>
      <c r="L188" s="5">
        <v>252</v>
      </c>
      <c r="M188" s="5">
        <v>1500</v>
      </c>
      <c r="N188" s="5">
        <v>2414</v>
      </c>
      <c r="O188" s="5">
        <v>1382</v>
      </c>
      <c r="P188" s="5">
        <v>540</v>
      </c>
      <c r="Q188" s="5">
        <v>2055</v>
      </c>
      <c r="R188" s="5">
        <v>208</v>
      </c>
      <c r="S188" s="5">
        <v>1445</v>
      </c>
      <c r="T188" s="5">
        <v>2146</v>
      </c>
      <c r="U188" s="5">
        <v>465</v>
      </c>
      <c r="V188" s="5">
        <v>1260</v>
      </c>
      <c r="W188" s="5">
        <v>2292</v>
      </c>
      <c r="X188" s="5">
        <v>589</v>
      </c>
      <c r="Y188" s="5">
        <v>288</v>
      </c>
      <c r="Z188" s="5">
        <v>4197</v>
      </c>
      <c r="AA188" s="5">
        <v>2231</v>
      </c>
      <c r="AB188" s="5">
        <v>379</v>
      </c>
      <c r="AC188" s="5">
        <v>299</v>
      </c>
      <c r="AD188" s="5">
        <v>307</v>
      </c>
      <c r="AE188" s="5">
        <v>380</v>
      </c>
      <c r="AF188" s="5">
        <v>287</v>
      </c>
      <c r="AG188" s="5">
        <v>529</v>
      </c>
      <c r="AH188" s="5">
        <v>323</v>
      </c>
      <c r="AI188" s="5">
        <v>2160</v>
      </c>
      <c r="AJ188" s="5">
        <v>309</v>
      </c>
      <c r="AK188" s="5">
        <v>323</v>
      </c>
      <c r="AL188" s="5">
        <v>4233</v>
      </c>
      <c r="AM188" s="5">
        <v>486</v>
      </c>
      <c r="AN188" s="5">
        <v>3616</v>
      </c>
      <c r="AO188" s="5">
        <v>343</v>
      </c>
      <c r="AP188" s="5">
        <v>392</v>
      </c>
      <c r="AQ188" s="5">
        <v>6390</v>
      </c>
      <c r="AR188" s="5">
        <v>447</v>
      </c>
    </row>
    <row r="189" spans="1:44">
      <c r="A189" s="1" t="s">
        <v>546</v>
      </c>
      <c r="B189" s="1" t="s">
        <v>547</v>
      </c>
      <c r="C189" s="1" t="s">
        <v>167</v>
      </c>
      <c r="D189" s="1" t="str">
        <f>HYPERLINK("http://eros.fiehnlab.ucdavis.edu:8080/binbase-compound/bin/show/409131?db=rtx5","409131")</f>
        <v>409131</v>
      </c>
      <c r="E189" s="1" t="s">
        <v>548</v>
      </c>
      <c r="F189" s="1" t="s">
        <v>0</v>
      </c>
      <c r="G189" s="1" t="s">
        <v>0</v>
      </c>
      <c r="H189" s="1"/>
      <c r="I189" s="5">
        <v>1002</v>
      </c>
      <c r="J189" s="5">
        <v>7673</v>
      </c>
      <c r="K189" s="5">
        <v>457</v>
      </c>
      <c r="L189" s="5">
        <v>273</v>
      </c>
      <c r="M189" s="5">
        <v>1679</v>
      </c>
      <c r="N189" s="5">
        <v>2259</v>
      </c>
      <c r="O189" s="5">
        <v>1315</v>
      </c>
      <c r="P189" s="5">
        <v>311</v>
      </c>
      <c r="Q189" s="5">
        <v>2837</v>
      </c>
      <c r="R189" s="5">
        <v>308</v>
      </c>
      <c r="S189" s="5">
        <v>1492</v>
      </c>
      <c r="T189" s="5">
        <v>2640</v>
      </c>
      <c r="U189" s="5">
        <v>485</v>
      </c>
      <c r="V189" s="5">
        <v>1382</v>
      </c>
      <c r="W189" s="5">
        <v>2785</v>
      </c>
      <c r="X189" s="5">
        <v>688</v>
      </c>
      <c r="Y189" s="5">
        <v>457</v>
      </c>
      <c r="Z189" s="5">
        <v>4046</v>
      </c>
      <c r="AA189" s="5">
        <v>2612</v>
      </c>
      <c r="AB189" s="5">
        <v>457</v>
      </c>
      <c r="AC189" s="5">
        <v>332</v>
      </c>
      <c r="AD189" s="5">
        <v>292</v>
      </c>
      <c r="AE189" s="5">
        <v>372</v>
      </c>
      <c r="AF189" s="5">
        <v>375</v>
      </c>
      <c r="AG189" s="5">
        <v>757</v>
      </c>
      <c r="AH189" s="5">
        <v>187</v>
      </c>
      <c r="AI189" s="5">
        <v>2324</v>
      </c>
      <c r="AJ189" s="5">
        <v>437</v>
      </c>
      <c r="AK189" s="5">
        <v>466</v>
      </c>
      <c r="AL189" s="5">
        <v>4231</v>
      </c>
      <c r="AM189" s="5">
        <v>460</v>
      </c>
      <c r="AN189" s="5">
        <v>3449</v>
      </c>
      <c r="AO189" s="5">
        <v>437</v>
      </c>
      <c r="AP189" s="5">
        <v>498</v>
      </c>
      <c r="AQ189" s="5">
        <v>5610</v>
      </c>
      <c r="AR189" s="5">
        <v>287</v>
      </c>
    </row>
    <row r="190" spans="1:44">
      <c r="A190" s="1" t="s">
        <v>563</v>
      </c>
      <c r="B190" s="1" t="s">
        <v>564</v>
      </c>
      <c r="C190" s="1" t="s">
        <v>120</v>
      </c>
      <c r="D190" s="1" t="str">
        <f>HYPERLINK("http://eros.fiehnlab.ucdavis.edu:8080/binbase-compound/bin/show/408911?db=rtx5","408911")</f>
        <v>408911</v>
      </c>
      <c r="E190" s="1" t="s">
        <v>565</v>
      </c>
      <c r="F190" s="1" t="s">
        <v>0</v>
      </c>
      <c r="G190" s="1" t="s">
        <v>0</v>
      </c>
      <c r="H190" s="1"/>
      <c r="I190" s="5">
        <v>454</v>
      </c>
      <c r="J190" s="5">
        <v>2216</v>
      </c>
      <c r="K190" s="5">
        <v>220</v>
      </c>
      <c r="L190" s="5">
        <v>198</v>
      </c>
      <c r="M190" s="5">
        <v>564</v>
      </c>
      <c r="N190" s="5">
        <v>1001</v>
      </c>
      <c r="O190" s="5">
        <v>472</v>
      </c>
      <c r="P190" s="5">
        <v>134</v>
      </c>
      <c r="Q190" s="5">
        <v>767</v>
      </c>
      <c r="R190" s="5">
        <v>163</v>
      </c>
      <c r="S190" s="5">
        <v>457</v>
      </c>
      <c r="T190" s="5">
        <v>585</v>
      </c>
      <c r="U190" s="5">
        <v>153</v>
      </c>
      <c r="V190" s="5">
        <v>546</v>
      </c>
      <c r="W190" s="5">
        <v>961</v>
      </c>
      <c r="X190" s="5">
        <v>293</v>
      </c>
      <c r="Y190" s="5">
        <v>152</v>
      </c>
      <c r="Z190" s="5">
        <v>1173</v>
      </c>
      <c r="AA190" s="5">
        <v>671</v>
      </c>
      <c r="AB190" s="5">
        <v>182</v>
      </c>
      <c r="AC190" s="5">
        <v>190</v>
      </c>
      <c r="AD190" s="5">
        <v>174</v>
      </c>
      <c r="AE190" s="5">
        <v>210</v>
      </c>
      <c r="AF190" s="5">
        <v>139</v>
      </c>
      <c r="AG190" s="5">
        <v>309</v>
      </c>
      <c r="AH190" s="5">
        <v>176</v>
      </c>
      <c r="AI190" s="5">
        <v>509</v>
      </c>
      <c r="AJ190" s="5">
        <v>149</v>
      </c>
      <c r="AK190" s="5">
        <v>164</v>
      </c>
      <c r="AL190" s="5">
        <v>1525</v>
      </c>
      <c r="AM190" s="5">
        <v>188</v>
      </c>
      <c r="AN190" s="5">
        <v>1109</v>
      </c>
      <c r="AO190" s="5">
        <v>160</v>
      </c>
      <c r="AP190" s="5">
        <v>213</v>
      </c>
      <c r="AQ190" s="5">
        <v>1994</v>
      </c>
      <c r="AR190" s="5">
        <v>262</v>
      </c>
    </row>
    <row r="191" spans="1:44">
      <c r="A191" s="1" t="s">
        <v>519</v>
      </c>
      <c r="B191" s="1" t="s">
        <v>520</v>
      </c>
      <c r="C191" s="1" t="s">
        <v>521</v>
      </c>
      <c r="D191" s="1" t="str">
        <f>HYPERLINK("http://eros.fiehnlab.ucdavis.edu:8080/binbase-compound/bin/show/409621?db=rtx5","409621")</f>
        <v>409621</v>
      </c>
      <c r="E191" s="1" t="s">
        <v>522</v>
      </c>
      <c r="F191" s="1" t="s">
        <v>0</v>
      </c>
      <c r="G191" s="1" t="s">
        <v>0</v>
      </c>
      <c r="H191" s="1"/>
      <c r="I191" s="5">
        <v>956</v>
      </c>
      <c r="J191" s="5">
        <v>2454</v>
      </c>
      <c r="K191" s="5">
        <v>267</v>
      </c>
      <c r="L191" s="5">
        <v>225</v>
      </c>
      <c r="M191" s="5">
        <v>730</v>
      </c>
      <c r="N191" s="5">
        <v>788</v>
      </c>
      <c r="O191" s="5">
        <v>501</v>
      </c>
      <c r="P191" s="5">
        <v>296</v>
      </c>
      <c r="Q191" s="5">
        <v>1223</v>
      </c>
      <c r="R191" s="5">
        <v>246</v>
      </c>
      <c r="S191" s="5">
        <v>424</v>
      </c>
      <c r="T191" s="5">
        <v>884</v>
      </c>
      <c r="U191" s="5">
        <v>386</v>
      </c>
      <c r="V191" s="5">
        <v>827</v>
      </c>
      <c r="W191" s="5">
        <v>1178</v>
      </c>
      <c r="X191" s="5">
        <v>298</v>
      </c>
      <c r="Y191" s="5">
        <v>212</v>
      </c>
      <c r="Z191" s="5">
        <v>1895</v>
      </c>
      <c r="AA191" s="5">
        <v>355</v>
      </c>
      <c r="AB191" s="5">
        <v>211</v>
      </c>
      <c r="AC191" s="5">
        <v>232</v>
      </c>
      <c r="AD191" s="5">
        <v>254</v>
      </c>
      <c r="AE191" s="5">
        <v>244</v>
      </c>
      <c r="AF191" s="5">
        <v>194</v>
      </c>
      <c r="AG191" s="5">
        <v>275</v>
      </c>
      <c r="AH191" s="5">
        <v>281</v>
      </c>
      <c r="AI191" s="5">
        <v>578</v>
      </c>
      <c r="AJ191" s="5">
        <v>274</v>
      </c>
      <c r="AK191" s="5">
        <v>197</v>
      </c>
      <c r="AL191" s="5">
        <v>1601</v>
      </c>
      <c r="AM191" s="5">
        <v>189</v>
      </c>
      <c r="AN191" s="5">
        <v>1144</v>
      </c>
      <c r="AO191" s="5">
        <v>206</v>
      </c>
      <c r="AP191" s="5">
        <v>231</v>
      </c>
      <c r="AQ191" s="5">
        <v>3671</v>
      </c>
      <c r="AR191" s="5">
        <v>285</v>
      </c>
    </row>
    <row r="192" spans="1:44">
      <c r="A192" s="1" t="s">
        <v>882</v>
      </c>
      <c r="B192" s="1" t="s">
        <v>883</v>
      </c>
      <c r="C192" s="1" t="s">
        <v>117</v>
      </c>
      <c r="D192" s="1" t="str">
        <f>HYPERLINK("http://eros.fiehnlab.ucdavis.edu:8080/binbase-compound/bin/show/240551?db=rtx5","240551")</f>
        <v>240551</v>
      </c>
      <c r="E192" s="1" t="s">
        <v>884</v>
      </c>
      <c r="F192" s="1" t="s">
        <v>0</v>
      </c>
      <c r="G192" s="1" t="s">
        <v>0</v>
      </c>
      <c r="H192" s="1"/>
      <c r="I192" s="5">
        <v>912</v>
      </c>
      <c r="J192" s="5">
        <v>4017</v>
      </c>
      <c r="K192" s="5">
        <v>376</v>
      </c>
      <c r="L192" s="5">
        <v>289</v>
      </c>
      <c r="M192" s="5">
        <v>933</v>
      </c>
      <c r="N192" s="5">
        <v>1373</v>
      </c>
      <c r="O192" s="5">
        <v>656</v>
      </c>
      <c r="P192" s="5">
        <v>283</v>
      </c>
      <c r="Q192" s="5">
        <v>1014</v>
      </c>
      <c r="R192" s="5">
        <v>304</v>
      </c>
      <c r="S192" s="5">
        <v>628</v>
      </c>
      <c r="T192" s="5">
        <v>951</v>
      </c>
      <c r="U192" s="5">
        <v>333</v>
      </c>
      <c r="V192" s="5">
        <v>751</v>
      </c>
      <c r="W192" s="5">
        <v>1226</v>
      </c>
      <c r="X192" s="5">
        <v>500</v>
      </c>
      <c r="Y192" s="5">
        <v>247</v>
      </c>
      <c r="Z192" s="5">
        <v>2160</v>
      </c>
      <c r="AA192" s="5">
        <v>1228</v>
      </c>
      <c r="AB192" s="5">
        <v>285</v>
      </c>
      <c r="AC192" s="5">
        <v>262</v>
      </c>
      <c r="AD192" s="5">
        <v>252</v>
      </c>
      <c r="AE192" s="5">
        <v>335</v>
      </c>
      <c r="AF192" s="5">
        <v>253</v>
      </c>
      <c r="AG192" s="5">
        <v>281</v>
      </c>
      <c r="AH192" s="5">
        <v>218</v>
      </c>
      <c r="AI192" s="5">
        <v>1112</v>
      </c>
      <c r="AJ192" s="5">
        <v>181</v>
      </c>
      <c r="AK192" s="5">
        <v>263</v>
      </c>
      <c r="AL192" s="5">
        <v>2558</v>
      </c>
      <c r="AM192" s="5">
        <v>267</v>
      </c>
      <c r="AN192" s="5">
        <v>2012</v>
      </c>
      <c r="AO192" s="5">
        <v>229</v>
      </c>
      <c r="AP192" s="5">
        <v>272</v>
      </c>
      <c r="AQ192" s="5">
        <v>3699</v>
      </c>
      <c r="AR192" s="5">
        <v>368</v>
      </c>
    </row>
    <row r="193" spans="1:44">
      <c r="A193" s="1" t="s">
        <v>1080</v>
      </c>
      <c r="B193" s="1" t="s">
        <v>1081</v>
      </c>
      <c r="C193" s="1" t="s">
        <v>89</v>
      </c>
      <c r="D193" s="1" t="str">
        <f>HYPERLINK("http://eros.fiehnlab.ucdavis.edu:8080/binbase-compound/bin/show/212274?db=rtx5","212274")</f>
        <v>212274</v>
      </c>
      <c r="E193" s="1" t="s">
        <v>1082</v>
      </c>
      <c r="F193" s="1" t="s">
        <v>0</v>
      </c>
      <c r="G193" s="1" t="s">
        <v>0</v>
      </c>
      <c r="H193" s="1"/>
      <c r="I193" s="5">
        <v>15676</v>
      </c>
      <c r="J193" s="5">
        <v>15942</v>
      </c>
      <c r="K193" s="5">
        <v>4597</v>
      </c>
      <c r="L193" s="5">
        <v>4252</v>
      </c>
      <c r="M193" s="5">
        <v>3054</v>
      </c>
      <c r="N193" s="5">
        <v>10591</v>
      </c>
      <c r="O193" s="5">
        <v>6708</v>
      </c>
      <c r="P193" s="5">
        <v>1106</v>
      </c>
      <c r="Q193" s="5">
        <v>13805</v>
      </c>
      <c r="R193" s="5">
        <v>2191</v>
      </c>
      <c r="S193" s="5">
        <v>3687</v>
      </c>
      <c r="T193" s="5">
        <v>9986</v>
      </c>
      <c r="U193" s="5">
        <v>4327</v>
      </c>
      <c r="V193" s="5">
        <v>5538</v>
      </c>
      <c r="W193" s="5">
        <v>12607</v>
      </c>
      <c r="X193" s="5">
        <v>6220</v>
      </c>
      <c r="Y193" s="5">
        <v>4276</v>
      </c>
      <c r="Z193" s="5">
        <v>28253</v>
      </c>
      <c r="AA193" s="5">
        <v>104872</v>
      </c>
      <c r="AB193" s="5">
        <v>1886</v>
      </c>
      <c r="AC193" s="5">
        <v>5621</v>
      </c>
      <c r="AD193" s="5">
        <v>5417</v>
      </c>
      <c r="AE193" s="5">
        <v>1346</v>
      </c>
      <c r="AF193" s="5">
        <v>2169</v>
      </c>
      <c r="AG193" s="5">
        <v>3616</v>
      </c>
      <c r="AH193" s="5">
        <v>7042</v>
      </c>
      <c r="AI193" s="5">
        <v>5576</v>
      </c>
      <c r="AJ193" s="5">
        <v>3162</v>
      </c>
      <c r="AK193" s="5">
        <v>3176</v>
      </c>
      <c r="AL193" s="5">
        <v>19775</v>
      </c>
      <c r="AM193" s="5">
        <v>838</v>
      </c>
      <c r="AN193" s="5">
        <v>14852</v>
      </c>
      <c r="AO193" s="5">
        <v>2353</v>
      </c>
      <c r="AP193" s="5">
        <v>2721</v>
      </c>
      <c r="AQ193" s="5">
        <v>31155</v>
      </c>
      <c r="AR193" s="5">
        <v>980</v>
      </c>
    </row>
    <row r="194" spans="1:44">
      <c r="A194" s="1" t="s">
        <v>876</v>
      </c>
      <c r="B194" s="1" t="s">
        <v>877</v>
      </c>
      <c r="C194" s="1" t="s">
        <v>117</v>
      </c>
      <c r="D194" s="1" t="str">
        <f>HYPERLINK("http://eros.fiehnlab.ucdavis.edu:8080/binbase-compound/bin/show/241037?db=rtx5","241037")</f>
        <v>241037</v>
      </c>
      <c r="E194" s="1" t="s">
        <v>878</v>
      </c>
      <c r="F194" s="1" t="s">
        <v>0</v>
      </c>
      <c r="G194" s="1" t="s">
        <v>0</v>
      </c>
      <c r="H194" s="1"/>
      <c r="I194" s="5">
        <v>552</v>
      </c>
      <c r="J194" s="5">
        <v>4222</v>
      </c>
      <c r="K194" s="5">
        <v>177</v>
      </c>
      <c r="L194" s="5">
        <v>109</v>
      </c>
      <c r="M194" s="5">
        <v>970</v>
      </c>
      <c r="N194" s="5">
        <v>1169</v>
      </c>
      <c r="O194" s="5">
        <v>455</v>
      </c>
      <c r="P194" s="5">
        <v>131</v>
      </c>
      <c r="Q194" s="5">
        <v>559</v>
      </c>
      <c r="R194" s="5">
        <v>203</v>
      </c>
      <c r="S194" s="5">
        <v>518</v>
      </c>
      <c r="T194" s="5">
        <v>1056</v>
      </c>
      <c r="U194" s="5">
        <v>179</v>
      </c>
      <c r="V194" s="5">
        <v>735</v>
      </c>
      <c r="W194" s="5">
        <v>659</v>
      </c>
      <c r="X194" s="5">
        <v>290</v>
      </c>
      <c r="Y194" s="5">
        <v>212</v>
      </c>
      <c r="Z194" s="5">
        <v>2839</v>
      </c>
      <c r="AA194" s="5">
        <v>1350</v>
      </c>
      <c r="AB194" s="5">
        <v>382</v>
      </c>
      <c r="AC194" s="5">
        <v>315</v>
      </c>
      <c r="AD194" s="5">
        <v>141</v>
      </c>
      <c r="AE194" s="5">
        <v>366</v>
      </c>
      <c r="AF194" s="5">
        <v>491</v>
      </c>
      <c r="AG194" s="5">
        <v>619</v>
      </c>
      <c r="AH194" s="5">
        <v>459</v>
      </c>
      <c r="AI194" s="5">
        <v>1371</v>
      </c>
      <c r="AJ194" s="5">
        <v>283</v>
      </c>
      <c r="AK194" s="5">
        <v>396</v>
      </c>
      <c r="AL194" s="5">
        <v>2215</v>
      </c>
      <c r="AM194" s="5">
        <v>127</v>
      </c>
      <c r="AN194" s="5">
        <v>2142</v>
      </c>
      <c r="AO194" s="5">
        <v>184</v>
      </c>
      <c r="AP194" s="5">
        <v>281</v>
      </c>
      <c r="AQ194" s="5">
        <v>3041</v>
      </c>
      <c r="AR194" s="5">
        <v>239</v>
      </c>
    </row>
    <row r="195" spans="1:44">
      <c r="A195" s="1" t="s">
        <v>660</v>
      </c>
      <c r="B195" s="1" t="s">
        <v>661</v>
      </c>
      <c r="C195" s="1" t="s">
        <v>167</v>
      </c>
      <c r="D195" s="1" t="str">
        <f>HYPERLINK("http://eros.fiehnlab.ucdavis.edu:8080/binbase-compound/bin/show/359713?db=rtx5","359713")</f>
        <v>359713</v>
      </c>
      <c r="E195" s="1" t="s">
        <v>662</v>
      </c>
      <c r="F195" s="1" t="s">
        <v>0</v>
      </c>
      <c r="G195" s="1" t="s">
        <v>0</v>
      </c>
      <c r="H195" s="1"/>
      <c r="I195" s="5">
        <v>6421</v>
      </c>
      <c r="J195" s="5">
        <v>26077</v>
      </c>
      <c r="K195" s="5">
        <v>2325</v>
      </c>
      <c r="L195" s="5">
        <v>1953</v>
      </c>
      <c r="M195" s="5">
        <v>7173</v>
      </c>
      <c r="N195" s="5">
        <v>11855</v>
      </c>
      <c r="O195" s="5">
        <v>7627</v>
      </c>
      <c r="P195" s="5">
        <v>3191</v>
      </c>
      <c r="Q195" s="5">
        <v>8725</v>
      </c>
      <c r="R195" s="5">
        <v>1489</v>
      </c>
      <c r="S195" s="5">
        <v>6468</v>
      </c>
      <c r="T195" s="5">
        <v>9351</v>
      </c>
      <c r="U195" s="5">
        <v>2228</v>
      </c>
      <c r="V195" s="5">
        <v>5902</v>
      </c>
      <c r="W195" s="5">
        <v>10398</v>
      </c>
      <c r="X195" s="5">
        <v>3043</v>
      </c>
      <c r="Y195" s="5">
        <v>1230</v>
      </c>
      <c r="Z195" s="5">
        <v>20611</v>
      </c>
      <c r="AA195" s="5">
        <v>9136</v>
      </c>
      <c r="AB195" s="5">
        <v>1305</v>
      </c>
      <c r="AC195" s="5">
        <v>1572</v>
      </c>
      <c r="AD195" s="5">
        <v>3067</v>
      </c>
      <c r="AE195" s="5">
        <v>2650</v>
      </c>
      <c r="AF195" s="5">
        <v>1587</v>
      </c>
      <c r="AG195" s="5">
        <v>2872</v>
      </c>
      <c r="AH195" s="5">
        <v>1578</v>
      </c>
      <c r="AI195" s="5">
        <v>9929</v>
      </c>
      <c r="AJ195" s="5">
        <v>1032</v>
      </c>
      <c r="AK195" s="5">
        <v>1038</v>
      </c>
      <c r="AL195" s="5">
        <v>18315</v>
      </c>
      <c r="AM195" s="5">
        <v>1725</v>
      </c>
      <c r="AN195" s="5">
        <v>15712</v>
      </c>
      <c r="AO195" s="5">
        <v>1434</v>
      </c>
      <c r="AP195" s="5">
        <v>1389</v>
      </c>
      <c r="AQ195" s="5">
        <v>28278</v>
      </c>
      <c r="AR195" s="5">
        <v>2007</v>
      </c>
    </row>
    <row r="196" spans="1:44">
      <c r="A196" s="1" t="s">
        <v>654</v>
      </c>
      <c r="B196" s="1" t="s">
        <v>655</v>
      </c>
      <c r="C196" s="1" t="s">
        <v>98</v>
      </c>
      <c r="D196" s="1" t="str">
        <f>HYPERLINK("http://eros.fiehnlab.ucdavis.edu:8080/binbase-compound/bin/show/362036?db=rtx5","362036")</f>
        <v>362036</v>
      </c>
      <c r="E196" s="1" t="s">
        <v>656</v>
      </c>
      <c r="F196" s="1" t="s">
        <v>0</v>
      </c>
      <c r="G196" s="1" t="s">
        <v>0</v>
      </c>
      <c r="H196" s="1"/>
      <c r="I196" s="5">
        <v>570</v>
      </c>
      <c r="J196" s="5">
        <v>1774</v>
      </c>
      <c r="K196" s="5">
        <v>214</v>
      </c>
      <c r="L196" s="5">
        <v>201</v>
      </c>
      <c r="M196" s="5">
        <v>517</v>
      </c>
      <c r="N196" s="5">
        <v>435</v>
      </c>
      <c r="O196" s="5">
        <v>405</v>
      </c>
      <c r="P196" s="5">
        <v>191</v>
      </c>
      <c r="Q196" s="5">
        <v>362</v>
      </c>
      <c r="R196" s="5">
        <v>186</v>
      </c>
      <c r="S196" s="5">
        <v>370</v>
      </c>
      <c r="T196" s="5">
        <v>557</v>
      </c>
      <c r="U196" s="5">
        <v>205</v>
      </c>
      <c r="V196" s="5">
        <v>537</v>
      </c>
      <c r="W196" s="5">
        <v>765</v>
      </c>
      <c r="X196" s="5">
        <v>363</v>
      </c>
      <c r="Y196" s="5">
        <v>263</v>
      </c>
      <c r="Z196" s="5">
        <v>1406</v>
      </c>
      <c r="AA196" s="5">
        <v>335</v>
      </c>
      <c r="AB196" s="5">
        <v>205</v>
      </c>
      <c r="AC196" s="5">
        <v>163</v>
      </c>
      <c r="AD196" s="5">
        <v>200</v>
      </c>
      <c r="AE196" s="5">
        <v>246</v>
      </c>
      <c r="AF196" s="5">
        <v>187</v>
      </c>
      <c r="AG196" s="5">
        <v>294</v>
      </c>
      <c r="AH196" s="5">
        <v>152</v>
      </c>
      <c r="AI196" s="5">
        <v>497</v>
      </c>
      <c r="AJ196" s="5">
        <v>160</v>
      </c>
      <c r="AK196" s="5">
        <v>177</v>
      </c>
      <c r="AL196" s="5">
        <v>1726</v>
      </c>
      <c r="AM196" s="5">
        <v>187</v>
      </c>
      <c r="AN196" s="5">
        <v>1035</v>
      </c>
      <c r="AO196" s="5">
        <v>171</v>
      </c>
      <c r="AP196" s="5">
        <v>153</v>
      </c>
      <c r="AQ196" s="5">
        <v>2285</v>
      </c>
      <c r="AR196" s="5">
        <v>231</v>
      </c>
    </row>
    <row r="197" spans="1:44">
      <c r="A197" s="1" t="s">
        <v>523</v>
      </c>
      <c r="B197" s="1" t="s">
        <v>524</v>
      </c>
      <c r="C197" s="1" t="s">
        <v>525</v>
      </c>
      <c r="D197" s="1" t="str">
        <f>HYPERLINK("http://eros.fiehnlab.ucdavis.edu:8080/binbase-compound/bin/show/409620?db=rtx5","409620")</f>
        <v>409620</v>
      </c>
      <c r="E197" s="1" t="s">
        <v>526</v>
      </c>
      <c r="F197" s="1" t="s">
        <v>0</v>
      </c>
      <c r="G197" s="1" t="s">
        <v>0</v>
      </c>
      <c r="H197" s="1"/>
      <c r="I197" s="5">
        <v>661</v>
      </c>
      <c r="J197" s="5">
        <v>2876</v>
      </c>
      <c r="K197" s="5">
        <v>299</v>
      </c>
      <c r="L197" s="5">
        <v>235</v>
      </c>
      <c r="M197" s="5">
        <v>683</v>
      </c>
      <c r="N197" s="5">
        <v>1055</v>
      </c>
      <c r="O197" s="5">
        <v>536</v>
      </c>
      <c r="P197" s="5">
        <v>304</v>
      </c>
      <c r="Q197" s="5">
        <v>1001</v>
      </c>
      <c r="R197" s="5">
        <v>273</v>
      </c>
      <c r="S197" s="5">
        <v>536</v>
      </c>
      <c r="T197" s="5">
        <v>933</v>
      </c>
      <c r="U197" s="5">
        <v>1019</v>
      </c>
      <c r="V197" s="5">
        <v>522</v>
      </c>
      <c r="W197" s="5">
        <v>994</v>
      </c>
      <c r="X197" s="5">
        <v>405</v>
      </c>
      <c r="Y197" s="5">
        <v>228</v>
      </c>
      <c r="Z197" s="5">
        <v>1792</v>
      </c>
      <c r="AA197" s="5">
        <v>937</v>
      </c>
      <c r="AB197" s="5">
        <v>278</v>
      </c>
      <c r="AC197" s="5">
        <v>187</v>
      </c>
      <c r="AD197" s="5">
        <v>212</v>
      </c>
      <c r="AE197" s="5">
        <v>273</v>
      </c>
      <c r="AF197" s="5">
        <v>185</v>
      </c>
      <c r="AG197" s="5">
        <v>383</v>
      </c>
      <c r="AH197" s="5">
        <v>203</v>
      </c>
      <c r="AI197" s="5">
        <v>842</v>
      </c>
      <c r="AJ197" s="5">
        <v>197</v>
      </c>
      <c r="AK197" s="5">
        <v>190</v>
      </c>
      <c r="AL197" s="5">
        <v>2021</v>
      </c>
      <c r="AM197" s="5">
        <v>301</v>
      </c>
      <c r="AN197" s="5">
        <v>1603</v>
      </c>
      <c r="AO197" s="5">
        <v>228</v>
      </c>
      <c r="AP197" s="5">
        <v>250</v>
      </c>
      <c r="AQ197" s="5">
        <v>2791</v>
      </c>
      <c r="AR197" s="5">
        <v>336</v>
      </c>
    </row>
    <row r="198" spans="1:44">
      <c r="A198" s="1" t="s">
        <v>527</v>
      </c>
      <c r="B198" s="1" t="s">
        <v>528</v>
      </c>
      <c r="C198" s="1" t="s">
        <v>98</v>
      </c>
      <c r="D198" s="1" t="str">
        <f>HYPERLINK("http://eros.fiehnlab.ucdavis.edu:8080/binbase-compound/bin/show/409597?db=rtx5","409597")</f>
        <v>409597</v>
      </c>
      <c r="E198" s="1" t="s">
        <v>529</v>
      </c>
      <c r="F198" s="1" t="s">
        <v>0</v>
      </c>
      <c r="G198" s="1" t="s">
        <v>0</v>
      </c>
      <c r="H198" s="1"/>
      <c r="I198" s="5">
        <v>374</v>
      </c>
      <c r="J198" s="5">
        <v>4861</v>
      </c>
      <c r="K198" s="5">
        <v>349</v>
      </c>
      <c r="L198" s="5">
        <v>146</v>
      </c>
      <c r="M198" s="5">
        <v>1136</v>
      </c>
      <c r="N198" s="5">
        <v>1153</v>
      </c>
      <c r="O198" s="5">
        <v>861</v>
      </c>
      <c r="P198" s="5">
        <v>356</v>
      </c>
      <c r="Q198" s="5">
        <v>718</v>
      </c>
      <c r="R198" s="5">
        <v>209</v>
      </c>
      <c r="S198" s="5">
        <v>644</v>
      </c>
      <c r="T198" s="5">
        <v>191</v>
      </c>
      <c r="U198" s="5">
        <v>357</v>
      </c>
      <c r="V198" s="5">
        <v>1235</v>
      </c>
      <c r="W198" s="5">
        <v>2314</v>
      </c>
      <c r="X198" s="5">
        <v>471</v>
      </c>
      <c r="Y198" s="5">
        <v>234</v>
      </c>
      <c r="Z198" s="5">
        <v>2563</v>
      </c>
      <c r="AA198" s="5">
        <v>1203</v>
      </c>
      <c r="AB198" s="5">
        <v>191</v>
      </c>
      <c r="AC198" s="5">
        <v>167</v>
      </c>
      <c r="AD198" s="5">
        <v>140</v>
      </c>
      <c r="AE198" s="5">
        <v>170</v>
      </c>
      <c r="AF198" s="5">
        <v>167</v>
      </c>
      <c r="AG198" s="5">
        <v>293</v>
      </c>
      <c r="AH198" s="5">
        <v>192</v>
      </c>
      <c r="AI198" s="5">
        <v>1420</v>
      </c>
      <c r="AJ198" s="5">
        <v>154</v>
      </c>
      <c r="AK198" s="5">
        <v>164</v>
      </c>
      <c r="AL198" s="5">
        <v>2571</v>
      </c>
      <c r="AM198" s="5">
        <v>187</v>
      </c>
      <c r="AN198" s="5">
        <v>3323</v>
      </c>
      <c r="AO198" s="5">
        <v>177</v>
      </c>
      <c r="AP198" s="5">
        <v>186</v>
      </c>
      <c r="AQ198" s="5">
        <v>5976</v>
      </c>
      <c r="AR198" s="5">
        <v>182</v>
      </c>
    </row>
    <row r="199" spans="1:44">
      <c r="A199" s="1" t="s">
        <v>850</v>
      </c>
      <c r="B199" s="1" t="s">
        <v>851</v>
      </c>
      <c r="C199" s="1" t="s">
        <v>852</v>
      </c>
      <c r="D199" s="1" t="str">
        <f>HYPERLINK("http://eros.fiehnlab.ucdavis.edu:8080/binbase-compound/bin/show/241661?db=rtx5","241661")</f>
        <v>241661</v>
      </c>
      <c r="E199" s="1" t="s">
        <v>853</v>
      </c>
      <c r="F199" s="1" t="s">
        <v>0</v>
      </c>
      <c r="G199" s="1" t="s">
        <v>0</v>
      </c>
      <c r="H199" s="1"/>
      <c r="I199" s="5">
        <v>189</v>
      </c>
      <c r="J199" s="5">
        <v>1795</v>
      </c>
      <c r="K199" s="5">
        <v>192</v>
      </c>
      <c r="L199" s="5">
        <v>156</v>
      </c>
      <c r="M199" s="5">
        <v>520</v>
      </c>
      <c r="N199" s="5">
        <v>551</v>
      </c>
      <c r="O199" s="5">
        <v>292</v>
      </c>
      <c r="P199" s="5">
        <v>189</v>
      </c>
      <c r="Q199" s="5">
        <v>537</v>
      </c>
      <c r="R199" s="5">
        <v>182</v>
      </c>
      <c r="S199" s="5">
        <v>252</v>
      </c>
      <c r="T199" s="5">
        <v>496</v>
      </c>
      <c r="U199" s="5">
        <v>198</v>
      </c>
      <c r="V199" s="5">
        <v>255</v>
      </c>
      <c r="W199" s="5">
        <v>476</v>
      </c>
      <c r="X199" s="5">
        <v>247</v>
      </c>
      <c r="Y199" s="5">
        <v>171</v>
      </c>
      <c r="Z199" s="5">
        <v>1023</v>
      </c>
      <c r="AA199" s="5">
        <v>433</v>
      </c>
      <c r="AB199" s="5">
        <v>152</v>
      </c>
      <c r="AC199" s="5">
        <v>107</v>
      </c>
      <c r="AD199" s="5">
        <v>168</v>
      </c>
      <c r="AE199" s="5">
        <v>239</v>
      </c>
      <c r="AF199" s="5">
        <v>135</v>
      </c>
      <c r="AG199" s="5">
        <v>234</v>
      </c>
      <c r="AH199" s="5">
        <v>152</v>
      </c>
      <c r="AI199" s="5">
        <v>453</v>
      </c>
      <c r="AJ199" s="5">
        <v>209</v>
      </c>
      <c r="AK199" s="5">
        <v>130</v>
      </c>
      <c r="AL199" s="5">
        <v>1146</v>
      </c>
      <c r="AM199" s="5">
        <v>143</v>
      </c>
      <c r="AN199" s="5">
        <v>941</v>
      </c>
      <c r="AO199" s="5">
        <v>136</v>
      </c>
      <c r="AP199" s="5">
        <v>152</v>
      </c>
      <c r="AQ199" s="5">
        <v>1635</v>
      </c>
      <c r="AR199" s="5">
        <v>185</v>
      </c>
    </row>
    <row r="200" spans="1:44">
      <c r="A200" s="1" t="s">
        <v>998</v>
      </c>
      <c r="B200" s="1" t="s">
        <v>999</v>
      </c>
      <c r="C200" s="1" t="s">
        <v>256</v>
      </c>
      <c r="D200" s="1" t="str">
        <f>HYPERLINK("http://eros.fiehnlab.ucdavis.edu:8080/binbase-compound/bin/show/225863?db=rtx5","225863")</f>
        <v>225863</v>
      </c>
      <c r="E200" s="1" t="s">
        <v>1000</v>
      </c>
      <c r="F200" s="1" t="s">
        <v>0</v>
      </c>
      <c r="G200" s="1" t="s">
        <v>0</v>
      </c>
      <c r="H200" s="1"/>
      <c r="I200" s="5">
        <v>8662</v>
      </c>
      <c r="J200" s="5">
        <v>10629</v>
      </c>
      <c r="K200" s="5">
        <v>7665</v>
      </c>
      <c r="L200" s="5">
        <v>5460</v>
      </c>
      <c r="M200" s="5">
        <v>6137</v>
      </c>
      <c r="N200" s="5">
        <v>7828</v>
      </c>
      <c r="O200" s="5">
        <v>3953</v>
      </c>
      <c r="P200" s="5">
        <v>3223</v>
      </c>
      <c r="Q200" s="5">
        <v>6699</v>
      </c>
      <c r="R200" s="5">
        <v>5906</v>
      </c>
      <c r="S200" s="5">
        <v>7079</v>
      </c>
      <c r="T200" s="5">
        <v>11589</v>
      </c>
      <c r="U200" s="5">
        <v>4815</v>
      </c>
      <c r="V200" s="5">
        <v>3373</v>
      </c>
      <c r="W200" s="5">
        <v>7645</v>
      </c>
      <c r="X200" s="5">
        <v>2561</v>
      </c>
      <c r="Y200" s="5">
        <v>1845</v>
      </c>
      <c r="Z200" s="5">
        <v>13127</v>
      </c>
      <c r="AA200" s="5">
        <v>251</v>
      </c>
      <c r="AB200" s="5">
        <v>3588</v>
      </c>
      <c r="AC200" s="5">
        <v>3897</v>
      </c>
      <c r="AD200" s="5">
        <v>5442</v>
      </c>
      <c r="AE200" s="5">
        <v>3220</v>
      </c>
      <c r="AF200" s="5">
        <v>3464</v>
      </c>
      <c r="AG200" s="5">
        <v>3794</v>
      </c>
      <c r="AH200" s="5">
        <v>5090</v>
      </c>
      <c r="AI200" s="5">
        <v>5776</v>
      </c>
      <c r="AJ200" s="5">
        <v>2943</v>
      </c>
      <c r="AK200" s="5">
        <v>1989</v>
      </c>
      <c r="AL200" s="5">
        <v>8431</v>
      </c>
      <c r="AM200" s="5">
        <v>3929</v>
      </c>
      <c r="AN200" s="5">
        <v>7879</v>
      </c>
      <c r="AO200" s="5">
        <v>3283</v>
      </c>
      <c r="AP200" s="5">
        <v>3434</v>
      </c>
      <c r="AQ200" s="5">
        <v>8403</v>
      </c>
      <c r="AR200" s="5">
        <v>6565</v>
      </c>
    </row>
    <row r="201" spans="1:44">
      <c r="A201" s="1" t="s">
        <v>1063</v>
      </c>
      <c r="B201" s="1" t="s">
        <v>1064</v>
      </c>
      <c r="C201" s="1" t="s">
        <v>190</v>
      </c>
      <c r="D201" s="1" t="str">
        <f>HYPERLINK("http://eros.fiehnlab.ucdavis.edu:8080/binbase-compound/bin/show/214151?db=rtx5","214151")</f>
        <v>214151</v>
      </c>
      <c r="E201" s="1" t="s">
        <v>1065</v>
      </c>
      <c r="F201" s="1" t="s">
        <v>0</v>
      </c>
      <c r="G201" s="1" t="s">
        <v>0</v>
      </c>
      <c r="H201" s="1"/>
      <c r="I201" s="5">
        <v>1750</v>
      </c>
      <c r="J201" s="5">
        <v>2886</v>
      </c>
      <c r="K201" s="5">
        <v>438</v>
      </c>
      <c r="L201" s="5">
        <v>1014</v>
      </c>
      <c r="M201" s="5">
        <v>2675</v>
      </c>
      <c r="N201" s="5">
        <v>1654</v>
      </c>
      <c r="O201" s="5">
        <v>1266</v>
      </c>
      <c r="P201" s="5">
        <v>742</v>
      </c>
      <c r="Q201" s="5">
        <v>2049</v>
      </c>
      <c r="R201" s="5">
        <v>464</v>
      </c>
      <c r="S201" s="5">
        <v>2294</v>
      </c>
      <c r="T201" s="5">
        <v>2340</v>
      </c>
      <c r="U201" s="5">
        <v>481</v>
      </c>
      <c r="V201" s="5">
        <v>2238</v>
      </c>
      <c r="W201" s="5">
        <v>1601</v>
      </c>
      <c r="X201" s="5">
        <v>1132</v>
      </c>
      <c r="Y201" s="5">
        <v>259</v>
      </c>
      <c r="Z201" s="5">
        <v>2882</v>
      </c>
      <c r="AA201" s="5">
        <v>395</v>
      </c>
      <c r="AB201" s="5">
        <v>631</v>
      </c>
      <c r="AC201" s="5">
        <v>285</v>
      </c>
      <c r="AD201" s="5">
        <v>237</v>
      </c>
      <c r="AE201" s="5">
        <v>1982</v>
      </c>
      <c r="AF201" s="5">
        <v>399</v>
      </c>
      <c r="AG201" s="5">
        <v>703</v>
      </c>
      <c r="AH201" s="5">
        <v>358</v>
      </c>
      <c r="AI201" s="5">
        <v>2910</v>
      </c>
      <c r="AJ201" s="5">
        <v>588</v>
      </c>
      <c r="AK201" s="5">
        <v>456</v>
      </c>
      <c r="AL201" s="5">
        <v>2680</v>
      </c>
      <c r="AM201" s="5">
        <v>656</v>
      </c>
      <c r="AN201" s="5">
        <v>4365</v>
      </c>
      <c r="AO201" s="5">
        <v>220</v>
      </c>
      <c r="AP201" s="5">
        <v>481</v>
      </c>
      <c r="AQ201" s="5">
        <v>2890</v>
      </c>
      <c r="AR201" s="5">
        <v>1325</v>
      </c>
    </row>
    <row r="202" spans="1:44">
      <c r="A202" s="1" t="s">
        <v>867</v>
      </c>
      <c r="B202" s="1" t="s">
        <v>868</v>
      </c>
      <c r="C202" s="1" t="s">
        <v>190</v>
      </c>
      <c r="D202" s="1" t="str">
        <f>HYPERLINK("http://eros.fiehnlab.ucdavis.edu:8080/binbase-compound/bin/show/241059?db=rtx5","241059")</f>
        <v>241059</v>
      </c>
      <c r="E202" s="1" t="s">
        <v>869</v>
      </c>
      <c r="F202" s="1" t="s">
        <v>0</v>
      </c>
      <c r="G202" s="1" t="s">
        <v>0</v>
      </c>
      <c r="H202" s="1"/>
      <c r="I202" s="5">
        <v>1399</v>
      </c>
      <c r="J202" s="5">
        <v>3685</v>
      </c>
      <c r="K202" s="5">
        <v>759</v>
      </c>
      <c r="L202" s="5">
        <v>530</v>
      </c>
      <c r="M202" s="5">
        <v>1472</v>
      </c>
      <c r="N202" s="5">
        <v>1568</v>
      </c>
      <c r="O202" s="5">
        <v>2654</v>
      </c>
      <c r="P202" s="5">
        <v>944</v>
      </c>
      <c r="Q202" s="5">
        <v>1195</v>
      </c>
      <c r="R202" s="5">
        <v>640</v>
      </c>
      <c r="S202" s="5">
        <v>727</v>
      </c>
      <c r="T202" s="5">
        <v>830</v>
      </c>
      <c r="U202" s="5">
        <v>550</v>
      </c>
      <c r="V202" s="5">
        <v>1306</v>
      </c>
      <c r="W202" s="5">
        <v>1417</v>
      </c>
      <c r="X202" s="5">
        <v>383</v>
      </c>
      <c r="Y202" s="5">
        <v>395</v>
      </c>
      <c r="Z202" s="5">
        <v>2584</v>
      </c>
      <c r="AA202" s="5">
        <v>1200</v>
      </c>
      <c r="AB202" s="5">
        <v>383</v>
      </c>
      <c r="AC202" s="5">
        <v>439</v>
      </c>
      <c r="AD202" s="5">
        <v>980</v>
      </c>
      <c r="AE202" s="5">
        <v>352</v>
      </c>
      <c r="AF202" s="5">
        <v>535</v>
      </c>
      <c r="AG202" s="5">
        <v>594</v>
      </c>
      <c r="AH202" s="5">
        <v>559</v>
      </c>
      <c r="AI202" s="5">
        <v>1526</v>
      </c>
      <c r="AJ202" s="5">
        <v>425</v>
      </c>
      <c r="AK202" s="5">
        <v>363</v>
      </c>
      <c r="AL202" s="5">
        <v>1859</v>
      </c>
      <c r="AM202" s="5">
        <v>366</v>
      </c>
      <c r="AN202" s="5">
        <v>2029</v>
      </c>
      <c r="AO202" s="5">
        <v>376</v>
      </c>
      <c r="AP202" s="5">
        <v>417</v>
      </c>
      <c r="AQ202" s="5">
        <v>3908</v>
      </c>
      <c r="AR202" s="5">
        <v>380</v>
      </c>
    </row>
    <row r="203" spans="1:44">
      <c r="A203" s="1" t="s">
        <v>761</v>
      </c>
      <c r="B203" s="1" t="s">
        <v>762</v>
      </c>
      <c r="C203" s="1" t="s">
        <v>763</v>
      </c>
      <c r="D203" s="1" t="str">
        <f>HYPERLINK("http://eros.fiehnlab.ucdavis.edu:8080/binbase-compound/bin/show/289052?db=rtx5","289052")</f>
        <v>289052</v>
      </c>
      <c r="E203" s="1" t="s">
        <v>764</v>
      </c>
      <c r="F203" s="1" t="s">
        <v>0</v>
      </c>
      <c r="G203" s="1" t="s">
        <v>0</v>
      </c>
      <c r="H203" s="1"/>
      <c r="I203" s="5">
        <v>769</v>
      </c>
      <c r="J203" s="5">
        <v>1469</v>
      </c>
      <c r="K203" s="5">
        <v>198</v>
      </c>
      <c r="L203" s="5">
        <v>280</v>
      </c>
      <c r="M203" s="5">
        <v>526</v>
      </c>
      <c r="N203" s="5">
        <v>673</v>
      </c>
      <c r="O203" s="5">
        <v>595</v>
      </c>
      <c r="P203" s="5">
        <v>157</v>
      </c>
      <c r="Q203" s="5">
        <v>368</v>
      </c>
      <c r="R203" s="5">
        <v>190</v>
      </c>
      <c r="S203" s="5">
        <v>300</v>
      </c>
      <c r="T203" s="5">
        <v>279</v>
      </c>
      <c r="U203" s="5">
        <v>1209</v>
      </c>
      <c r="V203" s="5">
        <v>399</v>
      </c>
      <c r="W203" s="5">
        <v>655</v>
      </c>
      <c r="X203" s="5">
        <v>415</v>
      </c>
      <c r="Y203" s="5">
        <v>240</v>
      </c>
      <c r="Z203" s="5">
        <v>1661</v>
      </c>
      <c r="AA203" s="5">
        <v>1998</v>
      </c>
      <c r="AB203" s="5">
        <v>366</v>
      </c>
      <c r="AC203" s="5">
        <v>196</v>
      </c>
      <c r="AD203" s="5">
        <v>234</v>
      </c>
      <c r="AE203" s="5">
        <v>199</v>
      </c>
      <c r="AF203" s="5">
        <v>167</v>
      </c>
      <c r="AG203" s="5">
        <v>236</v>
      </c>
      <c r="AH203" s="5">
        <v>193</v>
      </c>
      <c r="AI203" s="5">
        <v>446</v>
      </c>
      <c r="AJ203" s="5">
        <v>160</v>
      </c>
      <c r="AK203" s="5">
        <v>159</v>
      </c>
      <c r="AL203" s="5">
        <v>1184</v>
      </c>
      <c r="AM203" s="5">
        <v>181</v>
      </c>
      <c r="AN203" s="5">
        <v>2165</v>
      </c>
      <c r="AO203" s="5">
        <v>295</v>
      </c>
      <c r="AP203" s="5">
        <v>145</v>
      </c>
      <c r="AQ203" s="5">
        <v>3288</v>
      </c>
      <c r="AR203" s="5">
        <v>223</v>
      </c>
    </row>
    <row r="204" spans="1:44">
      <c r="A204" s="1" t="s">
        <v>988</v>
      </c>
      <c r="B204" s="1" t="s">
        <v>989</v>
      </c>
      <c r="C204" s="1" t="s">
        <v>273</v>
      </c>
      <c r="D204" s="1" t="str">
        <f>HYPERLINK("http://eros.fiehnlab.ucdavis.edu:8080/binbase-compound/bin/show/226912?db=rtx5","226912")</f>
        <v>226912</v>
      </c>
      <c r="E204" s="1" t="s">
        <v>990</v>
      </c>
      <c r="F204" s="1" t="s">
        <v>0</v>
      </c>
      <c r="G204" s="1" t="s">
        <v>0</v>
      </c>
      <c r="H204" s="1"/>
      <c r="I204" s="5">
        <v>788</v>
      </c>
      <c r="J204" s="5">
        <v>4154</v>
      </c>
      <c r="K204" s="5">
        <v>2094</v>
      </c>
      <c r="L204" s="5">
        <v>461</v>
      </c>
      <c r="M204" s="5">
        <v>237</v>
      </c>
      <c r="N204" s="5">
        <v>1746</v>
      </c>
      <c r="O204" s="5">
        <v>594</v>
      </c>
      <c r="P204" s="5">
        <v>163</v>
      </c>
      <c r="Q204" s="5">
        <v>294</v>
      </c>
      <c r="R204" s="5">
        <v>203</v>
      </c>
      <c r="S204" s="5">
        <v>299</v>
      </c>
      <c r="T204" s="5">
        <v>233</v>
      </c>
      <c r="U204" s="5">
        <v>229</v>
      </c>
      <c r="V204" s="5">
        <v>2222</v>
      </c>
      <c r="W204" s="5">
        <v>2177</v>
      </c>
      <c r="X204" s="5">
        <v>722</v>
      </c>
      <c r="Y204" s="5">
        <v>270</v>
      </c>
      <c r="Z204" s="5">
        <v>407</v>
      </c>
      <c r="AA204" s="5">
        <v>1127</v>
      </c>
      <c r="AB204" s="5">
        <v>1463</v>
      </c>
      <c r="AC204" s="5">
        <v>1961</v>
      </c>
      <c r="AD204" s="5">
        <v>6792</v>
      </c>
      <c r="AE204" s="5">
        <v>554</v>
      </c>
      <c r="AF204" s="5">
        <v>1973</v>
      </c>
      <c r="AG204" s="5">
        <v>234</v>
      </c>
      <c r="AH204" s="5">
        <v>640</v>
      </c>
      <c r="AI204" s="5">
        <v>387</v>
      </c>
      <c r="AJ204" s="5">
        <v>490</v>
      </c>
      <c r="AK204" s="5">
        <v>347</v>
      </c>
      <c r="AL204" s="5">
        <v>1198</v>
      </c>
      <c r="AM204" s="5">
        <v>406</v>
      </c>
      <c r="AN204" s="5">
        <v>624</v>
      </c>
      <c r="AO204" s="5">
        <v>4181</v>
      </c>
      <c r="AP204" s="5">
        <v>677</v>
      </c>
      <c r="AQ204" s="5">
        <v>629</v>
      </c>
      <c r="AR204" s="5">
        <v>513</v>
      </c>
    </row>
    <row r="205" spans="1:44">
      <c r="A205" s="1" t="s">
        <v>714</v>
      </c>
      <c r="B205" s="1" t="s">
        <v>715</v>
      </c>
      <c r="C205" s="1" t="s">
        <v>716</v>
      </c>
      <c r="D205" s="1" t="str">
        <f>HYPERLINK("http://eros.fiehnlab.ucdavis.edu:8080/binbase-compound/bin/show/310006?db=rtx5","310006")</f>
        <v>310006</v>
      </c>
      <c r="E205" s="1" t="s">
        <v>717</v>
      </c>
      <c r="F205" s="1" t="s">
        <v>0</v>
      </c>
      <c r="G205" s="1" t="s">
        <v>0</v>
      </c>
      <c r="H205" s="1"/>
      <c r="I205" s="5">
        <v>872</v>
      </c>
      <c r="J205" s="5">
        <v>2540</v>
      </c>
      <c r="K205" s="5">
        <v>394</v>
      </c>
      <c r="L205" s="5">
        <v>301</v>
      </c>
      <c r="M205" s="5">
        <v>765</v>
      </c>
      <c r="N205" s="5">
        <v>1078</v>
      </c>
      <c r="O205" s="5">
        <v>769</v>
      </c>
      <c r="P205" s="5">
        <v>514</v>
      </c>
      <c r="Q205" s="5">
        <v>797</v>
      </c>
      <c r="R205" s="5">
        <v>404</v>
      </c>
      <c r="S205" s="5">
        <v>1126</v>
      </c>
      <c r="T205" s="5">
        <v>815</v>
      </c>
      <c r="U205" s="5">
        <v>940</v>
      </c>
      <c r="V205" s="5">
        <v>510</v>
      </c>
      <c r="W205" s="5">
        <v>734</v>
      </c>
      <c r="X205" s="5">
        <v>419</v>
      </c>
      <c r="Y205" s="5">
        <v>211</v>
      </c>
      <c r="Z205" s="5">
        <v>1383</v>
      </c>
      <c r="AA205" s="5">
        <v>647</v>
      </c>
      <c r="AB205" s="5">
        <v>179</v>
      </c>
      <c r="AC205" s="5">
        <v>180</v>
      </c>
      <c r="AD205" s="5">
        <v>328</v>
      </c>
      <c r="AE205" s="5">
        <v>318</v>
      </c>
      <c r="AF205" s="5">
        <v>206</v>
      </c>
      <c r="AG205" s="5">
        <v>408</v>
      </c>
      <c r="AH205" s="5">
        <v>210</v>
      </c>
      <c r="AI205" s="5">
        <v>878</v>
      </c>
      <c r="AJ205" s="5">
        <v>215</v>
      </c>
      <c r="AK205" s="5">
        <v>236</v>
      </c>
      <c r="AL205" s="5">
        <v>1387</v>
      </c>
      <c r="AM205" s="5">
        <v>323</v>
      </c>
      <c r="AN205" s="5">
        <v>1387</v>
      </c>
      <c r="AO205" s="5">
        <v>225</v>
      </c>
      <c r="AP205" s="5">
        <v>299</v>
      </c>
      <c r="AQ205" s="5">
        <v>2172</v>
      </c>
      <c r="AR205" s="5">
        <v>337</v>
      </c>
    </row>
    <row r="206" spans="1:44">
      <c r="A206" s="1" t="s">
        <v>811</v>
      </c>
      <c r="B206" s="1" t="s">
        <v>812</v>
      </c>
      <c r="C206" s="1" t="s">
        <v>254</v>
      </c>
      <c r="D206" s="1" t="str">
        <f>HYPERLINK("http://eros.fiehnlab.ucdavis.edu:8080/binbase-compound/bin/show/269272?db=rtx5","269272")</f>
        <v>269272</v>
      </c>
      <c r="E206" s="1" t="s">
        <v>813</v>
      </c>
      <c r="F206" s="1" t="s">
        <v>0</v>
      </c>
      <c r="G206" s="1" t="s">
        <v>0</v>
      </c>
      <c r="H206" s="1"/>
      <c r="I206" s="5">
        <v>1325</v>
      </c>
      <c r="J206" s="5">
        <v>3845</v>
      </c>
      <c r="K206" s="5">
        <v>929</v>
      </c>
      <c r="L206" s="5">
        <v>450</v>
      </c>
      <c r="M206" s="5">
        <v>2442</v>
      </c>
      <c r="N206" s="5">
        <v>2497</v>
      </c>
      <c r="O206" s="5">
        <v>3701</v>
      </c>
      <c r="P206" s="5">
        <v>1765</v>
      </c>
      <c r="Q206" s="5">
        <v>558</v>
      </c>
      <c r="R206" s="5">
        <v>764</v>
      </c>
      <c r="S206" s="5">
        <v>620</v>
      </c>
      <c r="T206" s="5">
        <v>323</v>
      </c>
      <c r="U206" s="5">
        <v>1571</v>
      </c>
      <c r="V206" s="5">
        <v>2893</v>
      </c>
      <c r="W206" s="5">
        <v>1826</v>
      </c>
      <c r="X206" s="5">
        <v>292</v>
      </c>
      <c r="Y206" s="5">
        <v>506</v>
      </c>
      <c r="Z206" s="5">
        <v>2847</v>
      </c>
      <c r="AA206" s="5">
        <v>1481</v>
      </c>
      <c r="AB206" s="5">
        <v>326</v>
      </c>
      <c r="AC206" s="5">
        <v>384</v>
      </c>
      <c r="AD206" s="5">
        <v>519</v>
      </c>
      <c r="AE206" s="5">
        <v>269</v>
      </c>
      <c r="AF206" s="5">
        <v>573</v>
      </c>
      <c r="AG206" s="5">
        <v>389</v>
      </c>
      <c r="AH206" s="5">
        <v>465</v>
      </c>
      <c r="AI206" s="5">
        <v>819</v>
      </c>
      <c r="AJ206" s="5">
        <v>600</v>
      </c>
      <c r="AK206" s="5">
        <v>239</v>
      </c>
      <c r="AL206" s="5">
        <v>980</v>
      </c>
      <c r="AM206" s="5">
        <v>497</v>
      </c>
      <c r="AN206" s="5">
        <v>1611</v>
      </c>
      <c r="AO206" s="5">
        <v>370</v>
      </c>
      <c r="AP206" s="5">
        <v>617</v>
      </c>
      <c r="AQ206" s="5">
        <v>9266</v>
      </c>
      <c r="AR206" s="5">
        <v>309</v>
      </c>
    </row>
    <row r="207" spans="1:44">
      <c r="A207" s="1" t="s">
        <v>945</v>
      </c>
      <c r="B207" s="1" t="s">
        <v>946</v>
      </c>
      <c r="C207" s="1" t="s">
        <v>947</v>
      </c>
      <c r="D207" s="1" t="str">
        <f>HYPERLINK("http://eros.fiehnlab.ucdavis.edu:8080/binbase-compound/bin/show/233298?db=rtx5","233298")</f>
        <v>233298</v>
      </c>
      <c r="E207" s="1" t="s">
        <v>948</v>
      </c>
      <c r="F207" s="1" t="s">
        <v>0</v>
      </c>
      <c r="G207" s="1" t="s">
        <v>0</v>
      </c>
      <c r="H207" s="1"/>
      <c r="I207" s="5">
        <v>2844</v>
      </c>
      <c r="J207" s="5">
        <v>3926</v>
      </c>
      <c r="K207" s="5">
        <v>349</v>
      </c>
      <c r="L207" s="5">
        <v>258</v>
      </c>
      <c r="M207" s="5">
        <v>2525</v>
      </c>
      <c r="N207" s="5">
        <v>1129</v>
      </c>
      <c r="O207" s="5">
        <v>891</v>
      </c>
      <c r="P207" s="5">
        <v>282</v>
      </c>
      <c r="Q207" s="5">
        <v>2175</v>
      </c>
      <c r="R207" s="5">
        <v>305</v>
      </c>
      <c r="S207" s="5">
        <v>2156</v>
      </c>
      <c r="T207" s="5">
        <v>2461</v>
      </c>
      <c r="U207" s="5">
        <v>549</v>
      </c>
      <c r="V207" s="5">
        <v>1998</v>
      </c>
      <c r="W207" s="5">
        <v>2239</v>
      </c>
      <c r="X207" s="5">
        <v>792</v>
      </c>
      <c r="Y207" s="5">
        <v>337</v>
      </c>
      <c r="Z207" s="5">
        <v>3169</v>
      </c>
      <c r="AA207" s="5">
        <v>294</v>
      </c>
      <c r="AB207" s="5">
        <v>583</v>
      </c>
      <c r="AC207" s="5">
        <v>207</v>
      </c>
      <c r="AD207" s="5">
        <v>148</v>
      </c>
      <c r="AE207" s="5">
        <v>1357</v>
      </c>
      <c r="AF207" s="5">
        <v>263</v>
      </c>
      <c r="AG207" s="5">
        <v>1068</v>
      </c>
      <c r="AH207" s="5">
        <v>473</v>
      </c>
      <c r="AI207" s="5">
        <v>2158</v>
      </c>
      <c r="AJ207" s="5">
        <v>552</v>
      </c>
      <c r="AK207" s="5">
        <v>548</v>
      </c>
      <c r="AL207" s="5">
        <v>5033</v>
      </c>
      <c r="AM207" s="5">
        <v>445</v>
      </c>
      <c r="AN207" s="5">
        <v>3585</v>
      </c>
      <c r="AO207" s="5">
        <v>256</v>
      </c>
      <c r="AP207" s="5">
        <v>373</v>
      </c>
      <c r="AQ207" s="5">
        <v>4887</v>
      </c>
      <c r="AR207" s="5">
        <v>521</v>
      </c>
    </row>
    <row r="208" spans="1:44">
      <c r="A208" s="1" t="s">
        <v>1048</v>
      </c>
      <c r="B208" s="1" t="s">
        <v>1049</v>
      </c>
      <c r="C208" s="1" t="s">
        <v>1028</v>
      </c>
      <c r="D208" s="1" t="str">
        <f>HYPERLINK("http://eros.fiehnlab.ucdavis.edu:8080/binbase-compound/bin/show/217893?db=rtx5","217893")</f>
        <v>217893</v>
      </c>
      <c r="E208" s="1" t="s">
        <v>1050</v>
      </c>
      <c r="F208" s="1" t="s">
        <v>0</v>
      </c>
      <c r="G208" s="1" t="s">
        <v>0</v>
      </c>
      <c r="H208" s="1"/>
      <c r="I208" s="5">
        <v>246</v>
      </c>
      <c r="J208" s="5">
        <v>373</v>
      </c>
      <c r="K208" s="5">
        <v>436</v>
      </c>
      <c r="L208" s="5">
        <v>305</v>
      </c>
      <c r="M208" s="5">
        <v>141</v>
      </c>
      <c r="N208" s="5">
        <v>328</v>
      </c>
      <c r="O208" s="5">
        <v>118</v>
      </c>
      <c r="P208" s="5">
        <v>465</v>
      </c>
      <c r="Q208" s="5">
        <v>381</v>
      </c>
      <c r="R208" s="5">
        <v>630</v>
      </c>
      <c r="S208" s="5">
        <v>562</v>
      </c>
      <c r="T208" s="5">
        <v>445</v>
      </c>
      <c r="U208" s="5">
        <v>287</v>
      </c>
      <c r="V208" s="5">
        <v>324</v>
      </c>
      <c r="W208" s="5">
        <v>384</v>
      </c>
      <c r="X208" s="5">
        <v>1037</v>
      </c>
      <c r="Y208" s="5">
        <v>381</v>
      </c>
      <c r="Z208" s="5">
        <v>1581</v>
      </c>
      <c r="AA208" s="5">
        <v>3294</v>
      </c>
      <c r="AB208" s="5">
        <v>1706</v>
      </c>
      <c r="AC208" s="5">
        <v>234</v>
      </c>
      <c r="AD208" s="5">
        <v>213</v>
      </c>
      <c r="AE208" s="5">
        <v>348</v>
      </c>
      <c r="AF208" s="5">
        <v>276</v>
      </c>
      <c r="AG208" s="5">
        <v>560</v>
      </c>
      <c r="AH208" s="5">
        <v>468</v>
      </c>
      <c r="AI208" s="5">
        <v>184</v>
      </c>
      <c r="AJ208" s="5">
        <v>997</v>
      </c>
      <c r="AK208" s="5">
        <v>263</v>
      </c>
      <c r="AL208" s="5">
        <v>519</v>
      </c>
      <c r="AM208" s="5">
        <v>427</v>
      </c>
      <c r="AN208" s="5">
        <v>356</v>
      </c>
      <c r="AO208" s="5">
        <v>331</v>
      </c>
      <c r="AP208" s="5">
        <v>339</v>
      </c>
      <c r="AQ208" s="5">
        <v>615</v>
      </c>
      <c r="AR208" s="5">
        <v>308</v>
      </c>
    </row>
    <row r="209" spans="1:44">
      <c r="A209" s="1" t="s">
        <v>1093</v>
      </c>
      <c r="B209" s="1" t="s">
        <v>1094</v>
      </c>
      <c r="C209" s="1" t="s">
        <v>167</v>
      </c>
      <c r="D209" s="1" t="str">
        <f>HYPERLINK("http://eros.fiehnlab.ucdavis.edu:8080/binbase-compound/bin/show/207729?db=rtx5","207729")</f>
        <v>207729</v>
      </c>
      <c r="E209" s="1" t="s">
        <v>1095</v>
      </c>
      <c r="F209" s="1" t="s">
        <v>0</v>
      </c>
      <c r="G209" s="1" t="s">
        <v>0</v>
      </c>
      <c r="H209" s="1"/>
      <c r="I209" s="5">
        <v>11368</v>
      </c>
      <c r="J209" s="5">
        <v>54207</v>
      </c>
      <c r="K209" s="5">
        <v>3754</v>
      </c>
      <c r="L209" s="5">
        <v>3039</v>
      </c>
      <c r="M209" s="5">
        <v>13281</v>
      </c>
      <c r="N209" s="5">
        <v>22698</v>
      </c>
      <c r="O209" s="5">
        <v>13172</v>
      </c>
      <c r="P209" s="5">
        <v>5614</v>
      </c>
      <c r="Q209" s="5">
        <v>16684</v>
      </c>
      <c r="R209" s="5">
        <v>2466</v>
      </c>
      <c r="S209" s="5">
        <v>12054</v>
      </c>
      <c r="T209" s="5">
        <v>15229</v>
      </c>
      <c r="U209" s="5">
        <v>3945</v>
      </c>
      <c r="V209" s="5">
        <v>11935</v>
      </c>
      <c r="W209" s="5">
        <v>20875</v>
      </c>
      <c r="X209" s="5">
        <v>6045</v>
      </c>
      <c r="Y209" s="5">
        <v>2276</v>
      </c>
      <c r="Z209" s="5">
        <v>37285</v>
      </c>
      <c r="AA209" s="5">
        <v>18162</v>
      </c>
      <c r="AB209" s="5">
        <v>2906</v>
      </c>
      <c r="AC209" s="5">
        <v>2364</v>
      </c>
      <c r="AD209" s="5">
        <v>3641</v>
      </c>
      <c r="AE209" s="5">
        <v>4012</v>
      </c>
      <c r="AF209" s="5">
        <v>2177</v>
      </c>
      <c r="AG209" s="5">
        <v>5023</v>
      </c>
      <c r="AH209" s="5">
        <v>2035</v>
      </c>
      <c r="AI209" s="5">
        <v>17129</v>
      </c>
      <c r="AJ209" s="5">
        <v>1642</v>
      </c>
      <c r="AK209" s="5">
        <v>1648</v>
      </c>
      <c r="AL209" s="5">
        <v>39224</v>
      </c>
      <c r="AM209" s="5">
        <v>3244</v>
      </c>
      <c r="AN209" s="5">
        <v>31773</v>
      </c>
      <c r="AO209" s="5">
        <v>2315</v>
      </c>
      <c r="AP209" s="5">
        <v>1983</v>
      </c>
      <c r="AQ209" s="5">
        <v>61740</v>
      </c>
      <c r="AR209" s="5">
        <v>3529</v>
      </c>
    </row>
    <row r="210" spans="1:44">
      <c r="A210" s="1" t="s">
        <v>589</v>
      </c>
      <c r="B210" s="1" t="s">
        <v>590</v>
      </c>
      <c r="C210" s="1" t="s">
        <v>93</v>
      </c>
      <c r="D210" s="1" t="str">
        <f>HYPERLINK("http://eros.fiehnlab.ucdavis.edu:8080/binbase-compound/bin/show/408756?db=rtx5","408756")</f>
        <v>408756</v>
      </c>
      <c r="E210" s="1" t="s">
        <v>591</v>
      </c>
      <c r="F210" s="1" t="s">
        <v>0</v>
      </c>
      <c r="G210" s="1" t="s">
        <v>0</v>
      </c>
      <c r="H210" s="1"/>
      <c r="I210" s="5">
        <v>2904</v>
      </c>
      <c r="J210" s="5">
        <v>1163</v>
      </c>
      <c r="K210" s="5">
        <v>845</v>
      </c>
      <c r="L210" s="5">
        <v>1455</v>
      </c>
      <c r="M210" s="5">
        <v>1757</v>
      </c>
      <c r="N210" s="5">
        <v>1111</v>
      </c>
      <c r="O210" s="5">
        <v>893</v>
      </c>
      <c r="P210" s="5">
        <v>2790</v>
      </c>
      <c r="Q210" s="5">
        <v>6063</v>
      </c>
      <c r="R210" s="5">
        <v>1801</v>
      </c>
      <c r="S210" s="5">
        <v>1750</v>
      </c>
      <c r="T210" s="5">
        <v>3715</v>
      </c>
      <c r="U210" s="5">
        <v>1804</v>
      </c>
      <c r="V210" s="5">
        <v>306</v>
      </c>
      <c r="W210" s="5">
        <v>1168</v>
      </c>
      <c r="X210" s="5">
        <v>457</v>
      </c>
      <c r="Y210" s="5">
        <v>1152</v>
      </c>
      <c r="Z210" s="5">
        <v>2257</v>
      </c>
      <c r="AA210" s="5">
        <v>1186</v>
      </c>
      <c r="AB210" s="5">
        <v>1141</v>
      </c>
      <c r="AC210" s="5">
        <v>858</v>
      </c>
      <c r="AD210" s="5">
        <v>5990</v>
      </c>
      <c r="AE210" s="5">
        <v>3379</v>
      </c>
      <c r="AF210" s="5">
        <v>2518</v>
      </c>
      <c r="AG210" s="5">
        <v>3348</v>
      </c>
      <c r="AH210" s="5">
        <v>3145</v>
      </c>
      <c r="AI210" s="5">
        <v>826</v>
      </c>
      <c r="AJ210" s="5">
        <v>4264</v>
      </c>
      <c r="AK210" s="5">
        <v>3260</v>
      </c>
      <c r="AL210" s="5">
        <v>3414</v>
      </c>
      <c r="AM210" s="5">
        <v>2757</v>
      </c>
      <c r="AN210" s="5">
        <v>926</v>
      </c>
      <c r="AO210" s="5">
        <v>2117</v>
      </c>
      <c r="AP210" s="5">
        <v>5211</v>
      </c>
      <c r="AQ210" s="5">
        <v>4315</v>
      </c>
      <c r="AR210" s="5">
        <v>1208</v>
      </c>
    </row>
    <row r="211" spans="1:44">
      <c r="A211" s="1" t="s">
        <v>959</v>
      </c>
      <c r="B211" s="1" t="s">
        <v>960</v>
      </c>
      <c r="C211" s="1" t="s">
        <v>155</v>
      </c>
      <c r="D211" s="1" t="str">
        <f>HYPERLINK("http://eros.fiehnlab.ucdavis.edu:8080/binbase-compound/bin/show/231802?db=rtx5","231802")</f>
        <v>231802</v>
      </c>
      <c r="E211" s="1" t="s">
        <v>961</v>
      </c>
      <c r="F211" s="1" t="s">
        <v>0</v>
      </c>
      <c r="G211" s="1" t="s">
        <v>0</v>
      </c>
      <c r="H211" s="1"/>
      <c r="I211" s="5">
        <v>1592</v>
      </c>
      <c r="J211" s="5">
        <v>9273</v>
      </c>
      <c r="K211" s="5">
        <v>560</v>
      </c>
      <c r="L211" s="5">
        <v>525</v>
      </c>
      <c r="M211" s="5">
        <v>2062</v>
      </c>
      <c r="N211" s="5">
        <v>3497</v>
      </c>
      <c r="O211" s="5">
        <v>1653</v>
      </c>
      <c r="P211" s="5">
        <v>463</v>
      </c>
      <c r="Q211" s="5">
        <v>2580</v>
      </c>
      <c r="R211" s="5">
        <v>485</v>
      </c>
      <c r="S211" s="5">
        <v>1906</v>
      </c>
      <c r="T211" s="5">
        <v>2679</v>
      </c>
      <c r="U211" s="5">
        <v>599</v>
      </c>
      <c r="V211" s="5">
        <v>1599</v>
      </c>
      <c r="W211" s="5">
        <v>3055</v>
      </c>
      <c r="X211" s="5">
        <v>1060</v>
      </c>
      <c r="Y211" s="5">
        <v>534</v>
      </c>
      <c r="Z211" s="5">
        <v>5280</v>
      </c>
      <c r="AA211" s="5">
        <v>2929</v>
      </c>
      <c r="AB211" s="5">
        <v>558</v>
      </c>
      <c r="AC211" s="5">
        <v>375</v>
      </c>
      <c r="AD211" s="5">
        <v>455</v>
      </c>
      <c r="AE211" s="5">
        <v>692</v>
      </c>
      <c r="AF211" s="5">
        <v>535</v>
      </c>
      <c r="AG211" s="5">
        <v>756</v>
      </c>
      <c r="AH211" s="5">
        <v>391</v>
      </c>
      <c r="AI211" s="5">
        <v>3032</v>
      </c>
      <c r="AJ211" s="5">
        <v>412</v>
      </c>
      <c r="AK211" s="5">
        <v>384</v>
      </c>
      <c r="AL211" s="5">
        <v>5480</v>
      </c>
      <c r="AM211" s="5">
        <v>596</v>
      </c>
      <c r="AN211" s="5">
        <v>5008</v>
      </c>
      <c r="AO211" s="5">
        <v>395</v>
      </c>
      <c r="AP211" s="5">
        <v>594</v>
      </c>
      <c r="AQ211" s="5">
        <v>8890</v>
      </c>
      <c r="AR211" s="5">
        <v>716</v>
      </c>
    </row>
    <row r="212" spans="1:44">
      <c r="A212" s="1" t="s">
        <v>575</v>
      </c>
      <c r="B212" s="1" t="s">
        <v>576</v>
      </c>
      <c r="C212" s="1" t="s">
        <v>190</v>
      </c>
      <c r="D212" s="1" t="str">
        <f>HYPERLINK("http://eros.fiehnlab.ucdavis.edu:8080/binbase-compound/bin/show/408836?db=rtx5","408836")</f>
        <v>408836</v>
      </c>
      <c r="E212" s="1" t="s">
        <v>577</v>
      </c>
      <c r="F212" s="1" t="s">
        <v>0</v>
      </c>
      <c r="G212" s="1" t="s">
        <v>0</v>
      </c>
      <c r="H212" s="1"/>
      <c r="I212" s="5">
        <v>2620</v>
      </c>
      <c r="J212" s="5">
        <v>6483</v>
      </c>
      <c r="K212" s="5">
        <v>930</v>
      </c>
      <c r="L212" s="5">
        <v>675</v>
      </c>
      <c r="M212" s="5">
        <v>1865</v>
      </c>
      <c r="N212" s="5">
        <v>2798</v>
      </c>
      <c r="O212" s="5">
        <v>2721</v>
      </c>
      <c r="P212" s="5">
        <v>983</v>
      </c>
      <c r="Q212" s="5">
        <v>3047</v>
      </c>
      <c r="R212" s="5">
        <v>590</v>
      </c>
      <c r="S212" s="5">
        <v>2142</v>
      </c>
      <c r="T212" s="5">
        <v>3101</v>
      </c>
      <c r="U212" s="5">
        <v>645</v>
      </c>
      <c r="V212" s="5">
        <v>1618</v>
      </c>
      <c r="W212" s="5">
        <v>2348</v>
      </c>
      <c r="X212" s="5">
        <v>1054</v>
      </c>
      <c r="Y212" s="5">
        <v>397</v>
      </c>
      <c r="Z212" s="5">
        <v>5052</v>
      </c>
      <c r="AA212" s="5">
        <v>1737</v>
      </c>
      <c r="AB212" s="5">
        <v>724</v>
      </c>
      <c r="AC212" s="5">
        <v>655</v>
      </c>
      <c r="AD212" s="5">
        <v>730</v>
      </c>
      <c r="AE212" s="5">
        <v>900</v>
      </c>
      <c r="AF212" s="5">
        <v>536</v>
      </c>
      <c r="AG212" s="5">
        <v>1119</v>
      </c>
      <c r="AH212" s="5">
        <v>527</v>
      </c>
      <c r="AI212" s="5">
        <v>2796</v>
      </c>
      <c r="AJ212" s="5">
        <v>330</v>
      </c>
      <c r="AK212" s="5">
        <v>552</v>
      </c>
      <c r="AL212" s="5">
        <v>5033</v>
      </c>
      <c r="AM212" s="5">
        <v>583</v>
      </c>
      <c r="AN212" s="5">
        <v>3946</v>
      </c>
      <c r="AO212" s="5">
        <v>636</v>
      </c>
      <c r="AP212" s="5">
        <v>537</v>
      </c>
      <c r="AQ212" s="5">
        <v>6191</v>
      </c>
      <c r="AR212" s="5">
        <v>772</v>
      </c>
    </row>
    <row r="213" spans="1:44">
      <c r="A213" s="1" t="s">
        <v>1051</v>
      </c>
      <c r="B213" s="1" t="s">
        <v>1052</v>
      </c>
      <c r="C213" s="1" t="s">
        <v>135</v>
      </c>
      <c r="D213" s="1" t="str">
        <f>HYPERLINK("http://eros.fiehnlab.ucdavis.edu:8080/binbase-compound/bin/show/216860?db=rtx5","216860")</f>
        <v>216860</v>
      </c>
      <c r="E213" s="1" t="s">
        <v>1053</v>
      </c>
      <c r="F213" s="1" t="s">
        <v>0</v>
      </c>
      <c r="G213" s="1" t="s">
        <v>0</v>
      </c>
      <c r="H213" s="1"/>
      <c r="I213" s="5">
        <v>2461</v>
      </c>
      <c r="J213" s="5">
        <v>12267</v>
      </c>
      <c r="K213" s="5">
        <v>2353</v>
      </c>
      <c r="L213" s="5">
        <v>1302</v>
      </c>
      <c r="M213" s="5">
        <v>827</v>
      </c>
      <c r="N213" s="5">
        <v>6436</v>
      </c>
      <c r="O213" s="5">
        <v>896</v>
      </c>
      <c r="P213" s="5">
        <v>444</v>
      </c>
      <c r="Q213" s="5">
        <v>1593</v>
      </c>
      <c r="R213" s="5">
        <v>814</v>
      </c>
      <c r="S213" s="5">
        <v>2051</v>
      </c>
      <c r="T213" s="5">
        <v>3312</v>
      </c>
      <c r="U213" s="5">
        <v>663</v>
      </c>
      <c r="V213" s="5">
        <v>3250</v>
      </c>
      <c r="W213" s="5">
        <v>5420</v>
      </c>
      <c r="X213" s="5">
        <v>2473</v>
      </c>
      <c r="Y213" s="5">
        <v>585</v>
      </c>
      <c r="Z213" s="5">
        <v>1923</v>
      </c>
      <c r="AA213" s="5">
        <v>2120</v>
      </c>
      <c r="AB213" s="5">
        <v>2520</v>
      </c>
      <c r="AC213" s="5">
        <v>5131</v>
      </c>
      <c r="AD213" s="5">
        <v>8131</v>
      </c>
      <c r="AE213" s="5">
        <v>1543</v>
      </c>
      <c r="AF213" s="5">
        <v>3780</v>
      </c>
      <c r="AG213" s="5">
        <v>767</v>
      </c>
      <c r="AH213" s="5">
        <v>1632</v>
      </c>
      <c r="AI213" s="5">
        <v>1434</v>
      </c>
      <c r="AJ213" s="5">
        <v>1905</v>
      </c>
      <c r="AK213" s="5">
        <v>878</v>
      </c>
      <c r="AL213" s="5">
        <v>5375</v>
      </c>
      <c r="AM213" s="5">
        <v>790</v>
      </c>
      <c r="AN213" s="5">
        <v>2254</v>
      </c>
      <c r="AO213" s="5">
        <v>7127</v>
      </c>
      <c r="AP213" s="5">
        <v>1535</v>
      </c>
      <c r="AQ213" s="5">
        <v>3239</v>
      </c>
      <c r="AR213" s="5">
        <v>1622</v>
      </c>
    </row>
    <row r="214" spans="1:44">
      <c r="A214" s="1" t="s">
        <v>932</v>
      </c>
      <c r="B214" s="1" t="s">
        <v>933</v>
      </c>
      <c r="C214" s="1" t="s">
        <v>117</v>
      </c>
      <c r="D214" s="1" t="str">
        <f>HYPERLINK("http://eros.fiehnlab.ucdavis.edu:8080/binbase-compound/bin/show/235449?db=rtx5","235449")</f>
        <v>235449</v>
      </c>
      <c r="E214" s="1" t="s">
        <v>934</v>
      </c>
      <c r="F214" s="1" t="s">
        <v>0</v>
      </c>
      <c r="G214" s="1" t="s">
        <v>0</v>
      </c>
      <c r="H214" s="1"/>
      <c r="I214" s="5">
        <v>6976</v>
      </c>
      <c r="J214" s="5">
        <v>23471</v>
      </c>
      <c r="K214" s="5">
        <v>3533</v>
      </c>
      <c r="L214" s="5">
        <v>2997</v>
      </c>
      <c r="M214" s="5">
        <v>7859</v>
      </c>
      <c r="N214" s="5">
        <v>10459</v>
      </c>
      <c r="O214" s="5">
        <v>6479</v>
      </c>
      <c r="P214" s="5">
        <v>2478</v>
      </c>
      <c r="Q214" s="5">
        <v>11654</v>
      </c>
      <c r="R214" s="5">
        <v>1450</v>
      </c>
      <c r="S214" s="5">
        <v>5286</v>
      </c>
      <c r="T214" s="5">
        <v>7376</v>
      </c>
      <c r="U214" s="5">
        <v>2634</v>
      </c>
      <c r="V214" s="5">
        <v>5667</v>
      </c>
      <c r="W214" s="5">
        <v>13124</v>
      </c>
      <c r="X214" s="5">
        <v>3828</v>
      </c>
      <c r="Y214" s="5">
        <v>1433</v>
      </c>
      <c r="Z214" s="5">
        <v>14683</v>
      </c>
      <c r="AA214" s="5">
        <v>8640</v>
      </c>
      <c r="AB214" s="5">
        <v>2972</v>
      </c>
      <c r="AC214" s="5">
        <v>2548</v>
      </c>
      <c r="AD214" s="5">
        <v>4579</v>
      </c>
      <c r="AE214" s="5">
        <v>4251</v>
      </c>
      <c r="AF214" s="5">
        <v>2686</v>
      </c>
      <c r="AG214" s="5">
        <v>3275</v>
      </c>
      <c r="AH214" s="5">
        <v>2896</v>
      </c>
      <c r="AI214" s="5">
        <v>7887</v>
      </c>
      <c r="AJ214" s="5">
        <v>2408</v>
      </c>
      <c r="AK214" s="5">
        <v>2032</v>
      </c>
      <c r="AL214" s="5">
        <v>18023</v>
      </c>
      <c r="AM214" s="5">
        <v>2381</v>
      </c>
      <c r="AN214" s="5">
        <v>13324</v>
      </c>
      <c r="AO214" s="5">
        <v>1625</v>
      </c>
      <c r="AP214" s="5">
        <v>1693</v>
      </c>
      <c r="AQ214" s="5">
        <v>22745</v>
      </c>
      <c r="AR214" s="5">
        <v>2890</v>
      </c>
    </row>
    <row r="215" spans="1:44">
      <c r="A215" s="1" t="s">
        <v>824</v>
      </c>
      <c r="B215" s="1" t="s">
        <v>825</v>
      </c>
      <c r="C215" s="1" t="s">
        <v>682</v>
      </c>
      <c r="D215" s="1" t="str">
        <f>HYPERLINK("http://eros.fiehnlab.ucdavis.edu:8080/binbase-compound/bin/show/268399?db=rtx5","268399")</f>
        <v>268399</v>
      </c>
      <c r="E215" s="1" t="s">
        <v>826</v>
      </c>
      <c r="F215" s="1" t="s">
        <v>0</v>
      </c>
      <c r="G215" s="1" t="s">
        <v>0</v>
      </c>
      <c r="H215" s="1"/>
      <c r="I215" s="5">
        <v>767</v>
      </c>
      <c r="J215" s="5">
        <v>1396</v>
      </c>
      <c r="K215" s="5">
        <v>311</v>
      </c>
      <c r="L215" s="5">
        <v>333</v>
      </c>
      <c r="M215" s="5">
        <v>367</v>
      </c>
      <c r="N215" s="5">
        <v>750</v>
      </c>
      <c r="O215" s="5">
        <v>1104</v>
      </c>
      <c r="P215" s="5">
        <v>160</v>
      </c>
      <c r="Q215" s="5">
        <v>839</v>
      </c>
      <c r="R215" s="5">
        <v>208</v>
      </c>
      <c r="S215" s="5">
        <v>667</v>
      </c>
      <c r="T215" s="5">
        <v>532</v>
      </c>
      <c r="U215" s="5">
        <v>219</v>
      </c>
      <c r="V215" s="5">
        <v>515</v>
      </c>
      <c r="W215" s="5">
        <v>597</v>
      </c>
      <c r="X215" s="5">
        <v>306</v>
      </c>
      <c r="Y215" s="5">
        <v>196</v>
      </c>
      <c r="Z215" s="5">
        <v>698</v>
      </c>
      <c r="AA215" s="5">
        <v>1264</v>
      </c>
      <c r="AB215" s="5">
        <v>192</v>
      </c>
      <c r="AC215" s="5">
        <v>167</v>
      </c>
      <c r="AD215" s="5">
        <v>222</v>
      </c>
      <c r="AE215" s="5">
        <v>327</v>
      </c>
      <c r="AF215" s="5">
        <v>208</v>
      </c>
      <c r="AG215" s="5">
        <v>281</v>
      </c>
      <c r="AH215" s="5">
        <v>241</v>
      </c>
      <c r="AI215" s="5">
        <v>968</v>
      </c>
      <c r="AJ215" s="5">
        <v>242</v>
      </c>
      <c r="AK215" s="5">
        <v>271</v>
      </c>
      <c r="AL215" s="5">
        <v>822</v>
      </c>
      <c r="AM215" s="5">
        <v>275</v>
      </c>
      <c r="AN215" s="5">
        <v>847</v>
      </c>
      <c r="AO215" s="5">
        <v>182</v>
      </c>
      <c r="AP215" s="5">
        <v>236</v>
      </c>
      <c r="AQ215" s="5">
        <v>977</v>
      </c>
      <c r="AR215" s="5">
        <v>330</v>
      </c>
    </row>
    <row r="216" spans="1:44">
      <c r="A216" s="1" t="s">
        <v>1147</v>
      </c>
      <c r="B216" s="1" t="s">
        <v>1148</v>
      </c>
      <c r="C216" s="1" t="s">
        <v>594</v>
      </c>
      <c r="D216" s="1" t="str">
        <f>HYPERLINK("http://eros.fiehnlab.ucdavis.edu:8080/binbase-compound/bin/show/200471?db=rtx5","200471")</f>
        <v>200471</v>
      </c>
      <c r="E216" s="1" t="s">
        <v>1149</v>
      </c>
      <c r="F216" s="1" t="s">
        <v>0</v>
      </c>
      <c r="G216" s="1" t="s">
        <v>0</v>
      </c>
      <c r="H216" s="1"/>
      <c r="I216" s="5">
        <v>1357</v>
      </c>
      <c r="J216" s="5">
        <v>1322</v>
      </c>
      <c r="K216" s="5">
        <v>4448</v>
      </c>
      <c r="L216" s="5">
        <v>3275</v>
      </c>
      <c r="M216" s="5">
        <v>637</v>
      </c>
      <c r="N216" s="5">
        <v>2528</v>
      </c>
      <c r="O216" s="5">
        <v>969</v>
      </c>
      <c r="P216" s="5">
        <v>1848</v>
      </c>
      <c r="Q216" s="5">
        <v>876</v>
      </c>
      <c r="R216" s="5">
        <v>6191</v>
      </c>
      <c r="S216" s="5">
        <v>719</v>
      </c>
      <c r="T216" s="5">
        <v>3101</v>
      </c>
      <c r="U216" s="5">
        <v>5915</v>
      </c>
      <c r="V216" s="5">
        <v>1441</v>
      </c>
      <c r="W216" s="5">
        <v>761</v>
      </c>
      <c r="X216" s="5">
        <v>624</v>
      </c>
      <c r="Y216" s="5">
        <v>5071</v>
      </c>
      <c r="Z216" s="5">
        <v>2214</v>
      </c>
      <c r="AA216" s="5">
        <v>1404</v>
      </c>
      <c r="AB216" s="5">
        <v>1839</v>
      </c>
      <c r="AC216" s="5">
        <v>2861</v>
      </c>
      <c r="AD216" s="5">
        <v>1567</v>
      </c>
      <c r="AE216" s="5">
        <v>1181</v>
      </c>
      <c r="AF216" s="5">
        <v>2376</v>
      </c>
      <c r="AG216" s="5">
        <v>2023</v>
      </c>
      <c r="AH216" s="5">
        <v>2257</v>
      </c>
      <c r="AI216" s="5">
        <v>1256</v>
      </c>
      <c r="AJ216" s="5">
        <v>2602</v>
      </c>
      <c r="AK216" s="5">
        <v>1285</v>
      </c>
      <c r="AL216" s="5">
        <v>950</v>
      </c>
      <c r="AM216" s="5">
        <v>1278</v>
      </c>
      <c r="AN216" s="5">
        <v>2401</v>
      </c>
      <c r="AO216" s="5">
        <v>3354</v>
      </c>
      <c r="AP216" s="5">
        <v>3550</v>
      </c>
      <c r="AQ216" s="5">
        <v>1796</v>
      </c>
      <c r="AR216" s="5">
        <v>906</v>
      </c>
    </row>
    <row r="217" spans="1:44">
      <c r="A217" s="1" t="s">
        <v>892</v>
      </c>
      <c r="B217" s="1" t="s">
        <v>893</v>
      </c>
      <c r="C217" s="1" t="s">
        <v>111</v>
      </c>
      <c r="D217" s="1" t="str">
        <f>HYPERLINK("http://eros.fiehnlab.ucdavis.edu:8080/binbase-compound/bin/show/239305?db=rtx5","239305")</f>
        <v>239305</v>
      </c>
      <c r="E217" s="1" t="s">
        <v>894</v>
      </c>
      <c r="F217" s="1" t="s">
        <v>0</v>
      </c>
      <c r="G217" s="1" t="s">
        <v>0</v>
      </c>
      <c r="H217" s="1"/>
      <c r="I217" s="5">
        <v>390</v>
      </c>
      <c r="J217" s="5">
        <v>3744</v>
      </c>
      <c r="K217" s="5">
        <v>359</v>
      </c>
      <c r="L217" s="5">
        <v>356</v>
      </c>
      <c r="M217" s="5">
        <v>520</v>
      </c>
      <c r="N217" s="5">
        <v>1211</v>
      </c>
      <c r="O217" s="5">
        <v>615</v>
      </c>
      <c r="P217" s="5">
        <v>376</v>
      </c>
      <c r="Q217" s="5">
        <v>637</v>
      </c>
      <c r="R217" s="5">
        <v>322</v>
      </c>
      <c r="S217" s="5">
        <v>491</v>
      </c>
      <c r="T217" s="5">
        <v>795</v>
      </c>
      <c r="U217" s="5">
        <v>387</v>
      </c>
      <c r="V217" s="5">
        <v>585</v>
      </c>
      <c r="W217" s="5">
        <v>698</v>
      </c>
      <c r="X217" s="5">
        <v>237</v>
      </c>
      <c r="Y217" s="5">
        <v>308</v>
      </c>
      <c r="Z217" s="5">
        <v>1735</v>
      </c>
      <c r="AA217" s="5">
        <v>788</v>
      </c>
      <c r="AB217" s="5">
        <v>362</v>
      </c>
      <c r="AC217" s="5">
        <v>342</v>
      </c>
      <c r="AD217" s="5">
        <v>96</v>
      </c>
      <c r="AE217" s="5">
        <v>590</v>
      </c>
      <c r="AF217" s="5">
        <v>276</v>
      </c>
      <c r="AG217" s="5">
        <v>490</v>
      </c>
      <c r="AH217" s="5">
        <v>340</v>
      </c>
      <c r="AI217" s="5">
        <v>1076</v>
      </c>
      <c r="AJ217" s="5">
        <v>53</v>
      </c>
      <c r="AK217" s="5">
        <v>311</v>
      </c>
      <c r="AL217" s="5">
        <v>1624</v>
      </c>
      <c r="AM217" s="5">
        <v>377</v>
      </c>
      <c r="AN217" s="5">
        <v>1780</v>
      </c>
      <c r="AO217" s="5">
        <v>285</v>
      </c>
      <c r="AP217" s="5">
        <v>360</v>
      </c>
      <c r="AQ217" s="5">
        <v>2685</v>
      </c>
      <c r="AR217" s="5">
        <v>180</v>
      </c>
    </row>
    <row r="218" spans="1:44">
      <c r="A218" s="1" t="s">
        <v>885</v>
      </c>
      <c r="B218" s="1" t="s">
        <v>886</v>
      </c>
      <c r="C218" s="1" t="s">
        <v>111</v>
      </c>
      <c r="D218" s="1" t="str">
        <f>HYPERLINK("http://eros.fiehnlab.ucdavis.edu:8080/binbase-compound/bin/show/239375?db=rtx5","239375")</f>
        <v>239375</v>
      </c>
      <c r="E218" s="1" t="s">
        <v>887</v>
      </c>
      <c r="F218" s="1" t="s">
        <v>0</v>
      </c>
      <c r="G218" s="1" t="s">
        <v>0</v>
      </c>
      <c r="H218" s="1"/>
      <c r="I218" s="5">
        <v>502</v>
      </c>
      <c r="J218" s="5">
        <v>4768</v>
      </c>
      <c r="K218" s="5">
        <v>328</v>
      </c>
      <c r="L218" s="5">
        <v>237</v>
      </c>
      <c r="M218" s="5">
        <v>720</v>
      </c>
      <c r="N218" s="5">
        <v>961</v>
      </c>
      <c r="O218" s="5">
        <v>568</v>
      </c>
      <c r="P218" s="5">
        <v>346</v>
      </c>
      <c r="Q218" s="5">
        <v>900</v>
      </c>
      <c r="R218" s="5">
        <v>257</v>
      </c>
      <c r="S218" s="5">
        <v>827</v>
      </c>
      <c r="T218" s="5">
        <v>896</v>
      </c>
      <c r="U218" s="5">
        <v>309</v>
      </c>
      <c r="V218" s="5">
        <v>487</v>
      </c>
      <c r="W218" s="5">
        <v>883</v>
      </c>
      <c r="X218" s="5">
        <v>433</v>
      </c>
      <c r="Y218" s="5">
        <v>210</v>
      </c>
      <c r="Z218" s="5">
        <v>2450</v>
      </c>
      <c r="AA218" s="5">
        <v>1086</v>
      </c>
      <c r="AB218" s="5">
        <v>291</v>
      </c>
      <c r="AC218" s="5">
        <v>280</v>
      </c>
      <c r="AD218" s="5">
        <v>275</v>
      </c>
      <c r="AE218" s="5">
        <v>302</v>
      </c>
      <c r="AF218" s="5">
        <v>244</v>
      </c>
      <c r="AG218" s="5">
        <v>454</v>
      </c>
      <c r="AH218" s="5">
        <v>225</v>
      </c>
      <c r="AI218" s="5">
        <v>913</v>
      </c>
      <c r="AJ218" s="5">
        <v>209</v>
      </c>
      <c r="AK218" s="5">
        <v>196</v>
      </c>
      <c r="AL218" s="5">
        <v>2621</v>
      </c>
      <c r="AM218" s="5">
        <v>243</v>
      </c>
      <c r="AN218" s="5">
        <v>2418</v>
      </c>
      <c r="AO218" s="5">
        <v>200</v>
      </c>
      <c r="AP218" s="5">
        <v>265</v>
      </c>
      <c r="AQ218" s="5">
        <v>3787</v>
      </c>
      <c r="AR218" s="5">
        <v>388</v>
      </c>
    </row>
    <row r="219" spans="1:44">
      <c r="A219" s="1" t="s">
        <v>751</v>
      </c>
      <c r="B219" s="1" t="s">
        <v>752</v>
      </c>
      <c r="C219" s="1" t="s">
        <v>385</v>
      </c>
      <c r="D219" s="1" t="str">
        <f>HYPERLINK("http://eros.fiehnlab.ucdavis.edu:8080/binbase-compound/bin/show/299421?db=rtx5","299421")</f>
        <v>299421</v>
      </c>
      <c r="E219" s="1" t="s">
        <v>753</v>
      </c>
      <c r="F219" s="1" t="s">
        <v>0</v>
      </c>
      <c r="G219" s="1" t="s">
        <v>0</v>
      </c>
      <c r="H219" s="1"/>
      <c r="I219" s="5">
        <v>1691</v>
      </c>
      <c r="J219" s="5">
        <v>1783</v>
      </c>
      <c r="K219" s="5">
        <v>291</v>
      </c>
      <c r="L219" s="5">
        <v>393</v>
      </c>
      <c r="M219" s="5">
        <v>279</v>
      </c>
      <c r="N219" s="5">
        <v>290</v>
      </c>
      <c r="O219" s="5">
        <v>587</v>
      </c>
      <c r="P219" s="5">
        <v>376</v>
      </c>
      <c r="Q219" s="5">
        <v>759</v>
      </c>
      <c r="R219" s="5">
        <v>548</v>
      </c>
      <c r="S219" s="5">
        <v>539</v>
      </c>
      <c r="T219" s="5">
        <v>2645</v>
      </c>
      <c r="U219" s="5">
        <v>1840</v>
      </c>
      <c r="V219" s="5">
        <v>269</v>
      </c>
      <c r="W219" s="5">
        <v>565</v>
      </c>
      <c r="X219" s="5">
        <v>373</v>
      </c>
      <c r="Y219" s="5">
        <v>566</v>
      </c>
      <c r="Z219" s="5">
        <v>487</v>
      </c>
      <c r="AA219" s="5">
        <v>1421</v>
      </c>
      <c r="AB219" s="5">
        <v>525</v>
      </c>
      <c r="AC219" s="5">
        <v>375</v>
      </c>
      <c r="AD219" s="5">
        <v>343</v>
      </c>
      <c r="AE219" s="5">
        <v>1388</v>
      </c>
      <c r="AF219" s="5">
        <v>319</v>
      </c>
      <c r="AG219" s="5">
        <v>1706</v>
      </c>
      <c r="AH219" s="5">
        <v>310</v>
      </c>
      <c r="AI219" s="5">
        <v>722</v>
      </c>
      <c r="AJ219" s="5">
        <v>352</v>
      </c>
      <c r="AK219" s="5">
        <v>1093</v>
      </c>
      <c r="AL219" s="5">
        <v>1372</v>
      </c>
      <c r="AM219" s="5">
        <v>695</v>
      </c>
      <c r="AN219" s="5">
        <v>675</v>
      </c>
      <c r="AO219" s="5">
        <v>285</v>
      </c>
      <c r="AP219" s="5">
        <v>304</v>
      </c>
      <c r="AQ219" s="5">
        <v>951</v>
      </c>
      <c r="AR219" s="5">
        <v>700</v>
      </c>
    </row>
    <row r="220" spans="1:44">
      <c r="A220" s="1" t="s">
        <v>801</v>
      </c>
      <c r="B220" s="1" t="s">
        <v>802</v>
      </c>
      <c r="C220" s="1" t="s">
        <v>803</v>
      </c>
      <c r="D220" s="1" t="str">
        <f>HYPERLINK("http://eros.fiehnlab.ucdavis.edu:8080/binbase-compound/bin/show/269927?db=rtx5","269927")</f>
        <v>269927</v>
      </c>
      <c r="E220" s="1" t="s">
        <v>804</v>
      </c>
      <c r="F220" s="1" t="s">
        <v>0</v>
      </c>
      <c r="G220" s="1" t="s">
        <v>0</v>
      </c>
      <c r="H220" s="1"/>
      <c r="I220" s="5">
        <v>511</v>
      </c>
      <c r="J220" s="5">
        <v>120</v>
      </c>
      <c r="K220" s="5">
        <v>139</v>
      </c>
      <c r="L220" s="5">
        <v>51</v>
      </c>
      <c r="M220" s="5">
        <v>167</v>
      </c>
      <c r="N220" s="5">
        <v>162</v>
      </c>
      <c r="O220" s="5">
        <v>459</v>
      </c>
      <c r="P220" s="5">
        <v>103</v>
      </c>
      <c r="Q220" s="5">
        <v>395</v>
      </c>
      <c r="R220" s="5">
        <v>99</v>
      </c>
      <c r="S220" s="5">
        <v>147</v>
      </c>
      <c r="T220" s="5">
        <v>132</v>
      </c>
      <c r="U220" s="5">
        <v>1080</v>
      </c>
      <c r="V220" s="5">
        <v>102</v>
      </c>
      <c r="W220" s="5">
        <v>62</v>
      </c>
      <c r="X220" s="5">
        <v>156</v>
      </c>
      <c r="Y220" s="5">
        <v>133</v>
      </c>
      <c r="Z220" s="5">
        <v>125</v>
      </c>
      <c r="AA220" s="5">
        <v>120</v>
      </c>
      <c r="AB220" s="5">
        <v>151</v>
      </c>
      <c r="AC220" s="5">
        <v>127</v>
      </c>
      <c r="AD220" s="5">
        <v>85</v>
      </c>
      <c r="AE220" s="5">
        <v>112</v>
      </c>
      <c r="AF220" s="5">
        <v>115</v>
      </c>
      <c r="AG220" s="5">
        <v>102</v>
      </c>
      <c r="AH220" s="5">
        <v>92</v>
      </c>
      <c r="AI220" s="5">
        <v>138</v>
      </c>
      <c r="AJ220" s="5">
        <v>107</v>
      </c>
      <c r="AK220" s="5">
        <v>99</v>
      </c>
      <c r="AL220" s="5">
        <v>131</v>
      </c>
      <c r="AM220" s="5">
        <v>137</v>
      </c>
      <c r="AN220" s="5">
        <v>93</v>
      </c>
      <c r="AO220" s="5">
        <v>102</v>
      </c>
      <c r="AP220" s="5">
        <v>120</v>
      </c>
      <c r="AQ220" s="5">
        <v>109</v>
      </c>
      <c r="AR220" s="5">
        <v>143</v>
      </c>
    </row>
    <row r="221" spans="1:44">
      <c r="A221" s="1" t="s">
        <v>1030</v>
      </c>
      <c r="B221" s="1" t="s">
        <v>1031</v>
      </c>
      <c r="C221" s="1" t="s">
        <v>98</v>
      </c>
      <c r="D221" s="1" t="str">
        <f>HYPERLINK("http://eros.fiehnlab.ucdavis.edu:8080/binbase-compound/bin/show/219520?db=rtx5","219520")</f>
        <v>219520</v>
      </c>
      <c r="E221" s="1" t="s">
        <v>1032</v>
      </c>
      <c r="F221" s="1" t="s">
        <v>0</v>
      </c>
      <c r="G221" s="1" t="s">
        <v>0</v>
      </c>
      <c r="H221" s="1"/>
      <c r="I221" s="5">
        <v>1711</v>
      </c>
      <c r="J221" s="5">
        <v>4478</v>
      </c>
      <c r="K221" s="5">
        <v>872</v>
      </c>
      <c r="L221" s="5">
        <v>706</v>
      </c>
      <c r="M221" s="5">
        <v>1607</v>
      </c>
      <c r="N221" s="5">
        <v>1925</v>
      </c>
      <c r="O221" s="5">
        <v>861</v>
      </c>
      <c r="P221" s="5">
        <v>653</v>
      </c>
      <c r="Q221" s="5">
        <v>872</v>
      </c>
      <c r="R221" s="5">
        <v>325</v>
      </c>
      <c r="S221" s="5">
        <v>1007</v>
      </c>
      <c r="T221" s="5">
        <v>912</v>
      </c>
      <c r="U221" s="5">
        <v>513</v>
      </c>
      <c r="V221" s="5">
        <v>1041</v>
      </c>
      <c r="W221" s="5">
        <v>1362</v>
      </c>
      <c r="X221" s="5">
        <v>725</v>
      </c>
      <c r="Y221" s="5">
        <v>791</v>
      </c>
      <c r="Z221" s="5">
        <v>1302</v>
      </c>
      <c r="AA221" s="5">
        <v>1282</v>
      </c>
      <c r="AB221" s="5">
        <v>959</v>
      </c>
      <c r="AC221" s="5">
        <v>781</v>
      </c>
      <c r="AD221" s="5">
        <v>484</v>
      </c>
      <c r="AE221" s="5">
        <v>1374</v>
      </c>
      <c r="AF221" s="5">
        <v>640</v>
      </c>
      <c r="AG221" s="5">
        <v>869</v>
      </c>
      <c r="AH221" s="5">
        <v>604</v>
      </c>
      <c r="AI221" s="5">
        <v>1975</v>
      </c>
      <c r="AJ221" s="5">
        <v>597</v>
      </c>
      <c r="AK221" s="5">
        <v>407</v>
      </c>
      <c r="AL221" s="5">
        <v>1755</v>
      </c>
      <c r="AM221" s="5">
        <v>602</v>
      </c>
      <c r="AN221" s="5">
        <v>1631</v>
      </c>
      <c r="AO221" s="5">
        <v>556</v>
      </c>
      <c r="AP221" s="5">
        <v>442</v>
      </c>
      <c r="AQ221" s="5">
        <v>3018</v>
      </c>
      <c r="AR221" s="5">
        <v>629</v>
      </c>
    </row>
    <row r="222" spans="1:44">
      <c r="A222" s="1" t="s">
        <v>908</v>
      </c>
      <c r="B222" s="1" t="s">
        <v>909</v>
      </c>
      <c r="C222" s="1" t="s">
        <v>910</v>
      </c>
      <c r="D222" s="1" t="str">
        <f>HYPERLINK("http://eros.fiehnlab.ucdavis.edu:8080/binbase-compound/bin/show/237174?db=rtx5","237174")</f>
        <v>237174</v>
      </c>
      <c r="E222" s="1" t="s">
        <v>911</v>
      </c>
      <c r="F222" s="1" t="s">
        <v>0</v>
      </c>
      <c r="G222" s="1" t="s">
        <v>0</v>
      </c>
      <c r="H222" s="1"/>
      <c r="I222" s="5">
        <v>236</v>
      </c>
      <c r="J222" s="5">
        <v>602</v>
      </c>
      <c r="K222" s="5">
        <v>115</v>
      </c>
      <c r="L222" s="5">
        <v>163</v>
      </c>
      <c r="M222" s="5">
        <v>156</v>
      </c>
      <c r="N222" s="5">
        <v>586</v>
      </c>
      <c r="O222" s="5">
        <v>204</v>
      </c>
      <c r="P222" s="5">
        <v>115</v>
      </c>
      <c r="Q222" s="5">
        <v>215</v>
      </c>
      <c r="R222" s="5">
        <v>142</v>
      </c>
      <c r="S222" s="5">
        <v>182</v>
      </c>
      <c r="T222" s="5">
        <v>993</v>
      </c>
      <c r="U222" s="5">
        <v>229</v>
      </c>
      <c r="V222" s="5">
        <v>135</v>
      </c>
      <c r="W222" s="5">
        <v>192</v>
      </c>
      <c r="X222" s="5">
        <v>177</v>
      </c>
      <c r="Y222" s="5">
        <v>197</v>
      </c>
      <c r="Z222" s="5">
        <v>198</v>
      </c>
      <c r="AA222" s="5">
        <v>544</v>
      </c>
      <c r="AB222" s="5">
        <v>286</v>
      </c>
      <c r="AC222" s="5">
        <v>262</v>
      </c>
      <c r="AD222" s="5">
        <v>314</v>
      </c>
      <c r="AE222" s="5">
        <v>406</v>
      </c>
      <c r="AF222" s="5">
        <v>260</v>
      </c>
      <c r="AG222" s="5">
        <v>450</v>
      </c>
      <c r="AH222" s="5">
        <v>239</v>
      </c>
      <c r="AI222" s="5">
        <v>287</v>
      </c>
      <c r="AJ222" s="5">
        <v>197</v>
      </c>
      <c r="AK222" s="5">
        <v>424</v>
      </c>
      <c r="AL222" s="5">
        <v>469</v>
      </c>
      <c r="AM222" s="5">
        <v>317</v>
      </c>
      <c r="AN222" s="5">
        <v>308</v>
      </c>
      <c r="AO222" s="5">
        <v>190</v>
      </c>
      <c r="AP222" s="5">
        <v>267</v>
      </c>
      <c r="AQ222" s="5">
        <v>407</v>
      </c>
      <c r="AR222" s="5">
        <v>161</v>
      </c>
    </row>
    <row r="223" spans="1:44">
      <c r="A223" s="1" t="s">
        <v>915</v>
      </c>
      <c r="B223" s="1" t="s">
        <v>916</v>
      </c>
      <c r="C223" s="1" t="s">
        <v>917</v>
      </c>
      <c r="D223" s="1" t="str">
        <f>HYPERLINK("http://eros.fiehnlab.ucdavis.edu:8080/binbase-compound/bin/show/237138?db=rtx5","237138")</f>
        <v>237138</v>
      </c>
      <c r="E223" s="1" t="s">
        <v>918</v>
      </c>
      <c r="F223" s="1" t="s">
        <v>0</v>
      </c>
      <c r="G223" s="1" t="s">
        <v>0</v>
      </c>
      <c r="H223" s="1"/>
      <c r="I223" s="5">
        <v>1392</v>
      </c>
      <c r="J223" s="5">
        <v>2153</v>
      </c>
      <c r="K223" s="5">
        <v>330</v>
      </c>
      <c r="L223" s="5">
        <v>469</v>
      </c>
      <c r="M223" s="5">
        <v>291</v>
      </c>
      <c r="N223" s="5">
        <v>2011</v>
      </c>
      <c r="O223" s="5">
        <v>913</v>
      </c>
      <c r="P223" s="5">
        <v>403</v>
      </c>
      <c r="Q223" s="5">
        <v>736</v>
      </c>
      <c r="R223" s="5">
        <v>543</v>
      </c>
      <c r="S223" s="5">
        <v>672</v>
      </c>
      <c r="T223" s="5">
        <v>4545</v>
      </c>
      <c r="U223" s="5">
        <v>1678</v>
      </c>
      <c r="V223" s="5">
        <v>306</v>
      </c>
      <c r="W223" s="5">
        <v>437</v>
      </c>
      <c r="X223" s="5">
        <v>392</v>
      </c>
      <c r="Y223" s="5">
        <v>481</v>
      </c>
      <c r="Z223" s="5">
        <v>361</v>
      </c>
      <c r="AA223" s="5">
        <v>2015</v>
      </c>
      <c r="AB223" s="5">
        <v>998</v>
      </c>
      <c r="AC223" s="5">
        <v>277</v>
      </c>
      <c r="AD223" s="5">
        <v>347</v>
      </c>
      <c r="AE223" s="5">
        <v>2246</v>
      </c>
      <c r="AF223" s="5">
        <v>470</v>
      </c>
      <c r="AG223" s="5">
        <v>2707</v>
      </c>
      <c r="AH223" s="5">
        <v>418</v>
      </c>
      <c r="AI223" s="5">
        <v>1403</v>
      </c>
      <c r="AJ223" s="5">
        <v>378</v>
      </c>
      <c r="AK223" s="5">
        <v>1886</v>
      </c>
      <c r="AL223" s="5">
        <v>1678</v>
      </c>
      <c r="AM223" s="5">
        <v>1183</v>
      </c>
      <c r="AN223" s="5">
        <v>1568</v>
      </c>
      <c r="AO223" s="5">
        <v>310</v>
      </c>
      <c r="AP223" s="5">
        <v>463</v>
      </c>
      <c r="AQ223" s="5">
        <v>1989</v>
      </c>
      <c r="AR223" s="5">
        <v>1066</v>
      </c>
    </row>
    <row r="224" spans="1:44">
      <c r="A224" s="1" t="s">
        <v>648</v>
      </c>
      <c r="B224" s="1" t="s">
        <v>649</v>
      </c>
      <c r="C224" s="1" t="s">
        <v>294</v>
      </c>
      <c r="D224" s="1" t="str">
        <f>HYPERLINK("http://eros.fiehnlab.ucdavis.edu:8080/binbase-compound/bin/show/367905?db=rtx5","367905")</f>
        <v>367905</v>
      </c>
      <c r="E224" s="1" t="s">
        <v>650</v>
      </c>
      <c r="F224" s="1" t="s">
        <v>0</v>
      </c>
      <c r="G224" s="1" t="s">
        <v>0</v>
      </c>
      <c r="H224" s="1"/>
      <c r="I224" s="5">
        <v>42784</v>
      </c>
      <c r="J224" s="5">
        <v>203116</v>
      </c>
      <c r="K224" s="5">
        <v>15625</v>
      </c>
      <c r="L224" s="5">
        <v>8558</v>
      </c>
      <c r="M224" s="5">
        <v>51728</v>
      </c>
      <c r="N224" s="5">
        <v>88839</v>
      </c>
      <c r="O224" s="5">
        <v>51694</v>
      </c>
      <c r="P224" s="5">
        <v>10428</v>
      </c>
      <c r="Q224" s="5">
        <v>52111</v>
      </c>
      <c r="R224" s="5">
        <v>11943</v>
      </c>
      <c r="S224" s="5">
        <v>45296</v>
      </c>
      <c r="T224" s="5">
        <v>79206</v>
      </c>
      <c r="U224" s="5">
        <v>10725</v>
      </c>
      <c r="V224" s="5">
        <v>42178</v>
      </c>
      <c r="W224" s="5">
        <v>56285</v>
      </c>
      <c r="X224" s="5">
        <v>18764</v>
      </c>
      <c r="Y224" s="5">
        <v>5067</v>
      </c>
      <c r="Z224" s="5">
        <v>115204</v>
      </c>
      <c r="AA224" s="5">
        <v>44865</v>
      </c>
      <c r="AB224" s="5">
        <v>7802</v>
      </c>
      <c r="AC224" s="5">
        <v>4353</v>
      </c>
      <c r="AD224" s="5">
        <v>10921</v>
      </c>
      <c r="AE224" s="5">
        <v>9983</v>
      </c>
      <c r="AF224" s="5">
        <v>8394</v>
      </c>
      <c r="AG224" s="5">
        <v>19111</v>
      </c>
      <c r="AH224" s="5">
        <v>7214</v>
      </c>
      <c r="AI224" s="5">
        <v>79010</v>
      </c>
      <c r="AJ224" s="5">
        <v>5841</v>
      </c>
      <c r="AK224" s="5">
        <v>6896</v>
      </c>
      <c r="AL224" s="5">
        <v>105177</v>
      </c>
      <c r="AM224" s="5">
        <v>7178</v>
      </c>
      <c r="AN224" s="5">
        <v>84942</v>
      </c>
      <c r="AO224" s="5">
        <v>5082</v>
      </c>
      <c r="AP224" s="5">
        <v>7273</v>
      </c>
      <c r="AQ224" s="5">
        <v>133639</v>
      </c>
      <c r="AR224" s="5">
        <v>11392</v>
      </c>
    </row>
    <row r="225" spans="1:44">
      <c r="A225" s="1" t="s">
        <v>1045</v>
      </c>
      <c r="B225" s="1" t="s">
        <v>1046</v>
      </c>
      <c r="C225" s="1" t="s">
        <v>117</v>
      </c>
      <c r="D225" s="1" t="str">
        <f>HYPERLINK("http://eros.fiehnlab.ucdavis.edu:8080/binbase-compound/bin/show/218505?db=rtx5","218505")</f>
        <v>218505</v>
      </c>
      <c r="E225" s="1" t="s">
        <v>1047</v>
      </c>
      <c r="F225" s="1" t="s">
        <v>0</v>
      </c>
      <c r="G225" s="1" t="s">
        <v>0</v>
      </c>
      <c r="H225" s="1"/>
      <c r="I225" s="5">
        <v>1820</v>
      </c>
      <c r="J225" s="5">
        <v>1983</v>
      </c>
      <c r="K225" s="5">
        <v>988</v>
      </c>
      <c r="L225" s="5">
        <v>647</v>
      </c>
      <c r="M225" s="5">
        <v>511</v>
      </c>
      <c r="N225" s="5">
        <v>1097</v>
      </c>
      <c r="O225" s="5">
        <v>211</v>
      </c>
      <c r="P225" s="5">
        <v>265</v>
      </c>
      <c r="Q225" s="5">
        <v>1774</v>
      </c>
      <c r="R225" s="5">
        <v>553</v>
      </c>
      <c r="S225" s="5">
        <v>2624</v>
      </c>
      <c r="T225" s="5">
        <v>9235</v>
      </c>
      <c r="U225" s="5">
        <v>1122</v>
      </c>
      <c r="V225" s="5">
        <v>402</v>
      </c>
      <c r="W225" s="5">
        <v>1034</v>
      </c>
      <c r="X225" s="5">
        <v>945</v>
      </c>
      <c r="Y225" s="5">
        <v>765</v>
      </c>
      <c r="Z225" s="5">
        <v>2582</v>
      </c>
      <c r="AA225" s="5">
        <v>1529</v>
      </c>
      <c r="AB225" s="5">
        <v>861</v>
      </c>
      <c r="AC225" s="5">
        <v>430</v>
      </c>
      <c r="AD225" s="5">
        <v>1344</v>
      </c>
      <c r="AE225" s="5">
        <v>1885</v>
      </c>
      <c r="AF225" s="5">
        <v>2271</v>
      </c>
      <c r="AG225" s="5">
        <v>1563</v>
      </c>
      <c r="AH225" s="5">
        <v>1693</v>
      </c>
      <c r="AI225" s="5">
        <v>1528</v>
      </c>
      <c r="AJ225" s="5">
        <v>1241</v>
      </c>
      <c r="AK225" s="5">
        <v>1436</v>
      </c>
      <c r="AL225" s="5">
        <v>3232</v>
      </c>
      <c r="AM225" s="5">
        <v>930</v>
      </c>
      <c r="AN225" s="5">
        <v>2010</v>
      </c>
      <c r="AO225" s="5">
        <v>691</v>
      </c>
      <c r="AP225" s="5">
        <v>1230</v>
      </c>
      <c r="AQ225" s="5">
        <v>3247</v>
      </c>
      <c r="AR225" s="5">
        <v>929</v>
      </c>
    </row>
    <row r="226" spans="1:44">
      <c r="A226" s="1" t="s">
        <v>873</v>
      </c>
      <c r="B226" s="1" t="s">
        <v>874</v>
      </c>
      <c r="C226" s="1" t="s">
        <v>190</v>
      </c>
      <c r="D226" s="1" t="str">
        <f>HYPERLINK("http://eros.fiehnlab.ucdavis.edu:8080/binbase-compound/bin/show/241041?db=rtx5","241041")</f>
        <v>241041</v>
      </c>
      <c r="E226" s="1" t="s">
        <v>875</v>
      </c>
      <c r="F226" s="1" t="s">
        <v>0</v>
      </c>
      <c r="G226" s="1" t="s">
        <v>0</v>
      </c>
      <c r="H226" s="1"/>
      <c r="I226" s="5">
        <v>1293</v>
      </c>
      <c r="J226" s="5">
        <v>3600</v>
      </c>
      <c r="K226" s="5">
        <v>581</v>
      </c>
      <c r="L226" s="5">
        <v>307</v>
      </c>
      <c r="M226" s="5">
        <v>1293</v>
      </c>
      <c r="N226" s="5">
        <v>1349</v>
      </c>
      <c r="O226" s="5">
        <v>2037</v>
      </c>
      <c r="P226" s="5">
        <v>406</v>
      </c>
      <c r="Q226" s="5">
        <v>1386</v>
      </c>
      <c r="R226" s="5">
        <v>542</v>
      </c>
      <c r="S226" s="5">
        <v>644</v>
      </c>
      <c r="T226" s="5">
        <v>1221</v>
      </c>
      <c r="U226" s="5">
        <v>387</v>
      </c>
      <c r="V226" s="5">
        <v>1100</v>
      </c>
      <c r="W226" s="5">
        <v>1418</v>
      </c>
      <c r="X226" s="5">
        <v>436</v>
      </c>
      <c r="Y226" s="5">
        <v>250</v>
      </c>
      <c r="Z226" s="5">
        <v>2558</v>
      </c>
      <c r="AA226" s="5">
        <v>919</v>
      </c>
      <c r="AB226" s="5">
        <v>329</v>
      </c>
      <c r="AC226" s="5">
        <v>251</v>
      </c>
      <c r="AD226" s="5">
        <v>428</v>
      </c>
      <c r="AE226" s="5">
        <v>311</v>
      </c>
      <c r="AF226" s="5">
        <v>330</v>
      </c>
      <c r="AG226" s="5">
        <v>339</v>
      </c>
      <c r="AH226" s="5">
        <v>329</v>
      </c>
      <c r="AI226" s="5">
        <v>1408</v>
      </c>
      <c r="AJ226" s="5">
        <v>253</v>
      </c>
      <c r="AK226" s="5">
        <v>190</v>
      </c>
      <c r="AL226" s="5">
        <v>2130</v>
      </c>
      <c r="AM226" s="5">
        <v>336</v>
      </c>
      <c r="AN226" s="5">
        <v>2062</v>
      </c>
      <c r="AO226" s="5">
        <v>267</v>
      </c>
      <c r="AP226" s="5">
        <v>260</v>
      </c>
      <c r="AQ226" s="5">
        <v>3443</v>
      </c>
      <c r="AR226" s="5">
        <v>318</v>
      </c>
    </row>
    <row r="227" spans="1:44">
      <c r="A227" s="1" t="s">
        <v>632</v>
      </c>
      <c r="B227" s="1" t="s">
        <v>633</v>
      </c>
      <c r="C227" s="1" t="s">
        <v>389</v>
      </c>
      <c r="D227" s="1" t="str">
        <f>HYPERLINK("http://eros.fiehnlab.ucdavis.edu:8080/binbase-compound/bin/show/373725?db=rtx5","373725")</f>
        <v>373725</v>
      </c>
      <c r="E227" s="1" t="s">
        <v>634</v>
      </c>
      <c r="F227" s="1" t="s">
        <v>0</v>
      </c>
      <c r="G227" s="1" t="s">
        <v>0</v>
      </c>
      <c r="H227" s="1"/>
      <c r="I227" s="5">
        <v>2008</v>
      </c>
      <c r="J227" s="5">
        <v>3415</v>
      </c>
      <c r="K227" s="5">
        <v>1684</v>
      </c>
      <c r="L227" s="5">
        <v>1966</v>
      </c>
      <c r="M227" s="5">
        <v>3726</v>
      </c>
      <c r="N227" s="5">
        <v>1853</v>
      </c>
      <c r="O227" s="5">
        <v>599</v>
      </c>
      <c r="P227" s="5">
        <v>1441</v>
      </c>
      <c r="Q227" s="5">
        <v>6483</v>
      </c>
      <c r="R227" s="5">
        <v>1074</v>
      </c>
      <c r="S227" s="5">
        <v>5433</v>
      </c>
      <c r="T227" s="5">
        <v>6951</v>
      </c>
      <c r="U227" s="5">
        <v>4412</v>
      </c>
      <c r="V227" s="5">
        <v>1747</v>
      </c>
      <c r="W227" s="5">
        <v>2386</v>
      </c>
      <c r="X227" s="5">
        <v>2587</v>
      </c>
      <c r="Y227" s="5">
        <v>2143</v>
      </c>
      <c r="Z227" s="5">
        <v>1341</v>
      </c>
      <c r="AA227" s="5">
        <v>4832</v>
      </c>
      <c r="AB227" s="5">
        <v>3686</v>
      </c>
      <c r="AC227" s="5">
        <v>3517</v>
      </c>
      <c r="AD227" s="5">
        <v>5690</v>
      </c>
      <c r="AE227" s="5">
        <v>3781</v>
      </c>
      <c r="AF227" s="5">
        <v>5115</v>
      </c>
      <c r="AG227" s="5">
        <v>5503</v>
      </c>
      <c r="AH227" s="5">
        <v>6784</v>
      </c>
      <c r="AI227" s="5">
        <v>2344</v>
      </c>
      <c r="AJ227" s="5">
        <v>4433</v>
      </c>
      <c r="AK227" s="5">
        <v>3581</v>
      </c>
      <c r="AL227" s="5">
        <v>4214</v>
      </c>
      <c r="AM227" s="5">
        <v>2895</v>
      </c>
      <c r="AN227" s="5">
        <v>3345</v>
      </c>
      <c r="AO227" s="5">
        <v>3265</v>
      </c>
      <c r="AP227" s="5">
        <v>3257</v>
      </c>
      <c r="AQ227" s="5">
        <v>4060</v>
      </c>
      <c r="AR227" s="5">
        <v>2794</v>
      </c>
    </row>
    <row r="228" spans="1:44">
      <c r="A228" s="1" t="s">
        <v>556</v>
      </c>
      <c r="B228" s="1" t="s">
        <v>557</v>
      </c>
      <c r="C228" s="1" t="s">
        <v>389</v>
      </c>
      <c r="D228" s="1" t="str">
        <f>HYPERLINK("http://eros.fiehnlab.ucdavis.edu:8080/binbase-compound/bin/show/409045?db=rtx5","409045")</f>
        <v>409045</v>
      </c>
      <c r="E228" s="1" t="s">
        <v>558</v>
      </c>
      <c r="F228" s="1" t="s">
        <v>0</v>
      </c>
      <c r="G228" s="1" t="s">
        <v>0</v>
      </c>
      <c r="H228" s="1"/>
      <c r="I228" s="5">
        <v>1720</v>
      </c>
      <c r="J228" s="5">
        <v>2846</v>
      </c>
      <c r="K228" s="5">
        <v>1355</v>
      </c>
      <c r="L228" s="5">
        <v>1498</v>
      </c>
      <c r="M228" s="5">
        <v>2721</v>
      </c>
      <c r="N228" s="5">
        <v>1508</v>
      </c>
      <c r="O228" s="5">
        <v>690</v>
      </c>
      <c r="P228" s="5">
        <v>1073</v>
      </c>
      <c r="Q228" s="5">
        <v>5406</v>
      </c>
      <c r="R228" s="5">
        <v>788</v>
      </c>
      <c r="S228" s="5">
        <v>3988</v>
      </c>
      <c r="T228" s="5">
        <v>6046</v>
      </c>
      <c r="U228" s="5">
        <v>3684</v>
      </c>
      <c r="V228" s="5">
        <v>1462</v>
      </c>
      <c r="W228" s="5">
        <v>2168</v>
      </c>
      <c r="X228" s="5">
        <v>2449</v>
      </c>
      <c r="Y228" s="5">
        <v>2076</v>
      </c>
      <c r="Z228" s="5">
        <v>1515</v>
      </c>
      <c r="AA228" s="5">
        <v>5981</v>
      </c>
      <c r="AB228" s="5">
        <v>2583</v>
      </c>
      <c r="AC228" s="5">
        <v>2544</v>
      </c>
      <c r="AD228" s="5">
        <v>3704</v>
      </c>
      <c r="AE228" s="5">
        <v>3162</v>
      </c>
      <c r="AF228" s="5">
        <v>3735</v>
      </c>
      <c r="AG228" s="5">
        <v>4098</v>
      </c>
      <c r="AH228" s="5">
        <v>5507</v>
      </c>
      <c r="AI228" s="5">
        <v>1813</v>
      </c>
      <c r="AJ228" s="5">
        <v>3214</v>
      </c>
      <c r="AK228" s="5">
        <v>3179</v>
      </c>
      <c r="AL228" s="5">
        <v>3466</v>
      </c>
      <c r="AM228" s="5">
        <v>2013</v>
      </c>
      <c r="AN228" s="5">
        <v>2844</v>
      </c>
      <c r="AO228" s="5">
        <v>2532</v>
      </c>
      <c r="AP228" s="5">
        <v>2221</v>
      </c>
      <c r="AQ228" s="5">
        <v>3589</v>
      </c>
      <c r="AR228" s="5">
        <v>1861</v>
      </c>
    </row>
    <row r="229" spans="1:44">
      <c r="A229" s="1" t="s">
        <v>1010</v>
      </c>
      <c r="B229" s="1" t="s">
        <v>1011</v>
      </c>
      <c r="C229" s="1" t="s">
        <v>890</v>
      </c>
      <c r="D229" s="1" t="str">
        <f>HYPERLINK("http://eros.fiehnlab.ucdavis.edu:8080/binbase-compound/bin/show/223675?db=rtx5","223675")</f>
        <v>223675</v>
      </c>
      <c r="E229" s="1" t="s">
        <v>1012</v>
      </c>
      <c r="F229" s="1" t="s">
        <v>0</v>
      </c>
      <c r="G229" s="1" t="s">
        <v>0</v>
      </c>
      <c r="H229" s="1"/>
      <c r="I229" s="5">
        <v>697</v>
      </c>
      <c r="J229" s="5">
        <v>3956</v>
      </c>
      <c r="K229" s="5">
        <v>727</v>
      </c>
      <c r="L229" s="5">
        <v>691</v>
      </c>
      <c r="M229" s="5">
        <v>1000</v>
      </c>
      <c r="N229" s="5">
        <v>2357</v>
      </c>
      <c r="O229" s="5">
        <v>1149</v>
      </c>
      <c r="P229" s="5">
        <v>523</v>
      </c>
      <c r="Q229" s="5">
        <v>2107</v>
      </c>
      <c r="R229" s="5">
        <v>432</v>
      </c>
      <c r="S229" s="5">
        <v>993</v>
      </c>
      <c r="T229" s="5">
        <v>1838</v>
      </c>
      <c r="U229" s="5">
        <v>535</v>
      </c>
      <c r="V229" s="5">
        <v>760</v>
      </c>
      <c r="W229" s="5">
        <v>1266</v>
      </c>
      <c r="X229" s="5">
        <v>638</v>
      </c>
      <c r="Y229" s="5">
        <v>403</v>
      </c>
      <c r="Z229" s="5">
        <v>2249</v>
      </c>
      <c r="AA229" s="5">
        <v>1353</v>
      </c>
      <c r="AB229" s="5">
        <v>574</v>
      </c>
      <c r="AC229" s="5">
        <v>470</v>
      </c>
      <c r="AD229" s="5">
        <v>721</v>
      </c>
      <c r="AE229" s="5">
        <v>725</v>
      </c>
      <c r="AF229" s="5">
        <v>470</v>
      </c>
      <c r="AG229" s="5">
        <v>843</v>
      </c>
      <c r="AH229" s="5">
        <v>490</v>
      </c>
      <c r="AI229" s="5">
        <v>1516</v>
      </c>
      <c r="AJ229" s="5">
        <v>451</v>
      </c>
      <c r="AK229" s="5">
        <v>472</v>
      </c>
      <c r="AL229" s="5">
        <v>2738</v>
      </c>
      <c r="AM229" s="5">
        <v>533</v>
      </c>
      <c r="AN229" s="5">
        <v>1783</v>
      </c>
      <c r="AO229" s="5">
        <v>329</v>
      </c>
      <c r="AP229" s="5">
        <v>405</v>
      </c>
      <c r="AQ229" s="5">
        <v>2874</v>
      </c>
      <c r="AR229" s="5">
        <v>651</v>
      </c>
    </row>
    <row r="230" spans="1:44">
      <c r="A230" s="1" t="s">
        <v>965</v>
      </c>
      <c r="B230" s="1" t="s">
        <v>966</v>
      </c>
      <c r="C230" s="1" t="s">
        <v>967</v>
      </c>
      <c r="D230" s="1" t="str">
        <f>HYPERLINK("http://eros.fiehnlab.ucdavis.edu:8080/binbase-compound/bin/show/231260?db=rtx5","231260")</f>
        <v>231260</v>
      </c>
      <c r="E230" s="1" t="s">
        <v>968</v>
      </c>
      <c r="F230" s="1" t="s">
        <v>0</v>
      </c>
      <c r="G230" s="1" t="s">
        <v>0</v>
      </c>
      <c r="H230" s="1"/>
      <c r="I230" s="5">
        <v>211</v>
      </c>
      <c r="J230" s="5">
        <v>523</v>
      </c>
      <c r="K230" s="5">
        <v>238</v>
      </c>
      <c r="L230" s="5">
        <v>896</v>
      </c>
      <c r="M230" s="5">
        <v>255</v>
      </c>
      <c r="N230" s="5">
        <v>275</v>
      </c>
      <c r="O230" s="5">
        <v>295</v>
      </c>
      <c r="P230" s="5">
        <v>188</v>
      </c>
      <c r="Q230" s="5">
        <v>414</v>
      </c>
      <c r="R230" s="5">
        <v>181</v>
      </c>
      <c r="S230" s="5">
        <v>350</v>
      </c>
      <c r="T230" s="5">
        <v>719</v>
      </c>
      <c r="U230" s="5">
        <v>349</v>
      </c>
      <c r="V230" s="5">
        <v>251</v>
      </c>
      <c r="W230" s="5">
        <v>353</v>
      </c>
      <c r="X230" s="5">
        <v>540</v>
      </c>
      <c r="Y230" s="5">
        <v>268</v>
      </c>
      <c r="Z230" s="5">
        <v>490</v>
      </c>
      <c r="AA230" s="5">
        <v>311</v>
      </c>
      <c r="AB230" s="5">
        <v>572</v>
      </c>
      <c r="AC230" s="5">
        <v>303</v>
      </c>
      <c r="AD230" s="5">
        <v>194</v>
      </c>
      <c r="AE230" s="5">
        <v>407</v>
      </c>
      <c r="AF230" s="5">
        <v>238</v>
      </c>
      <c r="AG230" s="5">
        <v>338</v>
      </c>
      <c r="AH230" s="5">
        <v>247</v>
      </c>
      <c r="AI230" s="5">
        <v>258</v>
      </c>
      <c r="AJ230" s="5">
        <v>244</v>
      </c>
      <c r="AK230" s="5">
        <v>330</v>
      </c>
      <c r="AL230" s="5">
        <v>1163</v>
      </c>
      <c r="AM230" s="5">
        <v>224</v>
      </c>
      <c r="AN230" s="5">
        <v>687</v>
      </c>
      <c r="AO230" s="5">
        <v>219</v>
      </c>
      <c r="AP230" s="5">
        <v>353</v>
      </c>
      <c r="AQ230" s="5">
        <v>515</v>
      </c>
      <c r="AR230" s="5">
        <v>234</v>
      </c>
    </row>
    <row r="231" spans="1:44">
      <c r="A231" s="1" t="s">
        <v>949</v>
      </c>
      <c r="B231" s="1" t="s">
        <v>950</v>
      </c>
      <c r="C231" s="1" t="s">
        <v>437</v>
      </c>
      <c r="D231" s="1" t="str">
        <f>HYPERLINK("http://eros.fiehnlab.ucdavis.edu:8080/binbase-compound/bin/show/232087?db=rtx5","232087")</f>
        <v>232087</v>
      </c>
      <c r="E231" s="1" t="s">
        <v>951</v>
      </c>
      <c r="F231" s="1" t="s">
        <v>0</v>
      </c>
      <c r="G231" s="1" t="s">
        <v>0</v>
      </c>
      <c r="H231" s="1"/>
      <c r="I231" s="5">
        <v>1584</v>
      </c>
      <c r="J231" s="5">
        <v>5579</v>
      </c>
      <c r="K231" s="5">
        <v>10635</v>
      </c>
      <c r="L231" s="5">
        <v>5025</v>
      </c>
      <c r="M231" s="5">
        <v>395</v>
      </c>
      <c r="N231" s="5">
        <v>1501</v>
      </c>
      <c r="O231" s="5">
        <v>1169</v>
      </c>
      <c r="P231" s="5">
        <v>1820</v>
      </c>
      <c r="Q231" s="5">
        <v>2660</v>
      </c>
      <c r="R231" s="5">
        <v>4080</v>
      </c>
      <c r="S231" s="5">
        <v>2884</v>
      </c>
      <c r="T231" s="5">
        <v>2729</v>
      </c>
      <c r="U231" s="5">
        <v>2917</v>
      </c>
      <c r="V231" s="5">
        <v>1546</v>
      </c>
      <c r="W231" s="5">
        <v>1657</v>
      </c>
      <c r="X231" s="5">
        <v>1536</v>
      </c>
      <c r="Y231" s="5">
        <v>1736</v>
      </c>
      <c r="Z231" s="5">
        <v>1686</v>
      </c>
      <c r="AA231" s="5">
        <v>1902</v>
      </c>
      <c r="AB231" s="5">
        <v>5058</v>
      </c>
      <c r="AC231" s="5">
        <v>8606</v>
      </c>
      <c r="AD231" s="5">
        <v>24719</v>
      </c>
      <c r="AE231" s="5">
        <v>4118</v>
      </c>
      <c r="AF231" s="5">
        <v>27534</v>
      </c>
      <c r="AG231" s="5">
        <v>2209</v>
      </c>
      <c r="AH231" s="5">
        <v>11782</v>
      </c>
      <c r="AI231" s="5">
        <v>2648</v>
      </c>
      <c r="AJ231" s="5">
        <v>6901</v>
      </c>
      <c r="AK231" s="5">
        <v>2636</v>
      </c>
      <c r="AL231" s="5">
        <v>2971</v>
      </c>
      <c r="AM231" s="5">
        <v>2317</v>
      </c>
      <c r="AN231" s="5">
        <v>2817</v>
      </c>
      <c r="AO231" s="5">
        <v>2382</v>
      </c>
      <c r="AP231" s="5">
        <v>2493</v>
      </c>
      <c r="AQ231" s="5">
        <v>3134</v>
      </c>
      <c r="AR231" s="5">
        <v>3935</v>
      </c>
    </row>
    <row r="232" spans="1:44">
      <c r="A232" s="1" t="s">
        <v>616</v>
      </c>
      <c r="B232" s="1" t="s">
        <v>617</v>
      </c>
      <c r="C232" s="1" t="s">
        <v>618</v>
      </c>
      <c r="D232" s="1" t="str">
        <f>HYPERLINK("http://eros.fiehnlab.ucdavis.edu:8080/binbase-compound/bin/show/398950?db=rtx5","398950")</f>
        <v>398950</v>
      </c>
      <c r="E232" s="1" t="s">
        <v>619</v>
      </c>
      <c r="F232" s="1" t="s">
        <v>0</v>
      </c>
      <c r="G232" s="1" t="s">
        <v>0</v>
      </c>
      <c r="H232" s="1"/>
      <c r="I232" s="5">
        <v>304</v>
      </c>
      <c r="J232" s="5">
        <v>264</v>
      </c>
      <c r="K232" s="5">
        <v>133</v>
      </c>
      <c r="L232" s="5">
        <v>295</v>
      </c>
      <c r="M232" s="5">
        <v>517</v>
      </c>
      <c r="N232" s="5">
        <v>131</v>
      </c>
      <c r="O232" s="5">
        <v>306</v>
      </c>
      <c r="P232" s="5">
        <v>530</v>
      </c>
      <c r="Q232" s="5">
        <v>516</v>
      </c>
      <c r="R232" s="5">
        <v>375</v>
      </c>
      <c r="S232" s="5">
        <v>685</v>
      </c>
      <c r="T232" s="5">
        <v>428</v>
      </c>
      <c r="U232" s="5">
        <v>169</v>
      </c>
      <c r="V232" s="5">
        <v>254</v>
      </c>
      <c r="W232" s="5">
        <v>298</v>
      </c>
      <c r="X232" s="5">
        <v>349</v>
      </c>
      <c r="Y232" s="5">
        <v>427</v>
      </c>
      <c r="Z232" s="5">
        <v>724</v>
      </c>
      <c r="AA232" s="5">
        <v>328</v>
      </c>
      <c r="AB232" s="5">
        <v>362</v>
      </c>
      <c r="AC232" s="5">
        <v>141</v>
      </c>
      <c r="AD232" s="5">
        <v>210</v>
      </c>
      <c r="AE232" s="5">
        <v>626</v>
      </c>
      <c r="AF232" s="5">
        <v>296</v>
      </c>
      <c r="AG232" s="5">
        <v>674</v>
      </c>
      <c r="AH232" s="5">
        <v>206</v>
      </c>
      <c r="AI232" s="5">
        <v>394</v>
      </c>
      <c r="AJ232" s="5">
        <v>328</v>
      </c>
      <c r="AK232" s="5">
        <v>673</v>
      </c>
      <c r="AL232" s="5">
        <v>590</v>
      </c>
      <c r="AM232" s="5">
        <v>665</v>
      </c>
      <c r="AN232" s="5">
        <v>471</v>
      </c>
      <c r="AO232" s="5">
        <v>254</v>
      </c>
      <c r="AP232" s="5">
        <v>292</v>
      </c>
      <c r="AQ232" s="5">
        <v>1164</v>
      </c>
      <c r="AR232" s="5">
        <v>256</v>
      </c>
    </row>
    <row r="233" spans="1:44">
      <c r="A233" s="1" t="s">
        <v>692</v>
      </c>
      <c r="B233" s="1" t="s">
        <v>693</v>
      </c>
      <c r="C233" s="1" t="s">
        <v>694</v>
      </c>
      <c r="D233" s="1" t="str">
        <f>HYPERLINK("http://eros.fiehnlab.ucdavis.edu:8080/binbase-compound/bin/show/352980?db=rtx5","352980")</f>
        <v>352980</v>
      </c>
      <c r="E233" s="1" t="s">
        <v>695</v>
      </c>
      <c r="F233" s="1" t="s">
        <v>0</v>
      </c>
      <c r="G233" s="1" t="s">
        <v>0</v>
      </c>
      <c r="H233" s="1"/>
      <c r="I233" s="5">
        <v>891</v>
      </c>
      <c r="J233" s="5">
        <v>712</v>
      </c>
      <c r="K233" s="5">
        <v>226</v>
      </c>
      <c r="L233" s="5">
        <v>622</v>
      </c>
      <c r="M233" s="5">
        <v>1233</v>
      </c>
      <c r="N233" s="5">
        <v>439</v>
      </c>
      <c r="O233" s="5">
        <v>580</v>
      </c>
      <c r="P233" s="5">
        <v>798</v>
      </c>
      <c r="Q233" s="5">
        <v>1432</v>
      </c>
      <c r="R233" s="5">
        <v>858</v>
      </c>
      <c r="S233" s="5">
        <v>1024</v>
      </c>
      <c r="T233" s="5">
        <v>1862</v>
      </c>
      <c r="U233" s="5">
        <v>470</v>
      </c>
      <c r="V233" s="5">
        <v>242</v>
      </c>
      <c r="W233" s="5">
        <v>261</v>
      </c>
      <c r="X233" s="5">
        <v>266</v>
      </c>
      <c r="Y233" s="5">
        <v>275</v>
      </c>
      <c r="Z233" s="5">
        <v>1434</v>
      </c>
      <c r="AA233" s="5">
        <v>140</v>
      </c>
      <c r="AB233" s="5">
        <v>267</v>
      </c>
      <c r="AC233" s="5">
        <v>217</v>
      </c>
      <c r="AD233" s="5">
        <v>181</v>
      </c>
      <c r="AE233" s="5">
        <v>590</v>
      </c>
      <c r="AF233" s="5">
        <v>405</v>
      </c>
      <c r="AG233" s="5">
        <v>1533</v>
      </c>
      <c r="AH233" s="5">
        <v>728</v>
      </c>
      <c r="AI233" s="5">
        <v>1356</v>
      </c>
      <c r="AJ233" s="5">
        <v>494</v>
      </c>
      <c r="AK233" s="5">
        <v>619</v>
      </c>
      <c r="AL233" s="5">
        <v>1093</v>
      </c>
      <c r="AM233" s="5">
        <v>320</v>
      </c>
      <c r="AN233" s="5">
        <v>869</v>
      </c>
      <c r="AO233" s="5">
        <v>183</v>
      </c>
      <c r="AP233" s="5">
        <v>408</v>
      </c>
      <c r="AQ233" s="5">
        <v>953</v>
      </c>
      <c r="AR233" s="5">
        <v>486</v>
      </c>
    </row>
    <row r="234" spans="1:44">
      <c r="A234" s="1" t="s">
        <v>969</v>
      </c>
      <c r="B234" s="1" t="s">
        <v>970</v>
      </c>
      <c r="C234" s="1" t="s">
        <v>283</v>
      </c>
      <c r="D234" s="1" t="str">
        <f>HYPERLINK("http://eros.fiehnlab.ucdavis.edu:8080/binbase-compound/bin/show/231223?db=rtx5","231223")</f>
        <v>231223</v>
      </c>
      <c r="E234" s="1" t="s">
        <v>971</v>
      </c>
      <c r="F234" s="1" t="s">
        <v>0</v>
      </c>
      <c r="G234" s="1" t="s">
        <v>0</v>
      </c>
      <c r="H234" s="1"/>
      <c r="I234" s="5">
        <v>1472</v>
      </c>
      <c r="J234" s="5">
        <v>727</v>
      </c>
      <c r="K234" s="5">
        <v>342</v>
      </c>
      <c r="L234" s="5">
        <v>661</v>
      </c>
      <c r="M234" s="5">
        <v>1026</v>
      </c>
      <c r="N234" s="5">
        <v>487</v>
      </c>
      <c r="O234" s="5">
        <v>190</v>
      </c>
      <c r="P234" s="5">
        <v>196</v>
      </c>
      <c r="Q234" s="5">
        <v>668</v>
      </c>
      <c r="R234" s="5">
        <v>290</v>
      </c>
      <c r="S234" s="5">
        <v>490</v>
      </c>
      <c r="T234" s="5">
        <v>374</v>
      </c>
      <c r="U234" s="5">
        <v>342</v>
      </c>
      <c r="V234" s="5">
        <v>380</v>
      </c>
      <c r="W234" s="5">
        <v>678</v>
      </c>
      <c r="X234" s="5">
        <v>600</v>
      </c>
      <c r="Y234" s="5">
        <v>243</v>
      </c>
      <c r="Z234" s="5">
        <v>581</v>
      </c>
      <c r="AA234" s="5">
        <v>255</v>
      </c>
      <c r="AB234" s="5">
        <v>382</v>
      </c>
      <c r="AC234" s="5">
        <v>290</v>
      </c>
      <c r="AD234" s="5">
        <v>353</v>
      </c>
      <c r="AE234" s="5">
        <v>815</v>
      </c>
      <c r="AF234" s="5">
        <v>379</v>
      </c>
      <c r="AG234" s="5">
        <v>1131</v>
      </c>
      <c r="AH234" s="5">
        <v>1021</v>
      </c>
      <c r="AI234" s="5">
        <v>613</v>
      </c>
      <c r="AJ234" s="5">
        <v>786</v>
      </c>
      <c r="AK234" s="5">
        <v>896</v>
      </c>
      <c r="AL234" s="5">
        <v>503</v>
      </c>
      <c r="AM234" s="5">
        <v>261</v>
      </c>
      <c r="AN234" s="5">
        <v>246</v>
      </c>
      <c r="AO234" s="5">
        <v>262</v>
      </c>
      <c r="AP234" s="5">
        <v>313</v>
      </c>
      <c r="AQ234" s="5">
        <v>383</v>
      </c>
      <c r="AR234" s="5">
        <v>193</v>
      </c>
    </row>
    <row r="235" spans="1:44">
      <c r="A235" s="1" t="s">
        <v>1143</v>
      </c>
      <c r="B235" s="1" t="s">
        <v>1144</v>
      </c>
      <c r="C235" s="1" t="s">
        <v>1145</v>
      </c>
      <c r="D235" s="1" t="str">
        <f>HYPERLINK("http://eros.fiehnlab.ucdavis.edu:8080/binbase-compound/bin/show/200484?db=rtx5","200484")</f>
        <v>200484</v>
      </c>
      <c r="E235" s="1" t="s">
        <v>1146</v>
      </c>
      <c r="F235" s="1" t="s">
        <v>0</v>
      </c>
      <c r="G235" s="1" t="s">
        <v>0</v>
      </c>
      <c r="H235" s="1"/>
      <c r="I235" s="5">
        <v>4220</v>
      </c>
      <c r="J235" s="5">
        <v>2855</v>
      </c>
      <c r="K235" s="5">
        <v>11159</v>
      </c>
      <c r="L235" s="5">
        <v>10921</v>
      </c>
      <c r="M235" s="5">
        <v>1135</v>
      </c>
      <c r="N235" s="5">
        <v>5072</v>
      </c>
      <c r="O235" s="5">
        <v>1248</v>
      </c>
      <c r="P235" s="5">
        <v>5733</v>
      </c>
      <c r="Q235" s="5">
        <v>2732</v>
      </c>
      <c r="R235" s="5">
        <v>9855</v>
      </c>
      <c r="S235" s="5">
        <v>1134</v>
      </c>
      <c r="T235" s="5">
        <v>6145</v>
      </c>
      <c r="U235" s="5">
        <v>14328</v>
      </c>
      <c r="V235" s="5">
        <v>2154</v>
      </c>
      <c r="W235" s="5">
        <v>2074</v>
      </c>
      <c r="X235" s="5">
        <v>915</v>
      </c>
      <c r="Y235" s="5">
        <v>10601</v>
      </c>
      <c r="Z235" s="5">
        <v>5622</v>
      </c>
      <c r="AA235" s="5">
        <v>3519</v>
      </c>
      <c r="AB235" s="5">
        <v>4626</v>
      </c>
      <c r="AC235" s="5">
        <v>8518</v>
      </c>
      <c r="AD235" s="5">
        <v>3527</v>
      </c>
      <c r="AE235" s="5">
        <v>3024</v>
      </c>
      <c r="AF235" s="5">
        <v>6712</v>
      </c>
      <c r="AG235" s="5">
        <v>3762</v>
      </c>
      <c r="AH235" s="5">
        <v>5702</v>
      </c>
      <c r="AI235" s="5">
        <v>2680</v>
      </c>
      <c r="AJ235" s="5">
        <v>6090</v>
      </c>
      <c r="AK235" s="5">
        <v>3477</v>
      </c>
      <c r="AL235" s="5">
        <v>2870</v>
      </c>
      <c r="AM235" s="5">
        <v>3236</v>
      </c>
      <c r="AN235" s="5">
        <v>5206</v>
      </c>
      <c r="AO235" s="5">
        <v>7992</v>
      </c>
      <c r="AP235" s="5">
        <v>6169</v>
      </c>
      <c r="AQ235" s="5">
        <v>4427</v>
      </c>
      <c r="AR235" s="5">
        <v>1017</v>
      </c>
    </row>
    <row r="236" spans="1:44">
      <c r="A236" s="1" t="s">
        <v>770</v>
      </c>
      <c r="B236" s="1" t="s">
        <v>771</v>
      </c>
      <c r="C236" s="1" t="s">
        <v>89</v>
      </c>
      <c r="D236" s="1" t="str">
        <f>HYPERLINK("http://eros.fiehnlab.ucdavis.edu:8080/binbase-compound/bin/show/284389?db=rtx5","284389")</f>
        <v>284389</v>
      </c>
      <c r="E236" s="1" t="s">
        <v>772</v>
      </c>
      <c r="F236" s="1" t="s">
        <v>0</v>
      </c>
      <c r="G236" s="1" t="s">
        <v>0</v>
      </c>
      <c r="H236" s="1"/>
      <c r="I236" s="5">
        <v>1047</v>
      </c>
      <c r="J236" s="5">
        <v>1606</v>
      </c>
      <c r="K236" s="5">
        <v>661</v>
      </c>
      <c r="L236" s="5">
        <v>580</v>
      </c>
      <c r="M236" s="5">
        <v>611</v>
      </c>
      <c r="N236" s="5">
        <v>1163</v>
      </c>
      <c r="O236" s="5">
        <v>515</v>
      </c>
      <c r="P236" s="5">
        <v>47</v>
      </c>
      <c r="Q236" s="5">
        <v>1074</v>
      </c>
      <c r="R236" s="5">
        <v>284</v>
      </c>
      <c r="S236" s="5">
        <v>875</v>
      </c>
      <c r="T236" s="5">
        <v>1271</v>
      </c>
      <c r="U236" s="5">
        <v>591</v>
      </c>
      <c r="V236" s="5">
        <v>735</v>
      </c>
      <c r="W236" s="5">
        <v>1260</v>
      </c>
      <c r="X236" s="5">
        <v>1299</v>
      </c>
      <c r="Y236" s="5">
        <v>1131</v>
      </c>
      <c r="Z236" s="5">
        <v>1760</v>
      </c>
      <c r="AA236" s="5">
        <v>8128</v>
      </c>
      <c r="AB236" s="5">
        <v>856</v>
      </c>
      <c r="AC236" s="5">
        <v>775</v>
      </c>
      <c r="AD236" s="5">
        <v>635</v>
      </c>
      <c r="AE236" s="5">
        <v>861</v>
      </c>
      <c r="AF236" s="5">
        <v>480</v>
      </c>
      <c r="AG236" s="5">
        <v>843</v>
      </c>
      <c r="AH236" s="5">
        <v>1793</v>
      </c>
      <c r="AI236" s="5">
        <v>1286</v>
      </c>
      <c r="AJ236" s="5">
        <v>872</v>
      </c>
      <c r="AK236" s="5">
        <v>1220</v>
      </c>
      <c r="AL236" s="5">
        <v>1945</v>
      </c>
      <c r="AM236" s="5">
        <v>108</v>
      </c>
      <c r="AN236" s="5">
        <v>2042</v>
      </c>
      <c r="AO236" s="5">
        <v>882</v>
      </c>
      <c r="AP236" s="5">
        <v>687</v>
      </c>
      <c r="AQ236" s="5">
        <v>2621</v>
      </c>
      <c r="AR236" s="5">
        <v>491</v>
      </c>
    </row>
    <row r="237" spans="1:44">
      <c r="A237" s="1" t="s">
        <v>1039</v>
      </c>
      <c r="B237" s="1" t="s">
        <v>1040</v>
      </c>
      <c r="C237" s="1" t="s">
        <v>606</v>
      </c>
      <c r="D237" s="1" t="str">
        <f>HYPERLINK("http://eros.fiehnlab.ucdavis.edu:8080/binbase-compound/bin/show/218769?db=rtx5","218769")</f>
        <v>218769</v>
      </c>
      <c r="E237" s="1" t="s">
        <v>1041</v>
      </c>
      <c r="F237" s="1" t="s">
        <v>0</v>
      </c>
      <c r="G237" s="1" t="s">
        <v>0</v>
      </c>
      <c r="H237" s="1"/>
      <c r="I237" s="5">
        <v>2397</v>
      </c>
      <c r="J237" s="5">
        <v>2127</v>
      </c>
      <c r="K237" s="5">
        <v>1127</v>
      </c>
      <c r="L237" s="5">
        <v>1052</v>
      </c>
      <c r="M237" s="5">
        <v>2888</v>
      </c>
      <c r="N237" s="5">
        <v>2116</v>
      </c>
      <c r="O237" s="5">
        <v>620</v>
      </c>
      <c r="P237" s="5">
        <v>1083</v>
      </c>
      <c r="Q237" s="5">
        <v>2630</v>
      </c>
      <c r="R237" s="5">
        <v>1668</v>
      </c>
      <c r="S237" s="5">
        <v>1513</v>
      </c>
      <c r="T237" s="5">
        <v>2733</v>
      </c>
      <c r="U237" s="5">
        <v>1120</v>
      </c>
      <c r="V237" s="5">
        <v>1451</v>
      </c>
      <c r="W237" s="5">
        <v>1624</v>
      </c>
      <c r="X237" s="5">
        <v>1472</v>
      </c>
      <c r="Y237" s="5">
        <v>1054</v>
      </c>
      <c r="Z237" s="5">
        <v>3022</v>
      </c>
      <c r="AA237" s="5">
        <v>891</v>
      </c>
      <c r="AB237" s="5">
        <v>1790</v>
      </c>
      <c r="AC237" s="5">
        <v>971</v>
      </c>
      <c r="AD237" s="5">
        <v>2795</v>
      </c>
      <c r="AE237" s="5">
        <v>2446</v>
      </c>
      <c r="AF237" s="5">
        <v>1664</v>
      </c>
      <c r="AG237" s="5">
        <v>3160</v>
      </c>
      <c r="AH237" s="5">
        <v>2970</v>
      </c>
      <c r="AI237" s="5">
        <v>4161</v>
      </c>
      <c r="AJ237" s="5">
        <v>2320</v>
      </c>
      <c r="AK237" s="5">
        <v>2274</v>
      </c>
      <c r="AL237" s="5">
        <v>3766</v>
      </c>
      <c r="AM237" s="5">
        <v>1483</v>
      </c>
      <c r="AN237" s="5">
        <v>2235</v>
      </c>
      <c r="AO237" s="5">
        <v>2323</v>
      </c>
      <c r="AP237" s="5">
        <v>1452</v>
      </c>
      <c r="AQ237" s="5">
        <v>2252</v>
      </c>
      <c r="AR237" s="5">
        <v>1490</v>
      </c>
    </row>
    <row r="238" spans="1:44">
      <c r="A238" s="1" t="s">
        <v>981</v>
      </c>
      <c r="B238" s="1" t="s">
        <v>982</v>
      </c>
      <c r="C238" s="1" t="s">
        <v>983</v>
      </c>
      <c r="D238" s="1" t="str">
        <f>HYPERLINK("http://eros.fiehnlab.ucdavis.edu:8080/binbase-compound/bin/show/227816?db=rtx5","227816")</f>
        <v>227816</v>
      </c>
      <c r="E238" s="1" t="s">
        <v>984</v>
      </c>
      <c r="F238" s="1" t="s">
        <v>0</v>
      </c>
      <c r="G238" s="1" t="s">
        <v>0</v>
      </c>
      <c r="H238" s="1"/>
      <c r="I238" s="5">
        <v>412</v>
      </c>
      <c r="J238" s="5">
        <v>607</v>
      </c>
      <c r="K238" s="5">
        <v>264</v>
      </c>
      <c r="L238" s="5">
        <v>223</v>
      </c>
      <c r="M238" s="5">
        <v>228</v>
      </c>
      <c r="N238" s="5">
        <v>310</v>
      </c>
      <c r="O238" s="5">
        <v>274</v>
      </c>
      <c r="P238" s="5">
        <v>137</v>
      </c>
      <c r="Q238" s="5">
        <v>277</v>
      </c>
      <c r="R238" s="5">
        <v>230</v>
      </c>
      <c r="S238" s="5">
        <v>195</v>
      </c>
      <c r="T238" s="5">
        <v>455</v>
      </c>
      <c r="U238" s="5">
        <v>225</v>
      </c>
      <c r="V238" s="5">
        <v>215</v>
      </c>
      <c r="W238" s="5">
        <v>192</v>
      </c>
      <c r="X238" s="5">
        <v>279</v>
      </c>
      <c r="Y238" s="5">
        <v>151</v>
      </c>
      <c r="Z238" s="5">
        <v>396</v>
      </c>
      <c r="AA238" s="5">
        <v>158</v>
      </c>
      <c r="AB238" s="5">
        <v>274</v>
      </c>
      <c r="AC238" s="5">
        <v>243</v>
      </c>
      <c r="AD238" s="5">
        <v>184</v>
      </c>
      <c r="AE238" s="5">
        <v>282</v>
      </c>
      <c r="AF238" s="5">
        <v>268</v>
      </c>
      <c r="AG238" s="5">
        <v>253</v>
      </c>
      <c r="AH238" s="5">
        <v>269</v>
      </c>
      <c r="AI238" s="5">
        <v>264</v>
      </c>
      <c r="AJ238" s="5">
        <v>247</v>
      </c>
      <c r="AK238" s="5">
        <v>241</v>
      </c>
      <c r="AL238" s="5">
        <v>607</v>
      </c>
      <c r="AM238" s="5">
        <v>175</v>
      </c>
      <c r="AN238" s="5">
        <v>393</v>
      </c>
      <c r="AO238" s="5">
        <v>164</v>
      </c>
      <c r="AP238" s="5">
        <v>203</v>
      </c>
      <c r="AQ238" s="5">
        <v>436</v>
      </c>
      <c r="AR238" s="5">
        <v>196</v>
      </c>
    </row>
    <row r="239" spans="1:44">
      <c r="A239" s="1" t="s">
        <v>942</v>
      </c>
      <c r="B239" s="1" t="s">
        <v>943</v>
      </c>
      <c r="C239" s="1" t="s">
        <v>414</v>
      </c>
      <c r="D239" s="1" t="str">
        <f>HYPERLINK("http://eros.fiehnlab.ucdavis.edu:8080/binbase-compound/bin/show/234677?db=rtx5","234677")</f>
        <v>234677</v>
      </c>
      <c r="E239" s="1" t="s">
        <v>944</v>
      </c>
      <c r="F239" s="1" t="s">
        <v>0</v>
      </c>
      <c r="G239" s="1" t="s">
        <v>0</v>
      </c>
      <c r="H239" s="1"/>
      <c r="I239" s="5">
        <v>2148</v>
      </c>
      <c r="J239" s="5">
        <v>805</v>
      </c>
      <c r="K239" s="5">
        <v>1477</v>
      </c>
      <c r="L239" s="5">
        <v>1051</v>
      </c>
      <c r="M239" s="5">
        <v>983</v>
      </c>
      <c r="N239" s="5">
        <v>733</v>
      </c>
      <c r="O239" s="5">
        <v>836</v>
      </c>
      <c r="P239" s="5">
        <v>1132</v>
      </c>
      <c r="Q239" s="5">
        <v>1408</v>
      </c>
      <c r="R239" s="5">
        <v>2076</v>
      </c>
      <c r="S239" s="5">
        <v>937</v>
      </c>
      <c r="T239" s="5">
        <v>1889</v>
      </c>
      <c r="U239" s="5">
        <v>1286</v>
      </c>
      <c r="V239" s="5">
        <v>711</v>
      </c>
      <c r="W239" s="5">
        <v>631</v>
      </c>
      <c r="X239" s="5">
        <v>763</v>
      </c>
      <c r="Y239" s="5">
        <v>811</v>
      </c>
      <c r="Z239" s="5">
        <v>834</v>
      </c>
      <c r="AA239" s="5">
        <v>959</v>
      </c>
      <c r="AB239" s="5">
        <v>1148</v>
      </c>
      <c r="AC239" s="5">
        <v>1072</v>
      </c>
      <c r="AD239" s="5">
        <v>1535</v>
      </c>
      <c r="AE239" s="5">
        <v>1497</v>
      </c>
      <c r="AF239" s="5">
        <v>1454</v>
      </c>
      <c r="AG239" s="5">
        <v>1767</v>
      </c>
      <c r="AH239" s="5">
        <v>1670</v>
      </c>
      <c r="AI239" s="5">
        <v>816</v>
      </c>
      <c r="AJ239" s="5">
        <v>1430</v>
      </c>
      <c r="AK239" s="5">
        <v>1314</v>
      </c>
      <c r="AL239" s="5">
        <v>1084</v>
      </c>
      <c r="AM239" s="5">
        <v>1155</v>
      </c>
      <c r="AN239" s="5">
        <v>781</v>
      </c>
      <c r="AO239" s="5">
        <v>817</v>
      </c>
      <c r="AP239" s="5">
        <v>1457</v>
      </c>
      <c r="AQ239" s="5">
        <v>581</v>
      </c>
      <c r="AR239" s="5">
        <v>1060</v>
      </c>
    </row>
    <row r="240" spans="1:44">
      <c r="A240" s="1" t="s">
        <v>994</v>
      </c>
      <c r="B240" s="1" t="s">
        <v>995</v>
      </c>
      <c r="C240" s="1" t="s">
        <v>996</v>
      </c>
      <c r="D240" s="1" t="str">
        <f>HYPERLINK("http://eros.fiehnlab.ucdavis.edu:8080/binbase-compound/bin/show/225867?db=rtx5","225867")</f>
        <v>225867</v>
      </c>
      <c r="E240" s="1" t="s">
        <v>997</v>
      </c>
      <c r="F240" s="1" t="s">
        <v>0</v>
      </c>
      <c r="G240" s="1" t="s">
        <v>0</v>
      </c>
      <c r="H240" s="1"/>
      <c r="I240" s="5">
        <v>263</v>
      </c>
      <c r="J240" s="5">
        <v>1487</v>
      </c>
      <c r="K240" s="5">
        <v>238</v>
      </c>
      <c r="L240" s="5">
        <v>111</v>
      </c>
      <c r="M240" s="5">
        <v>344</v>
      </c>
      <c r="N240" s="5">
        <v>700</v>
      </c>
      <c r="O240" s="5">
        <v>551</v>
      </c>
      <c r="P240" s="5">
        <v>140</v>
      </c>
      <c r="Q240" s="5">
        <v>458</v>
      </c>
      <c r="R240" s="5">
        <v>190</v>
      </c>
      <c r="S240" s="5">
        <v>481</v>
      </c>
      <c r="T240" s="5">
        <v>486</v>
      </c>
      <c r="U240" s="5">
        <v>69</v>
      </c>
      <c r="V240" s="5">
        <v>306</v>
      </c>
      <c r="W240" s="5">
        <v>452</v>
      </c>
      <c r="X240" s="5">
        <v>147</v>
      </c>
      <c r="Y240" s="5">
        <v>234</v>
      </c>
      <c r="Z240" s="5">
        <v>1023</v>
      </c>
      <c r="AA240" s="5">
        <v>399</v>
      </c>
      <c r="AB240" s="5">
        <v>180</v>
      </c>
      <c r="AC240" s="5">
        <v>169</v>
      </c>
      <c r="AD240" s="5">
        <v>122</v>
      </c>
      <c r="AE240" s="5">
        <v>198</v>
      </c>
      <c r="AF240" s="5">
        <v>51</v>
      </c>
      <c r="AG240" s="5">
        <v>143</v>
      </c>
      <c r="AH240" s="5">
        <v>72</v>
      </c>
      <c r="AI240" s="5">
        <v>639</v>
      </c>
      <c r="AJ240" s="5">
        <v>186</v>
      </c>
      <c r="AK240" s="5">
        <v>66</v>
      </c>
      <c r="AL240" s="5">
        <v>1120</v>
      </c>
      <c r="AM240" s="5">
        <v>77</v>
      </c>
      <c r="AN240" s="5">
        <v>867</v>
      </c>
      <c r="AO240" s="5">
        <v>57</v>
      </c>
      <c r="AP240" s="5">
        <v>75</v>
      </c>
      <c r="AQ240" s="5">
        <v>1400</v>
      </c>
      <c r="AR240" s="5">
        <v>105</v>
      </c>
    </row>
    <row r="241" spans="1:44">
      <c r="A241" s="1" t="s">
        <v>1074</v>
      </c>
      <c r="B241" s="1" t="s">
        <v>1075</v>
      </c>
      <c r="C241" s="1" t="s">
        <v>152</v>
      </c>
      <c r="D241" s="1" t="str">
        <f>HYPERLINK("http://eros.fiehnlab.ucdavis.edu:8080/binbase-compound/bin/show/213253?db=rtx5","213253")</f>
        <v>213253</v>
      </c>
      <c r="E241" s="1" t="s">
        <v>1076</v>
      </c>
      <c r="F241" s="1" t="s">
        <v>0</v>
      </c>
      <c r="G241" s="1" t="s">
        <v>0</v>
      </c>
      <c r="H241" s="1"/>
      <c r="I241" s="5">
        <v>78328</v>
      </c>
      <c r="J241" s="5">
        <v>500154</v>
      </c>
      <c r="K241" s="5">
        <v>52196</v>
      </c>
      <c r="L241" s="5">
        <v>85742</v>
      </c>
      <c r="M241" s="5">
        <v>102087</v>
      </c>
      <c r="N241" s="5">
        <v>300622</v>
      </c>
      <c r="O241" s="5">
        <v>80964</v>
      </c>
      <c r="P241" s="5">
        <v>82781</v>
      </c>
      <c r="Q241" s="5">
        <v>351485</v>
      </c>
      <c r="R241" s="5">
        <v>33472</v>
      </c>
      <c r="S241" s="5">
        <v>164242</v>
      </c>
      <c r="T241" s="5">
        <v>139897</v>
      </c>
      <c r="U241" s="5">
        <v>36141</v>
      </c>
      <c r="V241" s="5">
        <v>112128</v>
      </c>
      <c r="W241" s="5">
        <v>180135</v>
      </c>
      <c r="X241" s="5">
        <v>61410</v>
      </c>
      <c r="Y241" s="5">
        <v>28243</v>
      </c>
      <c r="Z241" s="5">
        <v>209240</v>
      </c>
      <c r="AA241" s="5">
        <v>302202</v>
      </c>
      <c r="AB241" s="5">
        <v>34003</v>
      </c>
      <c r="AC241" s="5">
        <v>22255</v>
      </c>
      <c r="AD241" s="5">
        <v>35125</v>
      </c>
      <c r="AE241" s="5">
        <v>55981</v>
      </c>
      <c r="AF241" s="5">
        <v>15652</v>
      </c>
      <c r="AG241" s="5">
        <v>56791</v>
      </c>
      <c r="AH241" s="5">
        <v>48941</v>
      </c>
      <c r="AI241" s="5">
        <v>305963</v>
      </c>
      <c r="AJ241" s="5">
        <v>16911</v>
      </c>
      <c r="AK241" s="5">
        <v>33231</v>
      </c>
      <c r="AL241" s="5">
        <v>242232</v>
      </c>
      <c r="AM241" s="5">
        <v>29711</v>
      </c>
      <c r="AN241" s="5">
        <v>215704</v>
      </c>
      <c r="AO241" s="5">
        <v>28540</v>
      </c>
      <c r="AP241" s="5">
        <v>35881</v>
      </c>
      <c r="AQ241" s="5">
        <v>381734</v>
      </c>
      <c r="AR241" s="5">
        <v>49813</v>
      </c>
    </row>
    <row r="242" spans="1:44">
      <c r="A242" s="1" t="s">
        <v>699</v>
      </c>
      <c r="B242" s="1" t="s">
        <v>700</v>
      </c>
      <c r="C242" s="1" t="s">
        <v>89</v>
      </c>
      <c r="D242" s="1" t="str">
        <f>HYPERLINK("http://eros.fiehnlab.ucdavis.edu:8080/binbase-compound/bin/show/330609?db=rtx5","330609")</f>
        <v>330609</v>
      </c>
      <c r="E242" s="1" t="s">
        <v>701</v>
      </c>
      <c r="F242" s="1" t="s">
        <v>0</v>
      </c>
      <c r="G242" s="1" t="s">
        <v>0</v>
      </c>
      <c r="H242" s="1"/>
      <c r="I242" s="5">
        <v>1654</v>
      </c>
      <c r="J242" s="5">
        <v>1761</v>
      </c>
      <c r="K242" s="5">
        <v>1717</v>
      </c>
      <c r="L242" s="5">
        <v>1458</v>
      </c>
      <c r="M242" s="5">
        <v>2030</v>
      </c>
      <c r="N242" s="5">
        <v>1151</v>
      </c>
      <c r="O242" s="5">
        <v>2564</v>
      </c>
      <c r="P242" s="5">
        <v>1810</v>
      </c>
      <c r="Q242" s="5">
        <v>3444</v>
      </c>
      <c r="R242" s="5">
        <v>3716</v>
      </c>
      <c r="S242" s="5">
        <v>2064</v>
      </c>
      <c r="T242" s="5">
        <v>3514</v>
      </c>
      <c r="U242" s="5">
        <v>1059</v>
      </c>
      <c r="V242" s="5">
        <v>1150</v>
      </c>
      <c r="W242" s="5">
        <v>2676</v>
      </c>
      <c r="X242" s="5">
        <v>2406</v>
      </c>
      <c r="Y242" s="5">
        <v>2298</v>
      </c>
      <c r="Z242" s="5">
        <v>3266</v>
      </c>
      <c r="AA242" s="5">
        <v>1083</v>
      </c>
      <c r="AB242" s="5">
        <v>2612</v>
      </c>
      <c r="AC242" s="5">
        <v>2302</v>
      </c>
      <c r="AD242" s="5">
        <v>9139</v>
      </c>
      <c r="AE242" s="5">
        <v>5200</v>
      </c>
      <c r="AF242" s="5">
        <v>9025</v>
      </c>
      <c r="AG242" s="5">
        <v>3900</v>
      </c>
      <c r="AH242" s="5">
        <v>5342</v>
      </c>
      <c r="AI242" s="5">
        <v>1887</v>
      </c>
      <c r="AJ242" s="5">
        <v>3525</v>
      </c>
      <c r="AK242" s="5">
        <v>2690</v>
      </c>
      <c r="AL242" s="5">
        <v>1130</v>
      </c>
      <c r="AM242" s="5">
        <v>3891</v>
      </c>
      <c r="AN242" s="5">
        <v>2217</v>
      </c>
      <c r="AO242" s="5">
        <v>3308</v>
      </c>
      <c r="AP242" s="5">
        <v>4743</v>
      </c>
      <c r="AQ242" s="5">
        <v>3983</v>
      </c>
      <c r="AR242" s="5">
        <v>2995</v>
      </c>
    </row>
    <row r="243" spans="1:44">
      <c r="A243" s="1" t="s">
        <v>1124</v>
      </c>
      <c r="B243" s="1" t="s">
        <v>1125</v>
      </c>
      <c r="C243" s="1" t="s">
        <v>100</v>
      </c>
      <c r="D243" s="1" t="str">
        <f>HYPERLINK("http://eros.fiehnlab.ucdavis.edu:8080/binbase-compound/bin/show/201862?db=rtx5","201862")</f>
        <v>201862</v>
      </c>
      <c r="E243" s="1" t="s">
        <v>1126</v>
      </c>
      <c r="F243" s="1" t="s">
        <v>0</v>
      </c>
      <c r="G243" s="1" t="s">
        <v>0</v>
      </c>
      <c r="H243" s="1"/>
      <c r="I243" s="5">
        <v>357</v>
      </c>
      <c r="J243" s="5">
        <v>314</v>
      </c>
      <c r="K243" s="5">
        <v>212</v>
      </c>
      <c r="L243" s="5">
        <v>256</v>
      </c>
      <c r="M243" s="5">
        <v>316</v>
      </c>
      <c r="N243" s="5">
        <v>369</v>
      </c>
      <c r="O243" s="5">
        <v>127</v>
      </c>
      <c r="P243" s="5">
        <v>177</v>
      </c>
      <c r="Q243" s="5">
        <v>345</v>
      </c>
      <c r="R243" s="5">
        <v>384</v>
      </c>
      <c r="S243" s="5">
        <v>396</v>
      </c>
      <c r="T243" s="5">
        <v>260</v>
      </c>
      <c r="U243" s="5">
        <v>301</v>
      </c>
      <c r="V243" s="5">
        <v>286</v>
      </c>
      <c r="W243" s="5">
        <v>352</v>
      </c>
      <c r="X243" s="5">
        <v>272</v>
      </c>
      <c r="Y243" s="5">
        <v>200</v>
      </c>
      <c r="Z243" s="5">
        <v>262</v>
      </c>
      <c r="AA243" s="5">
        <v>1015</v>
      </c>
      <c r="AB243" s="5">
        <v>316</v>
      </c>
      <c r="AC243" s="5">
        <v>782</v>
      </c>
      <c r="AD243" s="5">
        <v>389</v>
      </c>
      <c r="AE243" s="5">
        <v>254</v>
      </c>
      <c r="AF243" s="5">
        <v>283</v>
      </c>
      <c r="AG243" s="5">
        <v>220</v>
      </c>
      <c r="AH243" s="5">
        <v>191</v>
      </c>
      <c r="AI243" s="5">
        <v>289</v>
      </c>
      <c r="AJ243" s="5">
        <v>330</v>
      </c>
      <c r="AK243" s="5">
        <v>399</v>
      </c>
      <c r="AL243" s="5">
        <v>211</v>
      </c>
      <c r="AM243" s="5">
        <v>344</v>
      </c>
      <c r="AN243" s="5">
        <v>284</v>
      </c>
      <c r="AO243" s="5">
        <v>253</v>
      </c>
      <c r="AP243" s="5">
        <v>325</v>
      </c>
      <c r="AQ243" s="5">
        <v>236</v>
      </c>
      <c r="AR243" s="5">
        <v>321</v>
      </c>
    </row>
    <row r="244" spans="1:44">
      <c r="A244" s="1" t="s">
        <v>758</v>
      </c>
      <c r="B244" s="1" t="s">
        <v>759</v>
      </c>
      <c r="C244" s="1" t="s">
        <v>502</v>
      </c>
      <c r="D244" s="1" t="str">
        <f>HYPERLINK("http://eros.fiehnlab.ucdavis.edu:8080/binbase-compound/bin/show/294511?db=rtx5","294511")</f>
        <v>294511</v>
      </c>
      <c r="E244" s="1" t="s">
        <v>760</v>
      </c>
      <c r="F244" s="1" t="s">
        <v>0</v>
      </c>
      <c r="G244" s="1" t="s">
        <v>0</v>
      </c>
      <c r="H244" s="1"/>
      <c r="I244" s="5">
        <v>555</v>
      </c>
      <c r="J244" s="5">
        <v>666</v>
      </c>
      <c r="K244" s="5">
        <v>301</v>
      </c>
      <c r="L244" s="5">
        <v>551</v>
      </c>
      <c r="M244" s="5">
        <v>292</v>
      </c>
      <c r="N244" s="5">
        <v>354</v>
      </c>
      <c r="O244" s="5">
        <v>284</v>
      </c>
      <c r="P244" s="5">
        <v>190</v>
      </c>
      <c r="Q244" s="5">
        <v>698</v>
      </c>
      <c r="R244" s="5">
        <v>574</v>
      </c>
      <c r="S244" s="5">
        <v>747</v>
      </c>
      <c r="T244" s="5">
        <v>290</v>
      </c>
      <c r="U244" s="5">
        <v>301</v>
      </c>
      <c r="V244" s="5">
        <v>116</v>
      </c>
      <c r="W244" s="5">
        <v>444</v>
      </c>
      <c r="X244" s="5">
        <v>486</v>
      </c>
      <c r="Y244" s="5">
        <v>599</v>
      </c>
      <c r="Z244" s="5">
        <v>438</v>
      </c>
      <c r="AA244" s="5">
        <v>4574</v>
      </c>
      <c r="AB244" s="5">
        <v>301</v>
      </c>
      <c r="AC244" s="5">
        <v>753</v>
      </c>
      <c r="AD244" s="5">
        <v>497</v>
      </c>
      <c r="AE244" s="5">
        <v>487</v>
      </c>
      <c r="AF244" s="5">
        <v>447</v>
      </c>
      <c r="AG244" s="5">
        <v>398</v>
      </c>
      <c r="AH244" s="5">
        <v>300</v>
      </c>
      <c r="AI244" s="5">
        <v>685</v>
      </c>
      <c r="AJ244" s="5">
        <v>703</v>
      </c>
      <c r="AK244" s="5">
        <v>1143</v>
      </c>
      <c r="AL244" s="5">
        <v>243</v>
      </c>
      <c r="AM244" s="5">
        <v>380</v>
      </c>
      <c r="AN244" s="5">
        <v>418</v>
      </c>
      <c r="AO244" s="5">
        <v>540</v>
      </c>
      <c r="AP244" s="5">
        <v>620</v>
      </c>
      <c r="AQ244" s="5">
        <v>373</v>
      </c>
      <c r="AR244" s="5">
        <v>317</v>
      </c>
    </row>
    <row r="245" spans="1:44">
      <c r="A245" s="1" t="s">
        <v>1004</v>
      </c>
      <c r="B245" s="1" t="s">
        <v>1005</v>
      </c>
      <c r="C245" s="1" t="s">
        <v>694</v>
      </c>
      <c r="D245" s="1" t="str">
        <f>HYPERLINK("http://eros.fiehnlab.ucdavis.edu:8080/binbase-compound/bin/show/224632?db=rtx5","224632")</f>
        <v>224632</v>
      </c>
      <c r="E245" s="1" t="s">
        <v>1006</v>
      </c>
      <c r="F245" s="1" t="s">
        <v>0</v>
      </c>
      <c r="G245" s="1" t="s">
        <v>0</v>
      </c>
      <c r="H245" s="1"/>
      <c r="I245" s="5">
        <v>1232</v>
      </c>
      <c r="J245" s="5">
        <v>1180</v>
      </c>
      <c r="K245" s="5">
        <v>797</v>
      </c>
      <c r="L245" s="5">
        <v>828</v>
      </c>
      <c r="M245" s="5">
        <v>2050</v>
      </c>
      <c r="N245" s="5">
        <v>882</v>
      </c>
      <c r="O245" s="5">
        <v>1134</v>
      </c>
      <c r="P245" s="5">
        <v>1659</v>
      </c>
      <c r="Q245" s="5">
        <v>2567</v>
      </c>
      <c r="R245" s="5">
        <v>398</v>
      </c>
      <c r="S245" s="5">
        <v>1903</v>
      </c>
      <c r="T245" s="5">
        <v>1663</v>
      </c>
      <c r="U245" s="5">
        <v>1243</v>
      </c>
      <c r="V245" s="5">
        <v>765</v>
      </c>
      <c r="W245" s="5">
        <v>2486</v>
      </c>
      <c r="X245" s="5">
        <v>1180</v>
      </c>
      <c r="Y245" s="5">
        <v>572</v>
      </c>
      <c r="Z245" s="5">
        <v>3853</v>
      </c>
      <c r="AA245" s="5">
        <v>1241</v>
      </c>
      <c r="AB245" s="5">
        <v>443</v>
      </c>
      <c r="AC245" s="5">
        <v>486</v>
      </c>
      <c r="AD245" s="5">
        <v>410</v>
      </c>
      <c r="AE245" s="5">
        <v>876</v>
      </c>
      <c r="AF245" s="5">
        <v>644</v>
      </c>
      <c r="AG245" s="5">
        <v>642</v>
      </c>
      <c r="AH245" s="5">
        <v>550</v>
      </c>
      <c r="AI245" s="5">
        <v>1349</v>
      </c>
      <c r="AJ245" s="5">
        <v>380</v>
      </c>
      <c r="AK245" s="5">
        <v>322</v>
      </c>
      <c r="AL245" s="5">
        <v>4099</v>
      </c>
      <c r="AM245" s="5">
        <v>408</v>
      </c>
      <c r="AN245" s="5">
        <v>1996</v>
      </c>
      <c r="AO245" s="5">
        <v>429</v>
      </c>
      <c r="AP245" s="5">
        <v>150</v>
      </c>
      <c r="AQ245" s="5">
        <v>4719</v>
      </c>
      <c r="AR245" s="5">
        <v>479</v>
      </c>
    </row>
    <row r="246" spans="1:44">
      <c r="A246" s="1" t="s">
        <v>1042</v>
      </c>
      <c r="B246" s="1" t="s">
        <v>1043</v>
      </c>
      <c r="C246" s="1" t="s">
        <v>132</v>
      </c>
      <c r="D246" s="1" t="str">
        <f>HYPERLINK("http://eros.fiehnlab.ucdavis.edu:8080/binbase-compound/bin/show/218694?db=rtx5","218694")</f>
        <v>218694</v>
      </c>
      <c r="E246" s="1" t="s">
        <v>1044</v>
      </c>
      <c r="F246" s="1" t="s">
        <v>0</v>
      </c>
      <c r="G246" s="1" t="s">
        <v>0</v>
      </c>
      <c r="H246" s="1"/>
      <c r="I246" s="5">
        <v>621</v>
      </c>
      <c r="J246" s="5">
        <v>2935</v>
      </c>
      <c r="K246" s="5">
        <v>548</v>
      </c>
      <c r="L246" s="5">
        <v>1183</v>
      </c>
      <c r="M246" s="5">
        <v>1231</v>
      </c>
      <c r="N246" s="5">
        <v>1258</v>
      </c>
      <c r="O246" s="5">
        <v>1070</v>
      </c>
      <c r="P246" s="5">
        <v>695</v>
      </c>
      <c r="Q246" s="5">
        <v>1095</v>
      </c>
      <c r="R246" s="5">
        <v>1353</v>
      </c>
      <c r="S246" s="5">
        <v>1462</v>
      </c>
      <c r="T246" s="5">
        <v>3289</v>
      </c>
      <c r="U246" s="5">
        <v>679</v>
      </c>
      <c r="V246" s="5">
        <v>660</v>
      </c>
      <c r="W246" s="5">
        <v>963</v>
      </c>
      <c r="X246" s="5">
        <v>738</v>
      </c>
      <c r="Y246" s="5">
        <v>488</v>
      </c>
      <c r="Z246" s="5">
        <v>2181</v>
      </c>
      <c r="AA246" s="5">
        <v>1004</v>
      </c>
      <c r="AB246" s="5">
        <v>568</v>
      </c>
      <c r="AC246" s="5">
        <v>678</v>
      </c>
      <c r="AD246" s="5">
        <v>1182</v>
      </c>
      <c r="AE246" s="5">
        <v>700</v>
      </c>
      <c r="AF246" s="5">
        <v>1341</v>
      </c>
      <c r="AG246" s="5">
        <v>792</v>
      </c>
      <c r="AH246" s="5">
        <v>820</v>
      </c>
      <c r="AI246" s="5">
        <v>1224</v>
      </c>
      <c r="AJ246" s="5">
        <v>1103</v>
      </c>
      <c r="AK246" s="5">
        <v>690</v>
      </c>
      <c r="AL246" s="5">
        <v>2027</v>
      </c>
      <c r="AM246" s="5">
        <v>524</v>
      </c>
      <c r="AN246" s="5">
        <v>1923</v>
      </c>
      <c r="AO246" s="5">
        <v>728</v>
      </c>
      <c r="AP246" s="5">
        <v>799</v>
      </c>
      <c r="AQ246" s="5">
        <v>3086</v>
      </c>
      <c r="AR246" s="5">
        <v>1092</v>
      </c>
    </row>
    <row r="247" spans="1:44">
      <c r="A247" s="1" t="s">
        <v>814</v>
      </c>
      <c r="B247" s="1" t="s">
        <v>815</v>
      </c>
      <c r="C247" s="1" t="s">
        <v>117</v>
      </c>
      <c r="D247" s="1" t="str">
        <f>HYPERLINK("http://eros.fiehnlab.ucdavis.edu:8080/binbase-compound/bin/show/269157?db=rtx5","269157")</f>
        <v>269157</v>
      </c>
      <c r="E247" s="1" t="s">
        <v>816</v>
      </c>
      <c r="F247" s="1" t="s">
        <v>0</v>
      </c>
      <c r="G247" s="1" t="s">
        <v>0</v>
      </c>
      <c r="H247" s="1"/>
      <c r="I247" s="5">
        <v>372</v>
      </c>
      <c r="J247" s="5">
        <v>1120</v>
      </c>
      <c r="K247" s="5">
        <v>402</v>
      </c>
      <c r="L247" s="5">
        <v>501</v>
      </c>
      <c r="M247" s="5">
        <v>429</v>
      </c>
      <c r="N247" s="5">
        <v>524</v>
      </c>
      <c r="O247" s="5">
        <v>445</v>
      </c>
      <c r="P247" s="5">
        <v>513</v>
      </c>
      <c r="Q247" s="5">
        <v>877</v>
      </c>
      <c r="R247" s="5">
        <v>401</v>
      </c>
      <c r="S247" s="5">
        <v>560</v>
      </c>
      <c r="T247" s="5">
        <v>702</v>
      </c>
      <c r="U247" s="5">
        <v>1024</v>
      </c>
      <c r="V247" s="5">
        <v>423</v>
      </c>
      <c r="W247" s="5">
        <v>810</v>
      </c>
      <c r="X247" s="5">
        <v>325</v>
      </c>
      <c r="Y247" s="5">
        <v>485</v>
      </c>
      <c r="Z247" s="5">
        <v>1021</v>
      </c>
      <c r="AA247" s="5">
        <v>1160</v>
      </c>
      <c r="AB247" s="5">
        <v>676</v>
      </c>
      <c r="AC247" s="5">
        <v>613</v>
      </c>
      <c r="AD247" s="5">
        <v>517</v>
      </c>
      <c r="AE247" s="5">
        <v>611</v>
      </c>
      <c r="AF247" s="5">
        <v>743</v>
      </c>
      <c r="AG247" s="5">
        <v>710</v>
      </c>
      <c r="AH247" s="5">
        <v>737</v>
      </c>
      <c r="AI247" s="5">
        <v>671</v>
      </c>
      <c r="AJ247" s="5">
        <v>505</v>
      </c>
      <c r="AK247" s="5">
        <v>448</v>
      </c>
      <c r="AL247" s="5">
        <v>2162</v>
      </c>
      <c r="AM247" s="5">
        <v>384</v>
      </c>
      <c r="AN247" s="5">
        <v>1334</v>
      </c>
      <c r="AO247" s="5">
        <v>427</v>
      </c>
      <c r="AP247" s="5">
        <v>675</v>
      </c>
      <c r="AQ247" s="5">
        <v>1855</v>
      </c>
      <c r="AR247" s="5">
        <v>630</v>
      </c>
    </row>
    <row r="248" spans="1:44">
      <c r="A248" s="1" t="s">
        <v>1070</v>
      </c>
      <c r="B248" s="1" t="s">
        <v>1071</v>
      </c>
      <c r="C248" s="1" t="s">
        <v>1072</v>
      </c>
      <c r="D248" s="1" t="str">
        <f>HYPERLINK("http://eros.fiehnlab.ucdavis.edu:8080/binbase-compound/bin/show/213353?db=rtx5","213353")</f>
        <v>213353</v>
      </c>
      <c r="E248" s="1" t="s">
        <v>1073</v>
      </c>
      <c r="F248" s="1" t="s">
        <v>0</v>
      </c>
      <c r="G248" s="1" t="s">
        <v>0</v>
      </c>
      <c r="H248" s="1"/>
      <c r="I248" s="5">
        <v>583</v>
      </c>
      <c r="J248" s="5">
        <v>738</v>
      </c>
      <c r="K248" s="5">
        <v>398</v>
      </c>
      <c r="L248" s="5">
        <v>356</v>
      </c>
      <c r="M248" s="5">
        <v>206</v>
      </c>
      <c r="N248" s="5">
        <v>385</v>
      </c>
      <c r="O248" s="5">
        <v>186</v>
      </c>
      <c r="P248" s="5">
        <v>334</v>
      </c>
      <c r="Q248" s="5">
        <v>512</v>
      </c>
      <c r="R248" s="5">
        <v>402</v>
      </c>
      <c r="S248" s="5">
        <v>389</v>
      </c>
      <c r="T248" s="5">
        <v>482</v>
      </c>
      <c r="U248" s="5">
        <v>400</v>
      </c>
      <c r="V248" s="5">
        <v>368</v>
      </c>
      <c r="W248" s="5">
        <v>489</v>
      </c>
      <c r="X248" s="5">
        <v>345</v>
      </c>
      <c r="Y248" s="5">
        <v>410</v>
      </c>
      <c r="Z248" s="5">
        <v>484</v>
      </c>
      <c r="AA248" s="5">
        <v>515</v>
      </c>
      <c r="AB248" s="5">
        <v>447</v>
      </c>
      <c r="AC248" s="5">
        <v>256</v>
      </c>
      <c r="AD248" s="5">
        <v>397</v>
      </c>
      <c r="AE248" s="5">
        <v>693</v>
      </c>
      <c r="AF248" s="5">
        <v>298</v>
      </c>
      <c r="AG248" s="5">
        <v>926</v>
      </c>
      <c r="AH248" s="5">
        <v>416</v>
      </c>
      <c r="AI248" s="5">
        <v>528</v>
      </c>
      <c r="AJ248" s="5">
        <v>427</v>
      </c>
      <c r="AK248" s="5">
        <v>391</v>
      </c>
      <c r="AL248" s="5">
        <v>525</v>
      </c>
      <c r="AM248" s="5">
        <v>398</v>
      </c>
      <c r="AN248" s="5">
        <v>603</v>
      </c>
      <c r="AO248" s="5">
        <v>429</v>
      </c>
      <c r="AP248" s="5">
        <v>216</v>
      </c>
      <c r="AQ248" s="5">
        <v>426</v>
      </c>
      <c r="AR248" s="5">
        <v>352</v>
      </c>
    </row>
    <row r="249" spans="1:44">
      <c r="A249" s="1" t="s">
        <v>552</v>
      </c>
      <c r="B249" s="1" t="s">
        <v>553</v>
      </c>
      <c r="C249" s="1" t="s">
        <v>554</v>
      </c>
      <c r="D249" s="1" t="str">
        <f>HYPERLINK("http://eros.fiehnlab.ucdavis.edu:8080/binbase-compound/bin/show/409052?db=rtx5","409052")</f>
        <v>409052</v>
      </c>
      <c r="E249" s="1" t="s">
        <v>555</v>
      </c>
      <c r="F249" s="1" t="s">
        <v>0</v>
      </c>
      <c r="G249" s="1" t="s">
        <v>0</v>
      </c>
      <c r="H249" s="1"/>
      <c r="I249" s="5">
        <v>3207</v>
      </c>
      <c r="J249" s="5">
        <v>2014</v>
      </c>
      <c r="K249" s="5">
        <v>1004</v>
      </c>
      <c r="L249" s="5">
        <v>532</v>
      </c>
      <c r="M249" s="5">
        <v>3483</v>
      </c>
      <c r="N249" s="5">
        <v>1591</v>
      </c>
      <c r="O249" s="5">
        <v>520</v>
      </c>
      <c r="P249" s="5">
        <v>261</v>
      </c>
      <c r="Q249" s="5">
        <v>2713</v>
      </c>
      <c r="R249" s="5">
        <v>309</v>
      </c>
      <c r="S249" s="5">
        <v>1404</v>
      </c>
      <c r="T249" s="5">
        <v>4480</v>
      </c>
      <c r="U249" s="5">
        <v>690</v>
      </c>
      <c r="V249" s="5">
        <v>1459</v>
      </c>
      <c r="W249" s="5">
        <v>2048</v>
      </c>
      <c r="X249" s="5">
        <v>1363</v>
      </c>
      <c r="Y249" s="5">
        <v>364</v>
      </c>
      <c r="Z249" s="5">
        <v>3780</v>
      </c>
      <c r="AA249" s="5">
        <v>2157</v>
      </c>
      <c r="AB249" s="5">
        <v>2170</v>
      </c>
      <c r="AC249" s="5">
        <v>1633</v>
      </c>
      <c r="AD249" s="5">
        <v>2845</v>
      </c>
      <c r="AE249" s="5">
        <v>3507</v>
      </c>
      <c r="AF249" s="5">
        <v>2433</v>
      </c>
      <c r="AG249" s="5">
        <v>2787</v>
      </c>
      <c r="AH249" s="5">
        <v>2621</v>
      </c>
      <c r="AI249" s="5">
        <v>2799</v>
      </c>
      <c r="AJ249" s="5">
        <v>1557</v>
      </c>
      <c r="AK249" s="5">
        <v>2106</v>
      </c>
      <c r="AL249" s="5">
        <v>4189</v>
      </c>
      <c r="AM249" s="5">
        <v>682</v>
      </c>
      <c r="AN249" s="5">
        <v>3061</v>
      </c>
      <c r="AO249" s="5">
        <v>1724</v>
      </c>
      <c r="AP249" s="5">
        <v>1512</v>
      </c>
      <c r="AQ249" s="5">
        <v>3565</v>
      </c>
      <c r="AR249" s="5">
        <v>1135</v>
      </c>
    </row>
    <row r="250" spans="1:44">
      <c r="A250" s="1" t="s">
        <v>533</v>
      </c>
      <c r="B250" s="1" t="s">
        <v>534</v>
      </c>
      <c r="C250" s="1" t="s">
        <v>535</v>
      </c>
      <c r="D250" s="1" t="str">
        <f>HYPERLINK("http://eros.fiehnlab.ucdavis.edu:8080/binbase-compound/bin/show/409521?db=rtx5","409521")</f>
        <v>409521</v>
      </c>
      <c r="E250" s="1" t="s">
        <v>536</v>
      </c>
      <c r="F250" s="1" t="s">
        <v>0</v>
      </c>
      <c r="G250" s="1" t="s">
        <v>0</v>
      </c>
      <c r="H250" s="1"/>
      <c r="I250" s="5">
        <v>1270</v>
      </c>
      <c r="J250" s="5">
        <v>1242</v>
      </c>
      <c r="K250" s="5">
        <v>534</v>
      </c>
      <c r="L250" s="5">
        <v>929</v>
      </c>
      <c r="M250" s="5">
        <v>1116</v>
      </c>
      <c r="N250" s="5">
        <v>698</v>
      </c>
      <c r="O250" s="5">
        <v>509</v>
      </c>
      <c r="P250" s="5">
        <v>1022</v>
      </c>
      <c r="Q250" s="5">
        <v>1656</v>
      </c>
      <c r="R250" s="5">
        <v>1357</v>
      </c>
      <c r="S250" s="5">
        <v>1215</v>
      </c>
      <c r="T250" s="5">
        <v>3114</v>
      </c>
      <c r="U250" s="5">
        <v>649</v>
      </c>
      <c r="V250" s="5">
        <v>636</v>
      </c>
      <c r="W250" s="5">
        <v>679</v>
      </c>
      <c r="X250" s="5">
        <v>947</v>
      </c>
      <c r="Y250" s="5">
        <v>547</v>
      </c>
      <c r="Z250" s="5">
        <v>1528</v>
      </c>
      <c r="AA250" s="5">
        <v>777</v>
      </c>
      <c r="AB250" s="5">
        <v>452</v>
      </c>
      <c r="AC250" s="5">
        <v>499</v>
      </c>
      <c r="AD250" s="5">
        <v>962</v>
      </c>
      <c r="AE250" s="5">
        <v>1117</v>
      </c>
      <c r="AF250" s="5">
        <v>1194</v>
      </c>
      <c r="AG250" s="5">
        <v>1567</v>
      </c>
      <c r="AH250" s="5">
        <v>1017</v>
      </c>
      <c r="AI250" s="5">
        <v>1264</v>
      </c>
      <c r="AJ250" s="5">
        <v>877</v>
      </c>
      <c r="AK250" s="5">
        <v>697</v>
      </c>
      <c r="AL250" s="5">
        <v>1449</v>
      </c>
      <c r="AM250" s="5">
        <v>667</v>
      </c>
      <c r="AN250" s="5">
        <v>1151</v>
      </c>
      <c r="AO250" s="5">
        <v>551</v>
      </c>
      <c r="AP250" s="5">
        <v>924</v>
      </c>
      <c r="AQ250" s="5">
        <v>1421</v>
      </c>
      <c r="AR250" s="5">
        <v>535</v>
      </c>
    </row>
    <row r="251" spans="1:44">
      <c r="A251" s="1" t="s">
        <v>1133</v>
      </c>
      <c r="B251" s="1" t="s">
        <v>1134</v>
      </c>
      <c r="C251" s="1" t="s">
        <v>167</v>
      </c>
      <c r="D251" s="1" t="str">
        <f>HYPERLINK("http://eros.fiehnlab.ucdavis.edu:8080/binbase-compound/bin/show/200905?db=rtx5","200905")</f>
        <v>200905</v>
      </c>
      <c r="E251" s="1" t="s">
        <v>1135</v>
      </c>
      <c r="F251" s="1" t="s">
        <v>0</v>
      </c>
      <c r="G251" s="1" t="s">
        <v>0</v>
      </c>
      <c r="H251" s="1"/>
      <c r="I251" s="5">
        <v>2060</v>
      </c>
      <c r="J251" s="5">
        <v>2159</v>
      </c>
      <c r="K251" s="5">
        <v>1501</v>
      </c>
      <c r="L251" s="5">
        <v>943</v>
      </c>
      <c r="M251" s="5">
        <v>1805</v>
      </c>
      <c r="N251" s="5">
        <v>1350</v>
      </c>
      <c r="O251" s="5">
        <v>1636</v>
      </c>
      <c r="P251" s="5">
        <v>1494</v>
      </c>
      <c r="Q251" s="5">
        <v>1913</v>
      </c>
      <c r="R251" s="5">
        <v>929</v>
      </c>
      <c r="S251" s="5">
        <v>1724</v>
      </c>
      <c r="T251" s="5">
        <v>2118</v>
      </c>
      <c r="U251" s="5">
        <v>1481</v>
      </c>
      <c r="V251" s="5">
        <v>1623</v>
      </c>
      <c r="W251" s="5">
        <v>2243</v>
      </c>
      <c r="X251" s="5">
        <v>1469</v>
      </c>
      <c r="Y251" s="5">
        <v>1182</v>
      </c>
      <c r="Z251" s="5">
        <v>3333</v>
      </c>
      <c r="AA251" s="5">
        <v>2054</v>
      </c>
      <c r="AB251" s="5">
        <v>1121</v>
      </c>
      <c r="AC251" s="5">
        <v>1112</v>
      </c>
      <c r="AD251" s="5">
        <v>1038</v>
      </c>
      <c r="AE251" s="5">
        <v>1204</v>
      </c>
      <c r="AF251" s="5">
        <v>1135</v>
      </c>
      <c r="AG251" s="5">
        <v>1409</v>
      </c>
      <c r="AH251" s="5">
        <v>968</v>
      </c>
      <c r="AI251" s="5">
        <v>1553</v>
      </c>
      <c r="AJ251" s="5">
        <v>884</v>
      </c>
      <c r="AK251" s="5">
        <v>1009</v>
      </c>
      <c r="AL251" s="5">
        <v>3442</v>
      </c>
      <c r="AM251" s="5">
        <v>958</v>
      </c>
      <c r="AN251" s="5">
        <v>2059</v>
      </c>
      <c r="AO251" s="5">
        <v>1470</v>
      </c>
      <c r="AP251" s="5">
        <v>890</v>
      </c>
      <c r="AQ251" s="5">
        <v>3379</v>
      </c>
      <c r="AR251" s="5">
        <v>892</v>
      </c>
    </row>
    <row r="252" spans="1:44">
      <c r="A252" s="1" t="s">
        <v>919</v>
      </c>
      <c r="B252" s="1" t="s">
        <v>920</v>
      </c>
      <c r="C252" s="1" t="s">
        <v>273</v>
      </c>
      <c r="D252" s="1" t="str">
        <f>HYPERLINK("http://eros.fiehnlab.ucdavis.edu:8080/binbase-compound/bin/show/236828?db=rtx5","236828")</f>
        <v>236828</v>
      </c>
      <c r="E252" s="1" t="s">
        <v>921</v>
      </c>
      <c r="F252" s="1" t="s">
        <v>0</v>
      </c>
      <c r="G252" s="1" t="s">
        <v>0</v>
      </c>
      <c r="H252" s="1"/>
      <c r="I252" s="5">
        <v>3320</v>
      </c>
      <c r="J252" s="5">
        <v>8329</v>
      </c>
      <c r="K252" s="5">
        <v>1144</v>
      </c>
      <c r="L252" s="5">
        <v>1184</v>
      </c>
      <c r="M252" s="5">
        <v>3734</v>
      </c>
      <c r="N252" s="5">
        <v>4344</v>
      </c>
      <c r="O252" s="5">
        <v>1830</v>
      </c>
      <c r="P252" s="5">
        <v>933</v>
      </c>
      <c r="Q252" s="5">
        <v>3666</v>
      </c>
      <c r="R252" s="5">
        <v>1328</v>
      </c>
      <c r="S252" s="5">
        <v>2607</v>
      </c>
      <c r="T252" s="5">
        <v>7260</v>
      </c>
      <c r="U252" s="5">
        <v>1096</v>
      </c>
      <c r="V252" s="5">
        <v>2849</v>
      </c>
      <c r="W252" s="5">
        <v>3024</v>
      </c>
      <c r="X252" s="5">
        <v>1548</v>
      </c>
      <c r="Y252" s="5">
        <v>634</v>
      </c>
      <c r="Z252" s="5">
        <v>5890</v>
      </c>
      <c r="AA252" s="5">
        <v>2393</v>
      </c>
      <c r="AB252" s="5">
        <v>1858</v>
      </c>
      <c r="AC252" s="5">
        <v>1159</v>
      </c>
      <c r="AD252" s="5">
        <v>1385</v>
      </c>
      <c r="AE252" s="5">
        <v>2895</v>
      </c>
      <c r="AF252" s="5">
        <v>792</v>
      </c>
      <c r="AG252" s="5">
        <v>2321</v>
      </c>
      <c r="AH252" s="5">
        <v>1946</v>
      </c>
      <c r="AI252" s="5">
        <v>4304</v>
      </c>
      <c r="AJ252" s="5">
        <v>1341</v>
      </c>
      <c r="AK252" s="5">
        <v>1521</v>
      </c>
      <c r="AL252" s="5">
        <v>5974</v>
      </c>
      <c r="AM252" s="5">
        <v>1236</v>
      </c>
      <c r="AN252" s="5">
        <v>4322</v>
      </c>
      <c r="AO252" s="5">
        <v>1179</v>
      </c>
      <c r="AP252" s="5">
        <v>1164</v>
      </c>
      <c r="AQ252" s="5">
        <v>6352</v>
      </c>
      <c r="AR252" s="5">
        <v>1773</v>
      </c>
    </row>
    <row r="253" spans="1:44">
      <c r="A253" s="1" t="s">
        <v>708</v>
      </c>
      <c r="B253" s="1" t="s">
        <v>709</v>
      </c>
      <c r="C253" s="1" t="s">
        <v>155</v>
      </c>
      <c r="D253" s="1" t="str">
        <f>HYPERLINK("http://eros.fiehnlab.ucdavis.edu:8080/binbase-compound/bin/show/314770?db=rtx5","314770")</f>
        <v>314770</v>
      </c>
      <c r="E253" s="1" t="s">
        <v>710</v>
      </c>
      <c r="F253" s="1" t="s">
        <v>0</v>
      </c>
      <c r="G253" s="1" t="s">
        <v>0</v>
      </c>
      <c r="H253" s="1"/>
      <c r="I253" s="5">
        <v>1130</v>
      </c>
      <c r="J253" s="5">
        <v>1674</v>
      </c>
      <c r="K253" s="5">
        <v>397</v>
      </c>
      <c r="L253" s="5">
        <v>621</v>
      </c>
      <c r="M253" s="5">
        <v>458</v>
      </c>
      <c r="N253" s="5">
        <v>1194</v>
      </c>
      <c r="O253" s="5">
        <v>374</v>
      </c>
      <c r="P253" s="5">
        <v>265</v>
      </c>
      <c r="Q253" s="5">
        <v>879</v>
      </c>
      <c r="R253" s="5">
        <v>777</v>
      </c>
      <c r="S253" s="5">
        <v>2445</v>
      </c>
      <c r="T253" s="5">
        <v>2183</v>
      </c>
      <c r="U253" s="5">
        <v>348</v>
      </c>
      <c r="V253" s="5">
        <v>378</v>
      </c>
      <c r="W253" s="5">
        <v>829</v>
      </c>
      <c r="X253" s="5">
        <v>1257</v>
      </c>
      <c r="Y253" s="5">
        <v>487</v>
      </c>
      <c r="Z253" s="5">
        <v>1589</v>
      </c>
      <c r="AA253" s="5">
        <v>658</v>
      </c>
      <c r="AB253" s="5">
        <v>433</v>
      </c>
      <c r="AC253" s="5">
        <v>271</v>
      </c>
      <c r="AD253" s="5">
        <v>799</v>
      </c>
      <c r="AE253" s="5">
        <v>1573</v>
      </c>
      <c r="AF253" s="5">
        <v>925</v>
      </c>
      <c r="AG253" s="5">
        <v>472</v>
      </c>
      <c r="AH253" s="5">
        <v>641</v>
      </c>
      <c r="AI253" s="5">
        <v>1182</v>
      </c>
      <c r="AJ253" s="5">
        <v>681</v>
      </c>
      <c r="AK253" s="5">
        <v>853</v>
      </c>
      <c r="AL253" s="5">
        <v>1767</v>
      </c>
      <c r="AM253" s="5">
        <v>516</v>
      </c>
      <c r="AN253" s="5">
        <v>1290</v>
      </c>
      <c r="AO253" s="5">
        <v>272</v>
      </c>
      <c r="AP253" s="5">
        <v>735</v>
      </c>
      <c r="AQ253" s="5">
        <v>2407</v>
      </c>
      <c r="AR253" s="5">
        <v>735</v>
      </c>
    </row>
    <row r="254" spans="1:44">
      <c r="A254" s="1" t="s">
        <v>1136</v>
      </c>
      <c r="B254" s="1" t="s">
        <v>1137</v>
      </c>
      <c r="C254" s="1" t="s">
        <v>1138</v>
      </c>
      <c r="D254" s="1" t="str">
        <f>HYPERLINK("http://eros.fiehnlab.ucdavis.edu:8080/binbase-compound/bin/show/200624?db=rtx5","200624")</f>
        <v>200624</v>
      </c>
      <c r="E254" s="1" t="s">
        <v>1139</v>
      </c>
      <c r="F254" s="1" t="s">
        <v>0</v>
      </c>
      <c r="G254" s="1" t="s">
        <v>0</v>
      </c>
      <c r="H254" s="1"/>
      <c r="I254" s="5">
        <v>1020</v>
      </c>
      <c r="J254" s="5">
        <v>819</v>
      </c>
      <c r="K254" s="5">
        <v>511</v>
      </c>
      <c r="L254" s="5">
        <v>297</v>
      </c>
      <c r="M254" s="5">
        <v>638</v>
      </c>
      <c r="N254" s="5">
        <v>402</v>
      </c>
      <c r="O254" s="5">
        <v>980</v>
      </c>
      <c r="P254" s="5">
        <v>539</v>
      </c>
      <c r="Q254" s="5">
        <v>396</v>
      </c>
      <c r="R254" s="5">
        <v>344</v>
      </c>
      <c r="S254" s="5">
        <v>1358</v>
      </c>
      <c r="T254" s="5">
        <v>814</v>
      </c>
      <c r="U254" s="5">
        <v>582</v>
      </c>
      <c r="V254" s="5">
        <v>803</v>
      </c>
      <c r="W254" s="5">
        <v>730</v>
      </c>
      <c r="X254" s="5">
        <v>867</v>
      </c>
      <c r="Y254" s="5">
        <v>482</v>
      </c>
      <c r="Z254" s="5">
        <v>773</v>
      </c>
      <c r="AA254" s="5">
        <v>376</v>
      </c>
      <c r="AB254" s="5">
        <v>591</v>
      </c>
      <c r="AC254" s="5">
        <v>265</v>
      </c>
      <c r="AD254" s="5">
        <v>318</v>
      </c>
      <c r="AE254" s="5">
        <v>919</v>
      </c>
      <c r="AF254" s="5">
        <v>366</v>
      </c>
      <c r="AG254" s="5">
        <v>640</v>
      </c>
      <c r="AH254" s="5">
        <v>391</v>
      </c>
      <c r="AI254" s="5">
        <v>767</v>
      </c>
      <c r="AJ254" s="5">
        <v>445</v>
      </c>
      <c r="AK254" s="5">
        <v>363</v>
      </c>
      <c r="AL254" s="5">
        <v>1113</v>
      </c>
      <c r="AM254" s="5">
        <v>463</v>
      </c>
      <c r="AN254" s="5">
        <v>1005</v>
      </c>
      <c r="AO254" s="5">
        <v>559</v>
      </c>
      <c r="AP254" s="5">
        <v>303</v>
      </c>
      <c r="AQ254" s="5">
        <v>731</v>
      </c>
      <c r="AR254" s="5">
        <v>705</v>
      </c>
    </row>
    <row r="255" spans="1:44">
      <c r="A255" s="1" t="s">
        <v>975</v>
      </c>
      <c r="B255" s="1" t="s">
        <v>976</v>
      </c>
      <c r="C255" s="1" t="s">
        <v>222</v>
      </c>
      <c r="D255" s="1" t="str">
        <f>HYPERLINK("http://eros.fiehnlab.ucdavis.edu:8080/binbase-compound/bin/show/228422?db=rtx5","228422")</f>
        <v>228422</v>
      </c>
      <c r="E255" s="1" t="s">
        <v>977</v>
      </c>
      <c r="F255" s="1" t="s">
        <v>0</v>
      </c>
      <c r="G255" s="1" t="s">
        <v>0</v>
      </c>
      <c r="H255" s="1"/>
      <c r="I255" s="5">
        <v>426</v>
      </c>
      <c r="J255" s="5">
        <v>766</v>
      </c>
      <c r="K255" s="5">
        <v>474</v>
      </c>
      <c r="L255" s="5">
        <v>262</v>
      </c>
      <c r="M255" s="5">
        <v>431</v>
      </c>
      <c r="N255" s="5">
        <v>433</v>
      </c>
      <c r="O255" s="5">
        <v>620</v>
      </c>
      <c r="P255" s="5">
        <v>492</v>
      </c>
      <c r="Q255" s="5">
        <v>404</v>
      </c>
      <c r="R255" s="5">
        <v>397</v>
      </c>
      <c r="S255" s="5">
        <v>855</v>
      </c>
      <c r="T255" s="5">
        <v>542</v>
      </c>
      <c r="U255" s="5">
        <v>262</v>
      </c>
      <c r="V255" s="5">
        <v>319</v>
      </c>
      <c r="W255" s="5">
        <v>1080</v>
      </c>
      <c r="X255" s="5">
        <v>1089</v>
      </c>
      <c r="Y255" s="5">
        <v>582</v>
      </c>
      <c r="Z255" s="5">
        <v>562</v>
      </c>
      <c r="AA255" s="5">
        <v>439</v>
      </c>
      <c r="AB255" s="5">
        <v>625</v>
      </c>
      <c r="AC255" s="5">
        <v>568</v>
      </c>
      <c r="AD255" s="5">
        <v>582</v>
      </c>
      <c r="AE255" s="5">
        <v>1491</v>
      </c>
      <c r="AF255" s="5">
        <v>431</v>
      </c>
      <c r="AG255" s="5">
        <v>626</v>
      </c>
      <c r="AH255" s="5">
        <v>317</v>
      </c>
      <c r="AI255" s="5">
        <v>512</v>
      </c>
      <c r="AJ255" s="5">
        <v>538</v>
      </c>
      <c r="AK255" s="5">
        <v>372</v>
      </c>
      <c r="AL255" s="5">
        <v>1293</v>
      </c>
      <c r="AM255" s="5">
        <v>745</v>
      </c>
      <c r="AN255" s="5">
        <v>1189</v>
      </c>
      <c r="AO255" s="5">
        <v>606</v>
      </c>
      <c r="AP255" s="5">
        <v>512</v>
      </c>
      <c r="AQ255" s="5">
        <v>1087</v>
      </c>
      <c r="AR255" s="5">
        <v>800</v>
      </c>
    </row>
    <row r="256" spans="1:44">
      <c r="A256" s="1" t="s">
        <v>1127</v>
      </c>
      <c r="B256" s="1" t="s">
        <v>1128</v>
      </c>
      <c r="C256" s="1" t="s">
        <v>521</v>
      </c>
      <c r="D256" s="1" t="str">
        <f>HYPERLINK("http://eros.fiehnlab.ucdavis.edu:8080/binbase-compound/bin/show/201042?db=rtx5","201042")</f>
        <v>201042</v>
      </c>
      <c r="E256" s="1" t="s">
        <v>1129</v>
      </c>
      <c r="F256" s="1" t="s">
        <v>0</v>
      </c>
      <c r="G256" s="1" t="s">
        <v>0</v>
      </c>
      <c r="H256" s="1"/>
      <c r="I256" s="5">
        <v>2442</v>
      </c>
      <c r="J256" s="5">
        <v>3791</v>
      </c>
      <c r="K256" s="5">
        <v>2847</v>
      </c>
      <c r="L256" s="5">
        <v>3163</v>
      </c>
      <c r="M256" s="5">
        <v>2006</v>
      </c>
      <c r="N256" s="5">
        <v>3331</v>
      </c>
      <c r="O256" s="5">
        <v>3254</v>
      </c>
      <c r="P256" s="5">
        <v>1846</v>
      </c>
      <c r="Q256" s="5">
        <v>2188</v>
      </c>
      <c r="R256" s="5">
        <v>3994</v>
      </c>
      <c r="S256" s="5">
        <v>1924</v>
      </c>
      <c r="T256" s="5">
        <v>2353</v>
      </c>
      <c r="U256" s="5">
        <v>3563</v>
      </c>
      <c r="V256" s="5">
        <v>2541</v>
      </c>
      <c r="W256" s="5">
        <v>2227</v>
      </c>
      <c r="X256" s="5">
        <v>2185</v>
      </c>
      <c r="Y256" s="5">
        <v>2649</v>
      </c>
      <c r="Z256" s="5">
        <v>2206</v>
      </c>
      <c r="AA256" s="5">
        <v>1455</v>
      </c>
      <c r="AB256" s="5">
        <v>2123</v>
      </c>
      <c r="AC256" s="5">
        <v>2406</v>
      </c>
      <c r="AD256" s="5">
        <v>3266</v>
      </c>
      <c r="AE256" s="5">
        <v>2515</v>
      </c>
      <c r="AF256" s="5">
        <v>2106</v>
      </c>
      <c r="AG256" s="5">
        <v>2378</v>
      </c>
      <c r="AH256" s="5">
        <v>2428</v>
      </c>
      <c r="AI256" s="5">
        <v>2747</v>
      </c>
      <c r="AJ256" s="5">
        <v>2334</v>
      </c>
      <c r="AK256" s="5">
        <v>2015</v>
      </c>
      <c r="AL256" s="5">
        <v>2506</v>
      </c>
      <c r="AM256" s="5">
        <v>2384</v>
      </c>
      <c r="AN256" s="5">
        <v>2508</v>
      </c>
      <c r="AO256" s="5">
        <v>2319</v>
      </c>
      <c r="AP256" s="5">
        <v>2519</v>
      </c>
      <c r="AQ256" s="5">
        <v>3342</v>
      </c>
      <c r="AR256" s="5">
        <v>3002</v>
      </c>
    </row>
    <row r="257" spans="1:44">
      <c r="A257" s="1" t="s">
        <v>1099</v>
      </c>
      <c r="B257" s="1" t="s">
        <v>1100</v>
      </c>
      <c r="C257" s="1" t="s">
        <v>857</v>
      </c>
      <c r="D257" s="1" t="str">
        <f>HYPERLINK("http://eros.fiehnlab.ucdavis.edu:8080/binbase-compound/bin/show/206309?db=rtx5","206309")</f>
        <v>206309</v>
      </c>
      <c r="E257" s="1" t="s">
        <v>1101</v>
      </c>
      <c r="F257" s="1" t="s">
        <v>0</v>
      </c>
      <c r="G257" s="1" t="s">
        <v>0</v>
      </c>
      <c r="H257" s="1"/>
      <c r="I257" s="5">
        <v>962</v>
      </c>
      <c r="J257" s="5">
        <v>696</v>
      </c>
      <c r="K257" s="5">
        <v>1393</v>
      </c>
      <c r="L257" s="5">
        <v>923</v>
      </c>
      <c r="M257" s="5">
        <v>653</v>
      </c>
      <c r="N257" s="5">
        <v>706</v>
      </c>
      <c r="O257" s="5">
        <v>923</v>
      </c>
      <c r="P257" s="5">
        <v>1388</v>
      </c>
      <c r="Q257" s="5">
        <v>729</v>
      </c>
      <c r="R257" s="5">
        <v>1493</v>
      </c>
      <c r="S257" s="5">
        <v>654</v>
      </c>
      <c r="T257" s="5">
        <v>854</v>
      </c>
      <c r="U257" s="5">
        <v>1918</v>
      </c>
      <c r="V257" s="5">
        <v>688</v>
      </c>
      <c r="W257" s="5">
        <v>759</v>
      </c>
      <c r="X257" s="5">
        <v>756</v>
      </c>
      <c r="Y257" s="5">
        <v>1705</v>
      </c>
      <c r="Z257" s="5">
        <v>1116</v>
      </c>
      <c r="AA257" s="5">
        <v>992</v>
      </c>
      <c r="AB257" s="5">
        <v>716</v>
      </c>
      <c r="AC257" s="5">
        <v>675</v>
      </c>
      <c r="AD257" s="5">
        <v>720</v>
      </c>
      <c r="AE257" s="5">
        <v>808</v>
      </c>
      <c r="AF257" s="5">
        <v>1795</v>
      </c>
      <c r="AG257" s="5">
        <v>733</v>
      </c>
      <c r="AH257" s="5">
        <v>697</v>
      </c>
      <c r="AI257" s="5">
        <v>637</v>
      </c>
      <c r="AJ257" s="5">
        <v>838</v>
      </c>
      <c r="AK257" s="5">
        <v>686</v>
      </c>
      <c r="AL257" s="5">
        <v>788</v>
      </c>
      <c r="AM257" s="5">
        <v>744</v>
      </c>
      <c r="AN257" s="5">
        <v>653</v>
      </c>
      <c r="AO257" s="5">
        <v>580</v>
      </c>
      <c r="AP257" s="5">
        <v>615</v>
      </c>
      <c r="AQ257" s="5">
        <v>1408</v>
      </c>
      <c r="AR257" s="5">
        <v>700</v>
      </c>
    </row>
    <row r="258" spans="1:44">
      <c r="A258" s="1" t="s">
        <v>651</v>
      </c>
      <c r="B258" s="1" t="s">
        <v>652</v>
      </c>
      <c r="C258" s="1" t="s">
        <v>484</v>
      </c>
      <c r="D258" s="1" t="str">
        <f>HYPERLINK("http://eros.fiehnlab.ucdavis.edu:8080/binbase-compound/bin/show/362084?db=rtx5","362084")</f>
        <v>362084</v>
      </c>
      <c r="E258" s="1" t="s">
        <v>653</v>
      </c>
      <c r="F258" s="1" t="s">
        <v>0</v>
      </c>
      <c r="G258" s="1" t="s">
        <v>0</v>
      </c>
      <c r="H258" s="1"/>
      <c r="I258" s="5">
        <v>2519</v>
      </c>
      <c r="J258" s="5">
        <v>1968</v>
      </c>
      <c r="K258" s="5">
        <v>1859</v>
      </c>
      <c r="L258" s="5">
        <v>3015</v>
      </c>
      <c r="M258" s="5">
        <v>1907</v>
      </c>
      <c r="N258" s="5">
        <v>680</v>
      </c>
      <c r="O258" s="5">
        <v>473</v>
      </c>
      <c r="P258" s="5">
        <v>1707</v>
      </c>
      <c r="Q258" s="5">
        <v>1249</v>
      </c>
      <c r="R258" s="5">
        <v>535</v>
      </c>
      <c r="S258" s="5">
        <v>1235</v>
      </c>
      <c r="T258" s="5">
        <v>1868</v>
      </c>
      <c r="U258" s="5">
        <v>1742</v>
      </c>
      <c r="V258" s="5">
        <v>970</v>
      </c>
      <c r="W258" s="5">
        <v>1242</v>
      </c>
      <c r="X258" s="5">
        <v>1483</v>
      </c>
      <c r="Y258" s="5">
        <v>1121</v>
      </c>
      <c r="Z258" s="5">
        <v>1196</v>
      </c>
      <c r="AA258" s="5">
        <v>1045</v>
      </c>
      <c r="AB258" s="5">
        <v>2201</v>
      </c>
      <c r="AC258" s="5">
        <v>1879</v>
      </c>
      <c r="AD258" s="5">
        <v>1237</v>
      </c>
      <c r="AE258" s="5">
        <v>3491</v>
      </c>
      <c r="AF258" s="5">
        <v>1645</v>
      </c>
      <c r="AG258" s="5">
        <v>1205</v>
      </c>
      <c r="AH258" s="5">
        <v>1926</v>
      </c>
      <c r="AI258" s="5">
        <v>939</v>
      </c>
      <c r="AJ258" s="5">
        <v>1285</v>
      </c>
      <c r="AK258" s="5">
        <v>1374</v>
      </c>
      <c r="AL258" s="5">
        <v>2289</v>
      </c>
      <c r="AM258" s="5">
        <v>1127</v>
      </c>
      <c r="AN258" s="5">
        <v>1582</v>
      </c>
      <c r="AO258" s="5">
        <v>1532</v>
      </c>
      <c r="AP258" s="5">
        <v>656</v>
      </c>
      <c r="AQ258" s="5">
        <v>1500</v>
      </c>
      <c r="AR258" s="5">
        <v>658</v>
      </c>
    </row>
    <row r="259" spans="1:44">
      <c r="A259" s="1" t="s">
        <v>629</v>
      </c>
      <c r="B259" s="1" t="s">
        <v>630</v>
      </c>
      <c r="C259" s="1" t="s">
        <v>155</v>
      </c>
      <c r="D259" s="1" t="str">
        <f>HYPERLINK("http://eros.fiehnlab.ucdavis.edu:8080/binbase-compound/bin/show/374786?db=rtx5","374786")</f>
        <v>374786</v>
      </c>
      <c r="E259" s="1" t="s">
        <v>631</v>
      </c>
      <c r="F259" s="1" t="s">
        <v>0</v>
      </c>
      <c r="G259" s="1" t="s">
        <v>0</v>
      </c>
      <c r="H259" s="1"/>
      <c r="I259" s="5">
        <v>696</v>
      </c>
      <c r="J259" s="5">
        <v>711</v>
      </c>
      <c r="K259" s="5">
        <v>657</v>
      </c>
      <c r="L259" s="5">
        <v>748</v>
      </c>
      <c r="M259" s="5">
        <v>437</v>
      </c>
      <c r="N259" s="5">
        <v>1086</v>
      </c>
      <c r="O259" s="5">
        <v>296</v>
      </c>
      <c r="P259" s="5">
        <v>205</v>
      </c>
      <c r="Q259" s="5">
        <v>1266</v>
      </c>
      <c r="R259" s="5">
        <v>969</v>
      </c>
      <c r="S259" s="5">
        <v>1553</v>
      </c>
      <c r="T259" s="5">
        <v>1280</v>
      </c>
      <c r="U259" s="5">
        <v>607</v>
      </c>
      <c r="V259" s="5">
        <v>166</v>
      </c>
      <c r="W259" s="5">
        <v>1188</v>
      </c>
      <c r="X259" s="5">
        <v>1598</v>
      </c>
      <c r="Y259" s="5">
        <v>1171</v>
      </c>
      <c r="Z259" s="5">
        <v>957</v>
      </c>
      <c r="AA259" s="5">
        <v>7461</v>
      </c>
      <c r="AB259" s="5">
        <v>386</v>
      </c>
      <c r="AC259" s="5">
        <v>2733</v>
      </c>
      <c r="AD259" s="5">
        <v>747</v>
      </c>
      <c r="AE259" s="5">
        <v>1132</v>
      </c>
      <c r="AF259" s="5">
        <v>926</v>
      </c>
      <c r="AG259" s="5">
        <v>530</v>
      </c>
      <c r="AH259" s="5">
        <v>550</v>
      </c>
      <c r="AI259" s="5">
        <v>2806</v>
      </c>
      <c r="AJ259" s="5">
        <v>948</v>
      </c>
      <c r="AK259" s="5">
        <v>1712</v>
      </c>
      <c r="AL259" s="5">
        <v>1595</v>
      </c>
      <c r="AM259" s="5">
        <v>387</v>
      </c>
      <c r="AN259" s="5">
        <v>940</v>
      </c>
      <c r="AO259" s="5">
        <v>829</v>
      </c>
      <c r="AP259" s="5">
        <v>705</v>
      </c>
      <c r="AQ259" s="5">
        <v>2253</v>
      </c>
      <c r="AR259" s="5">
        <v>336</v>
      </c>
    </row>
    <row r="260" spans="1:44">
      <c r="A260" s="1" t="s">
        <v>596</v>
      </c>
      <c r="B260" s="1" t="s">
        <v>597</v>
      </c>
      <c r="C260" s="1" t="s">
        <v>103</v>
      </c>
      <c r="D260" s="1" t="str">
        <f>HYPERLINK("http://eros.fiehnlab.ucdavis.edu:8080/binbase-compound/bin/show/408593?db=rtx5","408593")</f>
        <v>408593</v>
      </c>
      <c r="E260" s="1" t="s">
        <v>598</v>
      </c>
      <c r="F260" s="1" t="s">
        <v>0</v>
      </c>
      <c r="G260" s="1" t="s">
        <v>0</v>
      </c>
      <c r="H260" s="1"/>
      <c r="I260" s="5">
        <v>1050</v>
      </c>
      <c r="J260" s="5">
        <v>628</v>
      </c>
      <c r="K260" s="5">
        <v>1251</v>
      </c>
      <c r="L260" s="5">
        <v>1169</v>
      </c>
      <c r="M260" s="5">
        <v>1035</v>
      </c>
      <c r="N260" s="5">
        <v>2623</v>
      </c>
      <c r="O260" s="5">
        <v>1995</v>
      </c>
      <c r="P260" s="5">
        <v>479</v>
      </c>
      <c r="Q260" s="5">
        <v>179</v>
      </c>
      <c r="R260" s="5">
        <v>980</v>
      </c>
      <c r="S260" s="5">
        <v>349</v>
      </c>
      <c r="T260" s="5">
        <v>855</v>
      </c>
      <c r="U260" s="5">
        <v>567</v>
      </c>
      <c r="V260" s="5">
        <v>604</v>
      </c>
      <c r="W260" s="5">
        <v>349</v>
      </c>
      <c r="X260" s="5">
        <v>275</v>
      </c>
      <c r="Y260" s="5">
        <v>222</v>
      </c>
      <c r="Z260" s="5">
        <v>1381</v>
      </c>
      <c r="AA260" s="5">
        <v>987</v>
      </c>
      <c r="AB260" s="5">
        <v>205</v>
      </c>
      <c r="AC260" s="5">
        <v>422</v>
      </c>
      <c r="AD260" s="5">
        <v>1085</v>
      </c>
      <c r="AE260" s="5">
        <v>882</v>
      </c>
      <c r="AF260" s="5">
        <v>2241</v>
      </c>
      <c r="AG260" s="5">
        <v>312</v>
      </c>
      <c r="AH260" s="5">
        <v>272</v>
      </c>
      <c r="AI260" s="5">
        <v>304</v>
      </c>
      <c r="AJ260" s="5">
        <v>2202</v>
      </c>
      <c r="AK260" s="5">
        <v>205</v>
      </c>
      <c r="AL260" s="5">
        <v>608</v>
      </c>
      <c r="AM260" s="5">
        <v>554</v>
      </c>
      <c r="AN260" s="5">
        <v>485</v>
      </c>
      <c r="AO260" s="5">
        <v>190</v>
      </c>
      <c r="AP260" s="5">
        <v>1325</v>
      </c>
      <c r="AQ260" s="5">
        <v>899</v>
      </c>
      <c r="AR260" s="5">
        <v>599</v>
      </c>
    </row>
    <row r="261" spans="1:44">
      <c r="A261" s="1" t="s">
        <v>858</v>
      </c>
      <c r="B261" s="1" t="s">
        <v>859</v>
      </c>
      <c r="C261" s="1" t="s">
        <v>279</v>
      </c>
      <c r="D261" s="1" t="str">
        <f>HYPERLINK("http://eros.fiehnlab.ucdavis.edu:8080/binbase-compound/bin/show/241271?db=rtx5","241271")</f>
        <v>241271</v>
      </c>
      <c r="E261" s="1" t="s">
        <v>860</v>
      </c>
      <c r="F261" s="1" t="s">
        <v>0</v>
      </c>
      <c r="G261" s="1" t="s">
        <v>0</v>
      </c>
      <c r="H261" s="1"/>
      <c r="I261" s="5">
        <v>61</v>
      </c>
      <c r="J261" s="5">
        <v>525</v>
      </c>
      <c r="K261" s="5">
        <v>70</v>
      </c>
      <c r="L261" s="5">
        <v>139</v>
      </c>
      <c r="M261" s="5">
        <v>93</v>
      </c>
      <c r="N261" s="5">
        <v>333</v>
      </c>
      <c r="O261" s="5">
        <v>278</v>
      </c>
      <c r="P261" s="5">
        <v>139</v>
      </c>
      <c r="Q261" s="5">
        <v>160</v>
      </c>
      <c r="R261" s="5">
        <v>141</v>
      </c>
      <c r="S261" s="5">
        <v>188</v>
      </c>
      <c r="T261" s="5">
        <v>156</v>
      </c>
      <c r="U261" s="5">
        <v>164</v>
      </c>
      <c r="V261" s="5">
        <v>83</v>
      </c>
      <c r="W261" s="5">
        <v>39</v>
      </c>
      <c r="X261" s="5">
        <v>185</v>
      </c>
      <c r="Y261" s="5">
        <v>185</v>
      </c>
      <c r="Z261" s="5">
        <v>200</v>
      </c>
      <c r="AA261" s="5">
        <v>36</v>
      </c>
      <c r="AB261" s="5">
        <v>139</v>
      </c>
      <c r="AC261" s="5">
        <v>127</v>
      </c>
      <c r="AD261" s="5">
        <v>153</v>
      </c>
      <c r="AE261" s="5">
        <v>119</v>
      </c>
      <c r="AF261" s="5">
        <v>150</v>
      </c>
      <c r="AG261" s="5">
        <v>154</v>
      </c>
      <c r="AH261" s="5">
        <v>207</v>
      </c>
      <c r="AI261" s="5">
        <v>214</v>
      </c>
      <c r="AJ261" s="5">
        <v>162</v>
      </c>
      <c r="AK261" s="5">
        <v>130</v>
      </c>
      <c r="AL261" s="5">
        <v>247</v>
      </c>
      <c r="AM261" s="5">
        <v>132</v>
      </c>
      <c r="AN261" s="5">
        <v>281</v>
      </c>
      <c r="AO261" s="5">
        <v>150</v>
      </c>
      <c r="AP261" s="5">
        <v>141</v>
      </c>
      <c r="AQ261" s="5">
        <v>379</v>
      </c>
      <c r="AR261" s="5">
        <v>108</v>
      </c>
    </row>
    <row r="262" spans="1:44">
      <c r="A262" s="1" t="s">
        <v>543</v>
      </c>
      <c r="B262" s="1" t="s">
        <v>544</v>
      </c>
      <c r="C262" s="1" t="s">
        <v>363</v>
      </c>
      <c r="D262" s="1" t="str">
        <f>HYPERLINK("http://eros.fiehnlab.ucdavis.edu:8080/binbase-compound/bin/show/409212?db=rtx5","409212")</f>
        <v>409212</v>
      </c>
      <c r="E262" s="1" t="s">
        <v>545</v>
      </c>
      <c r="F262" s="1" t="s">
        <v>0</v>
      </c>
      <c r="G262" s="1" t="s">
        <v>0</v>
      </c>
      <c r="H262" s="1"/>
      <c r="I262" s="5">
        <v>1693</v>
      </c>
      <c r="J262" s="5">
        <v>1030</v>
      </c>
      <c r="K262" s="5">
        <v>383</v>
      </c>
      <c r="L262" s="5">
        <v>788</v>
      </c>
      <c r="M262" s="5">
        <v>834</v>
      </c>
      <c r="N262" s="5">
        <v>857</v>
      </c>
      <c r="O262" s="5">
        <v>819</v>
      </c>
      <c r="P262" s="5">
        <v>869</v>
      </c>
      <c r="Q262" s="5">
        <v>948</v>
      </c>
      <c r="R262" s="5">
        <v>824</v>
      </c>
      <c r="S262" s="5">
        <v>813</v>
      </c>
      <c r="T262" s="5">
        <v>1243</v>
      </c>
      <c r="U262" s="5">
        <v>244</v>
      </c>
      <c r="V262" s="5">
        <v>852</v>
      </c>
      <c r="W262" s="5">
        <v>893</v>
      </c>
      <c r="X262" s="5">
        <v>1117</v>
      </c>
      <c r="Y262" s="5">
        <v>804</v>
      </c>
      <c r="Z262" s="5">
        <v>2812</v>
      </c>
      <c r="AA262" s="5">
        <v>931</v>
      </c>
      <c r="AB262" s="5">
        <v>1145</v>
      </c>
      <c r="AC262" s="5">
        <v>586</v>
      </c>
      <c r="AD262" s="5">
        <v>449</v>
      </c>
      <c r="AE262" s="5">
        <v>2908</v>
      </c>
      <c r="AF262" s="5">
        <v>843</v>
      </c>
      <c r="AG262" s="5">
        <v>1045</v>
      </c>
      <c r="AH262" s="5">
        <v>893</v>
      </c>
      <c r="AI262" s="5">
        <v>1354</v>
      </c>
      <c r="AJ262" s="5">
        <v>625</v>
      </c>
      <c r="AK262" s="5">
        <v>1271</v>
      </c>
      <c r="AL262" s="5">
        <v>1720</v>
      </c>
      <c r="AM262" s="5">
        <v>822</v>
      </c>
      <c r="AN262" s="5">
        <v>2068</v>
      </c>
      <c r="AO262" s="5">
        <v>911</v>
      </c>
      <c r="AP262" s="5">
        <v>786</v>
      </c>
      <c r="AQ262" s="5">
        <v>2183</v>
      </c>
      <c r="AR262" s="5">
        <v>893</v>
      </c>
    </row>
    <row r="263" spans="1:44">
      <c r="A263" s="1" t="s">
        <v>537</v>
      </c>
      <c r="B263" s="1" t="s">
        <v>538</v>
      </c>
      <c r="C263" s="1" t="s">
        <v>418</v>
      </c>
      <c r="D263" s="1" t="str">
        <f>HYPERLINK("http://eros.fiehnlab.ucdavis.edu:8080/binbase-compound/bin/show/409349?db=rtx5","409349")</f>
        <v>409349</v>
      </c>
      <c r="E263" s="1" t="s">
        <v>539</v>
      </c>
      <c r="F263" s="1" t="s">
        <v>0</v>
      </c>
      <c r="G263" s="1" t="s">
        <v>0</v>
      </c>
      <c r="H263" s="1"/>
      <c r="I263" s="5">
        <v>1584</v>
      </c>
      <c r="J263" s="5">
        <v>1366</v>
      </c>
      <c r="K263" s="5">
        <v>1002</v>
      </c>
      <c r="L263" s="5">
        <v>1220</v>
      </c>
      <c r="M263" s="5">
        <v>969</v>
      </c>
      <c r="N263" s="5">
        <v>1230</v>
      </c>
      <c r="O263" s="5">
        <v>952</v>
      </c>
      <c r="P263" s="5">
        <v>555</v>
      </c>
      <c r="Q263" s="5">
        <v>1306</v>
      </c>
      <c r="R263" s="5">
        <v>1313</v>
      </c>
      <c r="S263" s="5">
        <v>1717</v>
      </c>
      <c r="T263" s="5">
        <v>1192</v>
      </c>
      <c r="U263" s="5">
        <v>1109</v>
      </c>
      <c r="V263" s="5">
        <v>706</v>
      </c>
      <c r="W263" s="5">
        <v>1077</v>
      </c>
      <c r="X263" s="5">
        <v>1032</v>
      </c>
      <c r="Y263" s="5">
        <v>1446</v>
      </c>
      <c r="Z263" s="5">
        <v>979</v>
      </c>
      <c r="AA263" s="5">
        <v>6297</v>
      </c>
      <c r="AB263" s="5">
        <v>909</v>
      </c>
      <c r="AC263" s="5">
        <v>1298</v>
      </c>
      <c r="AD263" s="5">
        <v>1323</v>
      </c>
      <c r="AE263" s="5">
        <v>1064</v>
      </c>
      <c r="AF263" s="5">
        <v>874</v>
      </c>
      <c r="AG263" s="5">
        <v>1098</v>
      </c>
      <c r="AH263" s="5">
        <v>989</v>
      </c>
      <c r="AI263" s="5">
        <v>1603</v>
      </c>
      <c r="AJ263" s="5">
        <v>1330</v>
      </c>
      <c r="AK263" s="5">
        <v>1576</v>
      </c>
      <c r="AL263" s="5">
        <v>1191</v>
      </c>
      <c r="AM263" s="5">
        <v>957</v>
      </c>
      <c r="AN263" s="5">
        <v>1129</v>
      </c>
      <c r="AO263" s="5">
        <v>1031</v>
      </c>
      <c r="AP263" s="5">
        <v>1047</v>
      </c>
      <c r="AQ263" s="5">
        <v>1298</v>
      </c>
      <c r="AR263" s="5">
        <v>1027</v>
      </c>
    </row>
    <row r="264" spans="1:44">
      <c r="A264" s="1" t="s">
        <v>1016</v>
      </c>
      <c r="B264" s="1" t="s">
        <v>1017</v>
      </c>
      <c r="C264" s="1" t="s">
        <v>910</v>
      </c>
      <c r="D264" s="1" t="str">
        <f>HYPERLINK("http://eros.fiehnlab.ucdavis.edu:8080/binbase-compound/bin/show/223531?db=rtx5","223531")</f>
        <v>223531</v>
      </c>
      <c r="E264" s="1" t="s">
        <v>1018</v>
      </c>
      <c r="F264" s="1" t="s">
        <v>0</v>
      </c>
      <c r="G264" s="1" t="s">
        <v>0</v>
      </c>
      <c r="H264" s="1"/>
      <c r="I264" s="5">
        <v>846</v>
      </c>
      <c r="J264" s="5">
        <v>462</v>
      </c>
      <c r="K264" s="5">
        <v>793</v>
      </c>
      <c r="L264" s="5">
        <v>520</v>
      </c>
      <c r="M264" s="5">
        <v>452</v>
      </c>
      <c r="N264" s="5">
        <v>335</v>
      </c>
      <c r="O264" s="5">
        <v>680</v>
      </c>
      <c r="P264" s="5">
        <v>632</v>
      </c>
      <c r="Q264" s="5">
        <v>457</v>
      </c>
      <c r="R264" s="5">
        <v>597</v>
      </c>
      <c r="S264" s="5">
        <v>528</v>
      </c>
      <c r="T264" s="5">
        <v>630</v>
      </c>
      <c r="U264" s="5">
        <v>1006</v>
      </c>
      <c r="V264" s="5">
        <v>622</v>
      </c>
      <c r="W264" s="5">
        <v>656</v>
      </c>
      <c r="X264" s="5">
        <v>553</v>
      </c>
      <c r="Y264" s="5">
        <v>758</v>
      </c>
      <c r="Z264" s="5">
        <v>628</v>
      </c>
      <c r="AA264" s="5">
        <v>1046</v>
      </c>
      <c r="AB264" s="5">
        <v>650</v>
      </c>
      <c r="AC264" s="5">
        <v>639</v>
      </c>
      <c r="AD264" s="5">
        <v>402</v>
      </c>
      <c r="AE264" s="5">
        <v>642</v>
      </c>
      <c r="AF264" s="5">
        <v>584</v>
      </c>
      <c r="AG264" s="5">
        <v>769</v>
      </c>
      <c r="AH264" s="5">
        <v>599</v>
      </c>
      <c r="AI264" s="5">
        <v>630</v>
      </c>
      <c r="AJ264" s="5">
        <v>689</v>
      </c>
      <c r="AK264" s="5">
        <v>731</v>
      </c>
      <c r="AL264" s="5">
        <v>644</v>
      </c>
      <c r="AM264" s="5">
        <v>524</v>
      </c>
      <c r="AN264" s="5">
        <v>506</v>
      </c>
      <c r="AO264" s="5">
        <v>893</v>
      </c>
      <c r="AP264" s="5">
        <v>571</v>
      </c>
      <c r="AQ264" s="5">
        <v>576</v>
      </c>
      <c r="AR264" s="5">
        <v>455</v>
      </c>
    </row>
    <row r="265" spans="1:44">
      <c r="A265" s="1" t="s">
        <v>754</v>
      </c>
      <c r="B265" s="1" t="s">
        <v>755</v>
      </c>
      <c r="C265" s="1" t="s">
        <v>756</v>
      </c>
      <c r="D265" s="1" t="str">
        <f>HYPERLINK("http://eros.fiehnlab.ucdavis.edu:8080/binbase-compound/bin/show/295010?db=rtx5","295010")</f>
        <v>295010</v>
      </c>
      <c r="E265" s="1" t="s">
        <v>757</v>
      </c>
      <c r="F265" s="1" t="s">
        <v>0</v>
      </c>
      <c r="G265" s="1" t="s">
        <v>0</v>
      </c>
      <c r="H265" s="1"/>
      <c r="I265" s="5">
        <v>9383</v>
      </c>
      <c r="J265" s="5">
        <v>23087</v>
      </c>
      <c r="K265" s="5">
        <v>6909</v>
      </c>
      <c r="L265" s="5">
        <v>11972</v>
      </c>
      <c r="M265" s="5">
        <v>11574</v>
      </c>
      <c r="N265" s="5">
        <v>23578</v>
      </c>
      <c r="O265" s="5">
        <v>13589</v>
      </c>
      <c r="P265" s="5">
        <v>7299</v>
      </c>
      <c r="Q265" s="5">
        <v>7140</v>
      </c>
      <c r="R265" s="5">
        <v>5412</v>
      </c>
      <c r="S265" s="5">
        <v>12206</v>
      </c>
      <c r="T265" s="5">
        <v>15770</v>
      </c>
      <c r="U265" s="5">
        <v>5370</v>
      </c>
      <c r="V265" s="5">
        <v>15421</v>
      </c>
      <c r="W265" s="5">
        <v>10155</v>
      </c>
      <c r="X265" s="5">
        <v>2281</v>
      </c>
      <c r="Y265" s="5">
        <v>7111</v>
      </c>
      <c r="Z265" s="5">
        <v>13422</v>
      </c>
      <c r="AA265" s="5">
        <v>5171</v>
      </c>
      <c r="AB265" s="5">
        <v>8480</v>
      </c>
      <c r="AC265" s="5">
        <v>7183</v>
      </c>
      <c r="AD265" s="5">
        <v>8220</v>
      </c>
      <c r="AE265" s="5">
        <v>14116</v>
      </c>
      <c r="AF265" s="5">
        <v>6905</v>
      </c>
      <c r="AG265" s="5">
        <v>11200</v>
      </c>
      <c r="AH265" s="5">
        <v>6116</v>
      </c>
      <c r="AI265" s="5">
        <v>20213</v>
      </c>
      <c r="AJ265" s="5">
        <v>9721</v>
      </c>
      <c r="AK265" s="5">
        <v>6007</v>
      </c>
      <c r="AL265" s="5">
        <v>19931</v>
      </c>
      <c r="AM265" s="5">
        <v>7071</v>
      </c>
      <c r="AN265" s="5">
        <v>15759</v>
      </c>
      <c r="AO265" s="5">
        <v>4905</v>
      </c>
      <c r="AP265" s="5">
        <v>5145</v>
      </c>
      <c r="AQ265" s="5">
        <v>17581</v>
      </c>
      <c r="AR265" s="5">
        <v>10622</v>
      </c>
    </row>
    <row r="266" spans="1:44">
      <c r="A266" s="1" t="s">
        <v>777</v>
      </c>
      <c r="B266" s="1" t="s">
        <v>778</v>
      </c>
      <c r="C266" s="1" t="s">
        <v>779</v>
      </c>
      <c r="D266" s="1" t="str">
        <f>HYPERLINK("http://eros.fiehnlab.ucdavis.edu:8080/binbase-compound/bin/show/279691?db=rtx5","279691")</f>
        <v>279691</v>
      </c>
      <c r="E266" s="1" t="s">
        <v>780</v>
      </c>
      <c r="F266" s="1" t="s">
        <v>0</v>
      </c>
      <c r="G266" s="1" t="s">
        <v>0</v>
      </c>
      <c r="H266" s="1"/>
      <c r="I266" s="5">
        <v>5810</v>
      </c>
      <c r="J266" s="5">
        <v>4305</v>
      </c>
      <c r="K266" s="5">
        <v>9177</v>
      </c>
      <c r="L266" s="5">
        <v>9784</v>
      </c>
      <c r="M266" s="5">
        <v>4921</v>
      </c>
      <c r="N266" s="5">
        <v>5410</v>
      </c>
      <c r="O266" s="5">
        <v>6593</v>
      </c>
      <c r="P266" s="5">
        <v>6452</v>
      </c>
      <c r="Q266" s="5">
        <v>5419</v>
      </c>
      <c r="R266" s="5">
        <v>7431</v>
      </c>
      <c r="S266" s="5">
        <v>4921</v>
      </c>
      <c r="T266" s="5">
        <v>4762</v>
      </c>
      <c r="U266" s="5">
        <v>8197</v>
      </c>
      <c r="V266" s="5">
        <v>4672</v>
      </c>
      <c r="W266" s="5">
        <v>5516</v>
      </c>
      <c r="X266" s="5">
        <v>4371</v>
      </c>
      <c r="Y266" s="5">
        <v>7907</v>
      </c>
      <c r="Z266" s="5">
        <v>6331</v>
      </c>
      <c r="AA266" s="5">
        <v>11736</v>
      </c>
      <c r="AB266" s="5">
        <v>5080</v>
      </c>
      <c r="AC266" s="5">
        <v>5002</v>
      </c>
      <c r="AD266" s="5">
        <v>9790</v>
      </c>
      <c r="AE266" s="5">
        <v>5254</v>
      </c>
      <c r="AF266" s="5">
        <v>10146</v>
      </c>
      <c r="AG266" s="5">
        <v>4802</v>
      </c>
      <c r="AH266" s="5">
        <v>9490</v>
      </c>
      <c r="AI266" s="5">
        <v>5254</v>
      </c>
      <c r="AJ266" s="5">
        <v>7943</v>
      </c>
      <c r="AK266" s="5">
        <v>6259</v>
      </c>
      <c r="AL266" s="5">
        <v>4240</v>
      </c>
      <c r="AM266" s="5">
        <v>6175</v>
      </c>
      <c r="AN266" s="5">
        <v>4357</v>
      </c>
      <c r="AO266" s="5">
        <v>6885</v>
      </c>
      <c r="AP266" s="5">
        <v>9100</v>
      </c>
      <c r="AQ266" s="5">
        <v>5512</v>
      </c>
      <c r="AR266" s="5">
        <v>6088</v>
      </c>
    </row>
    <row r="267" spans="1:44">
      <c r="A267" s="1" t="s">
        <v>985</v>
      </c>
      <c r="B267" s="1" t="s">
        <v>986</v>
      </c>
      <c r="C267" s="1" t="s">
        <v>789</v>
      </c>
      <c r="D267" s="1" t="str">
        <f>HYPERLINK("http://eros.fiehnlab.ucdavis.edu:8080/binbase-compound/bin/show/227767?db=rtx5","227767")</f>
        <v>227767</v>
      </c>
      <c r="E267" s="1" t="s">
        <v>987</v>
      </c>
      <c r="F267" s="1" t="s">
        <v>0</v>
      </c>
      <c r="G267" s="1" t="s">
        <v>0</v>
      </c>
      <c r="H267" s="1"/>
      <c r="I267" s="5">
        <v>1633</v>
      </c>
      <c r="J267" s="5">
        <v>1436</v>
      </c>
      <c r="K267" s="5">
        <v>911</v>
      </c>
      <c r="L267" s="5">
        <v>656</v>
      </c>
      <c r="M267" s="5">
        <v>906</v>
      </c>
      <c r="N267" s="5">
        <v>649</v>
      </c>
      <c r="O267" s="5">
        <v>753</v>
      </c>
      <c r="P267" s="5">
        <v>747</v>
      </c>
      <c r="Q267" s="5">
        <v>950</v>
      </c>
      <c r="R267" s="5">
        <v>654</v>
      </c>
      <c r="S267" s="5">
        <v>658</v>
      </c>
      <c r="T267" s="5">
        <v>1740</v>
      </c>
      <c r="U267" s="5">
        <v>835</v>
      </c>
      <c r="V267" s="5">
        <v>1369</v>
      </c>
      <c r="W267" s="5">
        <v>1021</v>
      </c>
      <c r="X267" s="5">
        <v>652</v>
      </c>
      <c r="Y267" s="5">
        <v>485</v>
      </c>
      <c r="Z267" s="5">
        <v>1516</v>
      </c>
      <c r="AA267" s="5">
        <v>1689</v>
      </c>
      <c r="AB267" s="5">
        <v>1497</v>
      </c>
      <c r="AC267" s="5">
        <v>1221</v>
      </c>
      <c r="AD267" s="5">
        <v>1262</v>
      </c>
      <c r="AE267" s="5">
        <v>1406</v>
      </c>
      <c r="AF267" s="5">
        <v>994</v>
      </c>
      <c r="AG267" s="5">
        <v>2367</v>
      </c>
      <c r="AH267" s="5">
        <v>1934</v>
      </c>
      <c r="AI267" s="5">
        <v>1714</v>
      </c>
      <c r="AJ267" s="5">
        <v>1150</v>
      </c>
      <c r="AK267" s="5">
        <v>1448</v>
      </c>
      <c r="AL267" s="5">
        <v>1858</v>
      </c>
      <c r="AM267" s="5">
        <v>838</v>
      </c>
      <c r="AN267" s="5">
        <v>1404</v>
      </c>
      <c r="AO267" s="5">
        <v>1446</v>
      </c>
      <c r="AP267" s="5">
        <v>866</v>
      </c>
      <c r="AQ267" s="5">
        <v>985</v>
      </c>
      <c r="AR267" s="5">
        <v>661</v>
      </c>
    </row>
    <row r="268" spans="1:44">
      <c r="A268" s="1" t="s">
        <v>795</v>
      </c>
      <c r="B268" s="1" t="s">
        <v>796</v>
      </c>
      <c r="C268" s="1" t="s">
        <v>525</v>
      </c>
      <c r="D268" s="1" t="str">
        <f>HYPERLINK("http://eros.fiehnlab.ucdavis.edu:8080/binbase-compound/bin/show/271416?db=rtx5","271416")</f>
        <v>271416</v>
      </c>
      <c r="E268" s="1" t="s">
        <v>797</v>
      </c>
      <c r="F268" s="1" t="s">
        <v>0</v>
      </c>
      <c r="G268" s="1" t="s">
        <v>0</v>
      </c>
      <c r="H268" s="1"/>
      <c r="I268" s="5">
        <v>1224</v>
      </c>
      <c r="J268" s="5">
        <v>1327</v>
      </c>
      <c r="K268" s="5">
        <v>1769</v>
      </c>
      <c r="L268" s="5">
        <v>1048</v>
      </c>
      <c r="M268" s="5">
        <v>1039</v>
      </c>
      <c r="N268" s="5">
        <v>935</v>
      </c>
      <c r="O268" s="5">
        <v>705</v>
      </c>
      <c r="P268" s="5">
        <v>576</v>
      </c>
      <c r="Q268" s="5">
        <v>1397</v>
      </c>
      <c r="R268" s="5">
        <v>1395</v>
      </c>
      <c r="S268" s="5">
        <v>1249</v>
      </c>
      <c r="T268" s="5">
        <v>861</v>
      </c>
      <c r="U268" s="5">
        <v>864</v>
      </c>
      <c r="V268" s="5">
        <v>886</v>
      </c>
      <c r="W268" s="5">
        <v>695</v>
      </c>
      <c r="X268" s="5">
        <v>1163</v>
      </c>
      <c r="Y268" s="5">
        <v>1360</v>
      </c>
      <c r="Z268" s="5">
        <v>1177</v>
      </c>
      <c r="AA268" s="5">
        <v>1489</v>
      </c>
      <c r="AB268" s="5">
        <v>817</v>
      </c>
      <c r="AC268" s="5">
        <v>896</v>
      </c>
      <c r="AD268" s="5">
        <v>1049</v>
      </c>
      <c r="AE268" s="5">
        <v>1108</v>
      </c>
      <c r="AF268" s="5">
        <v>845</v>
      </c>
      <c r="AG268" s="5">
        <v>1345</v>
      </c>
      <c r="AH268" s="5">
        <v>884</v>
      </c>
      <c r="AI268" s="5">
        <v>1221</v>
      </c>
      <c r="AJ268" s="5">
        <v>1258</v>
      </c>
      <c r="AK268" s="5">
        <v>1848</v>
      </c>
      <c r="AL268" s="5">
        <v>967</v>
      </c>
      <c r="AM268" s="5">
        <v>1007</v>
      </c>
      <c r="AN268" s="5">
        <v>1241</v>
      </c>
      <c r="AO268" s="5">
        <v>981</v>
      </c>
      <c r="AP268" s="5">
        <v>993</v>
      </c>
      <c r="AQ268" s="5">
        <v>1513</v>
      </c>
      <c r="AR268" s="5">
        <v>1130</v>
      </c>
    </row>
    <row r="269" spans="1:44">
      <c r="A269" s="1" t="s">
        <v>925</v>
      </c>
      <c r="B269" s="1" t="s">
        <v>926</v>
      </c>
      <c r="C269" s="1" t="s">
        <v>927</v>
      </c>
      <c r="D269" s="1" t="str">
        <f>HYPERLINK("http://eros.fiehnlab.ucdavis.edu:8080/binbase-compound/bin/show/236709?db=rtx5","236709")</f>
        <v>236709</v>
      </c>
      <c r="E269" s="1" t="s">
        <v>928</v>
      </c>
      <c r="F269" s="1" t="s">
        <v>0</v>
      </c>
      <c r="G269" s="1" t="s">
        <v>0</v>
      </c>
      <c r="H269" s="1"/>
      <c r="I269" s="5">
        <v>337</v>
      </c>
      <c r="J269" s="5">
        <v>542</v>
      </c>
      <c r="K269" s="5">
        <v>231</v>
      </c>
      <c r="L269" s="5">
        <v>247</v>
      </c>
      <c r="M269" s="5">
        <v>165</v>
      </c>
      <c r="N269" s="5">
        <v>295</v>
      </c>
      <c r="O269" s="5">
        <v>138</v>
      </c>
      <c r="P269" s="5">
        <v>241</v>
      </c>
      <c r="Q269" s="5">
        <v>279</v>
      </c>
      <c r="R269" s="5">
        <v>651</v>
      </c>
      <c r="S269" s="5">
        <v>510</v>
      </c>
      <c r="T269" s="5">
        <v>541</v>
      </c>
      <c r="U269" s="5">
        <v>207</v>
      </c>
      <c r="V269" s="5">
        <v>173</v>
      </c>
      <c r="W269" s="5">
        <v>273</v>
      </c>
      <c r="X269" s="5">
        <v>285</v>
      </c>
      <c r="Y269" s="5">
        <v>192</v>
      </c>
      <c r="Z269" s="5">
        <v>603</v>
      </c>
      <c r="AA269" s="5">
        <v>448</v>
      </c>
      <c r="AB269" s="5">
        <v>233</v>
      </c>
      <c r="AC269" s="5">
        <v>233</v>
      </c>
      <c r="AD269" s="5">
        <v>381</v>
      </c>
      <c r="AE269" s="5">
        <v>279</v>
      </c>
      <c r="AF269" s="5">
        <v>709</v>
      </c>
      <c r="AG269" s="5">
        <v>272</v>
      </c>
      <c r="AH269" s="5">
        <v>601</v>
      </c>
      <c r="AI269" s="5">
        <v>469</v>
      </c>
      <c r="AJ269" s="5">
        <v>354</v>
      </c>
      <c r="AK269" s="5">
        <v>288</v>
      </c>
      <c r="AL269" s="5">
        <v>527</v>
      </c>
      <c r="AM269" s="5">
        <v>295</v>
      </c>
      <c r="AN269" s="5">
        <v>488</v>
      </c>
      <c r="AO269" s="5">
        <v>282</v>
      </c>
      <c r="AP269" s="5">
        <v>279</v>
      </c>
      <c r="AQ269" s="5">
        <v>626</v>
      </c>
      <c r="AR269" s="5">
        <v>348</v>
      </c>
    </row>
    <row r="270" spans="1:44">
      <c r="A270" s="1" t="s">
        <v>1066</v>
      </c>
      <c r="B270" s="1" t="s">
        <v>1067</v>
      </c>
      <c r="C270" s="1" t="s">
        <v>167</v>
      </c>
      <c r="D270" s="1" t="str">
        <f>HYPERLINK("http://eros.fiehnlab.ucdavis.edu:8080/binbase-compound/bin/show/214148?db=rtx5","214148")</f>
        <v>214148</v>
      </c>
      <c r="E270" s="1" t="s">
        <v>1068</v>
      </c>
      <c r="F270" s="1" t="s">
        <v>0</v>
      </c>
      <c r="G270" s="1" t="s">
        <v>0</v>
      </c>
      <c r="H270" s="1"/>
      <c r="I270" s="5">
        <v>14400</v>
      </c>
      <c r="J270" s="5">
        <v>18007</v>
      </c>
      <c r="K270" s="5">
        <v>2391</v>
      </c>
      <c r="L270" s="5">
        <v>1905</v>
      </c>
      <c r="M270" s="5">
        <v>10324</v>
      </c>
      <c r="N270" s="5">
        <v>7349</v>
      </c>
      <c r="O270" s="5">
        <v>4651</v>
      </c>
      <c r="P270" s="5">
        <v>1568</v>
      </c>
      <c r="Q270" s="5">
        <v>11281</v>
      </c>
      <c r="R270" s="5">
        <v>2079</v>
      </c>
      <c r="S270" s="5">
        <v>12303</v>
      </c>
      <c r="T270" s="5">
        <v>16712</v>
      </c>
      <c r="U270" s="5">
        <v>3669</v>
      </c>
      <c r="V270" s="5">
        <v>10546</v>
      </c>
      <c r="W270" s="5">
        <v>10020</v>
      </c>
      <c r="X270" s="5">
        <v>5438</v>
      </c>
      <c r="Y270" s="5">
        <v>1484</v>
      </c>
      <c r="Z270" s="5">
        <v>19775</v>
      </c>
      <c r="AA270" s="5">
        <v>7170</v>
      </c>
      <c r="AB270" s="5">
        <v>3466</v>
      </c>
      <c r="AC270" s="5">
        <v>777</v>
      </c>
      <c r="AD270" s="5">
        <v>344</v>
      </c>
      <c r="AE270" s="5">
        <v>11622</v>
      </c>
      <c r="AF270" s="5">
        <v>1675</v>
      </c>
      <c r="AG270" s="5">
        <v>4069</v>
      </c>
      <c r="AH270" s="5">
        <v>1711</v>
      </c>
      <c r="AI270" s="5">
        <v>12747</v>
      </c>
      <c r="AJ270" s="5">
        <v>2372</v>
      </c>
      <c r="AK270" s="5">
        <v>1763</v>
      </c>
      <c r="AL270" s="5">
        <v>18417</v>
      </c>
      <c r="AM270" s="5">
        <v>2959</v>
      </c>
      <c r="AN270" s="5">
        <v>24523</v>
      </c>
      <c r="AO270" s="5">
        <v>1012</v>
      </c>
      <c r="AP270" s="5">
        <v>2657</v>
      </c>
      <c r="AQ270" s="5">
        <v>19874</v>
      </c>
      <c r="AR270" s="5">
        <v>6674</v>
      </c>
    </row>
    <row r="271" spans="1:44">
      <c r="A271" s="1" t="s">
        <v>1108</v>
      </c>
      <c r="B271" s="1" t="s">
        <v>1109</v>
      </c>
      <c r="C271" s="1" t="s">
        <v>405</v>
      </c>
      <c r="D271" s="1" t="str">
        <f>HYPERLINK("http://eros.fiehnlab.ucdavis.edu:8080/binbase-compound/bin/show/204344?db=rtx5","204344")</f>
        <v>204344</v>
      </c>
      <c r="E271" s="1" t="s">
        <v>1110</v>
      </c>
      <c r="F271" s="1" t="s">
        <v>0</v>
      </c>
      <c r="G271" s="1" t="s">
        <v>0</v>
      </c>
      <c r="H271" s="1"/>
      <c r="I271" s="5">
        <v>122078</v>
      </c>
      <c r="J271" s="5">
        <v>157651</v>
      </c>
      <c r="K271" s="5">
        <v>155626</v>
      </c>
      <c r="L271" s="5">
        <v>169948</v>
      </c>
      <c r="M271" s="5">
        <v>139424</v>
      </c>
      <c r="N271" s="5">
        <v>188344</v>
      </c>
      <c r="O271" s="5">
        <v>163423</v>
      </c>
      <c r="P271" s="5">
        <v>130678</v>
      </c>
      <c r="Q271" s="5">
        <v>167240</v>
      </c>
      <c r="R271" s="5">
        <v>116866</v>
      </c>
      <c r="S271" s="5">
        <v>141625</v>
      </c>
      <c r="T271" s="5">
        <v>139102</v>
      </c>
      <c r="U271" s="5">
        <v>152808</v>
      </c>
      <c r="V271" s="5">
        <v>121373</v>
      </c>
      <c r="W271" s="5">
        <v>128740</v>
      </c>
      <c r="X271" s="5">
        <v>176311</v>
      </c>
      <c r="Y271" s="5">
        <v>155779</v>
      </c>
      <c r="Z271" s="5">
        <v>143490</v>
      </c>
      <c r="AA271" s="5">
        <v>201962</v>
      </c>
      <c r="AB271" s="5">
        <v>141337</v>
      </c>
      <c r="AC271" s="5">
        <v>166670</v>
      </c>
      <c r="AD271" s="5">
        <v>125648</v>
      </c>
      <c r="AE271" s="5">
        <v>183680</v>
      </c>
      <c r="AF271" s="5">
        <v>128482</v>
      </c>
      <c r="AG271" s="5">
        <v>144412</v>
      </c>
      <c r="AH271" s="5">
        <v>144816</v>
      </c>
      <c r="AI271" s="5">
        <v>154701</v>
      </c>
      <c r="AJ271" s="5">
        <v>100985</v>
      </c>
      <c r="AK271" s="5">
        <v>134941</v>
      </c>
      <c r="AL271" s="5">
        <v>156098</v>
      </c>
      <c r="AM271" s="5">
        <v>115323</v>
      </c>
      <c r="AN271" s="5">
        <v>150615</v>
      </c>
      <c r="AO271" s="5">
        <v>151041</v>
      </c>
      <c r="AP271" s="5">
        <v>126635</v>
      </c>
      <c r="AQ271" s="5">
        <v>180415</v>
      </c>
      <c r="AR271" s="5">
        <v>151670</v>
      </c>
    </row>
    <row r="272" spans="1:44">
      <c r="A272" s="1" t="s">
        <v>644</v>
      </c>
      <c r="B272" s="1" t="s">
        <v>645</v>
      </c>
      <c r="C272" s="1" t="s">
        <v>646</v>
      </c>
      <c r="D272" s="1" t="str">
        <f>HYPERLINK("http://eros.fiehnlab.ucdavis.edu:8080/binbase-compound/bin/show/367932?db=rtx5","367932")</f>
        <v>367932</v>
      </c>
      <c r="E272" s="1" t="s">
        <v>647</v>
      </c>
      <c r="F272" s="1" t="s">
        <v>0</v>
      </c>
      <c r="G272" s="1" t="s">
        <v>0</v>
      </c>
      <c r="H272" s="1"/>
      <c r="I272" s="5">
        <v>13157</v>
      </c>
      <c r="J272" s="5">
        <v>13713</v>
      </c>
      <c r="K272" s="5">
        <v>13760</v>
      </c>
      <c r="L272" s="5">
        <v>14209</v>
      </c>
      <c r="M272" s="5">
        <v>13347</v>
      </c>
      <c r="N272" s="5">
        <v>14215</v>
      </c>
      <c r="O272" s="5">
        <v>12844</v>
      </c>
      <c r="P272" s="5">
        <v>13608</v>
      </c>
      <c r="Q272" s="5">
        <v>13256</v>
      </c>
      <c r="R272" s="5">
        <v>12698</v>
      </c>
      <c r="S272" s="5">
        <v>15491</v>
      </c>
      <c r="T272" s="5">
        <v>12933</v>
      </c>
      <c r="U272" s="5">
        <v>13151</v>
      </c>
      <c r="V272" s="5">
        <v>13309</v>
      </c>
      <c r="W272" s="5">
        <v>11895</v>
      </c>
      <c r="X272" s="5">
        <v>13528</v>
      </c>
      <c r="Y272" s="5">
        <v>14070</v>
      </c>
      <c r="Z272" s="5">
        <v>14712</v>
      </c>
      <c r="AA272" s="5">
        <v>13722</v>
      </c>
      <c r="AB272" s="5">
        <v>13196</v>
      </c>
      <c r="AC272" s="5">
        <v>12532</v>
      </c>
      <c r="AD272" s="5">
        <v>11313</v>
      </c>
      <c r="AE272" s="5">
        <v>13852</v>
      </c>
      <c r="AF272" s="5">
        <v>11004</v>
      </c>
      <c r="AG272" s="5">
        <v>13377</v>
      </c>
      <c r="AH272" s="5">
        <v>13347</v>
      </c>
      <c r="AI272" s="5">
        <v>15665</v>
      </c>
      <c r="AJ272" s="5">
        <v>12379</v>
      </c>
      <c r="AK272" s="5">
        <v>13374</v>
      </c>
      <c r="AL272" s="5">
        <v>14418</v>
      </c>
      <c r="AM272" s="5">
        <v>11841</v>
      </c>
      <c r="AN272" s="5">
        <v>13337</v>
      </c>
      <c r="AO272" s="5">
        <v>13584</v>
      </c>
      <c r="AP272" s="5">
        <v>11546</v>
      </c>
      <c r="AQ272" s="5">
        <v>15021</v>
      </c>
      <c r="AR272" s="5">
        <v>13594</v>
      </c>
    </row>
    <row r="273" spans="1:44">
      <c r="A273" s="1" t="s">
        <v>735</v>
      </c>
      <c r="B273" s="1" t="s">
        <v>736</v>
      </c>
      <c r="C273" s="1" t="s">
        <v>525</v>
      </c>
      <c r="D273" s="1" t="str">
        <f>HYPERLINK("http://eros.fiehnlab.ucdavis.edu:8080/binbase-compound/bin/show/301399?db=rtx5","301399")</f>
        <v>301399</v>
      </c>
      <c r="E273" s="1" t="s">
        <v>737</v>
      </c>
      <c r="F273" s="1" t="s">
        <v>0</v>
      </c>
      <c r="G273" s="1" t="s">
        <v>0</v>
      </c>
      <c r="H273" s="1"/>
      <c r="I273" s="5">
        <v>255</v>
      </c>
      <c r="J273" s="5">
        <v>322</v>
      </c>
      <c r="K273" s="5">
        <v>512</v>
      </c>
      <c r="L273" s="5">
        <v>469</v>
      </c>
      <c r="M273" s="5">
        <v>331</v>
      </c>
      <c r="N273" s="5">
        <v>238</v>
      </c>
      <c r="O273" s="5">
        <v>192</v>
      </c>
      <c r="P273" s="5">
        <v>469</v>
      </c>
      <c r="Q273" s="5">
        <v>431</v>
      </c>
      <c r="R273" s="5">
        <v>298</v>
      </c>
      <c r="S273" s="5">
        <v>339</v>
      </c>
      <c r="T273" s="5">
        <v>275</v>
      </c>
      <c r="U273" s="5">
        <v>488</v>
      </c>
      <c r="V273" s="5">
        <v>263</v>
      </c>
      <c r="W273" s="5">
        <v>295</v>
      </c>
      <c r="X273" s="5">
        <v>348</v>
      </c>
      <c r="Y273" s="5">
        <v>497</v>
      </c>
      <c r="Z273" s="5">
        <v>359</v>
      </c>
      <c r="AA273" s="5">
        <v>339</v>
      </c>
      <c r="AB273" s="5">
        <v>362</v>
      </c>
      <c r="AC273" s="5">
        <v>370</v>
      </c>
      <c r="AD273" s="5">
        <v>311</v>
      </c>
      <c r="AE273" s="5">
        <v>376</v>
      </c>
      <c r="AF273" s="5">
        <v>363</v>
      </c>
      <c r="AG273" s="5">
        <v>302</v>
      </c>
      <c r="AH273" s="5">
        <v>391</v>
      </c>
      <c r="AI273" s="5">
        <v>294</v>
      </c>
      <c r="AJ273" s="5">
        <v>313</v>
      </c>
      <c r="AK273" s="5">
        <v>380</v>
      </c>
      <c r="AL273" s="5">
        <v>303</v>
      </c>
      <c r="AM273" s="5">
        <v>279</v>
      </c>
      <c r="AN273" s="5">
        <v>227</v>
      </c>
      <c r="AO273" s="5">
        <v>488</v>
      </c>
      <c r="AP273" s="5">
        <v>236</v>
      </c>
      <c r="AQ273" s="5">
        <v>229</v>
      </c>
      <c r="AR273" s="5">
        <v>302</v>
      </c>
    </row>
    <row r="274" spans="1:44">
      <c r="A274" s="1" t="s">
        <v>705</v>
      </c>
      <c r="B274" s="1" t="s">
        <v>706</v>
      </c>
      <c r="C274" s="1" t="s">
        <v>433</v>
      </c>
      <c r="D274" s="1" t="str">
        <f>HYPERLINK("http://eros.fiehnlab.ucdavis.edu:8080/binbase-compound/bin/show/319168?db=rtx5","319168")</f>
        <v>319168</v>
      </c>
      <c r="E274" s="1" t="s">
        <v>707</v>
      </c>
      <c r="F274" s="1" t="s">
        <v>0</v>
      </c>
      <c r="G274" s="1" t="s">
        <v>0</v>
      </c>
      <c r="H274" s="1"/>
      <c r="I274" s="5">
        <v>6528</v>
      </c>
      <c r="J274" s="5">
        <v>1467</v>
      </c>
      <c r="K274" s="5">
        <v>6571</v>
      </c>
      <c r="L274" s="5">
        <v>3115</v>
      </c>
      <c r="M274" s="5">
        <v>7792</v>
      </c>
      <c r="N274" s="5">
        <v>4365</v>
      </c>
      <c r="O274" s="5">
        <v>4835</v>
      </c>
      <c r="P274" s="5">
        <v>3996</v>
      </c>
      <c r="Q274" s="5">
        <v>2180</v>
      </c>
      <c r="R274" s="5">
        <v>4880</v>
      </c>
      <c r="S274" s="5">
        <v>1675</v>
      </c>
      <c r="T274" s="5">
        <v>6290</v>
      </c>
      <c r="U274" s="5">
        <v>5074</v>
      </c>
      <c r="V274" s="5">
        <v>5262</v>
      </c>
      <c r="W274" s="5">
        <v>6759</v>
      </c>
      <c r="X274" s="5">
        <v>4942</v>
      </c>
      <c r="Y274" s="5">
        <v>4770</v>
      </c>
      <c r="Z274" s="5">
        <v>8633</v>
      </c>
      <c r="AA274" s="5">
        <v>7175</v>
      </c>
      <c r="AB274" s="5">
        <v>5206</v>
      </c>
      <c r="AC274" s="5">
        <v>4522</v>
      </c>
      <c r="AD274" s="5">
        <v>6180</v>
      </c>
      <c r="AE274" s="5">
        <v>4453</v>
      </c>
      <c r="AF274" s="5">
        <v>6327</v>
      </c>
      <c r="AG274" s="5">
        <v>5717</v>
      </c>
      <c r="AH274" s="5">
        <v>4445</v>
      </c>
      <c r="AI274" s="5">
        <v>3780</v>
      </c>
      <c r="AJ274" s="5">
        <v>7757</v>
      </c>
      <c r="AK274" s="5">
        <v>3238</v>
      </c>
      <c r="AL274" s="5">
        <v>5460</v>
      </c>
      <c r="AM274" s="5">
        <v>3948</v>
      </c>
      <c r="AN274" s="5">
        <v>1859</v>
      </c>
      <c r="AO274" s="5">
        <v>4287</v>
      </c>
      <c r="AP274" s="5">
        <v>5030</v>
      </c>
      <c r="AQ274" s="5">
        <v>5551</v>
      </c>
      <c r="AR274" s="5">
        <v>4384</v>
      </c>
    </row>
    <row r="275" spans="1:44">
      <c r="A275" s="1" t="s">
        <v>831</v>
      </c>
      <c r="B275" s="1" t="s">
        <v>832</v>
      </c>
      <c r="C275" s="1" t="s">
        <v>625</v>
      </c>
      <c r="D275" s="1" t="str">
        <f>HYPERLINK("http://eros.fiehnlab.ucdavis.edu:8080/binbase-compound/bin/show/268306?db=rtx5","268306")</f>
        <v>268306</v>
      </c>
      <c r="E275" s="1" t="s">
        <v>833</v>
      </c>
      <c r="F275" s="1" t="s">
        <v>0</v>
      </c>
      <c r="G275" s="1" t="s">
        <v>0</v>
      </c>
      <c r="H275" s="1"/>
      <c r="I275" s="5">
        <v>258</v>
      </c>
      <c r="J275" s="5">
        <v>386</v>
      </c>
      <c r="K275" s="5">
        <v>304</v>
      </c>
      <c r="L275" s="5">
        <v>487</v>
      </c>
      <c r="M275" s="5">
        <v>401</v>
      </c>
      <c r="N275" s="5">
        <v>362</v>
      </c>
      <c r="O275" s="5">
        <v>335</v>
      </c>
      <c r="P275" s="5">
        <v>228</v>
      </c>
      <c r="Q275" s="5">
        <v>667</v>
      </c>
      <c r="R275" s="5">
        <v>273</v>
      </c>
      <c r="S275" s="5">
        <v>292</v>
      </c>
      <c r="T275" s="5">
        <v>233</v>
      </c>
      <c r="U275" s="5">
        <v>199</v>
      </c>
      <c r="V275" s="5">
        <v>308</v>
      </c>
      <c r="W275" s="5">
        <v>270</v>
      </c>
      <c r="X275" s="5">
        <v>296</v>
      </c>
      <c r="Y275" s="5">
        <v>308</v>
      </c>
      <c r="Z275" s="5">
        <v>250</v>
      </c>
      <c r="AA275" s="5">
        <v>236</v>
      </c>
      <c r="AB275" s="5">
        <v>324</v>
      </c>
      <c r="AC275" s="5">
        <v>317</v>
      </c>
      <c r="AD275" s="5">
        <v>409</v>
      </c>
      <c r="AE275" s="5">
        <v>277</v>
      </c>
      <c r="AF275" s="5">
        <v>259</v>
      </c>
      <c r="AG275" s="5">
        <v>219</v>
      </c>
      <c r="AH275" s="5">
        <v>395</v>
      </c>
      <c r="AI275" s="5">
        <v>266</v>
      </c>
      <c r="AJ275" s="5">
        <v>306</v>
      </c>
      <c r="AK275" s="5">
        <v>192</v>
      </c>
      <c r="AL275" s="5">
        <v>344</v>
      </c>
      <c r="AM275" s="5">
        <v>275</v>
      </c>
      <c r="AN275" s="5">
        <v>243</v>
      </c>
      <c r="AO275" s="5">
        <v>239</v>
      </c>
      <c r="AP275" s="5">
        <v>353</v>
      </c>
      <c r="AQ275" s="5">
        <v>294</v>
      </c>
      <c r="AR275" s="5">
        <v>421</v>
      </c>
    </row>
    <row r="276" spans="1:44">
      <c r="A276" s="1" t="s">
        <v>1083</v>
      </c>
      <c r="B276" s="1" t="s">
        <v>1084</v>
      </c>
      <c r="C276" s="1" t="s">
        <v>283</v>
      </c>
      <c r="D276" s="1" t="str">
        <f>HYPERLINK("http://eros.fiehnlab.ucdavis.edu:8080/binbase-compound/bin/show/212251?db=rtx5","212251")</f>
        <v>212251</v>
      </c>
      <c r="E276" s="1" t="s">
        <v>1085</v>
      </c>
      <c r="F276" s="1" t="s">
        <v>0</v>
      </c>
      <c r="G276" s="1" t="s">
        <v>0</v>
      </c>
      <c r="H276" s="1"/>
      <c r="I276" s="5">
        <v>801</v>
      </c>
      <c r="J276" s="5">
        <v>661</v>
      </c>
      <c r="K276" s="5">
        <v>315</v>
      </c>
      <c r="L276" s="5">
        <v>386</v>
      </c>
      <c r="M276" s="5">
        <v>556</v>
      </c>
      <c r="N276" s="5">
        <v>708</v>
      </c>
      <c r="O276" s="5">
        <v>468</v>
      </c>
      <c r="P276" s="5">
        <v>423</v>
      </c>
      <c r="Q276" s="5">
        <v>775</v>
      </c>
      <c r="R276" s="5">
        <v>471</v>
      </c>
      <c r="S276" s="5">
        <v>858</v>
      </c>
      <c r="T276" s="5">
        <v>1321</v>
      </c>
      <c r="U276" s="5">
        <v>326</v>
      </c>
      <c r="V276" s="5">
        <v>430</v>
      </c>
      <c r="W276" s="5">
        <v>899</v>
      </c>
      <c r="X276" s="5">
        <v>593</v>
      </c>
      <c r="Y276" s="5">
        <v>338</v>
      </c>
      <c r="Z276" s="5">
        <v>1311</v>
      </c>
      <c r="AA276" s="5">
        <v>190</v>
      </c>
      <c r="AB276" s="5">
        <v>665</v>
      </c>
      <c r="AC276" s="5">
        <v>989</v>
      </c>
      <c r="AD276" s="5">
        <v>1508</v>
      </c>
      <c r="AE276" s="5">
        <v>1557</v>
      </c>
      <c r="AF276" s="5">
        <v>1167</v>
      </c>
      <c r="AG276" s="5">
        <v>924</v>
      </c>
      <c r="AH276" s="5">
        <v>895</v>
      </c>
      <c r="AI276" s="5">
        <v>727</v>
      </c>
      <c r="AJ276" s="5">
        <v>807</v>
      </c>
      <c r="AK276" s="5">
        <v>989</v>
      </c>
      <c r="AL276" s="5">
        <v>1030</v>
      </c>
      <c r="AM276" s="5">
        <v>840</v>
      </c>
      <c r="AN276" s="5">
        <v>909</v>
      </c>
      <c r="AO276" s="5">
        <v>600</v>
      </c>
      <c r="AP276" s="5">
        <v>883</v>
      </c>
      <c r="AQ276" s="5">
        <v>1565</v>
      </c>
      <c r="AR276" s="5">
        <v>674</v>
      </c>
    </row>
    <row r="277" spans="1:44">
      <c r="A277" s="1" t="s">
        <v>620</v>
      </c>
      <c r="B277" s="1" t="s">
        <v>621</v>
      </c>
      <c r="C277" s="1" t="s">
        <v>622</v>
      </c>
      <c r="D277" s="1" t="str">
        <f>HYPERLINK("http://eros.fiehnlab.ucdavis.edu:8080/binbase-compound/bin/show/388098?db=rtx5","388098")</f>
        <v>388098</v>
      </c>
      <c r="E277" s="1" t="s">
        <v>623</v>
      </c>
      <c r="F277" s="1" t="s">
        <v>0</v>
      </c>
      <c r="G277" s="1" t="s">
        <v>0</v>
      </c>
      <c r="H277" s="1"/>
      <c r="I277" s="5">
        <v>4105</v>
      </c>
      <c r="J277" s="5">
        <v>4625</v>
      </c>
      <c r="K277" s="5">
        <v>4208</v>
      </c>
      <c r="L277" s="5">
        <v>4345</v>
      </c>
      <c r="M277" s="5">
        <v>4218</v>
      </c>
      <c r="N277" s="5">
        <v>3024</v>
      </c>
      <c r="O277" s="5">
        <v>2774</v>
      </c>
      <c r="P277" s="5">
        <v>4025</v>
      </c>
      <c r="Q277" s="5">
        <v>4417</v>
      </c>
      <c r="R277" s="5">
        <v>3958</v>
      </c>
      <c r="S277" s="5">
        <v>4918</v>
      </c>
      <c r="T277" s="5">
        <v>3969</v>
      </c>
      <c r="U277" s="5">
        <v>4155</v>
      </c>
      <c r="V277" s="5">
        <v>4424</v>
      </c>
      <c r="W277" s="5">
        <v>3914</v>
      </c>
      <c r="X277" s="5">
        <v>2877</v>
      </c>
      <c r="Y277" s="5">
        <v>4513</v>
      </c>
      <c r="Z277" s="5">
        <v>4106</v>
      </c>
      <c r="AA277" s="5">
        <v>4677</v>
      </c>
      <c r="AB277" s="5">
        <v>3905</v>
      </c>
      <c r="AC277" s="5">
        <v>2582</v>
      </c>
      <c r="AD277" s="5">
        <v>3426</v>
      </c>
      <c r="AE277" s="5">
        <v>2980</v>
      </c>
      <c r="AF277" s="5">
        <v>3647</v>
      </c>
      <c r="AG277" s="5">
        <v>4224</v>
      </c>
      <c r="AH277" s="5">
        <v>4196</v>
      </c>
      <c r="AI277" s="5">
        <v>5149</v>
      </c>
      <c r="AJ277" s="5">
        <v>3662</v>
      </c>
      <c r="AK277" s="5">
        <v>3909</v>
      </c>
      <c r="AL277" s="5">
        <v>3246</v>
      </c>
      <c r="AM277" s="5">
        <v>3438</v>
      </c>
      <c r="AN277" s="5">
        <v>4312</v>
      </c>
      <c r="AO277" s="5">
        <v>4638</v>
      </c>
      <c r="AP277" s="5">
        <v>3706</v>
      </c>
      <c r="AQ277" s="5">
        <v>5151</v>
      </c>
      <c r="AR277" s="5">
        <v>2961</v>
      </c>
    </row>
    <row r="278" spans="1:44">
      <c r="A278" s="1" t="s">
        <v>559</v>
      </c>
      <c r="B278" s="1" t="s">
        <v>560</v>
      </c>
      <c r="C278" s="1" t="s">
        <v>561</v>
      </c>
      <c r="D278" s="1" t="str">
        <f>HYPERLINK("http://eros.fiehnlab.ucdavis.edu:8080/binbase-compound/bin/show/409031?db=rtx5","409031")</f>
        <v>409031</v>
      </c>
      <c r="E278" s="1" t="s">
        <v>562</v>
      </c>
      <c r="F278" s="1" t="s">
        <v>0</v>
      </c>
      <c r="G278" s="1" t="s">
        <v>0</v>
      </c>
      <c r="H278" s="1"/>
      <c r="I278" s="5">
        <v>7108</v>
      </c>
      <c r="J278" s="5">
        <v>7398</v>
      </c>
      <c r="K278" s="5">
        <v>7221</v>
      </c>
      <c r="L278" s="5">
        <v>6928</v>
      </c>
      <c r="M278" s="5">
        <v>7245</v>
      </c>
      <c r="N278" s="5">
        <v>7276</v>
      </c>
      <c r="O278" s="5">
        <v>6801</v>
      </c>
      <c r="P278" s="5">
        <v>6221</v>
      </c>
      <c r="Q278" s="5">
        <v>6269</v>
      </c>
      <c r="R278" s="5">
        <v>6016</v>
      </c>
      <c r="S278" s="5">
        <v>7826</v>
      </c>
      <c r="T278" s="5">
        <v>7007</v>
      </c>
      <c r="U278" s="5">
        <v>6915</v>
      </c>
      <c r="V278" s="5">
        <v>7147</v>
      </c>
      <c r="W278" s="5">
        <v>6022</v>
      </c>
      <c r="X278" s="5">
        <v>6702</v>
      </c>
      <c r="Y278" s="5">
        <v>7483</v>
      </c>
      <c r="Z278" s="5">
        <v>7861</v>
      </c>
      <c r="AA278" s="5">
        <v>7199</v>
      </c>
      <c r="AB278" s="5">
        <v>7019</v>
      </c>
      <c r="AC278" s="5">
        <v>6191</v>
      </c>
      <c r="AD278" s="5">
        <v>5963</v>
      </c>
      <c r="AE278" s="5">
        <v>7015</v>
      </c>
      <c r="AF278" s="5">
        <v>5829</v>
      </c>
      <c r="AG278" s="5">
        <v>6801</v>
      </c>
      <c r="AH278" s="5">
        <v>7162</v>
      </c>
      <c r="AI278" s="5">
        <v>7758</v>
      </c>
      <c r="AJ278" s="5">
        <v>6269</v>
      </c>
      <c r="AK278" s="5">
        <v>6929</v>
      </c>
      <c r="AL278" s="5">
        <v>7181</v>
      </c>
      <c r="AM278" s="5">
        <v>5628</v>
      </c>
      <c r="AN278" s="5">
        <v>7339</v>
      </c>
      <c r="AO278" s="5">
        <v>6959</v>
      </c>
      <c r="AP278" s="5">
        <v>6009</v>
      </c>
      <c r="AQ278" s="5">
        <v>7819</v>
      </c>
      <c r="AR278" s="5">
        <v>6813</v>
      </c>
    </row>
    <row r="279" spans="1:44">
      <c r="A279" s="1" t="s">
        <v>636</v>
      </c>
      <c r="B279" s="1" t="s">
        <v>637</v>
      </c>
      <c r="C279" s="1" t="s">
        <v>363</v>
      </c>
      <c r="D279" s="1" t="str">
        <f>HYPERLINK("http://eros.fiehnlab.ucdavis.edu:8080/binbase-compound/bin/show/369728?db=rtx5","369728")</f>
        <v>369728</v>
      </c>
      <c r="E279" s="1" t="s">
        <v>638</v>
      </c>
      <c r="F279" s="1" t="s">
        <v>0</v>
      </c>
      <c r="G279" s="1" t="s">
        <v>0</v>
      </c>
      <c r="H279" s="1"/>
      <c r="I279" s="5">
        <v>3610</v>
      </c>
      <c r="J279" s="5">
        <v>3439</v>
      </c>
      <c r="K279" s="5">
        <v>3308</v>
      </c>
      <c r="L279" s="5">
        <v>3108</v>
      </c>
      <c r="M279" s="5">
        <v>2325</v>
      </c>
      <c r="N279" s="5">
        <v>3071</v>
      </c>
      <c r="O279" s="5">
        <v>1714</v>
      </c>
      <c r="P279" s="5">
        <v>2356</v>
      </c>
      <c r="Q279" s="5">
        <v>2667</v>
      </c>
      <c r="R279" s="5">
        <v>2758</v>
      </c>
      <c r="S279" s="5">
        <v>2881</v>
      </c>
      <c r="T279" s="5">
        <v>5088</v>
      </c>
      <c r="U279" s="5">
        <v>1392</v>
      </c>
      <c r="V279" s="5">
        <v>1816</v>
      </c>
      <c r="W279" s="5">
        <v>2078</v>
      </c>
      <c r="X279" s="5">
        <v>1900</v>
      </c>
      <c r="Y279" s="5">
        <v>1099</v>
      </c>
      <c r="Z279" s="5">
        <v>3947</v>
      </c>
      <c r="AA279" s="5">
        <v>1891</v>
      </c>
      <c r="AB279" s="5">
        <v>2726</v>
      </c>
      <c r="AC279" s="5">
        <v>2522</v>
      </c>
      <c r="AD279" s="5">
        <v>2991</v>
      </c>
      <c r="AE279" s="5">
        <v>4404</v>
      </c>
      <c r="AF279" s="5">
        <v>4248</v>
      </c>
      <c r="AG279" s="5">
        <v>3664</v>
      </c>
      <c r="AH279" s="5">
        <v>4310</v>
      </c>
      <c r="AI279" s="5">
        <v>2944</v>
      </c>
      <c r="AJ279" s="5">
        <v>3382</v>
      </c>
      <c r="AK279" s="5">
        <v>3198</v>
      </c>
      <c r="AL279" s="5">
        <v>4278</v>
      </c>
      <c r="AM279" s="5">
        <v>1762</v>
      </c>
      <c r="AN279" s="5">
        <v>3356</v>
      </c>
      <c r="AO279" s="5">
        <v>2548</v>
      </c>
      <c r="AP279" s="5">
        <v>2146</v>
      </c>
      <c r="AQ279" s="5">
        <v>3062</v>
      </c>
      <c r="AR279" s="5">
        <v>2340</v>
      </c>
    </row>
    <row r="280" spans="1:44">
      <c r="A280" s="1" t="s">
        <v>895</v>
      </c>
      <c r="B280" s="1" t="s">
        <v>896</v>
      </c>
      <c r="C280" s="1" t="s">
        <v>117</v>
      </c>
      <c r="D280" s="1" t="str">
        <f>HYPERLINK("http://eros.fiehnlab.ucdavis.edu:8080/binbase-compound/bin/show/238437?db=rtx5","238437")</f>
        <v>238437</v>
      </c>
      <c r="E280" s="1" t="s">
        <v>897</v>
      </c>
      <c r="F280" s="1" t="s">
        <v>0</v>
      </c>
      <c r="G280" s="1" t="s">
        <v>0</v>
      </c>
      <c r="H280" s="1"/>
      <c r="I280" s="5">
        <v>1114</v>
      </c>
      <c r="J280" s="5">
        <v>5768</v>
      </c>
      <c r="K280" s="5">
        <v>496</v>
      </c>
      <c r="L280" s="5">
        <v>1714</v>
      </c>
      <c r="M280" s="5">
        <v>1044</v>
      </c>
      <c r="N280" s="5">
        <v>1751</v>
      </c>
      <c r="O280" s="5">
        <v>980</v>
      </c>
      <c r="P280" s="5">
        <v>651</v>
      </c>
      <c r="Q280" s="5">
        <v>1378</v>
      </c>
      <c r="R280" s="5">
        <v>619</v>
      </c>
      <c r="S280" s="5">
        <v>1562</v>
      </c>
      <c r="T280" s="5">
        <v>4146</v>
      </c>
      <c r="U280" s="5">
        <v>351</v>
      </c>
      <c r="V280" s="5">
        <v>933</v>
      </c>
      <c r="W280" s="5">
        <v>1120</v>
      </c>
      <c r="X280" s="5">
        <v>1275</v>
      </c>
      <c r="Y280" s="5">
        <v>519</v>
      </c>
      <c r="Z280" s="5">
        <v>3413</v>
      </c>
      <c r="AA280" s="5">
        <v>774</v>
      </c>
      <c r="AB280" s="5">
        <v>709</v>
      </c>
      <c r="AC280" s="5">
        <v>668</v>
      </c>
      <c r="AD280" s="5">
        <v>1336</v>
      </c>
      <c r="AE280" s="5">
        <v>1236</v>
      </c>
      <c r="AF280" s="5">
        <v>678</v>
      </c>
      <c r="AG280" s="5">
        <v>649</v>
      </c>
      <c r="AH280" s="5">
        <v>381</v>
      </c>
      <c r="AI280" s="5">
        <v>1823</v>
      </c>
      <c r="AJ280" s="5">
        <v>1069</v>
      </c>
      <c r="AK280" s="5">
        <v>723</v>
      </c>
      <c r="AL280" s="5">
        <v>2635</v>
      </c>
      <c r="AM280" s="5">
        <v>754</v>
      </c>
      <c r="AN280" s="5">
        <v>2211</v>
      </c>
      <c r="AO280" s="5">
        <v>352</v>
      </c>
      <c r="AP280" s="5">
        <v>1143</v>
      </c>
      <c r="AQ280" s="5">
        <v>3808</v>
      </c>
      <c r="AR280" s="5">
        <v>1221</v>
      </c>
    </row>
    <row r="281" spans="1:44">
      <c r="A281" s="1" t="s">
        <v>586</v>
      </c>
      <c r="B281" s="1" t="s">
        <v>587</v>
      </c>
      <c r="C281" s="1" t="s">
        <v>203</v>
      </c>
      <c r="D281" s="1" t="str">
        <f>HYPERLINK("http://eros.fiehnlab.ucdavis.edu:8080/binbase-compound/bin/show/408762?db=rtx5","408762")</f>
        <v>408762</v>
      </c>
      <c r="E281" s="1" t="s">
        <v>588</v>
      </c>
      <c r="F281" s="1" t="s">
        <v>0</v>
      </c>
      <c r="G281" s="1" t="s">
        <v>0</v>
      </c>
      <c r="H281" s="1"/>
      <c r="I281" s="5">
        <v>60498</v>
      </c>
      <c r="J281" s="5">
        <v>38799</v>
      </c>
      <c r="K281" s="5">
        <v>88894</v>
      </c>
      <c r="L281" s="5">
        <v>123746</v>
      </c>
      <c r="M281" s="5">
        <v>48674</v>
      </c>
      <c r="N281" s="5">
        <v>31271</v>
      </c>
      <c r="O281" s="5">
        <v>45847</v>
      </c>
      <c r="P281" s="5">
        <v>114759</v>
      </c>
      <c r="Q281" s="5">
        <v>58373</v>
      </c>
      <c r="R281" s="5">
        <v>68764</v>
      </c>
      <c r="S281" s="5">
        <v>72361</v>
      </c>
      <c r="T281" s="5">
        <v>75365</v>
      </c>
      <c r="U281" s="5">
        <v>75547</v>
      </c>
      <c r="V281" s="5">
        <v>52560</v>
      </c>
      <c r="W281" s="5">
        <v>47007</v>
      </c>
      <c r="X281" s="5">
        <v>76665</v>
      </c>
      <c r="Y281" s="5">
        <v>73104</v>
      </c>
      <c r="Z281" s="5">
        <v>63879</v>
      </c>
      <c r="AA281" s="5">
        <v>30972</v>
      </c>
      <c r="AB281" s="5">
        <v>76431</v>
      </c>
      <c r="AC281" s="5">
        <v>89154</v>
      </c>
      <c r="AD281" s="5">
        <v>96790</v>
      </c>
      <c r="AE281" s="5">
        <v>132006</v>
      </c>
      <c r="AF281" s="5">
        <v>106484</v>
      </c>
      <c r="AG281" s="5">
        <v>84292</v>
      </c>
      <c r="AH281" s="5">
        <v>119648</v>
      </c>
      <c r="AI281" s="5">
        <v>48582</v>
      </c>
      <c r="AJ281" s="5">
        <v>80361</v>
      </c>
      <c r="AK281" s="5">
        <v>77568</v>
      </c>
      <c r="AL281" s="5">
        <v>70197</v>
      </c>
      <c r="AM281" s="5">
        <v>67534</v>
      </c>
      <c r="AN281" s="5">
        <v>50724</v>
      </c>
      <c r="AO281" s="5">
        <v>88347</v>
      </c>
      <c r="AP281" s="5">
        <v>67331</v>
      </c>
      <c r="AQ281" s="5">
        <v>53355</v>
      </c>
      <c r="AR281" s="5">
        <v>55370</v>
      </c>
    </row>
    <row r="282" spans="1:44">
      <c r="A282" s="1" t="s">
        <v>1120</v>
      </c>
      <c r="B282" s="1" t="s">
        <v>1121</v>
      </c>
      <c r="C282" s="1" t="s">
        <v>1122</v>
      </c>
      <c r="D282" s="1" t="str">
        <f>HYPERLINK("http://eros.fiehnlab.ucdavis.edu:8080/binbase-compound/bin/show/201887?db=rtx5","201887")</f>
        <v>201887</v>
      </c>
      <c r="E282" s="1" t="s">
        <v>1123</v>
      </c>
      <c r="F282" s="1" t="s">
        <v>0</v>
      </c>
      <c r="G282" s="1" t="s">
        <v>0</v>
      </c>
      <c r="H282" s="1"/>
      <c r="I282" s="5">
        <v>299</v>
      </c>
      <c r="J282" s="5">
        <v>349</v>
      </c>
      <c r="K282" s="5">
        <v>243</v>
      </c>
      <c r="L282" s="5">
        <v>321</v>
      </c>
      <c r="M282" s="5">
        <v>360</v>
      </c>
      <c r="N282" s="5">
        <v>297</v>
      </c>
      <c r="O282" s="5">
        <v>357</v>
      </c>
      <c r="P282" s="5">
        <v>399</v>
      </c>
      <c r="Q282" s="5">
        <v>322</v>
      </c>
      <c r="R282" s="5">
        <v>294</v>
      </c>
      <c r="S282" s="5">
        <v>403</v>
      </c>
      <c r="T282" s="5">
        <v>379</v>
      </c>
      <c r="U282" s="5">
        <v>277</v>
      </c>
      <c r="V282" s="5">
        <v>323</v>
      </c>
      <c r="W282" s="5">
        <v>322</v>
      </c>
      <c r="X282" s="5">
        <v>343</v>
      </c>
      <c r="Y282" s="5">
        <v>295</v>
      </c>
      <c r="Z282" s="5">
        <v>406</v>
      </c>
      <c r="AA282" s="5">
        <v>375</v>
      </c>
      <c r="AB282" s="5">
        <v>450</v>
      </c>
      <c r="AC282" s="5">
        <v>425</v>
      </c>
      <c r="AD282" s="5">
        <v>328</v>
      </c>
      <c r="AE282" s="5">
        <v>439</v>
      </c>
      <c r="AF282" s="5">
        <v>209</v>
      </c>
      <c r="AG282" s="5">
        <v>146</v>
      </c>
      <c r="AH282" s="5">
        <v>173</v>
      </c>
      <c r="AI282" s="5">
        <v>222</v>
      </c>
      <c r="AJ282" s="5">
        <v>270</v>
      </c>
      <c r="AK282" s="5">
        <v>284</v>
      </c>
      <c r="AL282" s="5">
        <v>445</v>
      </c>
      <c r="AM282" s="5">
        <v>435</v>
      </c>
      <c r="AN282" s="5">
        <v>448</v>
      </c>
      <c r="AO282" s="5">
        <v>286</v>
      </c>
      <c r="AP282" s="5">
        <v>265</v>
      </c>
      <c r="AQ282" s="5">
        <v>272</v>
      </c>
      <c r="AR282" s="5">
        <v>368</v>
      </c>
    </row>
    <row r="283" spans="1:44">
      <c r="A283" s="1" t="s">
        <v>1090</v>
      </c>
      <c r="B283" s="1" t="s">
        <v>1091</v>
      </c>
      <c r="C283" s="1" t="s">
        <v>89</v>
      </c>
      <c r="D283" s="1" t="str">
        <f>HYPERLINK("http://eros.fiehnlab.ucdavis.edu:8080/binbase-compound/bin/show/210557?db=rtx5","210557")</f>
        <v>210557</v>
      </c>
      <c r="E283" s="1" t="s">
        <v>1092</v>
      </c>
      <c r="F283" s="1" t="s">
        <v>0</v>
      </c>
      <c r="G283" s="1" t="s">
        <v>0</v>
      </c>
      <c r="H283" s="1"/>
      <c r="I283" s="5">
        <v>625</v>
      </c>
      <c r="J283" s="5">
        <v>334</v>
      </c>
      <c r="K283" s="5">
        <v>446</v>
      </c>
      <c r="L283" s="5">
        <v>367</v>
      </c>
      <c r="M283" s="5">
        <v>336</v>
      </c>
      <c r="N283" s="5">
        <v>314</v>
      </c>
      <c r="O283" s="5">
        <v>259</v>
      </c>
      <c r="P283" s="5">
        <v>393</v>
      </c>
      <c r="Q283" s="5">
        <v>474</v>
      </c>
      <c r="R283" s="5">
        <v>584</v>
      </c>
      <c r="S283" s="5">
        <v>360</v>
      </c>
      <c r="T283" s="5">
        <v>499</v>
      </c>
      <c r="U283" s="5">
        <v>595</v>
      </c>
      <c r="V283" s="5">
        <v>603</v>
      </c>
      <c r="W283" s="5">
        <v>340</v>
      </c>
      <c r="X283" s="5">
        <v>322</v>
      </c>
      <c r="Y283" s="5">
        <v>462</v>
      </c>
      <c r="Z283" s="5">
        <v>405</v>
      </c>
      <c r="AA283" s="5">
        <v>384</v>
      </c>
      <c r="AB283" s="5">
        <v>298</v>
      </c>
      <c r="AC283" s="5">
        <v>338</v>
      </c>
      <c r="AD283" s="5">
        <v>454</v>
      </c>
      <c r="AE283" s="5">
        <v>504</v>
      </c>
      <c r="AF283" s="5">
        <v>443</v>
      </c>
      <c r="AG283" s="5">
        <v>868</v>
      </c>
      <c r="AH283" s="5">
        <v>482</v>
      </c>
      <c r="AI283" s="5">
        <v>529</v>
      </c>
      <c r="AJ283" s="5">
        <v>576</v>
      </c>
      <c r="AK283" s="5">
        <v>580</v>
      </c>
      <c r="AL283" s="5">
        <v>547</v>
      </c>
      <c r="AM283" s="5">
        <v>300</v>
      </c>
      <c r="AN283" s="5">
        <v>396</v>
      </c>
      <c r="AO283" s="5">
        <v>530</v>
      </c>
      <c r="AP283" s="5">
        <v>446</v>
      </c>
      <c r="AQ283" s="5">
        <v>319</v>
      </c>
      <c r="AR283" s="5">
        <v>427</v>
      </c>
    </row>
    <row r="284" spans="1:44">
      <c r="A284" s="1" t="s">
        <v>1036</v>
      </c>
      <c r="B284" s="1" t="s">
        <v>1037</v>
      </c>
      <c r="C284" s="1" t="s">
        <v>624</v>
      </c>
      <c r="D284" s="1" t="str">
        <f>HYPERLINK("http://eros.fiehnlab.ucdavis.edu:8080/binbase-compound/bin/show/218784?db=rtx5","218784")</f>
        <v>218784</v>
      </c>
      <c r="E284" s="1" t="s">
        <v>1038</v>
      </c>
      <c r="F284" s="1" t="s">
        <v>0</v>
      </c>
      <c r="G284" s="1" t="s">
        <v>0</v>
      </c>
      <c r="H284" s="1"/>
      <c r="I284" s="5">
        <v>2237</v>
      </c>
      <c r="J284" s="5">
        <v>2019</v>
      </c>
      <c r="K284" s="5">
        <v>2191</v>
      </c>
      <c r="L284" s="5">
        <v>2176</v>
      </c>
      <c r="M284" s="5">
        <v>2905</v>
      </c>
      <c r="N284" s="5">
        <v>2136</v>
      </c>
      <c r="O284" s="5">
        <v>1676</v>
      </c>
      <c r="P284" s="5">
        <v>2061</v>
      </c>
      <c r="Q284" s="5">
        <v>2340</v>
      </c>
      <c r="R284" s="5">
        <v>2279</v>
      </c>
      <c r="S284" s="5">
        <v>2457</v>
      </c>
      <c r="T284" s="5">
        <v>2116</v>
      </c>
      <c r="U284" s="5">
        <v>2013</v>
      </c>
      <c r="V284" s="5">
        <v>2140</v>
      </c>
      <c r="W284" s="5">
        <v>2158</v>
      </c>
      <c r="X284" s="5">
        <v>2039</v>
      </c>
      <c r="Y284" s="5">
        <v>2257</v>
      </c>
      <c r="Z284" s="5">
        <v>2277</v>
      </c>
      <c r="AA284" s="5">
        <v>2273</v>
      </c>
      <c r="AB284" s="5">
        <v>2185</v>
      </c>
      <c r="AC284" s="5">
        <v>2311</v>
      </c>
      <c r="AD284" s="5">
        <v>2078</v>
      </c>
      <c r="AE284" s="5">
        <v>2212</v>
      </c>
      <c r="AF284" s="5">
        <v>2067</v>
      </c>
      <c r="AG284" s="5">
        <v>2316</v>
      </c>
      <c r="AH284" s="5">
        <v>2371</v>
      </c>
      <c r="AI284" s="5">
        <v>2377</v>
      </c>
      <c r="AJ284" s="5">
        <v>2103</v>
      </c>
      <c r="AK284" s="5">
        <v>2171</v>
      </c>
      <c r="AL284" s="5">
        <v>2093</v>
      </c>
      <c r="AM284" s="5">
        <v>2081</v>
      </c>
      <c r="AN284" s="5">
        <v>2051</v>
      </c>
      <c r="AO284" s="5">
        <v>2181</v>
      </c>
      <c r="AP284" s="5">
        <v>2049</v>
      </c>
      <c r="AQ284" s="5">
        <v>2190</v>
      </c>
      <c r="AR284" s="5">
        <v>1974</v>
      </c>
    </row>
    <row r="285" spans="1:44">
      <c r="A285" s="1" t="s">
        <v>592</v>
      </c>
      <c r="B285" s="1" t="s">
        <v>593</v>
      </c>
      <c r="C285" s="1" t="s">
        <v>594</v>
      </c>
      <c r="D285" s="1" t="str">
        <f>HYPERLINK("http://eros.fiehnlab.ucdavis.edu:8080/binbase-compound/bin/show/408731?db=rtx5","408731")</f>
        <v>408731</v>
      </c>
      <c r="E285" s="1" t="s">
        <v>595</v>
      </c>
      <c r="F285" s="1" t="s">
        <v>0</v>
      </c>
      <c r="G285" s="1" t="s">
        <v>0</v>
      </c>
      <c r="H285" s="1"/>
      <c r="I285" s="5">
        <v>13830</v>
      </c>
      <c r="J285" s="5">
        <v>14204</v>
      </c>
      <c r="K285" s="5">
        <v>14075</v>
      </c>
      <c r="L285" s="5">
        <v>14226</v>
      </c>
      <c r="M285" s="5">
        <v>13029</v>
      </c>
      <c r="N285" s="5">
        <v>14167</v>
      </c>
      <c r="O285" s="5">
        <v>13147</v>
      </c>
      <c r="P285" s="5">
        <v>13062</v>
      </c>
      <c r="Q285" s="5">
        <v>12528</v>
      </c>
      <c r="R285" s="5">
        <v>12001</v>
      </c>
      <c r="S285" s="5">
        <v>15265</v>
      </c>
      <c r="T285" s="5">
        <v>13456</v>
      </c>
      <c r="U285" s="5">
        <v>12198</v>
      </c>
      <c r="V285" s="5">
        <v>13336</v>
      </c>
      <c r="W285" s="5">
        <v>11793</v>
      </c>
      <c r="X285" s="5">
        <v>13555</v>
      </c>
      <c r="Y285" s="5">
        <v>14943</v>
      </c>
      <c r="Z285" s="5">
        <v>14088</v>
      </c>
      <c r="AA285" s="5">
        <v>13983</v>
      </c>
      <c r="AB285" s="5">
        <v>13341</v>
      </c>
      <c r="AC285" s="5">
        <v>12316</v>
      </c>
      <c r="AD285" s="5">
        <v>11822</v>
      </c>
      <c r="AE285" s="5">
        <v>13716</v>
      </c>
      <c r="AF285" s="5">
        <v>10827</v>
      </c>
      <c r="AG285" s="5">
        <v>13842</v>
      </c>
      <c r="AH285" s="5">
        <v>14260</v>
      </c>
      <c r="AI285" s="5">
        <v>16225</v>
      </c>
      <c r="AJ285" s="5">
        <v>12630</v>
      </c>
      <c r="AK285" s="5">
        <v>14042</v>
      </c>
      <c r="AL285" s="5">
        <v>14049</v>
      </c>
      <c r="AM285" s="5">
        <v>11498</v>
      </c>
      <c r="AN285" s="5">
        <v>14015</v>
      </c>
      <c r="AO285" s="5">
        <v>13213</v>
      </c>
      <c r="AP285" s="5">
        <v>11644</v>
      </c>
      <c r="AQ285" s="5">
        <v>14143</v>
      </c>
      <c r="AR285" s="5">
        <v>13904</v>
      </c>
    </row>
    <row r="286" spans="1:44">
      <c r="A286" s="1" t="s">
        <v>784</v>
      </c>
      <c r="B286" s="1" t="s">
        <v>785</v>
      </c>
      <c r="C286" s="1" t="s">
        <v>773</v>
      </c>
      <c r="D286" s="1" t="str">
        <f>HYPERLINK("http://eros.fiehnlab.ucdavis.edu:8080/binbase-compound/bin/show/273925?db=rtx5","273925")</f>
        <v>273925</v>
      </c>
      <c r="E286" s="1" t="s">
        <v>786</v>
      </c>
      <c r="F286" s="1" t="s">
        <v>0</v>
      </c>
      <c r="G286" s="1" t="s">
        <v>0</v>
      </c>
      <c r="H286" s="1"/>
      <c r="I286" s="5">
        <v>4044</v>
      </c>
      <c r="J286" s="5">
        <v>4807</v>
      </c>
      <c r="K286" s="5">
        <v>5417</v>
      </c>
      <c r="L286" s="5">
        <v>5719</v>
      </c>
      <c r="M286" s="5">
        <v>4053</v>
      </c>
      <c r="N286" s="5">
        <v>5884</v>
      </c>
      <c r="O286" s="5">
        <v>2640</v>
      </c>
      <c r="P286" s="5">
        <v>4801</v>
      </c>
      <c r="Q286" s="5">
        <v>6029</v>
      </c>
      <c r="R286" s="5">
        <v>4846</v>
      </c>
      <c r="S286" s="5">
        <v>5294</v>
      </c>
      <c r="T286" s="5">
        <v>3505</v>
      </c>
      <c r="U286" s="5">
        <v>5058</v>
      </c>
      <c r="V286" s="5">
        <v>3254</v>
      </c>
      <c r="W286" s="5">
        <v>4357</v>
      </c>
      <c r="X286" s="5">
        <v>3834</v>
      </c>
      <c r="Y286" s="5">
        <v>5134</v>
      </c>
      <c r="Z286" s="5">
        <v>4460</v>
      </c>
      <c r="AA286" s="5">
        <v>4963</v>
      </c>
      <c r="AB286" s="5">
        <v>3952</v>
      </c>
      <c r="AC286" s="5">
        <v>3661</v>
      </c>
      <c r="AD286" s="5">
        <v>4143</v>
      </c>
      <c r="AE286" s="5">
        <v>3135</v>
      </c>
      <c r="AF286" s="5">
        <v>4024</v>
      </c>
      <c r="AG286" s="5">
        <v>4270</v>
      </c>
      <c r="AH286" s="5">
        <v>5379</v>
      </c>
      <c r="AI286" s="5">
        <v>6315</v>
      </c>
      <c r="AJ286" s="5">
        <v>4209</v>
      </c>
      <c r="AK286" s="5">
        <v>5284</v>
      </c>
      <c r="AL286" s="5">
        <v>3409</v>
      </c>
      <c r="AM286" s="5">
        <v>4266</v>
      </c>
      <c r="AN286" s="5">
        <v>4193</v>
      </c>
      <c r="AO286" s="5">
        <v>5150</v>
      </c>
      <c r="AP286" s="5">
        <v>5002</v>
      </c>
      <c r="AQ286" s="5">
        <v>4589</v>
      </c>
      <c r="AR286" s="5">
        <v>4743</v>
      </c>
    </row>
    <row r="287" spans="1:44">
      <c r="A287" s="1" t="s">
        <v>774</v>
      </c>
      <c r="B287" s="1" t="s">
        <v>775</v>
      </c>
      <c r="C287" s="1" t="s">
        <v>625</v>
      </c>
      <c r="D287" s="1" t="str">
        <f>HYPERLINK("http://eros.fiehnlab.ucdavis.edu:8080/binbase-compound/bin/show/281926?db=rtx5","281926")</f>
        <v>281926</v>
      </c>
      <c r="E287" s="1" t="s">
        <v>776</v>
      </c>
      <c r="F287" s="1" t="s">
        <v>0</v>
      </c>
      <c r="G287" s="1" t="s">
        <v>0</v>
      </c>
      <c r="H287" s="1"/>
      <c r="I287" s="5">
        <v>629</v>
      </c>
      <c r="J287" s="5">
        <v>495</v>
      </c>
      <c r="K287" s="5">
        <v>493</v>
      </c>
      <c r="L287" s="5">
        <v>166</v>
      </c>
      <c r="M287" s="5">
        <v>744</v>
      </c>
      <c r="N287" s="5">
        <v>479</v>
      </c>
      <c r="O287" s="5">
        <v>776</v>
      </c>
      <c r="P287" s="5">
        <v>285</v>
      </c>
      <c r="Q287" s="5">
        <v>197</v>
      </c>
      <c r="R287" s="5">
        <v>627</v>
      </c>
      <c r="S287" s="5">
        <v>438</v>
      </c>
      <c r="T287" s="5">
        <v>617</v>
      </c>
      <c r="U287" s="5">
        <v>494</v>
      </c>
      <c r="V287" s="5">
        <v>687</v>
      </c>
      <c r="W287" s="5">
        <v>728</v>
      </c>
      <c r="X287" s="5">
        <v>605</v>
      </c>
      <c r="Y287" s="5">
        <v>411</v>
      </c>
      <c r="Z287" s="5">
        <v>863</v>
      </c>
      <c r="AA287" s="5">
        <v>310</v>
      </c>
      <c r="AB287" s="5">
        <v>578</v>
      </c>
      <c r="AC287" s="5">
        <v>557</v>
      </c>
      <c r="AD287" s="5">
        <v>320</v>
      </c>
      <c r="AE287" s="5">
        <v>507</v>
      </c>
      <c r="AF287" s="5">
        <v>368</v>
      </c>
      <c r="AG287" s="5">
        <v>702</v>
      </c>
      <c r="AH287" s="5">
        <v>336</v>
      </c>
      <c r="AI287" s="5">
        <v>429</v>
      </c>
      <c r="AJ287" s="5">
        <v>514</v>
      </c>
      <c r="AK287" s="5">
        <v>372</v>
      </c>
      <c r="AL287" s="5">
        <v>702</v>
      </c>
      <c r="AM287" s="5">
        <v>626</v>
      </c>
      <c r="AN287" s="5">
        <v>352</v>
      </c>
      <c r="AO287" s="5">
        <v>391</v>
      </c>
      <c r="AP287" s="5">
        <v>302</v>
      </c>
      <c r="AQ287" s="5">
        <v>470</v>
      </c>
      <c r="AR287" s="5">
        <v>388</v>
      </c>
    </row>
    <row r="288" spans="1:44">
      <c r="A288" s="1" t="s">
        <v>1102</v>
      </c>
      <c r="B288" s="1" t="s">
        <v>1103</v>
      </c>
      <c r="C288" s="1" t="s">
        <v>738</v>
      </c>
      <c r="D288" s="1" t="str">
        <f>HYPERLINK("http://eros.fiehnlab.ucdavis.edu:8080/binbase-compound/bin/show/206022?db=rtx5","206022")</f>
        <v>206022</v>
      </c>
      <c r="E288" s="1" t="s">
        <v>1104</v>
      </c>
      <c r="F288" s="1" t="s">
        <v>0</v>
      </c>
      <c r="G288" s="1" t="s">
        <v>0</v>
      </c>
      <c r="H288" s="1"/>
      <c r="I288" s="5">
        <v>1523</v>
      </c>
      <c r="J288" s="5">
        <v>1452</v>
      </c>
      <c r="K288" s="5">
        <v>1595</v>
      </c>
      <c r="L288" s="5">
        <v>1355</v>
      </c>
      <c r="M288" s="5">
        <v>1471</v>
      </c>
      <c r="N288" s="5">
        <v>1522</v>
      </c>
      <c r="O288" s="5">
        <v>1307</v>
      </c>
      <c r="P288" s="5">
        <v>775</v>
      </c>
      <c r="Q288" s="5">
        <v>1642</v>
      </c>
      <c r="R288" s="5">
        <v>1548</v>
      </c>
      <c r="S288" s="5">
        <v>1873</v>
      </c>
      <c r="T288" s="5">
        <v>1654</v>
      </c>
      <c r="U288" s="5">
        <v>1439</v>
      </c>
      <c r="V288" s="5">
        <v>1328</v>
      </c>
      <c r="W288" s="5">
        <v>1551</v>
      </c>
      <c r="X288" s="5">
        <v>1334</v>
      </c>
      <c r="Y288" s="5">
        <v>1651</v>
      </c>
      <c r="Z288" s="5">
        <v>1619</v>
      </c>
      <c r="AA288" s="5">
        <v>2131</v>
      </c>
      <c r="AB288" s="5">
        <v>1622</v>
      </c>
      <c r="AC288" s="5">
        <v>1637</v>
      </c>
      <c r="AD288" s="5">
        <v>1539</v>
      </c>
      <c r="AE288" s="5">
        <v>1525</v>
      </c>
      <c r="AF288" s="5">
        <v>1143</v>
      </c>
      <c r="AG288" s="5">
        <v>1359</v>
      </c>
      <c r="AH288" s="5">
        <v>1347</v>
      </c>
      <c r="AI288" s="5">
        <v>1785</v>
      </c>
      <c r="AJ288" s="5">
        <v>1536</v>
      </c>
      <c r="AK288" s="5">
        <v>1881</v>
      </c>
      <c r="AL288" s="5">
        <v>1691</v>
      </c>
      <c r="AM288" s="5">
        <v>1387</v>
      </c>
      <c r="AN288" s="5">
        <v>1486</v>
      </c>
      <c r="AO288" s="5">
        <v>1537</v>
      </c>
      <c r="AP288" s="5">
        <v>1447</v>
      </c>
      <c r="AQ288" s="5">
        <v>1646</v>
      </c>
      <c r="AR288" s="5">
        <v>1332</v>
      </c>
    </row>
    <row r="289" spans="1:44">
      <c r="A289" s="1" t="s">
        <v>922</v>
      </c>
      <c r="B289" s="1" t="s">
        <v>923</v>
      </c>
      <c r="C289" s="1" t="s">
        <v>426</v>
      </c>
      <c r="D289" s="1" t="str">
        <f>HYPERLINK("http://eros.fiehnlab.ucdavis.edu:8080/binbase-compound/bin/show/236821?db=rtx5","236821")</f>
        <v>236821</v>
      </c>
      <c r="E289" s="1" t="s">
        <v>924</v>
      </c>
      <c r="F289" s="1" t="s">
        <v>0</v>
      </c>
      <c r="G289" s="1" t="s">
        <v>0</v>
      </c>
      <c r="H289" s="1"/>
      <c r="I289" s="5">
        <v>474</v>
      </c>
      <c r="J289" s="5">
        <v>718</v>
      </c>
      <c r="K289" s="5">
        <v>137</v>
      </c>
      <c r="L289" s="5">
        <v>194</v>
      </c>
      <c r="M289" s="5">
        <v>318</v>
      </c>
      <c r="N289" s="5">
        <v>451</v>
      </c>
      <c r="O289" s="5">
        <v>475</v>
      </c>
      <c r="P289" s="5">
        <v>208</v>
      </c>
      <c r="Q289" s="5">
        <v>330</v>
      </c>
      <c r="R289" s="5">
        <v>185</v>
      </c>
      <c r="S289" s="5">
        <v>436</v>
      </c>
      <c r="T289" s="5">
        <v>1195</v>
      </c>
      <c r="U289" s="5">
        <v>39</v>
      </c>
      <c r="V289" s="5">
        <v>244</v>
      </c>
      <c r="W289" s="5">
        <v>221</v>
      </c>
      <c r="X289" s="5">
        <v>271</v>
      </c>
      <c r="Y289" s="5">
        <v>127</v>
      </c>
      <c r="Z289" s="5">
        <v>664</v>
      </c>
      <c r="AA289" s="5">
        <v>238</v>
      </c>
      <c r="AB289" s="5">
        <v>174</v>
      </c>
      <c r="AC289" s="5">
        <v>299</v>
      </c>
      <c r="AD289" s="5">
        <v>240</v>
      </c>
      <c r="AE289" s="5">
        <v>226</v>
      </c>
      <c r="AF289" s="5">
        <v>268</v>
      </c>
      <c r="AG289" s="5">
        <v>214</v>
      </c>
      <c r="AH289" s="5">
        <v>209</v>
      </c>
      <c r="AI289" s="5">
        <v>406</v>
      </c>
      <c r="AJ289" s="5">
        <v>150</v>
      </c>
      <c r="AK289" s="5">
        <v>134</v>
      </c>
      <c r="AL289" s="5">
        <v>565</v>
      </c>
      <c r="AM289" s="5">
        <v>90</v>
      </c>
      <c r="AN289" s="5">
        <v>500</v>
      </c>
      <c r="AO289" s="5">
        <v>261</v>
      </c>
      <c r="AP289" s="5">
        <v>301</v>
      </c>
      <c r="AQ289" s="5">
        <v>298</v>
      </c>
      <c r="AR289" s="5">
        <v>173</v>
      </c>
    </row>
    <row r="290" spans="1:44">
      <c r="A290" s="1" t="s">
        <v>821</v>
      </c>
      <c r="B290" s="1" t="s">
        <v>822</v>
      </c>
      <c r="C290" s="1" t="s">
        <v>418</v>
      </c>
      <c r="D290" s="1" t="str">
        <f>HYPERLINK("http://eros.fiehnlab.ucdavis.edu:8080/binbase-compound/bin/show/268461?db=rtx5","268461")</f>
        <v>268461</v>
      </c>
      <c r="E290" s="1" t="s">
        <v>823</v>
      </c>
      <c r="F290" s="1" t="s">
        <v>0</v>
      </c>
      <c r="G290" s="1" t="s">
        <v>0</v>
      </c>
      <c r="H290" s="1"/>
      <c r="I290" s="5">
        <v>854</v>
      </c>
      <c r="J290" s="5">
        <v>1093</v>
      </c>
      <c r="K290" s="5">
        <v>564</v>
      </c>
      <c r="L290" s="5">
        <v>667</v>
      </c>
      <c r="M290" s="5">
        <v>818</v>
      </c>
      <c r="N290" s="5">
        <v>1127</v>
      </c>
      <c r="O290" s="5">
        <v>957</v>
      </c>
      <c r="P290" s="5">
        <v>946</v>
      </c>
      <c r="Q290" s="5">
        <v>1127</v>
      </c>
      <c r="R290" s="5">
        <v>719</v>
      </c>
      <c r="S290" s="5">
        <v>690</v>
      </c>
      <c r="T290" s="5">
        <v>963</v>
      </c>
      <c r="U290" s="5">
        <v>925</v>
      </c>
      <c r="V290" s="5">
        <v>904</v>
      </c>
      <c r="W290" s="5">
        <v>1203</v>
      </c>
      <c r="X290" s="5">
        <v>777</v>
      </c>
      <c r="Y290" s="5">
        <v>714</v>
      </c>
      <c r="Z290" s="5">
        <v>879</v>
      </c>
      <c r="AA290" s="5">
        <v>957</v>
      </c>
      <c r="AB290" s="5">
        <v>606</v>
      </c>
      <c r="AC290" s="5">
        <v>1140</v>
      </c>
      <c r="AD290" s="5">
        <v>1127</v>
      </c>
      <c r="AE290" s="5">
        <v>538</v>
      </c>
      <c r="AF290" s="5">
        <v>637</v>
      </c>
      <c r="AG290" s="5">
        <v>1168</v>
      </c>
      <c r="AH290" s="5">
        <v>846</v>
      </c>
      <c r="AI290" s="5">
        <v>1098</v>
      </c>
      <c r="AJ290" s="5">
        <v>966</v>
      </c>
      <c r="AK290" s="5">
        <v>842</v>
      </c>
      <c r="AL290" s="5">
        <v>801</v>
      </c>
      <c r="AM290" s="5">
        <v>1018</v>
      </c>
      <c r="AN290" s="5">
        <v>985</v>
      </c>
      <c r="AO290" s="5">
        <v>1065</v>
      </c>
      <c r="AP290" s="5">
        <v>1428</v>
      </c>
      <c r="AQ290" s="5">
        <v>927</v>
      </c>
      <c r="AR290" s="5">
        <v>992</v>
      </c>
    </row>
    <row r="291" spans="1:44">
      <c r="A291" s="1" t="s">
        <v>683</v>
      </c>
      <c r="B291" s="1" t="s">
        <v>684</v>
      </c>
      <c r="C291" s="1" t="s">
        <v>143</v>
      </c>
      <c r="D291" s="1" t="str">
        <f>HYPERLINK("http://eros.fiehnlab.ucdavis.edu:8080/binbase-compound/bin/show/356938?db=rtx5","356938")</f>
        <v>356938</v>
      </c>
      <c r="E291" s="1" t="s">
        <v>685</v>
      </c>
      <c r="F291" s="1" t="s">
        <v>0</v>
      </c>
      <c r="G291" s="1" t="s">
        <v>0</v>
      </c>
      <c r="H291" s="1"/>
      <c r="I291" s="5">
        <v>320</v>
      </c>
      <c r="J291" s="5">
        <v>453</v>
      </c>
      <c r="K291" s="5">
        <v>266</v>
      </c>
      <c r="L291" s="5">
        <v>326</v>
      </c>
      <c r="M291" s="5">
        <v>276</v>
      </c>
      <c r="N291" s="5">
        <v>293</v>
      </c>
      <c r="O291" s="5">
        <v>206</v>
      </c>
      <c r="P291" s="5">
        <v>328</v>
      </c>
      <c r="Q291" s="5">
        <v>308</v>
      </c>
      <c r="R291" s="5">
        <v>297</v>
      </c>
      <c r="S291" s="5">
        <v>271</v>
      </c>
      <c r="T291" s="5">
        <v>311</v>
      </c>
      <c r="U291" s="5">
        <v>310</v>
      </c>
      <c r="V291" s="5">
        <v>273</v>
      </c>
      <c r="W291" s="5">
        <v>313</v>
      </c>
      <c r="X291" s="5">
        <v>228</v>
      </c>
      <c r="Y291" s="5">
        <v>217</v>
      </c>
      <c r="Z291" s="5">
        <v>341</v>
      </c>
      <c r="AA291" s="5">
        <v>420</v>
      </c>
      <c r="AB291" s="5">
        <v>216</v>
      </c>
      <c r="AC291" s="5">
        <v>171</v>
      </c>
      <c r="AD291" s="5">
        <v>303</v>
      </c>
      <c r="AE291" s="5">
        <v>242</v>
      </c>
      <c r="AF291" s="5">
        <v>168</v>
      </c>
      <c r="AG291" s="5">
        <v>293</v>
      </c>
      <c r="AH291" s="5">
        <v>239</v>
      </c>
      <c r="AI291" s="5">
        <v>304</v>
      </c>
      <c r="AJ291" s="5">
        <v>213</v>
      </c>
      <c r="AK291" s="5">
        <v>231</v>
      </c>
      <c r="AL291" s="5">
        <v>448</v>
      </c>
      <c r="AM291" s="5">
        <v>220</v>
      </c>
      <c r="AN291" s="5">
        <v>299</v>
      </c>
      <c r="AO291" s="5">
        <v>183</v>
      </c>
      <c r="AP291" s="5">
        <v>295</v>
      </c>
      <c r="AQ291" s="5">
        <v>383</v>
      </c>
      <c r="AR291" s="5">
        <v>203</v>
      </c>
    </row>
    <row r="292" spans="1:44">
      <c r="A292" s="1" t="s">
        <v>938</v>
      </c>
      <c r="B292" s="1" t="s">
        <v>939</v>
      </c>
      <c r="C292" s="1" t="s">
        <v>940</v>
      </c>
      <c r="D292" s="1" t="str">
        <f>HYPERLINK("http://eros.fiehnlab.ucdavis.edu:8080/binbase-compound/bin/show/234717?db=rtx5","234717")</f>
        <v>234717</v>
      </c>
      <c r="E292" s="1" t="s">
        <v>941</v>
      </c>
      <c r="F292" s="1" t="s">
        <v>0</v>
      </c>
      <c r="G292" s="1" t="s">
        <v>0</v>
      </c>
      <c r="H292" s="1"/>
      <c r="I292" s="5">
        <v>6986</v>
      </c>
      <c r="J292" s="5">
        <v>7381</v>
      </c>
      <c r="K292" s="5">
        <v>5773</v>
      </c>
      <c r="L292" s="5">
        <v>6010</v>
      </c>
      <c r="M292" s="5">
        <v>6253</v>
      </c>
      <c r="N292" s="5">
        <v>7006</v>
      </c>
      <c r="O292" s="5">
        <v>6099</v>
      </c>
      <c r="P292" s="5">
        <v>1761</v>
      </c>
      <c r="Q292" s="5">
        <v>6106</v>
      </c>
      <c r="R292" s="5">
        <v>6463</v>
      </c>
      <c r="S292" s="5">
        <v>8441</v>
      </c>
      <c r="T292" s="5">
        <v>6617</v>
      </c>
      <c r="U292" s="5">
        <v>5595</v>
      </c>
      <c r="V292" s="5">
        <v>6148</v>
      </c>
      <c r="W292" s="5">
        <v>6241</v>
      </c>
      <c r="X292" s="5">
        <v>5830</v>
      </c>
      <c r="Y292" s="5">
        <v>6848</v>
      </c>
      <c r="Z292" s="5">
        <v>7049</v>
      </c>
      <c r="AA292" s="5">
        <v>12206</v>
      </c>
      <c r="AB292" s="5">
        <v>5564</v>
      </c>
      <c r="AC292" s="5">
        <v>5208</v>
      </c>
      <c r="AD292" s="5">
        <v>5982</v>
      </c>
      <c r="AE292" s="5">
        <v>5879</v>
      </c>
      <c r="AF292" s="5">
        <v>4933</v>
      </c>
      <c r="AG292" s="5">
        <v>7129</v>
      </c>
      <c r="AH292" s="5">
        <v>5530</v>
      </c>
      <c r="AI292" s="5">
        <v>8265</v>
      </c>
      <c r="AJ292" s="5">
        <v>6208</v>
      </c>
      <c r="AK292" s="5">
        <v>7237</v>
      </c>
      <c r="AL292" s="5">
        <v>6372</v>
      </c>
      <c r="AM292" s="5">
        <v>5554</v>
      </c>
      <c r="AN292" s="5">
        <v>6443</v>
      </c>
      <c r="AO292" s="5">
        <v>5832</v>
      </c>
      <c r="AP292" s="5">
        <v>6356</v>
      </c>
      <c r="AQ292" s="5">
        <v>7174</v>
      </c>
      <c r="AR292" s="5">
        <v>6288</v>
      </c>
    </row>
    <row r="293" spans="1:44">
      <c r="A293" s="1" t="s">
        <v>549</v>
      </c>
      <c r="B293" s="1" t="s">
        <v>550</v>
      </c>
      <c r="C293" s="1" t="s">
        <v>203</v>
      </c>
      <c r="D293" s="1" t="str">
        <f>HYPERLINK("http://eros.fiehnlab.ucdavis.edu:8080/binbase-compound/bin/show/409106?db=rtx5","409106")</f>
        <v>409106</v>
      </c>
      <c r="E293" s="1" t="s">
        <v>551</v>
      </c>
      <c r="F293" s="1" t="s">
        <v>0</v>
      </c>
      <c r="G293" s="1" t="s">
        <v>0</v>
      </c>
      <c r="H293" s="1"/>
      <c r="I293" s="5">
        <v>60844</v>
      </c>
      <c r="J293" s="5">
        <v>28101</v>
      </c>
      <c r="K293" s="5">
        <v>83029</v>
      </c>
      <c r="L293" s="5">
        <v>125170</v>
      </c>
      <c r="M293" s="5">
        <v>56134</v>
      </c>
      <c r="N293" s="5">
        <v>36445</v>
      </c>
      <c r="O293" s="5">
        <v>39713</v>
      </c>
      <c r="P293" s="5">
        <v>115918</v>
      </c>
      <c r="Q293" s="5">
        <v>67359</v>
      </c>
      <c r="R293" s="5">
        <v>67785</v>
      </c>
      <c r="S293" s="5">
        <v>79875</v>
      </c>
      <c r="T293" s="5">
        <v>74985</v>
      </c>
      <c r="U293" s="5">
        <v>74625</v>
      </c>
      <c r="V293" s="5">
        <v>50495</v>
      </c>
      <c r="W293" s="5">
        <v>40821</v>
      </c>
      <c r="X293" s="5">
        <v>70214</v>
      </c>
      <c r="Y293" s="5">
        <v>71262</v>
      </c>
      <c r="Z293" s="5">
        <v>64638</v>
      </c>
      <c r="AA293" s="5">
        <v>36031</v>
      </c>
      <c r="AB293" s="5">
        <v>70137</v>
      </c>
      <c r="AC293" s="5">
        <v>87748</v>
      </c>
      <c r="AD293" s="5">
        <v>94815</v>
      </c>
      <c r="AE293" s="5">
        <v>133671</v>
      </c>
      <c r="AF293" s="5">
        <v>104961</v>
      </c>
      <c r="AG293" s="5">
        <v>84554</v>
      </c>
      <c r="AH293" s="5">
        <v>121031</v>
      </c>
      <c r="AI293" s="5">
        <v>56163</v>
      </c>
      <c r="AJ293" s="5">
        <v>86163</v>
      </c>
      <c r="AK293" s="5">
        <v>83813</v>
      </c>
      <c r="AL293" s="5">
        <v>76507</v>
      </c>
      <c r="AM293" s="5">
        <v>74368</v>
      </c>
      <c r="AN293" s="5">
        <v>51325</v>
      </c>
      <c r="AO293" s="5">
        <v>89485</v>
      </c>
      <c r="AP293" s="5">
        <v>69535</v>
      </c>
      <c r="AQ293" s="5">
        <v>62044</v>
      </c>
      <c r="AR293" s="5">
        <v>61099</v>
      </c>
    </row>
    <row r="294" spans="1:44">
      <c r="A294" s="1" t="s">
        <v>1140</v>
      </c>
      <c r="B294" s="1" t="s">
        <v>1141</v>
      </c>
      <c r="C294" s="1" t="s">
        <v>155</v>
      </c>
      <c r="D294" s="1" t="str">
        <f>HYPERLINK("http://eros.fiehnlab.ucdavis.edu:8080/binbase-compound/bin/show/200547?db=rtx5","200547")</f>
        <v>200547</v>
      </c>
      <c r="E294" s="1" t="s">
        <v>1142</v>
      </c>
      <c r="F294" s="1" t="s">
        <v>0</v>
      </c>
      <c r="G294" s="1" t="s">
        <v>0</v>
      </c>
      <c r="H294" s="1"/>
      <c r="I294" s="5">
        <v>7474</v>
      </c>
      <c r="J294" s="5">
        <v>5036</v>
      </c>
      <c r="K294" s="5">
        <v>4614</v>
      </c>
      <c r="L294" s="5">
        <v>3494</v>
      </c>
      <c r="M294" s="5">
        <v>1398</v>
      </c>
      <c r="N294" s="5">
        <v>3736</v>
      </c>
      <c r="O294" s="5">
        <v>1530</v>
      </c>
      <c r="P294" s="5">
        <v>603</v>
      </c>
      <c r="Q294" s="5">
        <v>9350</v>
      </c>
      <c r="R294" s="5">
        <v>1914</v>
      </c>
      <c r="S294" s="5">
        <v>2259</v>
      </c>
      <c r="T294" s="5">
        <v>8483</v>
      </c>
      <c r="U294" s="5">
        <v>5254</v>
      </c>
      <c r="V294" s="5">
        <v>2030</v>
      </c>
      <c r="W294" s="5">
        <v>6041</v>
      </c>
      <c r="X294" s="5">
        <v>3292</v>
      </c>
      <c r="Y294" s="5">
        <v>2669</v>
      </c>
      <c r="Z294" s="5">
        <v>10386</v>
      </c>
      <c r="AA294" s="5">
        <v>15409</v>
      </c>
      <c r="AB294" s="5">
        <v>2107</v>
      </c>
      <c r="AC294" s="5">
        <v>2791</v>
      </c>
      <c r="AD294" s="5">
        <v>3488</v>
      </c>
      <c r="AE294" s="5">
        <v>866</v>
      </c>
      <c r="AF294" s="5">
        <v>1462</v>
      </c>
      <c r="AG294" s="5">
        <v>1726</v>
      </c>
      <c r="AH294" s="5">
        <v>3633</v>
      </c>
      <c r="AI294" s="5">
        <v>2111</v>
      </c>
      <c r="AJ294" s="5">
        <v>1367</v>
      </c>
      <c r="AK294" s="5">
        <v>2042</v>
      </c>
      <c r="AL294" s="5">
        <v>6279</v>
      </c>
      <c r="AM294" s="5">
        <v>898</v>
      </c>
      <c r="AN294" s="5">
        <v>5891</v>
      </c>
      <c r="AO294" s="5">
        <v>2283</v>
      </c>
      <c r="AP294" s="5">
        <v>1888</v>
      </c>
      <c r="AQ294" s="5">
        <v>8325</v>
      </c>
      <c r="AR294" s="5">
        <v>1376</v>
      </c>
    </row>
    <row r="295" spans="1:44">
      <c r="A295" s="1" t="s">
        <v>991</v>
      </c>
      <c r="B295" s="1" t="s">
        <v>992</v>
      </c>
      <c r="C295" s="1" t="s">
        <v>675</v>
      </c>
      <c r="D295" s="1" t="str">
        <f>HYPERLINK("http://eros.fiehnlab.ucdavis.edu:8080/binbase-compound/bin/show/226330?db=rtx5","226330")</f>
        <v>226330</v>
      </c>
      <c r="E295" s="1" t="s">
        <v>993</v>
      </c>
      <c r="F295" s="1" t="s">
        <v>0</v>
      </c>
      <c r="G295" s="1" t="s">
        <v>0</v>
      </c>
      <c r="H295" s="1"/>
      <c r="I295" s="5">
        <v>1216</v>
      </c>
      <c r="J295" s="5">
        <v>820</v>
      </c>
      <c r="K295" s="5">
        <v>1142</v>
      </c>
      <c r="L295" s="5">
        <v>1639</v>
      </c>
      <c r="M295" s="5">
        <v>900</v>
      </c>
      <c r="N295" s="5">
        <v>1044</v>
      </c>
      <c r="O295" s="5">
        <v>973</v>
      </c>
      <c r="P295" s="5">
        <v>1292</v>
      </c>
      <c r="Q295" s="5">
        <v>761</v>
      </c>
      <c r="R295" s="5">
        <v>1073</v>
      </c>
      <c r="S295" s="5">
        <v>1174</v>
      </c>
      <c r="T295" s="5">
        <v>1237</v>
      </c>
      <c r="U295" s="5">
        <v>1225</v>
      </c>
      <c r="V295" s="5">
        <v>953</v>
      </c>
      <c r="W295" s="5">
        <v>1978</v>
      </c>
      <c r="X295" s="5">
        <v>1375</v>
      </c>
      <c r="Y295" s="5">
        <v>1346</v>
      </c>
      <c r="Z295" s="5">
        <v>1826</v>
      </c>
      <c r="AA295" s="5">
        <v>1539</v>
      </c>
      <c r="AB295" s="5">
        <v>958</v>
      </c>
      <c r="AC295" s="5">
        <v>1414</v>
      </c>
      <c r="AD295" s="5">
        <v>986</v>
      </c>
      <c r="AE295" s="5">
        <v>1684</v>
      </c>
      <c r="AF295" s="5">
        <v>1228</v>
      </c>
      <c r="AG295" s="5">
        <v>1533</v>
      </c>
      <c r="AH295" s="5">
        <v>1489</v>
      </c>
      <c r="AI295" s="5">
        <v>1224</v>
      </c>
      <c r="AJ295" s="5">
        <v>1359</v>
      </c>
      <c r="AK295" s="5">
        <v>1354</v>
      </c>
      <c r="AL295" s="5">
        <v>1686</v>
      </c>
      <c r="AM295" s="5">
        <v>968</v>
      </c>
      <c r="AN295" s="5">
        <v>1423</v>
      </c>
      <c r="AO295" s="5">
        <v>1188</v>
      </c>
      <c r="AP295" s="5">
        <v>1025</v>
      </c>
      <c r="AQ295" s="5">
        <v>1163</v>
      </c>
      <c r="AR295" s="5">
        <v>1613</v>
      </c>
    </row>
    <row r="296" spans="1:44">
      <c r="A296" s="1" t="s">
        <v>888</v>
      </c>
      <c r="B296" s="1" t="s">
        <v>889</v>
      </c>
      <c r="C296" s="1" t="s">
        <v>890</v>
      </c>
      <c r="D296" s="1" t="str">
        <f>HYPERLINK("http://eros.fiehnlab.ucdavis.edu:8080/binbase-compound/bin/show/239320?db=rtx5","239320")</f>
        <v>239320</v>
      </c>
      <c r="E296" s="1" t="s">
        <v>891</v>
      </c>
      <c r="F296" s="1" t="s">
        <v>0</v>
      </c>
      <c r="G296" s="1" t="s">
        <v>0</v>
      </c>
      <c r="H296" s="1"/>
      <c r="I296" s="5">
        <v>869</v>
      </c>
      <c r="J296" s="5">
        <v>284</v>
      </c>
      <c r="K296" s="5">
        <v>767</v>
      </c>
      <c r="L296" s="5">
        <v>569</v>
      </c>
      <c r="M296" s="5">
        <v>447</v>
      </c>
      <c r="N296" s="5">
        <v>366</v>
      </c>
      <c r="O296" s="5">
        <v>1021</v>
      </c>
      <c r="P296" s="5">
        <v>429</v>
      </c>
      <c r="Q296" s="5">
        <v>870</v>
      </c>
      <c r="R296" s="5">
        <v>423</v>
      </c>
      <c r="S296" s="5">
        <v>626</v>
      </c>
      <c r="T296" s="5">
        <v>412</v>
      </c>
      <c r="U296" s="5">
        <v>826</v>
      </c>
      <c r="V296" s="5">
        <v>623</v>
      </c>
      <c r="W296" s="5">
        <v>540</v>
      </c>
      <c r="X296" s="5">
        <v>347</v>
      </c>
      <c r="Y296" s="5">
        <v>570</v>
      </c>
      <c r="Z296" s="5">
        <v>315</v>
      </c>
      <c r="AA296" s="5">
        <v>238</v>
      </c>
      <c r="AB296" s="5">
        <v>489</v>
      </c>
      <c r="AC296" s="5">
        <v>457</v>
      </c>
      <c r="AD296" s="5">
        <v>1166</v>
      </c>
      <c r="AE296" s="5">
        <v>416</v>
      </c>
      <c r="AF296" s="5">
        <v>412</v>
      </c>
      <c r="AG296" s="5">
        <v>572</v>
      </c>
      <c r="AH296" s="5">
        <v>420</v>
      </c>
      <c r="AI296" s="5">
        <v>1017</v>
      </c>
      <c r="AJ296" s="5">
        <v>534</v>
      </c>
      <c r="AK296" s="5">
        <v>453</v>
      </c>
      <c r="AL296" s="5">
        <v>524</v>
      </c>
      <c r="AM296" s="5">
        <v>532</v>
      </c>
      <c r="AN296" s="5">
        <v>540</v>
      </c>
      <c r="AO296" s="5">
        <v>570</v>
      </c>
      <c r="AP296" s="5">
        <v>466</v>
      </c>
      <c r="AQ296" s="5">
        <v>279</v>
      </c>
      <c r="AR296" s="5">
        <v>592</v>
      </c>
    </row>
    <row r="297" spans="1:44">
      <c r="A297" s="1" t="s">
        <v>952</v>
      </c>
      <c r="B297" s="1" t="s">
        <v>953</v>
      </c>
      <c r="C297" s="1" t="s">
        <v>682</v>
      </c>
      <c r="D297" s="1" t="str">
        <f>HYPERLINK("http://eros.fiehnlab.ucdavis.edu:8080/binbase-compound/bin/show/231947?db=rtx5","231947")</f>
        <v>231947</v>
      </c>
      <c r="E297" s="1" t="s">
        <v>954</v>
      </c>
      <c r="F297" s="1" t="s">
        <v>0</v>
      </c>
      <c r="G297" s="1" t="s">
        <v>0</v>
      </c>
      <c r="H297" s="1"/>
      <c r="I297" s="5">
        <v>884</v>
      </c>
      <c r="J297" s="5">
        <v>894</v>
      </c>
      <c r="K297" s="5">
        <v>449</v>
      </c>
      <c r="L297" s="5">
        <v>728</v>
      </c>
      <c r="M297" s="5">
        <v>377</v>
      </c>
      <c r="N297" s="5">
        <v>560</v>
      </c>
      <c r="O297" s="5">
        <v>963</v>
      </c>
      <c r="P297" s="5">
        <v>792</v>
      </c>
      <c r="Q297" s="5">
        <v>855</v>
      </c>
      <c r="R297" s="5">
        <v>452</v>
      </c>
      <c r="S297" s="5">
        <v>595</v>
      </c>
      <c r="T297" s="5">
        <v>504</v>
      </c>
      <c r="U297" s="5">
        <v>496</v>
      </c>
      <c r="V297" s="5">
        <v>502</v>
      </c>
      <c r="W297" s="5">
        <v>776</v>
      </c>
      <c r="X297" s="5">
        <v>767</v>
      </c>
      <c r="Y297" s="5">
        <v>499</v>
      </c>
      <c r="Z297" s="5">
        <v>578</v>
      </c>
      <c r="AA297" s="5">
        <v>1089</v>
      </c>
      <c r="AB297" s="5">
        <v>595</v>
      </c>
      <c r="AC297" s="5">
        <v>396</v>
      </c>
      <c r="AD297" s="5">
        <v>436</v>
      </c>
      <c r="AE297" s="5">
        <v>557</v>
      </c>
      <c r="AF297" s="5">
        <v>471</v>
      </c>
      <c r="AG297" s="5">
        <v>622</v>
      </c>
      <c r="AH297" s="5">
        <v>512</v>
      </c>
      <c r="AI297" s="5">
        <v>1063</v>
      </c>
      <c r="AJ297" s="5">
        <v>776</v>
      </c>
      <c r="AK297" s="5">
        <v>569</v>
      </c>
      <c r="AL297" s="5">
        <v>541</v>
      </c>
      <c r="AM297" s="5">
        <v>649</v>
      </c>
      <c r="AN297" s="5">
        <v>625</v>
      </c>
      <c r="AO297" s="5">
        <v>631</v>
      </c>
      <c r="AP297" s="5">
        <v>460</v>
      </c>
      <c r="AQ297" s="5">
        <v>691</v>
      </c>
      <c r="AR297" s="5">
        <v>723</v>
      </c>
    </row>
    <row r="298" spans="1:44">
      <c r="A298" s="1" t="s">
        <v>718</v>
      </c>
      <c r="B298" s="1" t="s">
        <v>719</v>
      </c>
      <c r="C298" s="1" t="s">
        <v>85</v>
      </c>
      <c r="D298" s="1" t="str">
        <f>HYPERLINK("http://eros.fiehnlab.ucdavis.edu:8080/binbase-compound/bin/show/309642?db=rtx5","309642")</f>
        <v>309642</v>
      </c>
      <c r="E298" s="1" t="s">
        <v>720</v>
      </c>
      <c r="F298" s="1" t="s">
        <v>0</v>
      </c>
      <c r="G298" s="1" t="s">
        <v>0</v>
      </c>
      <c r="H298" s="1"/>
      <c r="I298" s="5">
        <v>1817</v>
      </c>
      <c r="J298" s="5">
        <v>1499</v>
      </c>
      <c r="K298" s="5">
        <v>2523</v>
      </c>
      <c r="L298" s="5">
        <v>744</v>
      </c>
      <c r="M298" s="5">
        <v>2155</v>
      </c>
      <c r="N298" s="5">
        <v>2063</v>
      </c>
      <c r="O298" s="5">
        <v>1383</v>
      </c>
      <c r="P298" s="5">
        <v>1637</v>
      </c>
      <c r="Q298" s="5">
        <v>2640</v>
      </c>
      <c r="R298" s="5">
        <v>1948</v>
      </c>
      <c r="S298" s="5">
        <v>2462</v>
      </c>
      <c r="T298" s="5">
        <v>955</v>
      </c>
      <c r="U298" s="5">
        <v>1542</v>
      </c>
      <c r="V298" s="5">
        <v>1010</v>
      </c>
      <c r="W298" s="5">
        <v>1774</v>
      </c>
      <c r="X298" s="5">
        <v>2136</v>
      </c>
      <c r="Y298" s="5">
        <v>2325</v>
      </c>
      <c r="Z298" s="5">
        <v>2239</v>
      </c>
      <c r="AA298" s="5">
        <v>1451</v>
      </c>
      <c r="AB298" s="5">
        <v>1312</v>
      </c>
      <c r="AC298" s="5">
        <v>1738</v>
      </c>
      <c r="AD298" s="5">
        <v>1710</v>
      </c>
      <c r="AE298" s="5">
        <v>1435</v>
      </c>
      <c r="AF298" s="5">
        <v>1283</v>
      </c>
      <c r="AG298" s="5">
        <v>1735</v>
      </c>
      <c r="AH298" s="5">
        <v>1981</v>
      </c>
      <c r="AI298" s="5">
        <v>1386</v>
      </c>
      <c r="AJ298" s="5">
        <v>878</v>
      </c>
      <c r="AK298" s="5">
        <v>2260</v>
      </c>
      <c r="AL298" s="5">
        <v>1876</v>
      </c>
      <c r="AM298" s="5">
        <v>1385</v>
      </c>
      <c r="AN298" s="5">
        <v>2141</v>
      </c>
      <c r="AO298" s="5">
        <v>2468</v>
      </c>
      <c r="AP298" s="5">
        <v>2002</v>
      </c>
      <c r="AQ298" s="5">
        <v>2078</v>
      </c>
      <c r="AR298" s="5">
        <v>1764</v>
      </c>
    </row>
    <row r="299" spans="1:44">
      <c r="A299" s="1" t="s">
        <v>702</v>
      </c>
      <c r="B299" s="1" t="s">
        <v>703</v>
      </c>
      <c r="C299" s="1" t="s">
        <v>535</v>
      </c>
      <c r="D299" s="1" t="str">
        <f>HYPERLINK("http://eros.fiehnlab.ucdavis.edu:8080/binbase-compound/bin/show/321692?db=rtx5","321692")</f>
        <v>321692</v>
      </c>
      <c r="E299" s="1" t="s">
        <v>704</v>
      </c>
      <c r="F299" s="1" t="s">
        <v>0</v>
      </c>
      <c r="G299" s="1" t="s">
        <v>0</v>
      </c>
      <c r="H299" s="1"/>
      <c r="I299" s="5">
        <v>3144</v>
      </c>
      <c r="J299" s="5">
        <v>4144</v>
      </c>
      <c r="K299" s="5">
        <v>3274</v>
      </c>
      <c r="L299" s="5">
        <v>4289</v>
      </c>
      <c r="M299" s="5">
        <v>3643</v>
      </c>
      <c r="N299" s="5">
        <v>4467</v>
      </c>
      <c r="O299" s="5">
        <v>3684</v>
      </c>
      <c r="P299" s="5">
        <v>3753</v>
      </c>
      <c r="Q299" s="5">
        <v>3560</v>
      </c>
      <c r="R299" s="5">
        <v>2814</v>
      </c>
      <c r="S299" s="5">
        <v>4322</v>
      </c>
      <c r="T299" s="5">
        <v>3343</v>
      </c>
      <c r="U299" s="5">
        <v>2729</v>
      </c>
      <c r="V299" s="5">
        <v>3248</v>
      </c>
      <c r="W299" s="5">
        <v>2452</v>
      </c>
      <c r="X299" s="5">
        <v>2994</v>
      </c>
      <c r="Y299" s="5">
        <v>3063</v>
      </c>
      <c r="Z299" s="5">
        <v>4220</v>
      </c>
      <c r="AA299" s="5">
        <v>4473</v>
      </c>
      <c r="AB299" s="5">
        <v>3100</v>
      </c>
      <c r="AC299" s="5">
        <v>2665</v>
      </c>
      <c r="AD299" s="5">
        <v>2339</v>
      </c>
      <c r="AE299" s="5">
        <v>3334</v>
      </c>
      <c r="AF299" s="5">
        <v>1797</v>
      </c>
      <c r="AG299" s="5">
        <v>3284</v>
      </c>
      <c r="AH299" s="5">
        <v>3078</v>
      </c>
      <c r="AI299" s="5">
        <v>5510</v>
      </c>
      <c r="AJ299" s="5">
        <v>2718</v>
      </c>
      <c r="AK299" s="5">
        <v>3585</v>
      </c>
      <c r="AL299" s="5">
        <v>4337</v>
      </c>
      <c r="AM299" s="5">
        <v>2591</v>
      </c>
      <c r="AN299" s="5">
        <v>4043</v>
      </c>
      <c r="AO299" s="5">
        <v>3751</v>
      </c>
      <c r="AP299" s="5">
        <v>3033</v>
      </c>
      <c r="AQ299" s="5">
        <v>4474</v>
      </c>
      <c r="AR299" s="5">
        <v>3268</v>
      </c>
    </row>
    <row r="300" spans="1:44">
      <c r="A300" s="1" t="s">
        <v>972</v>
      </c>
      <c r="B300" s="1" t="s">
        <v>973</v>
      </c>
      <c r="C300" s="1" t="s">
        <v>738</v>
      </c>
      <c r="D300" s="1" t="str">
        <f>HYPERLINK("http://eros.fiehnlab.ucdavis.edu:8080/binbase-compound/bin/show/229153?db=rtx5","229153")</f>
        <v>229153</v>
      </c>
      <c r="E300" s="1" t="s">
        <v>974</v>
      </c>
      <c r="F300" s="1" t="s">
        <v>0</v>
      </c>
      <c r="G300" s="1" t="s">
        <v>0</v>
      </c>
      <c r="H300" s="1"/>
      <c r="I300" s="5">
        <v>1004</v>
      </c>
      <c r="J300" s="5">
        <v>1566</v>
      </c>
      <c r="K300" s="5">
        <v>1462</v>
      </c>
      <c r="L300" s="5">
        <v>1482</v>
      </c>
      <c r="M300" s="5">
        <v>1482</v>
      </c>
      <c r="N300" s="5">
        <v>1699</v>
      </c>
      <c r="O300" s="5">
        <v>1560</v>
      </c>
      <c r="P300" s="5">
        <v>1231</v>
      </c>
      <c r="Q300" s="5">
        <v>1536</v>
      </c>
      <c r="R300" s="5">
        <v>1706</v>
      </c>
      <c r="S300" s="5">
        <v>1301</v>
      </c>
      <c r="T300" s="5">
        <v>1247</v>
      </c>
      <c r="U300" s="5">
        <v>1475</v>
      </c>
      <c r="V300" s="5">
        <v>1204</v>
      </c>
      <c r="W300" s="5">
        <v>1567</v>
      </c>
      <c r="X300" s="5">
        <v>1253</v>
      </c>
      <c r="Y300" s="5">
        <v>1156</v>
      </c>
      <c r="Z300" s="5">
        <v>1124</v>
      </c>
      <c r="AA300" s="5">
        <v>1467</v>
      </c>
      <c r="AB300" s="5">
        <v>1491</v>
      </c>
      <c r="AC300" s="5">
        <v>1189</v>
      </c>
      <c r="AD300" s="5">
        <v>1248</v>
      </c>
      <c r="AE300" s="5">
        <v>1292</v>
      </c>
      <c r="AF300" s="5">
        <v>1458</v>
      </c>
      <c r="AG300" s="5">
        <v>1615</v>
      </c>
      <c r="AH300" s="5">
        <v>1620</v>
      </c>
      <c r="AI300" s="5">
        <v>1964</v>
      </c>
      <c r="AJ300" s="5">
        <v>1595</v>
      </c>
      <c r="AK300" s="5">
        <v>1807</v>
      </c>
      <c r="AL300" s="5">
        <v>1478</v>
      </c>
      <c r="AM300" s="5">
        <v>1162</v>
      </c>
      <c r="AN300" s="5">
        <v>1564</v>
      </c>
      <c r="AO300" s="5">
        <v>1659</v>
      </c>
      <c r="AP300" s="5">
        <v>1347</v>
      </c>
      <c r="AQ300" s="5">
        <v>1362</v>
      </c>
      <c r="AR300" s="5">
        <v>1412</v>
      </c>
    </row>
    <row r="301" spans="1:44">
      <c r="A301" s="1" t="s">
        <v>696</v>
      </c>
      <c r="B301" s="1" t="s">
        <v>697</v>
      </c>
      <c r="C301" s="1" t="s">
        <v>167</v>
      </c>
      <c r="D301" s="1" t="str">
        <f>HYPERLINK("http://eros.fiehnlab.ucdavis.edu:8080/binbase-compound/bin/show/339455?db=rtx5","339455")</f>
        <v>339455</v>
      </c>
      <c r="E301" s="1" t="s">
        <v>698</v>
      </c>
      <c r="F301" s="1" t="s">
        <v>0</v>
      </c>
      <c r="G301" s="1" t="s">
        <v>0</v>
      </c>
      <c r="H301" s="1"/>
      <c r="I301" s="5">
        <v>1931</v>
      </c>
      <c r="J301" s="5">
        <v>2447</v>
      </c>
      <c r="K301" s="5">
        <v>1281</v>
      </c>
      <c r="L301" s="5">
        <v>759</v>
      </c>
      <c r="M301" s="5">
        <v>1970</v>
      </c>
      <c r="N301" s="5">
        <v>1350</v>
      </c>
      <c r="O301" s="5">
        <v>1756</v>
      </c>
      <c r="P301" s="5">
        <v>1333</v>
      </c>
      <c r="Q301" s="5">
        <v>1752</v>
      </c>
      <c r="R301" s="5">
        <v>929</v>
      </c>
      <c r="S301" s="5">
        <v>1724</v>
      </c>
      <c r="T301" s="5">
        <v>2118</v>
      </c>
      <c r="U301" s="5">
        <v>1314</v>
      </c>
      <c r="V301" s="5">
        <v>1804</v>
      </c>
      <c r="W301" s="5">
        <v>2351</v>
      </c>
      <c r="X301" s="5">
        <v>1633</v>
      </c>
      <c r="Y301" s="5">
        <v>1052</v>
      </c>
      <c r="Z301" s="5">
        <v>3155</v>
      </c>
      <c r="AA301" s="5">
        <v>1890</v>
      </c>
      <c r="AB301" s="5">
        <v>827</v>
      </c>
      <c r="AC301" s="5">
        <v>1112</v>
      </c>
      <c r="AD301" s="5">
        <v>871</v>
      </c>
      <c r="AE301" s="5">
        <v>1325</v>
      </c>
      <c r="AF301" s="5">
        <v>1010</v>
      </c>
      <c r="AG301" s="5">
        <v>1188</v>
      </c>
      <c r="AH301" s="5">
        <v>866</v>
      </c>
      <c r="AI301" s="5">
        <v>1858</v>
      </c>
      <c r="AJ301" s="5">
        <v>884</v>
      </c>
      <c r="AK301" s="5">
        <v>1009</v>
      </c>
      <c r="AL301" s="5">
        <v>3316</v>
      </c>
      <c r="AM301" s="5">
        <v>766</v>
      </c>
      <c r="AN301" s="5">
        <v>2229</v>
      </c>
      <c r="AO301" s="5">
        <v>1297</v>
      </c>
      <c r="AP301" s="5">
        <v>890</v>
      </c>
      <c r="AQ301" s="5">
        <v>3623</v>
      </c>
      <c r="AR301" s="5">
        <v>777</v>
      </c>
    </row>
    <row r="302" spans="1:44">
      <c r="A302" s="1" t="s">
        <v>1111</v>
      </c>
      <c r="B302" s="1" t="s">
        <v>1112</v>
      </c>
      <c r="C302" s="1" t="s">
        <v>738</v>
      </c>
      <c r="D302" s="1" t="str">
        <f>HYPERLINK("http://eros.fiehnlab.ucdavis.edu:8080/binbase-compound/bin/show/203592?db=rtx5","203592")</f>
        <v>203592</v>
      </c>
      <c r="E302" s="1" t="s">
        <v>1113</v>
      </c>
      <c r="F302" s="1" t="s">
        <v>0</v>
      </c>
      <c r="G302" s="1" t="s">
        <v>0</v>
      </c>
      <c r="H302" s="1"/>
      <c r="I302" s="5">
        <v>2095</v>
      </c>
      <c r="J302" s="5">
        <v>1898</v>
      </c>
      <c r="K302" s="5">
        <v>1480</v>
      </c>
      <c r="L302" s="5">
        <v>1515</v>
      </c>
      <c r="M302" s="5">
        <v>1744</v>
      </c>
      <c r="N302" s="5">
        <v>1763</v>
      </c>
      <c r="O302" s="5">
        <v>1414</v>
      </c>
      <c r="P302" s="5">
        <v>1307</v>
      </c>
      <c r="Q302" s="5">
        <v>1987</v>
      </c>
      <c r="R302" s="5">
        <v>999</v>
      </c>
      <c r="S302" s="5">
        <v>1734</v>
      </c>
      <c r="T302" s="5">
        <v>1778</v>
      </c>
      <c r="U302" s="5">
        <v>1651</v>
      </c>
      <c r="V302" s="5">
        <v>1558</v>
      </c>
      <c r="W302" s="5">
        <v>1722</v>
      </c>
      <c r="X302" s="5">
        <v>1670</v>
      </c>
      <c r="Y302" s="5">
        <v>1315</v>
      </c>
      <c r="Z302" s="5">
        <v>1921</v>
      </c>
      <c r="AA302" s="5">
        <v>2780</v>
      </c>
      <c r="AB302" s="5">
        <v>1263</v>
      </c>
      <c r="AC302" s="5">
        <v>1182</v>
      </c>
      <c r="AD302" s="5">
        <v>1016</v>
      </c>
      <c r="AE302" s="5">
        <v>2090</v>
      </c>
      <c r="AF302" s="5">
        <v>1449</v>
      </c>
      <c r="AG302" s="5">
        <v>1790</v>
      </c>
      <c r="AH302" s="5">
        <v>1408</v>
      </c>
      <c r="AI302" s="5">
        <v>2534</v>
      </c>
      <c r="AJ302" s="5">
        <v>1089</v>
      </c>
      <c r="AK302" s="5">
        <v>1433</v>
      </c>
      <c r="AL302" s="5">
        <v>1753</v>
      </c>
      <c r="AM302" s="5">
        <v>1459</v>
      </c>
      <c r="AN302" s="5">
        <v>2103</v>
      </c>
      <c r="AO302" s="5">
        <v>1460</v>
      </c>
      <c r="AP302" s="5">
        <v>1407</v>
      </c>
      <c r="AQ302" s="5">
        <v>1915</v>
      </c>
      <c r="AR302" s="5">
        <v>1546</v>
      </c>
    </row>
    <row r="303" spans="1:44">
      <c r="A303" s="1" t="s">
        <v>901</v>
      </c>
      <c r="B303" s="1" t="s">
        <v>902</v>
      </c>
      <c r="C303" s="1" t="s">
        <v>389</v>
      </c>
      <c r="D303" s="1" t="str">
        <f>HYPERLINK("http://eros.fiehnlab.ucdavis.edu:8080/binbase-compound/bin/show/238134?db=rtx5","238134")</f>
        <v>238134</v>
      </c>
      <c r="E303" s="1" t="s">
        <v>903</v>
      </c>
      <c r="F303" s="1" t="s">
        <v>0</v>
      </c>
      <c r="G303" s="1" t="s">
        <v>0</v>
      </c>
      <c r="H303" s="1"/>
      <c r="I303" s="5">
        <v>1720</v>
      </c>
      <c r="J303" s="5">
        <v>2535</v>
      </c>
      <c r="K303" s="5">
        <v>1119</v>
      </c>
      <c r="L303" s="5">
        <v>1376</v>
      </c>
      <c r="M303" s="5">
        <v>2405</v>
      </c>
      <c r="N303" s="5">
        <v>1508</v>
      </c>
      <c r="O303" s="5">
        <v>716</v>
      </c>
      <c r="P303" s="5">
        <v>1073</v>
      </c>
      <c r="Q303" s="5">
        <v>5551</v>
      </c>
      <c r="R303" s="5">
        <v>788</v>
      </c>
      <c r="S303" s="5">
        <v>3695</v>
      </c>
      <c r="T303" s="5">
        <v>5887</v>
      </c>
      <c r="U303" s="5">
        <v>3813</v>
      </c>
      <c r="V303" s="5">
        <v>1462</v>
      </c>
      <c r="W303" s="5">
        <v>1934</v>
      </c>
      <c r="X303" s="5">
        <v>2217</v>
      </c>
      <c r="Y303" s="5">
        <v>1884</v>
      </c>
      <c r="Z303" s="5">
        <v>1515</v>
      </c>
      <c r="AA303" s="5">
        <v>6087</v>
      </c>
      <c r="AB303" s="5">
        <v>2675</v>
      </c>
      <c r="AC303" s="5">
        <v>2668</v>
      </c>
      <c r="AD303" s="5">
        <v>4064</v>
      </c>
      <c r="AE303" s="5">
        <v>3059</v>
      </c>
      <c r="AF303" s="5">
        <v>3919</v>
      </c>
      <c r="AG303" s="5">
        <v>4327</v>
      </c>
      <c r="AH303" s="5">
        <v>5637</v>
      </c>
      <c r="AI303" s="5">
        <v>1669</v>
      </c>
      <c r="AJ303" s="5">
        <v>3344</v>
      </c>
      <c r="AK303" s="5">
        <v>3291</v>
      </c>
      <c r="AL303" s="5">
        <v>3728</v>
      </c>
      <c r="AM303" s="5">
        <v>1883</v>
      </c>
      <c r="AN303" s="5">
        <v>2690</v>
      </c>
      <c r="AO303" s="5">
        <v>2694</v>
      </c>
      <c r="AP303" s="5">
        <v>2406</v>
      </c>
      <c r="AQ303" s="5">
        <v>3717</v>
      </c>
      <c r="AR303" s="5">
        <v>1750</v>
      </c>
    </row>
    <row r="304" spans="1:44">
      <c r="A304" s="1" t="s">
        <v>781</v>
      </c>
      <c r="B304" s="1" t="s">
        <v>782</v>
      </c>
      <c r="C304" s="1" t="s">
        <v>117</v>
      </c>
      <c r="D304" s="1" t="str">
        <f>HYPERLINK("http://eros.fiehnlab.ucdavis.edu:8080/binbase-compound/bin/show/274189?db=rtx5","274189")</f>
        <v>274189</v>
      </c>
      <c r="E304" s="1" t="s">
        <v>783</v>
      </c>
      <c r="F304" s="1" t="s">
        <v>0</v>
      </c>
      <c r="G304" s="1" t="s">
        <v>0</v>
      </c>
      <c r="H304" s="1"/>
      <c r="I304" s="5">
        <v>5889</v>
      </c>
      <c r="J304" s="5">
        <v>4476</v>
      </c>
      <c r="K304" s="5">
        <v>620</v>
      </c>
      <c r="L304" s="5">
        <v>1457</v>
      </c>
      <c r="M304" s="5">
        <v>714</v>
      </c>
      <c r="N304" s="5">
        <v>790</v>
      </c>
      <c r="O304" s="5">
        <v>1250</v>
      </c>
      <c r="P304" s="5">
        <v>1021</v>
      </c>
      <c r="Q304" s="5">
        <v>4424</v>
      </c>
      <c r="R304" s="5">
        <v>2137</v>
      </c>
      <c r="S304" s="5">
        <v>3332</v>
      </c>
      <c r="T304" s="5">
        <v>9268</v>
      </c>
      <c r="U304" s="5">
        <v>8703</v>
      </c>
      <c r="V304" s="5">
        <v>2695</v>
      </c>
      <c r="W304" s="5">
        <v>981</v>
      </c>
      <c r="X304" s="5">
        <v>1031</v>
      </c>
      <c r="Y304" s="5">
        <v>841</v>
      </c>
      <c r="Z304" s="5">
        <v>3833</v>
      </c>
      <c r="AA304" s="5">
        <v>1086</v>
      </c>
      <c r="AB304" s="5">
        <v>345</v>
      </c>
      <c r="AC304" s="5">
        <v>350</v>
      </c>
      <c r="AD304" s="5">
        <v>1078</v>
      </c>
      <c r="AE304" s="5">
        <v>1401</v>
      </c>
      <c r="AF304" s="5">
        <v>2458</v>
      </c>
      <c r="AG304" s="5">
        <v>851</v>
      </c>
      <c r="AH304" s="5">
        <v>997</v>
      </c>
      <c r="AI304" s="5">
        <v>748</v>
      </c>
      <c r="AJ304" s="5">
        <v>1179</v>
      </c>
      <c r="AK304" s="5">
        <v>1083</v>
      </c>
      <c r="AL304" s="5">
        <v>2275</v>
      </c>
      <c r="AM304" s="5">
        <v>881</v>
      </c>
      <c r="AN304" s="5">
        <v>769</v>
      </c>
      <c r="AO304" s="5">
        <v>529</v>
      </c>
      <c r="AP304" s="5">
        <v>1414</v>
      </c>
      <c r="AQ304" s="5">
        <v>2408</v>
      </c>
      <c r="AR304" s="5">
        <v>838</v>
      </c>
    </row>
    <row r="305" spans="1:44">
      <c r="A305" s="1" t="s">
        <v>721</v>
      </c>
      <c r="B305" s="1" t="s">
        <v>722</v>
      </c>
      <c r="C305" s="1" t="s">
        <v>132</v>
      </c>
      <c r="D305" s="1" t="str">
        <f>HYPERLINK("http://eros.fiehnlab.ucdavis.edu:8080/binbase-compound/bin/show/309540?db=rtx5","309540")</f>
        <v>309540</v>
      </c>
      <c r="E305" s="1" t="s">
        <v>723</v>
      </c>
      <c r="F305" s="1" t="s">
        <v>0</v>
      </c>
      <c r="G305" s="1" t="s">
        <v>0</v>
      </c>
      <c r="H305" s="1"/>
      <c r="I305" s="5">
        <v>6324</v>
      </c>
      <c r="J305" s="5">
        <v>7006</v>
      </c>
      <c r="K305" s="5">
        <v>1455</v>
      </c>
      <c r="L305" s="5">
        <v>3396</v>
      </c>
      <c r="M305" s="5">
        <v>1169</v>
      </c>
      <c r="N305" s="5">
        <v>6621</v>
      </c>
      <c r="O305" s="5">
        <v>1298</v>
      </c>
      <c r="P305" s="5">
        <v>1168</v>
      </c>
      <c r="Q305" s="5">
        <v>3640</v>
      </c>
      <c r="R305" s="5">
        <v>551</v>
      </c>
      <c r="S305" s="5">
        <v>792</v>
      </c>
      <c r="T305" s="5">
        <v>2435</v>
      </c>
      <c r="U305" s="5">
        <v>11062</v>
      </c>
      <c r="V305" s="5">
        <v>2082</v>
      </c>
      <c r="W305" s="5">
        <v>789</v>
      </c>
      <c r="X305" s="5">
        <v>948</v>
      </c>
      <c r="Y305" s="5">
        <v>1599</v>
      </c>
      <c r="Z305" s="5">
        <v>1582</v>
      </c>
      <c r="AA305" s="5">
        <v>1166</v>
      </c>
      <c r="AB305" s="5">
        <v>675</v>
      </c>
      <c r="AC305" s="5">
        <v>719</v>
      </c>
      <c r="AD305" s="5">
        <v>1258</v>
      </c>
      <c r="AE305" s="5">
        <v>567</v>
      </c>
      <c r="AF305" s="5">
        <v>2149</v>
      </c>
      <c r="AG305" s="5">
        <v>546</v>
      </c>
      <c r="AH305" s="5">
        <v>410</v>
      </c>
      <c r="AI305" s="5">
        <v>1777</v>
      </c>
      <c r="AJ305" s="5">
        <v>489</v>
      </c>
      <c r="AK305" s="5">
        <v>421</v>
      </c>
      <c r="AL305" s="5">
        <v>4494</v>
      </c>
      <c r="AM305" s="5">
        <v>1571</v>
      </c>
      <c r="AN305" s="5">
        <v>2311</v>
      </c>
      <c r="AO305" s="5">
        <v>523</v>
      </c>
      <c r="AP305" s="5">
        <v>396</v>
      </c>
      <c r="AQ305" s="5">
        <v>1933</v>
      </c>
      <c r="AR305" s="5">
        <v>385</v>
      </c>
    </row>
    <row r="306" spans="1:44">
      <c r="A306" s="1" t="s">
        <v>1007</v>
      </c>
      <c r="B306" s="1" t="s">
        <v>1008</v>
      </c>
      <c r="C306" s="1" t="s">
        <v>518</v>
      </c>
      <c r="D306" s="1" t="str">
        <f>HYPERLINK("http://eros.fiehnlab.ucdavis.edu:8080/binbase-compound/bin/show/224574?db=rtx5","224574")</f>
        <v>224574</v>
      </c>
      <c r="E306" s="1" t="s">
        <v>1009</v>
      </c>
      <c r="F306" s="1" t="s">
        <v>0</v>
      </c>
      <c r="G306" s="1" t="s">
        <v>0</v>
      </c>
      <c r="H306" s="1"/>
      <c r="I306" s="5">
        <v>361</v>
      </c>
      <c r="J306" s="5">
        <v>282</v>
      </c>
      <c r="K306" s="5">
        <v>623</v>
      </c>
      <c r="L306" s="5">
        <v>720</v>
      </c>
      <c r="M306" s="5">
        <v>690</v>
      </c>
      <c r="N306" s="5">
        <v>365</v>
      </c>
      <c r="O306" s="5">
        <v>278</v>
      </c>
      <c r="P306" s="5">
        <v>1111</v>
      </c>
      <c r="Q306" s="5">
        <v>482</v>
      </c>
      <c r="R306" s="5">
        <v>390</v>
      </c>
      <c r="S306" s="5">
        <v>493</v>
      </c>
      <c r="T306" s="5">
        <v>270</v>
      </c>
      <c r="U306" s="5">
        <v>789</v>
      </c>
      <c r="V306" s="5">
        <v>358</v>
      </c>
      <c r="W306" s="5">
        <v>430</v>
      </c>
      <c r="X306" s="5">
        <v>668</v>
      </c>
      <c r="Y306" s="5">
        <v>1052</v>
      </c>
      <c r="Z306" s="5">
        <v>368</v>
      </c>
      <c r="AA306" s="5">
        <v>197</v>
      </c>
      <c r="AB306" s="5">
        <v>697</v>
      </c>
      <c r="AC306" s="5">
        <v>746</v>
      </c>
      <c r="AD306" s="5">
        <v>461</v>
      </c>
      <c r="AE306" s="5">
        <v>604</v>
      </c>
      <c r="AF306" s="5">
        <v>578</v>
      </c>
      <c r="AG306" s="5">
        <v>554</v>
      </c>
      <c r="AH306" s="5">
        <v>693</v>
      </c>
      <c r="AI306" s="5">
        <v>282</v>
      </c>
      <c r="AJ306" s="5">
        <v>579</v>
      </c>
      <c r="AK306" s="5">
        <v>666</v>
      </c>
      <c r="AL306" s="5">
        <v>502</v>
      </c>
      <c r="AM306" s="5">
        <v>637</v>
      </c>
      <c r="AN306" s="5">
        <v>301</v>
      </c>
      <c r="AO306" s="5">
        <v>976</v>
      </c>
      <c r="AP306" s="5">
        <v>317</v>
      </c>
      <c r="AQ306" s="5">
        <v>470</v>
      </c>
      <c r="AR306" s="5">
        <v>436</v>
      </c>
    </row>
    <row r="307" spans="1:44">
      <c r="A307" s="1" t="s">
        <v>1105</v>
      </c>
      <c r="B307" s="1" t="s">
        <v>1106</v>
      </c>
      <c r="C307" s="1" t="s">
        <v>738</v>
      </c>
      <c r="D307" s="1" t="str">
        <f>HYPERLINK("http://eros.fiehnlab.ucdavis.edu:8080/binbase-compound/bin/show/204448?db=rtx5","204448")</f>
        <v>204448</v>
      </c>
      <c r="E307" s="1" t="s">
        <v>1107</v>
      </c>
      <c r="F307" s="1" t="s">
        <v>0</v>
      </c>
      <c r="G307" s="1" t="s">
        <v>0</v>
      </c>
      <c r="H307" s="1"/>
      <c r="I307" s="5">
        <v>921</v>
      </c>
      <c r="J307" s="5">
        <v>994</v>
      </c>
      <c r="K307" s="5">
        <v>1076</v>
      </c>
      <c r="L307" s="5">
        <v>862</v>
      </c>
      <c r="M307" s="5">
        <v>980</v>
      </c>
      <c r="N307" s="5">
        <v>873</v>
      </c>
      <c r="O307" s="5">
        <v>557</v>
      </c>
      <c r="P307" s="5">
        <v>723</v>
      </c>
      <c r="Q307" s="5">
        <v>1105</v>
      </c>
      <c r="R307" s="5">
        <v>729</v>
      </c>
      <c r="S307" s="5">
        <v>1181</v>
      </c>
      <c r="T307" s="5">
        <v>1006</v>
      </c>
      <c r="U307" s="5">
        <v>661</v>
      </c>
      <c r="V307" s="5">
        <v>892</v>
      </c>
      <c r="W307" s="5">
        <v>876</v>
      </c>
      <c r="X307" s="5">
        <v>969</v>
      </c>
      <c r="Y307" s="5">
        <v>995</v>
      </c>
      <c r="Z307" s="5">
        <v>1013</v>
      </c>
      <c r="AA307" s="5">
        <v>2592</v>
      </c>
      <c r="AB307" s="5">
        <v>754</v>
      </c>
      <c r="AC307" s="5">
        <v>1126</v>
      </c>
      <c r="AD307" s="5">
        <v>1046</v>
      </c>
      <c r="AE307" s="5">
        <v>974</v>
      </c>
      <c r="AF307" s="5">
        <v>807</v>
      </c>
      <c r="AG307" s="5">
        <v>846</v>
      </c>
      <c r="AH307" s="5">
        <v>1007</v>
      </c>
      <c r="AI307" s="5">
        <v>1274</v>
      </c>
      <c r="AJ307" s="5">
        <v>779</v>
      </c>
      <c r="AK307" s="5">
        <v>1305</v>
      </c>
      <c r="AL307" s="5">
        <v>755</v>
      </c>
      <c r="AM307" s="5">
        <v>650</v>
      </c>
      <c r="AN307" s="5">
        <v>1014</v>
      </c>
      <c r="AO307" s="5">
        <v>787</v>
      </c>
      <c r="AP307" s="5">
        <v>798</v>
      </c>
      <c r="AQ307" s="5">
        <v>1063</v>
      </c>
      <c r="AR307" s="5">
        <v>663</v>
      </c>
    </row>
    <row r="308" spans="1:44">
      <c r="A308" s="1" t="s">
        <v>1001</v>
      </c>
      <c r="B308" s="1" t="s">
        <v>1002</v>
      </c>
      <c r="C308" s="1" t="s">
        <v>803</v>
      </c>
      <c r="D308" s="1" t="str">
        <f>HYPERLINK("http://eros.fiehnlab.ucdavis.edu:8080/binbase-compound/bin/show/224849?db=rtx5","224849")</f>
        <v>224849</v>
      </c>
      <c r="E308" s="1" t="s">
        <v>1003</v>
      </c>
      <c r="F308" s="1" t="s">
        <v>0</v>
      </c>
      <c r="G308" s="1" t="s">
        <v>0</v>
      </c>
      <c r="H308" s="1"/>
      <c r="I308" s="5">
        <v>395</v>
      </c>
      <c r="J308" s="5">
        <v>394</v>
      </c>
      <c r="K308" s="5">
        <v>214</v>
      </c>
      <c r="L308" s="5">
        <v>224</v>
      </c>
      <c r="M308" s="5">
        <v>172</v>
      </c>
      <c r="N308" s="5">
        <v>346</v>
      </c>
      <c r="O308" s="5">
        <v>285</v>
      </c>
      <c r="P308" s="5">
        <v>202</v>
      </c>
      <c r="Q308" s="5">
        <v>321</v>
      </c>
      <c r="R308" s="5">
        <v>165</v>
      </c>
      <c r="S308" s="5">
        <v>363</v>
      </c>
      <c r="T308" s="5">
        <v>268</v>
      </c>
      <c r="U308" s="5">
        <v>330</v>
      </c>
      <c r="V308" s="5">
        <v>195</v>
      </c>
      <c r="W308" s="5">
        <v>202</v>
      </c>
      <c r="X308" s="5">
        <v>374</v>
      </c>
      <c r="Y308" s="5">
        <v>380</v>
      </c>
      <c r="Z308" s="5">
        <v>228</v>
      </c>
      <c r="AA308" s="5">
        <v>497</v>
      </c>
      <c r="AB308" s="5">
        <v>213</v>
      </c>
      <c r="AC308" s="5">
        <v>175</v>
      </c>
      <c r="AD308" s="5">
        <v>227</v>
      </c>
      <c r="AE308" s="5">
        <v>395</v>
      </c>
      <c r="AF308" s="5">
        <v>159</v>
      </c>
      <c r="AG308" s="5">
        <v>214</v>
      </c>
      <c r="AH308" s="5">
        <v>158</v>
      </c>
      <c r="AI308" s="5">
        <v>386</v>
      </c>
      <c r="AJ308" s="5">
        <v>331</v>
      </c>
      <c r="AK308" s="5">
        <v>254</v>
      </c>
      <c r="AL308" s="5">
        <v>415</v>
      </c>
      <c r="AM308" s="5">
        <v>303</v>
      </c>
      <c r="AN308" s="5">
        <v>220</v>
      </c>
      <c r="AO308" s="5">
        <v>139</v>
      </c>
      <c r="AP308" s="5">
        <v>210</v>
      </c>
      <c r="AQ308" s="5">
        <v>359</v>
      </c>
      <c r="AR308" s="5">
        <v>271</v>
      </c>
    </row>
    <row r="309" spans="1:44">
      <c r="A309" s="1" t="s">
        <v>1026</v>
      </c>
      <c r="B309" s="1" t="s">
        <v>1027</v>
      </c>
      <c r="C309" s="1" t="s">
        <v>1028</v>
      </c>
      <c r="D309" s="1" t="str">
        <f>HYPERLINK("http://eros.fiehnlab.ucdavis.edu:8080/binbase-compound/bin/show/222050?db=rtx5","222050")</f>
        <v>222050</v>
      </c>
      <c r="E309" s="1" t="s">
        <v>1029</v>
      </c>
      <c r="F309" s="1" t="s">
        <v>0</v>
      </c>
      <c r="G309" s="1" t="s">
        <v>0</v>
      </c>
      <c r="H309" s="1"/>
      <c r="I309" s="5">
        <v>591</v>
      </c>
      <c r="J309" s="5">
        <v>1893</v>
      </c>
      <c r="K309" s="5">
        <v>1473</v>
      </c>
      <c r="L309" s="5">
        <v>1132</v>
      </c>
      <c r="M309" s="5">
        <v>280</v>
      </c>
      <c r="N309" s="5">
        <v>1339</v>
      </c>
      <c r="O309" s="5">
        <v>242</v>
      </c>
      <c r="P309" s="5">
        <v>1587</v>
      </c>
      <c r="Q309" s="5">
        <v>1035</v>
      </c>
      <c r="R309" s="5">
        <v>2420</v>
      </c>
      <c r="S309" s="5">
        <v>2080</v>
      </c>
      <c r="T309" s="5">
        <v>1891</v>
      </c>
      <c r="U309" s="5">
        <v>1101</v>
      </c>
      <c r="V309" s="5">
        <v>1098</v>
      </c>
      <c r="W309" s="5">
        <v>1361</v>
      </c>
      <c r="X309" s="5">
        <v>2729</v>
      </c>
      <c r="Y309" s="5">
        <v>1376</v>
      </c>
      <c r="Z309" s="5">
        <v>3471</v>
      </c>
      <c r="AA309" s="5">
        <v>7230</v>
      </c>
      <c r="AB309" s="5">
        <v>4188</v>
      </c>
      <c r="AC309" s="5">
        <v>1076</v>
      </c>
      <c r="AD309" s="5">
        <v>929</v>
      </c>
      <c r="AE309" s="5">
        <v>1419</v>
      </c>
      <c r="AF309" s="5">
        <v>889</v>
      </c>
      <c r="AG309" s="5">
        <v>2376</v>
      </c>
      <c r="AH309" s="5">
        <v>1107</v>
      </c>
      <c r="AI309" s="5">
        <v>492</v>
      </c>
      <c r="AJ309" s="5">
        <v>2389</v>
      </c>
      <c r="AK309" s="5">
        <v>1208</v>
      </c>
      <c r="AL309" s="5">
        <v>1744</v>
      </c>
      <c r="AM309" s="5">
        <v>894</v>
      </c>
      <c r="AN309" s="5">
        <v>1065</v>
      </c>
      <c r="AO309" s="5">
        <v>1406</v>
      </c>
      <c r="AP309" s="5">
        <v>919</v>
      </c>
      <c r="AQ309" s="5">
        <v>2362</v>
      </c>
      <c r="AR309" s="5">
        <v>1106</v>
      </c>
    </row>
    <row r="310" spans="1:44">
      <c r="A310" s="1" t="s">
        <v>787</v>
      </c>
      <c r="B310" s="1" t="s">
        <v>788</v>
      </c>
      <c r="C310" s="1" t="s">
        <v>789</v>
      </c>
      <c r="D310" s="1" t="str">
        <f>HYPERLINK("http://eros.fiehnlab.ucdavis.edu:8080/binbase-compound/bin/show/273745?db=rtx5","273745")</f>
        <v>273745</v>
      </c>
      <c r="E310" s="1" t="s">
        <v>790</v>
      </c>
      <c r="F310" s="1" t="s">
        <v>0</v>
      </c>
      <c r="G310" s="1" t="s">
        <v>0</v>
      </c>
      <c r="H310" s="1"/>
      <c r="I310" s="5">
        <v>452</v>
      </c>
      <c r="J310" s="5">
        <v>556</v>
      </c>
      <c r="K310" s="5">
        <v>306</v>
      </c>
      <c r="L310" s="5">
        <v>262</v>
      </c>
      <c r="M310" s="5">
        <v>303</v>
      </c>
      <c r="N310" s="5">
        <v>83</v>
      </c>
      <c r="O310" s="5">
        <v>342</v>
      </c>
      <c r="P310" s="5">
        <v>202</v>
      </c>
      <c r="Q310" s="5">
        <v>279</v>
      </c>
      <c r="R310" s="5">
        <v>229</v>
      </c>
      <c r="S310" s="5">
        <v>284</v>
      </c>
      <c r="T310" s="5">
        <v>414</v>
      </c>
      <c r="U310" s="5">
        <v>245</v>
      </c>
      <c r="V310" s="5">
        <v>116</v>
      </c>
      <c r="W310" s="5">
        <v>134</v>
      </c>
      <c r="X310" s="5">
        <v>316</v>
      </c>
      <c r="Y310" s="5">
        <v>258</v>
      </c>
      <c r="Z310" s="5">
        <v>324</v>
      </c>
      <c r="AA310" s="5">
        <v>197</v>
      </c>
      <c r="AB310" s="5">
        <v>341</v>
      </c>
      <c r="AC310" s="5">
        <v>230</v>
      </c>
      <c r="AD310" s="5">
        <v>176</v>
      </c>
      <c r="AE310" s="5">
        <v>348</v>
      </c>
      <c r="AF310" s="5">
        <v>309</v>
      </c>
      <c r="AG310" s="5">
        <v>347</v>
      </c>
      <c r="AH310" s="5">
        <v>270</v>
      </c>
      <c r="AI310" s="5">
        <v>273</v>
      </c>
      <c r="AJ310" s="5">
        <v>249</v>
      </c>
      <c r="AK310" s="5">
        <v>273</v>
      </c>
      <c r="AL310" s="5">
        <v>390</v>
      </c>
      <c r="AM310" s="5">
        <v>323</v>
      </c>
      <c r="AN310" s="5">
        <v>462</v>
      </c>
      <c r="AO310" s="5">
        <v>280</v>
      </c>
      <c r="AP310" s="5">
        <v>288</v>
      </c>
      <c r="AQ310" s="5">
        <v>419</v>
      </c>
      <c r="AR310" s="5">
        <v>103</v>
      </c>
    </row>
    <row r="311" spans="1:44">
      <c r="A311" s="1" t="s">
        <v>765</v>
      </c>
      <c r="B311" s="1" t="s">
        <v>766</v>
      </c>
      <c r="C311" s="1" t="s">
        <v>767</v>
      </c>
      <c r="D311" s="1" t="str">
        <f>HYPERLINK("http://eros.fiehnlab.ucdavis.edu:8080/binbase-compound/bin/show/288810?db=rtx5","288810")</f>
        <v>288810</v>
      </c>
      <c r="E311" s="1" t="s">
        <v>768</v>
      </c>
      <c r="F311" s="1" t="s">
        <v>0</v>
      </c>
      <c r="G311" s="1" t="s">
        <v>0</v>
      </c>
      <c r="H311" s="1"/>
      <c r="I311" s="5">
        <v>677</v>
      </c>
      <c r="J311" s="5">
        <v>633</v>
      </c>
      <c r="K311" s="5">
        <v>399</v>
      </c>
      <c r="L311" s="5">
        <v>367</v>
      </c>
      <c r="M311" s="5">
        <v>494</v>
      </c>
      <c r="N311" s="5">
        <v>466</v>
      </c>
      <c r="O311" s="5">
        <v>451</v>
      </c>
      <c r="P311" s="5">
        <v>346</v>
      </c>
      <c r="Q311" s="5">
        <v>442</v>
      </c>
      <c r="R311" s="5">
        <v>239</v>
      </c>
      <c r="S311" s="5">
        <v>471</v>
      </c>
      <c r="T311" s="5">
        <v>399</v>
      </c>
      <c r="U311" s="5">
        <v>530</v>
      </c>
      <c r="V311" s="5">
        <v>415</v>
      </c>
      <c r="W311" s="5">
        <v>551</v>
      </c>
      <c r="X311" s="5">
        <v>532</v>
      </c>
      <c r="Y311" s="5">
        <v>370</v>
      </c>
      <c r="Z311" s="5">
        <v>714</v>
      </c>
      <c r="AA311" s="5">
        <v>618</v>
      </c>
      <c r="AB311" s="5">
        <v>463</v>
      </c>
      <c r="AC311" s="5">
        <v>510</v>
      </c>
      <c r="AD311" s="5">
        <v>422</v>
      </c>
      <c r="AE311" s="5">
        <v>528</v>
      </c>
      <c r="AF311" s="5">
        <v>509</v>
      </c>
      <c r="AG311" s="5">
        <v>266</v>
      </c>
      <c r="AH311" s="5">
        <v>391</v>
      </c>
      <c r="AI311" s="5">
        <v>416</v>
      </c>
      <c r="AJ311" s="5">
        <v>335</v>
      </c>
      <c r="AK311" s="5">
        <v>458</v>
      </c>
      <c r="AL311" s="5">
        <v>669</v>
      </c>
      <c r="AM311" s="5">
        <v>248</v>
      </c>
      <c r="AN311" s="5">
        <v>505</v>
      </c>
      <c r="AO311" s="5">
        <v>414</v>
      </c>
      <c r="AP311" s="5">
        <v>268</v>
      </c>
      <c r="AQ311" s="5">
        <v>907</v>
      </c>
      <c r="AR311" s="5">
        <v>318</v>
      </c>
    </row>
    <row r="312" spans="1:44">
      <c r="A312" s="1" t="s">
        <v>1033</v>
      </c>
      <c r="B312" s="1" t="s">
        <v>1034</v>
      </c>
      <c r="C312" s="1" t="s">
        <v>117</v>
      </c>
      <c r="D312" s="1" t="str">
        <f>HYPERLINK("http://eros.fiehnlab.ucdavis.edu:8080/binbase-compound/bin/show/218798?db=rtx5","218798")</f>
        <v>218798</v>
      </c>
      <c r="E312" s="1" t="s">
        <v>1035</v>
      </c>
      <c r="F312" s="1" t="s">
        <v>0</v>
      </c>
      <c r="G312" s="1" t="s">
        <v>0</v>
      </c>
      <c r="H312" s="1"/>
      <c r="I312" s="5">
        <v>4098</v>
      </c>
      <c r="J312" s="5">
        <v>1465</v>
      </c>
      <c r="K312" s="5">
        <v>450</v>
      </c>
      <c r="L312" s="5">
        <v>873</v>
      </c>
      <c r="M312" s="5">
        <v>1286</v>
      </c>
      <c r="N312" s="5">
        <v>932</v>
      </c>
      <c r="O312" s="5">
        <v>1068</v>
      </c>
      <c r="P312" s="5">
        <v>1391</v>
      </c>
      <c r="Q312" s="5">
        <v>2672</v>
      </c>
      <c r="R312" s="5">
        <v>510</v>
      </c>
      <c r="S312" s="5">
        <v>952</v>
      </c>
      <c r="T312" s="5">
        <v>891</v>
      </c>
      <c r="U312" s="5">
        <v>5697</v>
      </c>
      <c r="V312" s="5">
        <v>1023</v>
      </c>
      <c r="W312" s="5">
        <v>1142</v>
      </c>
      <c r="X312" s="5">
        <v>989</v>
      </c>
      <c r="Y312" s="5">
        <v>804</v>
      </c>
      <c r="Z312" s="5">
        <v>994</v>
      </c>
      <c r="AA312" s="5">
        <v>1109</v>
      </c>
      <c r="AB312" s="5">
        <v>746</v>
      </c>
      <c r="AC312" s="5">
        <v>938</v>
      </c>
      <c r="AD312" s="5">
        <v>1203</v>
      </c>
      <c r="AE312" s="5">
        <v>1601</v>
      </c>
      <c r="AF312" s="5">
        <v>1070</v>
      </c>
      <c r="AG312" s="5">
        <v>1099</v>
      </c>
      <c r="AH312" s="5">
        <v>1665</v>
      </c>
      <c r="AI312" s="5">
        <v>899</v>
      </c>
      <c r="AJ312" s="5">
        <v>1174</v>
      </c>
      <c r="AK312" s="5">
        <v>1302</v>
      </c>
      <c r="AL312" s="5">
        <v>1320</v>
      </c>
      <c r="AM312" s="5">
        <v>709</v>
      </c>
      <c r="AN312" s="5">
        <v>745</v>
      </c>
      <c r="AO312" s="5">
        <v>744</v>
      </c>
      <c r="AP312" s="5">
        <v>397</v>
      </c>
      <c r="AQ312" s="5">
        <v>1534</v>
      </c>
      <c r="AR312" s="5">
        <v>481</v>
      </c>
    </row>
    <row r="313" spans="1:44">
      <c r="A313" s="1" t="s">
        <v>686</v>
      </c>
      <c r="B313" s="1" t="s">
        <v>687</v>
      </c>
      <c r="C313" s="1" t="s">
        <v>117</v>
      </c>
      <c r="D313" s="1" t="str">
        <f>HYPERLINK("http://eros.fiehnlab.ucdavis.edu:8080/binbase-compound/bin/show/356925?db=rtx5","356925")</f>
        <v>356925</v>
      </c>
      <c r="E313" s="1" t="s">
        <v>688</v>
      </c>
      <c r="F313" s="1" t="s">
        <v>0</v>
      </c>
      <c r="G313" s="1" t="s">
        <v>0</v>
      </c>
      <c r="H313" s="1"/>
      <c r="I313" s="5">
        <v>2000</v>
      </c>
      <c r="J313" s="5">
        <v>2820</v>
      </c>
      <c r="K313" s="5">
        <v>1001</v>
      </c>
      <c r="L313" s="5">
        <v>1136</v>
      </c>
      <c r="M313" s="5">
        <v>745</v>
      </c>
      <c r="N313" s="5">
        <v>963</v>
      </c>
      <c r="O313" s="5">
        <v>933</v>
      </c>
      <c r="P313" s="5">
        <v>755</v>
      </c>
      <c r="Q313" s="5">
        <v>1240</v>
      </c>
      <c r="R313" s="5">
        <v>719</v>
      </c>
      <c r="S313" s="5">
        <v>1779</v>
      </c>
      <c r="T313" s="5">
        <v>2273</v>
      </c>
      <c r="U313" s="5">
        <v>858</v>
      </c>
      <c r="V313" s="5">
        <v>740</v>
      </c>
      <c r="W313" s="5">
        <v>1008</v>
      </c>
      <c r="X313" s="5">
        <v>1385</v>
      </c>
      <c r="Y313" s="5">
        <v>1133</v>
      </c>
      <c r="Z313" s="5">
        <v>1535</v>
      </c>
      <c r="AA313" s="5">
        <v>3834</v>
      </c>
      <c r="AB313" s="5">
        <v>818</v>
      </c>
      <c r="AC313" s="5">
        <v>1774</v>
      </c>
      <c r="AD313" s="5">
        <v>1736</v>
      </c>
      <c r="AE313" s="5">
        <v>1871</v>
      </c>
      <c r="AF313" s="5">
        <v>910</v>
      </c>
      <c r="AG313" s="5">
        <v>712</v>
      </c>
      <c r="AH313" s="5">
        <v>1040</v>
      </c>
      <c r="AI313" s="5">
        <v>1532</v>
      </c>
      <c r="AJ313" s="5">
        <v>1074</v>
      </c>
      <c r="AK313" s="5">
        <v>1221</v>
      </c>
      <c r="AL313" s="5">
        <v>3581</v>
      </c>
      <c r="AM313" s="5">
        <v>852</v>
      </c>
      <c r="AN313" s="5">
        <v>1737</v>
      </c>
      <c r="AO313" s="5">
        <v>1971</v>
      </c>
      <c r="AP313" s="5">
        <v>982</v>
      </c>
      <c r="AQ313" s="5">
        <v>2399</v>
      </c>
      <c r="AR313" s="5">
        <v>668</v>
      </c>
    </row>
    <row r="314" spans="1:44">
      <c r="A314" s="1" t="s">
        <v>530</v>
      </c>
      <c r="B314" s="1" t="s">
        <v>531</v>
      </c>
      <c r="C314" s="1" t="s">
        <v>167</v>
      </c>
      <c r="D314" s="1" t="str">
        <f>HYPERLINK("http://eros.fiehnlab.ucdavis.edu:8080/binbase-compound/bin/show/409593?db=rtx5","409593")</f>
        <v>409593</v>
      </c>
      <c r="E314" s="1" t="s">
        <v>532</v>
      </c>
      <c r="F314" s="1" t="s">
        <v>0</v>
      </c>
      <c r="G314" s="1" t="s">
        <v>0</v>
      </c>
      <c r="H314" s="1"/>
      <c r="I314" s="5">
        <v>3405</v>
      </c>
      <c r="J314" s="5">
        <v>11856</v>
      </c>
      <c r="K314" s="5">
        <v>620</v>
      </c>
      <c r="L314" s="5">
        <v>1758</v>
      </c>
      <c r="M314" s="5">
        <v>4368</v>
      </c>
      <c r="N314" s="5">
        <v>3146</v>
      </c>
      <c r="O314" s="5">
        <v>2474</v>
      </c>
      <c r="P314" s="5">
        <v>1116</v>
      </c>
      <c r="Q314" s="5">
        <v>5549</v>
      </c>
      <c r="R314" s="5">
        <v>346</v>
      </c>
      <c r="S314" s="5">
        <v>3641</v>
      </c>
      <c r="T314" s="5">
        <v>3352</v>
      </c>
      <c r="U314" s="5">
        <v>756</v>
      </c>
      <c r="V314" s="5">
        <v>2578</v>
      </c>
      <c r="W314" s="5">
        <v>6643</v>
      </c>
      <c r="X314" s="5">
        <v>1868</v>
      </c>
      <c r="Y314" s="5">
        <v>462</v>
      </c>
      <c r="Z314" s="5">
        <v>5793</v>
      </c>
      <c r="AA314" s="5">
        <v>673</v>
      </c>
      <c r="AB314" s="5">
        <v>907</v>
      </c>
      <c r="AC314" s="5">
        <v>375</v>
      </c>
      <c r="AD314" s="5">
        <v>292</v>
      </c>
      <c r="AE314" s="5">
        <v>2753</v>
      </c>
      <c r="AF314" s="5">
        <v>422</v>
      </c>
      <c r="AG314" s="5">
        <v>1175</v>
      </c>
      <c r="AH314" s="5">
        <v>374</v>
      </c>
      <c r="AI314" s="5">
        <v>3029</v>
      </c>
      <c r="AJ314" s="5">
        <v>950</v>
      </c>
      <c r="AK314" s="5">
        <v>799</v>
      </c>
      <c r="AL314" s="5">
        <v>9304</v>
      </c>
      <c r="AM314" s="5">
        <v>452</v>
      </c>
      <c r="AN314" s="5">
        <v>3472</v>
      </c>
      <c r="AO314" s="5">
        <v>316</v>
      </c>
      <c r="AP314" s="5">
        <v>501</v>
      </c>
      <c r="AQ314" s="5">
        <v>14337</v>
      </c>
      <c r="AR314" s="5">
        <v>1338</v>
      </c>
    </row>
    <row r="315" spans="1:44">
      <c r="A315" s="1" t="s">
        <v>676</v>
      </c>
      <c r="B315" s="1" t="s">
        <v>677</v>
      </c>
      <c r="C315" s="1" t="s">
        <v>152</v>
      </c>
      <c r="D315" s="1" t="str">
        <f>HYPERLINK("http://eros.fiehnlab.ucdavis.edu:8080/binbase-compound/bin/show/357010?db=rtx5","357010")</f>
        <v>357010</v>
      </c>
      <c r="E315" s="1" t="s">
        <v>678</v>
      </c>
      <c r="F315" s="1" t="s">
        <v>0</v>
      </c>
      <c r="G315" s="1" t="s">
        <v>0</v>
      </c>
      <c r="H315" s="1"/>
      <c r="I315" s="5">
        <v>758</v>
      </c>
      <c r="J315" s="5">
        <v>900</v>
      </c>
      <c r="K315" s="5">
        <v>767</v>
      </c>
      <c r="L315" s="5">
        <v>592</v>
      </c>
      <c r="M315" s="5">
        <v>422</v>
      </c>
      <c r="N315" s="5">
        <v>464</v>
      </c>
      <c r="O315" s="5">
        <v>417</v>
      </c>
      <c r="P315" s="5">
        <v>786</v>
      </c>
      <c r="Q315" s="5">
        <v>724</v>
      </c>
      <c r="R315" s="5">
        <v>424</v>
      </c>
      <c r="S315" s="5">
        <v>606</v>
      </c>
      <c r="T315" s="5">
        <v>492</v>
      </c>
      <c r="U315" s="5">
        <v>911</v>
      </c>
      <c r="V315" s="5">
        <v>831</v>
      </c>
      <c r="W315" s="5">
        <v>870</v>
      </c>
      <c r="X315" s="5">
        <v>804</v>
      </c>
      <c r="Y315" s="5">
        <v>640</v>
      </c>
      <c r="Z315" s="5">
        <v>974</v>
      </c>
      <c r="AA315" s="5">
        <v>1265</v>
      </c>
      <c r="AB315" s="5">
        <v>554</v>
      </c>
      <c r="AC315" s="5">
        <v>592</v>
      </c>
      <c r="AD315" s="5">
        <v>745</v>
      </c>
      <c r="AE315" s="5">
        <v>554</v>
      </c>
      <c r="AF315" s="5">
        <v>532</v>
      </c>
      <c r="AG315" s="5">
        <v>515</v>
      </c>
      <c r="AH315" s="5">
        <v>749</v>
      </c>
      <c r="AI315" s="5">
        <v>859</v>
      </c>
      <c r="AJ315" s="5">
        <v>653</v>
      </c>
      <c r="AK315" s="5">
        <v>632</v>
      </c>
      <c r="AL315" s="5">
        <v>893</v>
      </c>
      <c r="AM315" s="5">
        <v>651</v>
      </c>
      <c r="AN315" s="5">
        <v>908</v>
      </c>
      <c r="AO315" s="5">
        <v>720</v>
      </c>
      <c r="AP315" s="5">
        <v>623</v>
      </c>
      <c r="AQ315" s="5">
        <v>988</v>
      </c>
      <c r="AR315" s="5">
        <v>490</v>
      </c>
    </row>
    <row r="316" spans="1:44">
      <c r="A316" s="1" t="s">
        <v>837</v>
      </c>
      <c r="B316" s="1" t="s">
        <v>838</v>
      </c>
      <c r="C316" s="1" t="s">
        <v>389</v>
      </c>
      <c r="D316" s="1" t="str">
        <f>HYPERLINK("http://eros.fiehnlab.ucdavis.edu:8080/binbase-compound/bin/show/267742?db=rtx5","267742")</f>
        <v>267742</v>
      </c>
      <c r="E316" s="1" t="s">
        <v>839</v>
      </c>
      <c r="F316" s="1" t="s">
        <v>0</v>
      </c>
      <c r="G316" s="1" t="s">
        <v>0</v>
      </c>
      <c r="H316" s="1"/>
      <c r="I316" s="5">
        <v>1888</v>
      </c>
      <c r="J316" s="5">
        <v>3167</v>
      </c>
      <c r="K316" s="5">
        <v>1438</v>
      </c>
      <c r="L316" s="5">
        <v>1845</v>
      </c>
      <c r="M316" s="5">
        <v>3597</v>
      </c>
      <c r="N316" s="5">
        <v>1728</v>
      </c>
      <c r="O316" s="5">
        <v>599</v>
      </c>
      <c r="P316" s="5">
        <v>1441</v>
      </c>
      <c r="Q316" s="5">
        <v>6601</v>
      </c>
      <c r="R316" s="5">
        <v>877</v>
      </c>
      <c r="S316" s="5">
        <v>5610</v>
      </c>
      <c r="T316" s="5">
        <v>7075</v>
      </c>
      <c r="U316" s="5">
        <v>4675</v>
      </c>
      <c r="V316" s="5">
        <v>1891</v>
      </c>
      <c r="W316" s="5">
        <v>2262</v>
      </c>
      <c r="X316" s="5">
        <v>2715</v>
      </c>
      <c r="Y316" s="5">
        <v>2333</v>
      </c>
      <c r="Z316" s="5">
        <v>1553</v>
      </c>
      <c r="AA316" s="5">
        <v>4957</v>
      </c>
      <c r="AB316" s="5">
        <v>3294</v>
      </c>
      <c r="AC316" s="5">
        <v>3647</v>
      </c>
      <c r="AD316" s="5">
        <v>5845</v>
      </c>
      <c r="AE316" s="5">
        <v>4034</v>
      </c>
      <c r="AF316" s="5">
        <v>5220</v>
      </c>
      <c r="AG316" s="5">
        <v>5851</v>
      </c>
      <c r="AH316" s="5">
        <v>6914</v>
      </c>
      <c r="AI316" s="5">
        <v>2151</v>
      </c>
      <c r="AJ316" s="5">
        <v>4544</v>
      </c>
      <c r="AK316" s="5">
        <v>3858</v>
      </c>
      <c r="AL316" s="5">
        <v>4326</v>
      </c>
      <c r="AM316" s="5">
        <v>2777</v>
      </c>
      <c r="AN316" s="5">
        <v>3184</v>
      </c>
      <c r="AO316" s="5">
        <v>3420</v>
      </c>
      <c r="AP316" s="5">
        <v>3371</v>
      </c>
      <c r="AQ316" s="5">
        <v>3927</v>
      </c>
      <c r="AR316" s="5">
        <v>2675</v>
      </c>
    </row>
    <row r="317" spans="1:44">
      <c r="A317" s="1" t="s">
        <v>1117</v>
      </c>
      <c r="B317" s="1" t="s">
        <v>1118</v>
      </c>
      <c r="C317" s="1" t="s">
        <v>203</v>
      </c>
      <c r="D317" s="1" t="str">
        <f>HYPERLINK("http://eros.fiehnlab.ucdavis.edu:8080/binbase-compound/bin/show/202066?db=rtx5","202066")</f>
        <v>202066</v>
      </c>
      <c r="E317" s="1" t="s">
        <v>1119</v>
      </c>
      <c r="F317" s="1" t="s">
        <v>0</v>
      </c>
      <c r="G317" s="1" t="s">
        <v>0</v>
      </c>
      <c r="H317" s="1"/>
      <c r="I317" s="5">
        <v>9362</v>
      </c>
      <c r="J317" s="5">
        <v>3096</v>
      </c>
      <c r="K317" s="5">
        <v>4267</v>
      </c>
      <c r="L317" s="5">
        <v>22177</v>
      </c>
      <c r="M317" s="5">
        <v>4465</v>
      </c>
      <c r="N317" s="5">
        <v>1955</v>
      </c>
      <c r="O317" s="5">
        <v>7155</v>
      </c>
      <c r="P317" s="5">
        <v>6217</v>
      </c>
      <c r="Q317" s="5">
        <v>8189</v>
      </c>
      <c r="R317" s="5">
        <v>3467</v>
      </c>
      <c r="S317" s="5">
        <v>1417</v>
      </c>
      <c r="T317" s="5">
        <v>8157</v>
      </c>
      <c r="U317" s="5">
        <v>5523</v>
      </c>
      <c r="V317" s="5">
        <v>2426</v>
      </c>
      <c r="W317" s="5">
        <v>4960</v>
      </c>
      <c r="X317" s="5">
        <v>4860</v>
      </c>
      <c r="Y317" s="5">
        <v>9784</v>
      </c>
      <c r="Z317" s="5">
        <v>6078</v>
      </c>
      <c r="AA317" s="5">
        <v>8439</v>
      </c>
      <c r="AB317" s="5">
        <v>15315</v>
      </c>
      <c r="AC317" s="5">
        <v>4463</v>
      </c>
      <c r="AD317" s="5">
        <v>4678</v>
      </c>
      <c r="AE317" s="5">
        <v>5741</v>
      </c>
      <c r="AF317" s="5">
        <v>2637</v>
      </c>
      <c r="AG317" s="5">
        <v>6401</v>
      </c>
      <c r="AH317" s="5">
        <v>3342</v>
      </c>
      <c r="AI317" s="5">
        <v>2036</v>
      </c>
      <c r="AJ317" s="5">
        <v>5795</v>
      </c>
      <c r="AK317" s="5">
        <v>9773</v>
      </c>
      <c r="AL317" s="5">
        <v>8688</v>
      </c>
      <c r="AM317" s="5">
        <v>6016</v>
      </c>
      <c r="AN317" s="5">
        <v>6117</v>
      </c>
      <c r="AO317" s="5">
        <v>4159</v>
      </c>
      <c r="AP317" s="5">
        <v>5152</v>
      </c>
      <c r="AQ317" s="5">
        <v>4602</v>
      </c>
      <c r="AR317" s="5">
        <v>5191</v>
      </c>
    </row>
    <row r="318" spans="1:44">
      <c r="A318" s="1" t="s">
        <v>582</v>
      </c>
      <c r="B318" s="1" t="s">
        <v>583</v>
      </c>
      <c r="C318" s="1" t="s">
        <v>584</v>
      </c>
      <c r="D318" s="1" t="str">
        <f>HYPERLINK("http://eros.fiehnlab.ucdavis.edu:8080/binbase-compound/bin/show/408790?db=rtx5","408790")</f>
        <v>408790</v>
      </c>
      <c r="E318" s="1" t="s">
        <v>585</v>
      </c>
      <c r="F318" s="1" t="s">
        <v>0</v>
      </c>
      <c r="G318" s="1" t="s">
        <v>0</v>
      </c>
      <c r="H318" s="1"/>
      <c r="I318" s="5">
        <v>1553</v>
      </c>
      <c r="J318" s="5">
        <v>8851</v>
      </c>
      <c r="K318" s="5">
        <v>667</v>
      </c>
      <c r="L318" s="5">
        <v>425</v>
      </c>
      <c r="M318" s="5">
        <v>2085</v>
      </c>
      <c r="N318" s="5">
        <v>3234</v>
      </c>
      <c r="O318" s="5">
        <v>1900</v>
      </c>
      <c r="P318" s="5">
        <v>642</v>
      </c>
      <c r="Q318" s="5">
        <v>2636</v>
      </c>
      <c r="R318" s="5">
        <v>558</v>
      </c>
      <c r="S318" s="5">
        <v>1753</v>
      </c>
      <c r="T318" s="5">
        <v>2391</v>
      </c>
      <c r="U318" s="5">
        <v>673</v>
      </c>
      <c r="V318" s="5">
        <v>1658</v>
      </c>
      <c r="W318" s="5">
        <v>2940</v>
      </c>
      <c r="X318" s="5">
        <v>693</v>
      </c>
      <c r="Y318" s="5">
        <v>254</v>
      </c>
      <c r="Z318" s="5">
        <v>5036</v>
      </c>
      <c r="AA318" s="5">
        <v>2816</v>
      </c>
      <c r="AB318" s="5">
        <v>320</v>
      </c>
      <c r="AC318" s="5">
        <v>236</v>
      </c>
      <c r="AD318" s="5">
        <v>230</v>
      </c>
      <c r="AE318" s="5">
        <v>536</v>
      </c>
      <c r="AF318" s="5">
        <v>391</v>
      </c>
      <c r="AG318" s="5">
        <v>757</v>
      </c>
      <c r="AH318" s="5">
        <v>92</v>
      </c>
      <c r="AI318" s="5">
        <v>2736</v>
      </c>
      <c r="AJ318" s="5">
        <v>333</v>
      </c>
      <c r="AK318" s="5">
        <v>214</v>
      </c>
      <c r="AL318" s="5">
        <v>4816</v>
      </c>
      <c r="AM318" s="5">
        <v>458</v>
      </c>
      <c r="AN318" s="5">
        <v>4532</v>
      </c>
      <c r="AO318" s="5">
        <v>193</v>
      </c>
      <c r="AP318" s="5">
        <v>272</v>
      </c>
      <c r="AQ318" s="5">
        <v>7635</v>
      </c>
      <c r="AR318" s="5">
        <v>466</v>
      </c>
    </row>
    <row r="319" spans="1:44">
      <c r="A319" s="1" t="s">
        <v>805</v>
      </c>
      <c r="B319" s="1" t="s">
        <v>806</v>
      </c>
      <c r="C319" s="1" t="s">
        <v>622</v>
      </c>
      <c r="D319" s="1" t="str">
        <f>HYPERLINK("http://eros.fiehnlab.ucdavis.edu:8080/binbase-compound/bin/show/269331?db=rtx5","269331")</f>
        <v>269331</v>
      </c>
      <c r="E319" s="1" t="s">
        <v>807</v>
      </c>
      <c r="F319" s="1" t="s">
        <v>0</v>
      </c>
      <c r="G319" s="1" t="s">
        <v>0</v>
      </c>
      <c r="H319" s="1"/>
      <c r="I319" s="5">
        <v>839</v>
      </c>
      <c r="J319" s="5">
        <v>1148</v>
      </c>
      <c r="K319" s="5">
        <v>537</v>
      </c>
      <c r="L319" s="5">
        <v>526</v>
      </c>
      <c r="M319" s="5">
        <v>862</v>
      </c>
      <c r="N319" s="5">
        <v>913</v>
      </c>
      <c r="O319" s="5">
        <v>698</v>
      </c>
      <c r="P319" s="5">
        <v>640</v>
      </c>
      <c r="Q319" s="5">
        <v>907</v>
      </c>
      <c r="R319" s="5">
        <v>588</v>
      </c>
      <c r="S319" s="5">
        <v>935</v>
      </c>
      <c r="T319" s="5">
        <v>5193</v>
      </c>
      <c r="U319" s="5">
        <v>664</v>
      </c>
      <c r="V319" s="5">
        <v>818</v>
      </c>
      <c r="W319" s="5">
        <v>808</v>
      </c>
      <c r="X319" s="5">
        <v>812</v>
      </c>
      <c r="Y319" s="5">
        <v>562</v>
      </c>
      <c r="Z319" s="5">
        <v>1033</v>
      </c>
      <c r="AA319" s="5">
        <v>926</v>
      </c>
      <c r="AB319" s="5">
        <v>637</v>
      </c>
      <c r="AC319" s="5">
        <v>514</v>
      </c>
      <c r="AD319" s="5">
        <v>732</v>
      </c>
      <c r="AE319" s="5">
        <v>550</v>
      </c>
      <c r="AF319" s="5">
        <v>413</v>
      </c>
      <c r="AG319" s="5">
        <v>955</v>
      </c>
      <c r="AH319" s="5">
        <v>652</v>
      </c>
      <c r="AI319" s="5">
        <v>1074</v>
      </c>
      <c r="AJ319" s="5">
        <v>600</v>
      </c>
      <c r="AK319" s="5">
        <v>682</v>
      </c>
      <c r="AL319" s="5">
        <v>1412</v>
      </c>
      <c r="AM319" s="5">
        <v>729</v>
      </c>
      <c r="AN319" s="5">
        <v>936</v>
      </c>
      <c r="AO319" s="5">
        <v>562</v>
      </c>
      <c r="AP319" s="5">
        <v>614</v>
      </c>
      <c r="AQ319" s="5">
        <v>1133</v>
      </c>
      <c r="AR319" s="5">
        <v>631</v>
      </c>
    </row>
    <row r="320" spans="1:44">
      <c r="A320" s="1" t="s">
        <v>679</v>
      </c>
      <c r="B320" s="1" t="s">
        <v>680</v>
      </c>
      <c r="C320" s="1" t="s">
        <v>606</v>
      </c>
      <c r="D320" s="1" t="str">
        <f>HYPERLINK("http://eros.fiehnlab.ucdavis.edu:8080/binbase-compound/bin/show/356985?db=rtx5","356985")</f>
        <v>356985</v>
      </c>
      <c r="E320" s="1" t="s">
        <v>681</v>
      </c>
      <c r="F320" s="1" t="s">
        <v>0</v>
      </c>
      <c r="G320" s="1" t="s">
        <v>0</v>
      </c>
      <c r="H320" s="1"/>
      <c r="I320" s="5">
        <v>5841</v>
      </c>
      <c r="J320" s="5">
        <v>6070</v>
      </c>
      <c r="K320" s="5">
        <v>3221</v>
      </c>
      <c r="L320" s="5">
        <v>472</v>
      </c>
      <c r="M320" s="5">
        <v>5058</v>
      </c>
      <c r="N320" s="5">
        <v>5522</v>
      </c>
      <c r="O320" s="5">
        <v>3392</v>
      </c>
      <c r="P320" s="5">
        <v>1294</v>
      </c>
      <c r="Q320" s="5">
        <v>3247</v>
      </c>
      <c r="R320" s="5">
        <v>2088</v>
      </c>
      <c r="S320" s="5">
        <v>3723</v>
      </c>
      <c r="T320" s="5">
        <v>5864</v>
      </c>
      <c r="U320" s="5">
        <v>4572</v>
      </c>
      <c r="V320" s="5">
        <v>5214</v>
      </c>
      <c r="W320" s="5">
        <v>6491</v>
      </c>
      <c r="X320" s="5">
        <v>1848</v>
      </c>
      <c r="Y320" s="5">
        <v>4831</v>
      </c>
      <c r="Z320" s="5">
        <v>6357</v>
      </c>
      <c r="AA320" s="5">
        <v>3429</v>
      </c>
      <c r="AB320" s="5">
        <v>1791</v>
      </c>
      <c r="AC320" s="5">
        <v>722</v>
      </c>
      <c r="AD320" s="5">
        <v>2075</v>
      </c>
      <c r="AE320" s="5">
        <v>2950</v>
      </c>
      <c r="AF320" s="5">
        <v>4466</v>
      </c>
      <c r="AG320" s="5">
        <v>2893</v>
      </c>
      <c r="AH320" s="5">
        <v>1340</v>
      </c>
      <c r="AI320" s="5">
        <v>2292</v>
      </c>
      <c r="AJ320" s="5">
        <v>1859</v>
      </c>
      <c r="AK320" s="5">
        <v>880</v>
      </c>
      <c r="AL320" s="5">
        <v>5400</v>
      </c>
      <c r="AM320" s="5">
        <v>1582</v>
      </c>
      <c r="AN320" s="5">
        <v>6182</v>
      </c>
      <c r="AO320" s="5">
        <v>1062</v>
      </c>
      <c r="AP320" s="5">
        <v>1294</v>
      </c>
      <c r="AQ320" s="5">
        <v>8157</v>
      </c>
      <c r="AR320" s="5">
        <v>1998</v>
      </c>
    </row>
    <row r="321" spans="1:44">
      <c r="A321" s="1" t="s">
        <v>732</v>
      </c>
      <c r="B321" s="1" t="s">
        <v>733</v>
      </c>
      <c r="C321" s="1" t="s">
        <v>635</v>
      </c>
      <c r="D321" s="1" t="str">
        <f>HYPERLINK("http://eros.fiehnlab.ucdavis.edu:8080/binbase-compound/bin/show/301584?db=rtx5","301584")</f>
        <v>301584</v>
      </c>
      <c r="E321" s="1" t="s">
        <v>734</v>
      </c>
      <c r="F321" s="1" t="s">
        <v>0</v>
      </c>
      <c r="G321" s="1" t="s">
        <v>0</v>
      </c>
      <c r="H321" s="1"/>
      <c r="I321" s="5">
        <v>349</v>
      </c>
      <c r="J321" s="5">
        <v>692</v>
      </c>
      <c r="K321" s="5">
        <v>815</v>
      </c>
      <c r="L321" s="5">
        <v>562</v>
      </c>
      <c r="M321" s="5">
        <v>933</v>
      </c>
      <c r="N321" s="5">
        <v>771</v>
      </c>
      <c r="O321" s="5">
        <v>245</v>
      </c>
      <c r="P321" s="5">
        <v>624</v>
      </c>
      <c r="Q321" s="5">
        <v>401</v>
      </c>
      <c r="R321" s="5">
        <v>672</v>
      </c>
      <c r="S321" s="5">
        <v>907</v>
      </c>
      <c r="T321" s="5">
        <v>712</v>
      </c>
      <c r="U321" s="5">
        <v>863</v>
      </c>
      <c r="V321" s="5">
        <v>401</v>
      </c>
      <c r="W321" s="5">
        <v>261</v>
      </c>
      <c r="X321" s="5">
        <v>109</v>
      </c>
      <c r="Y321" s="5">
        <v>682</v>
      </c>
      <c r="Z321" s="5">
        <v>904</v>
      </c>
      <c r="AA321" s="5">
        <v>892</v>
      </c>
      <c r="AB321" s="5">
        <v>808</v>
      </c>
      <c r="AC321" s="5">
        <v>141</v>
      </c>
      <c r="AD321" s="5">
        <v>442</v>
      </c>
      <c r="AE321" s="5">
        <v>183</v>
      </c>
      <c r="AF321" s="5">
        <v>361</v>
      </c>
      <c r="AG321" s="5">
        <v>368</v>
      </c>
      <c r="AH321" s="5">
        <v>888</v>
      </c>
      <c r="AI321" s="5">
        <v>795</v>
      </c>
      <c r="AJ321" s="5">
        <v>662</v>
      </c>
      <c r="AK321" s="5">
        <v>825</v>
      </c>
      <c r="AL321" s="5">
        <v>857</v>
      </c>
      <c r="AM321" s="5">
        <v>539</v>
      </c>
      <c r="AN321" s="5">
        <v>1080</v>
      </c>
      <c r="AO321" s="5">
        <v>682</v>
      </c>
      <c r="AP321" s="5">
        <v>507</v>
      </c>
      <c r="AQ321" s="5">
        <v>826</v>
      </c>
      <c r="AR321" s="5">
        <v>588</v>
      </c>
    </row>
    <row r="322" spans="1:44">
      <c r="A322" s="1" t="s">
        <v>935</v>
      </c>
      <c r="B322" s="1" t="s">
        <v>936</v>
      </c>
      <c r="C322" s="1" t="s">
        <v>773</v>
      </c>
      <c r="D322" s="1" t="str">
        <f>HYPERLINK("http://eros.fiehnlab.ucdavis.edu:8080/binbase-compound/bin/show/235327?db=rtx5","235327")</f>
        <v>235327</v>
      </c>
      <c r="E322" s="1" t="s">
        <v>937</v>
      </c>
      <c r="F322" s="1" t="s">
        <v>0</v>
      </c>
      <c r="G322" s="1" t="s">
        <v>0</v>
      </c>
      <c r="H322" s="1"/>
      <c r="I322" s="5">
        <v>3141</v>
      </c>
      <c r="J322" s="5">
        <v>4781</v>
      </c>
      <c r="K322" s="5">
        <v>4344</v>
      </c>
      <c r="L322" s="5">
        <v>1410</v>
      </c>
      <c r="M322" s="5">
        <v>4732</v>
      </c>
      <c r="N322" s="5">
        <v>4319</v>
      </c>
      <c r="O322" s="5">
        <v>4340</v>
      </c>
      <c r="P322" s="5">
        <v>1192</v>
      </c>
      <c r="Q322" s="5">
        <v>821</v>
      </c>
      <c r="R322" s="5">
        <v>1150</v>
      </c>
      <c r="S322" s="5">
        <v>1461</v>
      </c>
      <c r="T322" s="5">
        <v>4286</v>
      </c>
      <c r="U322" s="5">
        <v>4338</v>
      </c>
      <c r="V322" s="5">
        <v>4216</v>
      </c>
      <c r="W322" s="5">
        <v>3749</v>
      </c>
      <c r="X322" s="5">
        <v>4085</v>
      </c>
      <c r="Y322" s="5">
        <v>4782</v>
      </c>
      <c r="Z322" s="5">
        <v>5034</v>
      </c>
      <c r="AA322" s="5">
        <v>649</v>
      </c>
      <c r="AB322" s="5">
        <v>1290</v>
      </c>
      <c r="AC322" s="5">
        <v>4270</v>
      </c>
      <c r="AD322" s="5">
        <v>3770</v>
      </c>
      <c r="AE322" s="5">
        <v>4592</v>
      </c>
      <c r="AF322" s="5">
        <v>3661</v>
      </c>
      <c r="AG322" s="5">
        <v>1395</v>
      </c>
      <c r="AH322" s="5">
        <v>3915</v>
      </c>
      <c r="AI322" s="5">
        <v>5086</v>
      </c>
      <c r="AJ322" s="5">
        <v>3985</v>
      </c>
      <c r="AK322" s="5">
        <v>1592</v>
      </c>
      <c r="AL322" s="5">
        <v>1196</v>
      </c>
      <c r="AM322" s="5">
        <v>3833</v>
      </c>
      <c r="AN322" s="5">
        <v>5470</v>
      </c>
      <c r="AO322" s="5">
        <v>1167</v>
      </c>
      <c r="AP322" s="5">
        <v>3704</v>
      </c>
      <c r="AQ322" s="5">
        <v>2120</v>
      </c>
      <c r="AR322" s="5">
        <v>4215</v>
      </c>
    </row>
    <row r="323" spans="1:44">
      <c r="A323" s="1" t="s">
        <v>962</v>
      </c>
      <c r="B323" s="1" t="s">
        <v>963</v>
      </c>
      <c r="C323" s="1" t="s">
        <v>398</v>
      </c>
      <c r="D323" s="1" t="str">
        <f>HYPERLINK("http://eros.fiehnlab.ucdavis.edu:8080/binbase-compound/bin/show/231796?db=rtx5","231796")</f>
        <v>231796</v>
      </c>
      <c r="E323" s="1" t="s">
        <v>964</v>
      </c>
      <c r="F323" s="1" t="s">
        <v>0</v>
      </c>
      <c r="G323" s="1" t="s">
        <v>0</v>
      </c>
      <c r="H323" s="1"/>
      <c r="I323" s="5">
        <v>4504</v>
      </c>
      <c r="J323" s="5">
        <v>15553</v>
      </c>
      <c r="K323" s="5">
        <v>1623</v>
      </c>
      <c r="L323" s="5">
        <v>1406</v>
      </c>
      <c r="M323" s="5">
        <v>4904</v>
      </c>
      <c r="N323" s="5">
        <v>6533</v>
      </c>
      <c r="O323" s="5">
        <v>4981</v>
      </c>
      <c r="P323" s="5">
        <v>1945</v>
      </c>
      <c r="Q323" s="5">
        <v>5675</v>
      </c>
      <c r="R323" s="5">
        <v>1722</v>
      </c>
      <c r="S323" s="5">
        <v>5411</v>
      </c>
      <c r="T323" s="5">
        <v>6243</v>
      </c>
      <c r="U323" s="5">
        <v>1877</v>
      </c>
      <c r="V323" s="5">
        <v>3918</v>
      </c>
      <c r="W323" s="5">
        <v>5190</v>
      </c>
      <c r="X323" s="5">
        <v>2171</v>
      </c>
      <c r="Y323" s="5">
        <v>1173</v>
      </c>
      <c r="Z323" s="5">
        <v>9371</v>
      </c>
      <c r="AA323" s="5">
        <v>5668</v>
      </c>
      <c r="AB323" s="5">
        <v>1360</v>
      </c>
      <c r="AC323" s="5">
        <v>1035</v>
      </c>
      <c r="AD323" s="5">
        <v>1518</v>
      </c>
      <c r="AE323" s="5">
        <v>2668</v>
      </c>
      <c r="AF323" s="5">
        <v>1411</v>
      </c>
      <c r="AG323" s="5">
        <v>3175</v>
      </c>
      <c r="AH323" s="5">
        <v>1440</v>
      </c>
      <c r="AI323" s="5">
        <v>5810</v>
      </c>
      <c r="AJ323" s="5">
        <v>1494</v>
      </c>
      <c r="AK323" s="5">
        <v>1658</v>
      </c>
      <c r="AL323" s="5">
        <v>11161</v>
      </c>
      <c r="AM323" s="5">
        <v>2387</v>
      </c>
      <c r="AN323" s="5">
        <v>8995</v>
      </c>
      <c r="AO323" s="5">
        <v>1918</v>
      </c>
      <c r="AP323" s="5">
        <v>2729</v>
      </c>
      <c r="AQ323" s="5">
        <v>15544</v>
      </c>
      <c r="AR323" s="5">
        <v>2160</v>
      </c>
    </row>
  </sheetData>
  <sortState columnSort="1" ref="I1:AR323">
    <sortCondition ref="I4:AR4"/>
    <sortCondition ref="I1:AR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323"/>
  <sheetViews>
    <sheetView tabSelected="1" zoomScale="75" zoomScaleNormal="7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D2" sqref="D2"/>
    </sheetView>
  </sheetViews>
  <sheetFormatPr defaultRowHeight="12.75"/>
  <cols>
    <col min="1" max="1" width="19.7109375" customWidth="1"/>
  </cols>
  <sheetData>
    <row r="1" spans="1:81">
      <c r="A1" s="4"/>
      <c r="B1" s="4"/>
      <c r="C1" s="4"/>
      <c r="D1" s="4"/>
      <c r="E1" s="4"/>
      <c r="F1" s="4"/>
      <c r="G1" s="4"/>
      <c r="H1" s="6" t="s">
        <v>1170</v>
      </c>
      <c r="I1" s="2" t="s">
        <v>9</v>
      </c>
      <c r="J1" s="2" t="s">
        <v>5</v>
      </c>
      <c r="K1" s="3" t="s">
        <v>73</v>
      </c>
      <c r="L1" s="3" t="s">
        <v>76</v>
      </c>
      <c r="M1" s="2" t="s">
        <v>7</v>
      </c>
      <c r="N1" s="2" t="s">
        <v>2</v>
      </c>
      <c r="O1" s="2" t="s">
        <v>13</v>
      </c>
      <c r="P1" s="2" t="s">
        <v>23</v>
      </c>
      <c r="Q1" s="2" t="s">
        <v>21</v>
      </c>
      <c r="R1" s="3" t="s">
        <v>69</v>
      </c>
      <c r="S1" s="2" t="s">
        <v>19</v>
      </c>
      <c r="T1" s="2" t="s">
        <v>17</v>
      </c>
      <c r="U1" s="3" t="s">
        <v>75</v>
      </c>
      <c r="V1" s="2" t="s">
        <v>25</v>
      </c>
      <c r="W1" s="2" t="s">
        <v>30</v>
      </c>
      <c r="X1" s="2" t="s">
        <v>35</v>
      </c>
      <c r="Y1" s="2" t="s">
        <v>32</v>
      </c>
      <c r="Z1" s="2" t="s">
        <v>28</v>
      </c>
      <c r="AA1" s="2" t="s">
        <v>43</v>
      </c>
      <c r="AB1" s="2" t="s">
        <v>39</v>
      </c>
      <c r="AC1" s="3" t="s">
        <v>77</v>
      </c>
      <c r="AD1" s="3" t="s">
        <v>71</v>
      </c>
      <c r="AE1" s="2" t="s">
        <v>46</v>
      </c>
      <c r="AF1" s="2" t="s">
        <v>41</v>
      </c>
      <c r="AG1" s="2" t="s">
        <v>51</v>
      </c>
      <c r="AH1" s="3" t="s">
        <v>78</v>
      </c>
      <c r="AI1" s="2" t="s">
        <v>48</v>
      </c>
      <c r="AJ1" s="3" t="s">
        <v>72</v>
      </c>
      <c r="AK1" s="2" t="s">
        <v>54</v>
      </c>
      <c r="AL1" s="2" t="s">
        <v>57</v>
      </c>
      <c r="AM1" s="2" t="s">
        <v>63</v>
      </c>
      <c r="AN1" s="2" t="s">
        <v>65</v>
      </c>
      <c r="AO1" s="3" t="s">
        <v>74</v>
      </c>
      <c r="AP1" s="3" t="s">
        <v>70</v>
      </c>
      <c r="AQ1" s="2" t="s">
        <v>67</v>
      </c>
      <c r="AR1" s="2" t="s">
        <v>59</v>
      </c>
    </row>
    <row r="2" spans="1:81">
      <c r="A2" s="4"/>
      <c r="B2" s="4"/>
      <c r="C2" s="4"/>
      <c r="D2" s="4"/>
      <c r="E2" s="4"/>
      <c r="F2" s="4"/>
      <c r="G2" s="4"/>
      <c r="H2" s="6" t="s">
        <v>1169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26</v>
      </c>
      <c r="AA2" s="2" t="s">
        <v>37</v>
      </c>
      <c r="AB2" s="2" t="s">
        <v>37</v>
      </c>
      <c r="AC2" s="2" t="s">
        <v>37</v>
      </c>
      <c r="AD2" s="2" t="s">
        <v>37</v>
      </c>
      <c r="AE2" s="2" t="s">
        <v>37</v>
      </c>
      <c r="AF2" s="2" t="s">
        <v>37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  <c r="AM2" s="2" t="s">
        <v>60</v>
      </c>
      <c r="AN2" s="2" t="s">
        <v>60</v>
      </c>
      <c r="AO2" s="2" t="s">
        <v>60</v>
      </c>
      <c r="AP2" s="2" t="s">
        <v>60</v>
      </c>
      <c r="AQ2" s="2" t="s">
        <v>60</v>
      </c>
      <c r="AR2" s="2" t="s">
        <v>60</v>
      </c>
    </row>
    <row r="3" spans="1:81">
      <c r="A3" s="5"/>
      <c r="B3" s="5"/>
      <c r="C3" s="5"/>
      <c r="D3" s="5"/>
      <c r="E3" s="5"/>
      <c r="F3" s="5"/>
      <c r="G3" s="5"/>
      <c r="H3" s="5" t="s">
        <v>1168</v>
      </c>
      <c r="I3" s="1" t="s">
        <v>8</v>
      </c>
      <c r="J3" s="1" t="s">
        <v>4</v>
      </c>
      <c r="K3" s="1" t="s">
        <v>10</v>
      </c>
      <c r="L3" s="1" t="s">
        <v>11</v>
      </c>
      <c r="M3" s="1" t="s">
        <v>6</v>
      </c>
      <c r="N3" s="1" t="s">
        <v>1</v>
      </c>
      <c r="O3" s="1" t="s">
        <v>12</v>
      </c>
      <c r="P3" s="1" t="s">
        <v>22</v>
      </c>
      <c r="Q3" s="1" t="s">
        <v>20</v>
      </c>
      <c r="R3" s="1" t="s">
        <v>15</v>
      </c>
      <c r="S3" s="1" t="s">
        <v>18</v>
      </c>
      <c r="T3" s="1" t="s">
        <v>16</v>
      </c>
      <c r="U3" s="1" t="s">
        <v>33</v>
      </c>
      <c r="V3" s="1" t="s">
        <v>24</v>
      </c>
      <c r="W3" s="1" t="s">
        <v>29</v>
      </c>
      <c r="X3" s="1" t="s">
        <v>34</v>
      </c>
      <c r="Y3" s="1" t="s">
        <v>31</v>
      </c>
      <c r="Z3" s="1" t="s">
        <v>27</v>
      </c>
      <c r="AA3" s="1" t="s">
        <v>42</v>
      </c>
      <c r="AB3" s="1" t="s">
        <v>38</v>
      </c>
      <c r="AC3" s="1" t="s">
        <v>44</v>
      </c>
      <c r="AD3" s="1" t="s">
        <v>36</v>
      </c>
      <c r="AE3" s="1" t="s">
        <v>45</v>
      </c>
      <c r="AF3" s="1" t="s">
        <v>40</v>
      </c>
      <c r="AG3" s="1" t="s">
        <v>50</v>
      </c>
      <c r="AH3" s="1" t="s">
        <v>55</v>
      </c>
      <c r="AI3" s="1" t="s">
        <v>47</v>
      </c>
      <c r="AJ3" s="1" t="s">
        <v>52</v>
      </c>
      <c r="AK3" s="1" t="s">
        <v>53</v>
      </c>
      <c r="AL3" s="1" t="s">
        <v>56</v>
      </c>
      <c r="AM3" s="1" t="s">
        <v>62</v>
      </c>
      <c r="AN3" s="1" t="s">
        <v>64</v>
      </c>
      <c r="AO3" s="1" t="s">
        <v>68</v>
      </c>
      <c r="AP3" s="1" t="s">
        <v>61</v>
      </c>
      <c r="AQ3" s="1" t="s">
        <v>66</v>
      </c>
      <c r="AR3" s="1" t="s">
        <v>58</v>
      </c>
    </row>
    <row r="4" spans="1:81">
      <c r="A4" s="5"/>
      <c r="B4" s="5"/>
      <c r="C4" s="5"/>
      <c r="D4" s="5"/>
      <c r="E4" s="5"/>
      <c r="F4" s="5"/>
      <c r="G4" s="5"/>
      <c r="H4" s="5" t="s">
        <v>1167</v>
      </c>
      <c r="I4" s="1" t="s">
        <v>84</v>
      </c>
      <c r="J4" s="1" t="s">
        <v>84</v>
      </c>
      <c r="K4" s="1" t="s">
        <v>84</v>
      </c>
      <c r="L4" s="1" t="s">
        <v>84</v>
      </c>
      <c r="M4" s="1" t="s">
        <v>84</v>
      </c>
      <c r="N4" s="1" t="s">
        <v>84</v>
      </c>
      <c r="O4" s="1" t="s">
        <v>83</v>
      </c>
      <c r="P4" s="1" t="s">
        <v>83</v>
      </c>
      <c r="Q4" s="1" t="s">
        <v>83</v>
      </c>
      <c r="R4" s="1" t="s">
        <v>83</v>
      </c>
      <c r="S4" s="1" t="s">
        <v>83</v>
      </c>
      <c r="T4" s="1" t="s">
        <v>83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81</v>
      </c>
      <c r="AB4" s="1" t="s">
        <v>81</v>
      </c>
      <c r="AC4" s="1" t="s">
        <v>81</v>
      </c>
      <c r="AD4" s="1" t="s">
        <v>81</v>
      </c>
      <c r="AE4" s="1" t="s">
        <v>81</v>
      </c>
      <c r="AF4" s="1" t="s">
        <v>81</v>
      </c>
      <c r="AG4" s="1" t="s">
        <v>80</v>
      </c>
      <c r="AH4" s="1" t="s">
        <v>80</v>
      </c>
      <c r="AI4" s="1" t="s">
        <v>80</v>
      </c>
      <c r="AJ4" s="1" t="s">
        <v>80</v>
      </c>
      <c r="AK4" s="1" t="s">
        <v>80</v>
      </c>
      <c r="AL4" s="1" t="s">
        <v>80</v>
      </c>
      <c r="AM4" s="1" t="s">
        <v>79</v>
      </c>
      <c r="AN4" s="1" t="s">
        <v>79</v>
      </c>
      <c r="AO4" s="1" t="s">
        <v>79</v>
      </c>
      <c r="AP4" s="1" t="s">
        <v>79</v>
      </c>
      <c r="AQ4" s="1" t="s">
        <v>79</v>
      </c>
      <c r="AR4" s="1" t="s">
        <v>79</v>
      </c>
    </row>
    <row r="5" spans="1:81">
      <c r="A5" s="5" t="s">
        <v>1160</v>
      </c>
      <c r="B5" s="5" t="s">
        <v>1161</v>
      </c>
      <c r="C5" s="5" t="s">
        <v>1162</v>
      </c>
      <c r="D5" s="5" t="s">
        <v>1163</v>
      </c>
      <c r="E5" s="5" t="s">
        <v>1164</v>
      </c>
      <c r="F5" s="5" t="s">
        <v>1165</v>
      </c>
      <c r="G5" s="5" t="s">
        <v>1166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81">
      <c r="A6" s="1" t="s">
        <v>87</v>
      </c>
      <c r="B6" s="1" t="s">
        <v>88</v>
      </c>
      <c r="C6" s="1" t="s">
        <v>89</v>
      </c>
      <c r="D6" s="1" t="str">
        <f>HYPERLINK("http://eros.fiehnlab.ucdavis.edu:8080/binbase-compound/bin/show/200524?db=rtx5","200524")</f>
        <v>200524</v>
      </c>
      <c r="E6" s="1" t="s">
        <v>90</v>
      </c>
      <c r="F6" s="1" t="str">
        <f>HYPERLINK("http://www.genome.ad.jp/dbget-bin/www_bget?compound+C00379","C00379")</f>
        <v>C00379</v>
      </c>
      <c r="G6" s="1" t="str">
        <f>HYPERLINK("http://pubchem.ncbi.nlm.nih.gov/summary/summary.cgi?cid=6912","6912")</f>
        <v>6912</v>
      </c>
      <c r="H6" s="1"/>
      <c r="I6" s="7">
        <v>328</v>
      </c>
      <c r="J6" s="7">
        <v>595</v>
      </c>
      <c r="K6" s="7">
        <v>425</v>
      </c>
      <c r="L6" s="7">
        <v>479</v>
      </c>
      <c r="M6" s="7">
        <v>455</v>
      </c>
      <c r="N6" s="7">
        <v>505</v>
      </c>
      <c r="O6" s="7">
        <v>408</v>
      </c>
      <c r="P6" s="7">
        <v>409</v>
      </c>
      <c r="Q6" s="7">
        <v>485</v>
      </c>
      <c r="R6" s="7">
        <v>441</v>
      </c>
      <c r="S6" s="7">
        <v>620</v>
      </c>
      <c r="T6" s="7">
        <v>573</v>
      </c>
      <c r="U6" s="7">
        <v>278</v>
      </c>
      <c r="V6" s="7">
        <v>460</v>
      </c>
      <c r="W6" s="7">
        <v>396</v>
      </c>
      <c r="X6" s="7">
        <v>503</v>
      </c>
      <c r="Y6" s="7">
        <v>436</v>
      </c>
      <c r="Z6" s="7">
        <v>465</v>
      </c>
      <c r="AA6" s="7">
        <v>288</v>
      </c>
      <c r="AB6" s="7">
        <v>466</v>
      </c>
      <c r="AC6" s="7">
        <v>677</v>
      </c>
      <c r="AD6" s="7">
        <v>441</v>
      </c>
      <c r="AE6" s="7">
        <v>739</v>
      </c>
      <c r="AF6" s="7">
        <v>606</v>
      </c>
      <c r="AG6" s="7">
        <v>661</v>
      </c>
      <c r="AH6" s="7">
        <v>588</v>
      </c>
      <c r="AI6" s="7">
        <v>244</v>
      </c>
      <c r="AJ6" s="7">
        <v>636</v>
      </c>
      <c r="AK6" s="7">
        <v>765</v>
      </c>
      <c r="AL6" s="7">
        <v>552</v>
      </c>
      <c r="AM6" s="7">
        <v>530</v>
      </c>
      <c r="AN6" s="7">
        <v>450</v>
      </c>
      <c r="AO6" s="7">
        <v>445</v>
      </c>
      <c r="AP6" s="7">
        <v>539</v>
      </c>
      <c r="AQ6" s="7">
        <v>526</v>
      </c>
      <c r="AR6" s="7">
        <v>469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</row>
    <row r="7" spans="1:81">
      <c r="A7" s="1" t="s">
        <v>91</v>
      </c>
      <c r="B7" s="1" t="s">
        <v>92</v>
      </c>
      <c r="C7" s="1" t="s">
        <v>93</v>
      </c>
      <c r="D7" s="1" t="str">
        <f>HYPERLINK("http://eros.fiehnlab.ucdavis.edu:8080/binbase-compound/bin/show/203224?db=rtx5","203224")</f>
        <v>203224</v>
      </c>
      <c r="E7" s="1" t="s">
        <v>94</v>
      </c>
      <c r="F7" s="1" t="str">
        <f>HYPERLINK("http://www.genome.ad.jp/dbget-bin/www_bget?compound+C00385","C00385")</f>
        <v>C00385</v>
      </c>
      <c r="G7" s="1" t="str">
        <f>HYPERLINK("http://pubchem.ncbi.nlm.nih.gov/summary/summary.cgi?cid=1188","1188")</f>
        <v>1188</v>
      </c>
      <c r="H7" s="1"/>
      <c r="I7" s="7">
        <v>4996</v>
      </c>
      <c r="J7" s="7">
        <v>3044</v>
      </c>
      <c r="K7" s="7">
        <v>14692</v>
      </c>
      <c r="L7" s="7">
        <v>15037</v>
      </c>
      <c r="M7" s="7">
        <v>3706</v>
      </c>
      <c r="N7" s="7">
        <v>6051</v>
      </c>
      <c r="O7" s="7">
        <v>3101</v>
      </c>
      <c r="P7" s="7">
        <v>20395</v>
      </c>
      <c r="Q7" s="7">
        <v>4729</v>
      </c>
      <c r="R7" s="7">
        <v>11632</v>
      </c>
      <c r="S7" s="7">
        <v>1607</v>
      </c>
      <c r="T7" s="7">
        <v>4738</v>
      </c>
      <c r="U7" s="7">
        <v>4917</v>
      </c>
      <c r="V7" s="7">
        <v>2205</v>
      </c>
      <c r="W7" s="7">
        <v>2508</v>
      </c>
      <c r="X7" s="7">
        <v>2656</v>
      </c>
      <c r="Y7" s="7">
        <v>9297</v>
      </c>
      <c r="Z7" s="7">
        <v>3525</v>
      </c>
      <c r="AA7" s="7">
        <v>3685</v>
      </c>
      <c r="AB7" s="7">
        <v>6542</v>
      </c>
      <c r="AC7" s="7">
        <v>17775</v>
      </c>
      <c r="AD7" s="7">
        <v>37395</v>
      </c>
      <c r="AE7" s="7">
        <v>4864</v>
      </c>
      <c r="AF7" s="7">
        <v>19980</v>
      </c>
      <c r="AG7" s="7">
        <v>8039</v>
      </c>
      <c r="AH7" s="7">
        <v>19183</v>
      </c>
      <c r="AI7" s="7">
        <v>3571</v>
      </c>
      <c r="AJ7" s="7">
        <v>15336</v>
      </c>
      <c r="AK7" s="7">
        <v>14909</v>
      </c>
      <c r="AL7" s="7">
        <v>2908</v>
      </c>
      <c r="AM7" s="7">
        <v>10912</v>
      </c>
      <c r="AN7" s="7">
        <v>1318</v>
      </c>
      <c r="AO7" s="7">
        <v>9689</v>
      </c>
      <c r="AP7" s="7">
        <v>15448</v>
      </c>
      <c r="AQ7" s="7">
        <v>2998</v>
      </c>
      <c r="AR7" s="7">
        <v>4051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</row>
    <row r="8" spans="1:81">
      <c r="A8" s="1" t="s">
        <v>96</v>
      </c>
      <c r="B8" s="1" t="s">
        <v>97</v>
      </c>
      <c r="C8" s="1" t="s">
        <v>98</v>
      </c>
      <c r="D8" s="1" t="str">
        <f>HYPERLINK("http://eros.fiehnlab.ucdavis.edu:8080/binbase-compound/bin/show/227947?db=rtx5","227947")</f>
        <v>227947</v>
      </c>
      <c r="E8" s="1" t="s">
        <v>99</v>
      </c>
      <c r="F8" s="1" t="str">
        <f>HYPERLINK("http://www.genome.ad.jp/dbget-bin/www_bget?compound+C00183","C00183")</f>
        <v>C00183</v>
      </c>
      <c r="G8" s="1" t="str">
        <f>HYPERLINK("http://pubchem.ncbi.nlm.nih.gov/summary/summary.cgi?cid=6287","6287")</f>
        <v>6287</v>
      </c>
      <c r="H8" s="1"/>
      <c r="I8" s="7">
        <v>258691</v>
      </c>
      <c r="J8" s="7">
        <v>462080</v>
      </c>
      <c r="K8" s="7">
        <v>229264</v>
      </c>
      <c r="L8" s="7">
        <v>130345</v>
      </c>
      <c r="M8" s="7">
        <v>346868</v>
      </c>
      <c r="N8" s="7">
        <v>387806</v>
      </c>
      <c r="O8" s="7">
        <v>371104</v>
      </c>
      <c r="P8" s="7">
        <v>215495</v>
      </c>
      <c r="Q8" s="7">
        <v>304196</v>
      </c>
      <c r="R8" s="7">
        <v>244489</v>
      </c>
      <c r="S8" s="7">
        <v>354215</v>
      </c>
      <c r="T8" s="7">
        <v>424179</v>
      </c>
      <c r="U8" s="7">
        <v>131397</v>
      </c>
      <c r="V8" s="7">
        <v>350700</v>
      </c>
      <c r="W8" s="7">
        <v>423434</v>
      </c>
      <c r="X8" s="7">
        <v>281117</v>
      </c>
      <c r="Y8" s="7">
        <v>193113</v>
      </c>
      <c r="Z8" s="7">
        <v>469015</v>
      </c>
      <c r="AA8" s="7">
        <v>346629</v>
      </c>
      <c r="AB8" s="7">
        <v>202166</v>
      </c>
      <c r="AC8" s="7">
        <v>201372</v>
      </c>
      <c r="AD8" s="7">
        <v>291114</v>
      </c>
      <c r="AE8" s="7">
        <v>202134</v>
      </c>
      <c r="AF8" s="7">
        <v>230917</v>
      </c>
      <c r="AG8" s="7">
        <v>294575</v>
      </c>
      <c r="AH8" s="7">
        <v>172332</v>
      </c>
      <c r="AI8" s="7">
        <v>329421</v>
      </c>
      <c r="AJ8" s="7">
        <v>177079</v>
      </c>
      <c r="AK8" s="7">
        <v>150909</v>
      </c>
      <c r="AL8" s="7">
        <v>462669</v>
      </c>
      <c r="AM8" s="7">
        <v>220517</v>
      </c>
      <c r="AN8" s="7">
        <v>426121</v>
      </c>
      <c r="AO8" s="7">
        <v>179067</v>
      </c>
      <c r="AP8" s="7">
        <v>240255</v>
      </c>
      <c r="AQ8" s="7">
        <v>444942</v>
      </c>
      <c r="AR8" s="7">
        <v>239699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</row>
    <row r="9" spans="1:81">
      <c r="A9" s="1" t="s">
        <v>101</v>
      </c>
      <c r="B9" s="1" t="s">
        <v>102</v>
      </c>
      <c r="C9" s="1" t="s">
        <v>103</v>
      </c>
      <c r="D9" s="1" t="str">
        <f>HYPERLINK("http://eros.fiehnlab.ucdavis.edu:8080/binbase-compound/bin/show/199594?db=rtx5","199594")</f>
        <v>199594</v>
      </c>
      <c r="E9" s="1" t="s">
        <v>104</v>
      </c>
      <c r="F9" s="1" t="str">
        <f>HYPERLINK("http://www.genome.ad.jp/dbget-bin/www_bget?compound+C00086","C00086")</f>
        <v>C00086</v>
      </c>
      <c r="G9" s="1" t="str">
        <f>HYPERLINK("http://pubchem.ncbi.nlm.nih.gov/summary/summary.cgi?cid=1176","1176")</f>
        <v>1176</v>
      </c>
      <c r="H9" s="1"/>
      <c r="I9" s="7">
        <v>193</v>
      </c>
      <c r="J9" s="7">
        <v>66</v>
      </c>
      <c r="K9" s="7">
        <v>59202</v>
      </c>
      <c r="L9" s="7">
        <v>65060</v>
      </c>
      <c r="M9" s="7">
        <v>196</v>
      </c>
      <c r="N9" s="7">
        <v>105</v>
      </c>
      <c r="O9" s="7">
        <v>249</v>
      </c>
      <c r="P9" s="7">
        <v>45577</v>
      </c>
      <c r="Q9" s="7">
        <v>115</v>
      </c>
      <c r="R9" s="7">
        <v>67755</v>
      </c>
      <c r="S9" s="7">
        <v>96</v>
      </c>
      <c r="T9" s="7">
        <v>124</v>
      </c>
      <c r="U9" s="7">
        <v>26439</v>
      </c>
      <c r="V9" s="7">
        <v>168</v>
      </c>
      <c r="W9" s="7">
        <v>167</v>
      </c>
      <c r="X9" s="7">
        <v>295</v>
      </c>
      <c r="Y9" s="7">
        <v>64398</v>
      </c>
      <c r="Z9" s="7">
        <v>150</v>
      </c>
      <c r="AA9" s="7">
        <v>25101</v>
      </c>
      <c r="AB9" s="7">
        <v>384</v>
      </c>
      <c r="AC9" s="7">
        <v>66009</v>
      </c>
      <c r="AD9" s="7">
        <v>65511</v>
      </c>
      <c r="AE9" s="7">
        <v>299</v>
      </c>
      <c r="AF9" s="7">
        <v>33389</v>
      </c>
      <c r="AG9" s="7">
        <v>211</v>
      </c>
      <c r="AH9" s="7">
        <v>55343</v>
      </c>
      <c r="AI9" s="7">
        <v>82</v>
      </c>
      <c r="AJ9" s="7">
        <v>59571</v>
      </c>
      <c r="AK9" s="7">
        <v>68055</v>
      </c>
      <c r="AL9" s="7">
        <v>130</v>
      </c>
      <c r="AM9" s="7">
        <v>365</v>
      </c>
      <c r="AN9" s="7">
        <v>79</v>
      </c>
      <c r="AO9" s="7">
        <v>46628</v>
      </c>
      <c r="AP9" s="7">
        <v>60950</v>
      </c>
      <c r="AQ9" s="7">
        <v>61</v>
      </c>
      <c r="AR9" s="7">
        <v>250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</row>
    <row r="10" spans="1:81">
      <c r="A10" s="1" t="s">
        <v>105</v>
      </c>
      <c r="B10" s="1" t="s">
        <v>106</v>
      </c>
      <c r="C10" s="1" t="s">
        <v>107</v>
      </c>
      <c r="D10" s="1" t="str">
        <f>HYPERLINK("http://eros.fiehnlab.ucdavis.edu:8080/binbase-compound/bin/show/199600?db=rtx5","199600")</f>
        <v>199600</v>
      </c>
      <c r="E10" s="1" t="s">
        <v>108</v>
      </c>
      <c r="F10" s="1" t="str">
        <f>HYPERLINK("http://www.genome.ad.jp/dbget-bin/www_bget?compound+C00106","C00106")</f>
        <v>C00106</v>
      </c>
      <c r="G10" s="1" t="str">
        <f>HYPERLINK("http://pubchem.ncbi.nlm.nih.gov/summary/summary.cgi?cid=1174","1174")</f>
        <v>1174</v>
      </c>
      <c r="H10" s="1"/>
      <c r="I10" s="7">
        <v>58242</v>
      </c>
      <c r="J10" s="7">
        <v>53185</v>
      </c>
      <c r="K10" s="7">
        <v>196413</v>
      </c>
      <c r="L10" s="7">
        <v>178246</v>
      </c>
      <c r="M10" s="7">
        <v>70998</v>
      </c>
      <c r="N10" s="7">
        <v>91592</v>
      </c>
      <c r="O10" s="7">
        <v>34442</v>
      </c>
      <c r="P10" s="7">
        <v>185177</v>
      </c>
      <c r="Q10" s="7">
        <v>67228</v>
      </c>
      <c r="R10" s="7">
        <v>169109</v>
      </c>
      <c r="S10" s="7">
        <v>55477</v>
      </c>
      <c r="T10" s="7">
        <v>62942</v>
      </c>
      <c r="U10" s="7">
        <v>86452</v>
      </c>
      <c r="V10" s="7">
        <v>47862</v>
      </c>
      <c r="W10" s="7">
        <v>43866</v>
      </c>
      <c r="X10" s="7">
        <v>54337</v>
      </c>
      <c r="Y10" s="7">
        <v>94595</v>
      </c>
      <c r="Z10" s="7">
        <v>37352</v>
      </c>
      <c r="AA10" s="7">
        <v>59406</v>
      </c>
      <c r="AB10" s="7">
        <v>102828</v>
      </c>
      <c r="AC10" s="7">
        <v>202751</v>
      </c>
      <c r="AD10" s="7">
        <v>205962</v>
      </c>
      <c r="AE10" s="7">
        <v>114094</v>
      </c>
      <c r="AF10" s="7">
        <v>191053</v>
      </c>
      <c r="AG10" s="7">
        <v>105899</v>
      </c>
      <c r="AH10" s="7">
        <v>229958</v>
      </c>
      <c r="AI10" s="7">
        <v>73854</v>
      </c>
      <c r="AJ10" s="7">
        <v>151773</v>
      </c>
      <c r="AK10" s="7">
        <v>159490</v>
      </c>
      <c r="AL10" s="7">
        <v>38717</v>
      </c>
      <c r="AM10" s="7">
        <v>93303</v>
      </c>
      <c r="AN10" s="7">
        <v>30166</v>
      </c>
      <c r="AO10" s="7">
        <v>108540</v>
      </c>
      <c r="AP10" s="7">
        <v>119189</v>
      </c>
      <c r="AQ10" s="7">
        <v>29963</v>
      </c>
      <c r="AR10" s="7">
        <v>60091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</row>
    <row r="11" spans="1:81">
      <c r="A11" s="1" t="s">
        <v>109</v>
      </c>
      <c r="B11" s="1" t="s">
        <v>110</v>
      </c>
      <c r="C11" s="1" t="s">
        <v>111</v>
      </c>
      <c r="D11" s="1" t="str">
        <f>HYPERLINK("http://eros.fiehnlab.ucdavis.edu:8080/binbase-compound/bin/show/227600?db=rtx5","227600")</f>
        <v>227600</v>
      </c>
      <c r="E11" s="1" t="s">
        <v>112</v>
      </c>
      <c r="F11" s="1" t="str">
        <f>HYPERLINK("http://www.genome.ad.jp/dbget-bin/www_bget?compound+C00043","C00043")</f>
        <v>C00043</v>
      </c>
      <c r="G11" s="1" t="str">
        <f>HYPERLINK("http://pubchem.ncbi.nlm.nih.gov/summary/summary.cgi?cid=445675","445675")</f>
        <v>445675</v>
      </c>
      <c r="H11" s="1"/>
      <c r="I11" s="7">
        <v>641</v>
      </c>
      <c r="J11" s="7">
        <v>255</v>
      </c>
      <c r="K11" s="7">
        <v>319</v>
      </c>
      <c r="L11" s="7">
        <v>1099</v>
      </c>
      <c r="M11" s="7">
        <v>509</v>
      </c>
      <c r="N11" s="7">
        <v>313</v>
      </c>
      <c r="O11" s="7">
        <v>101</v>
      </c>
      <c r="P11" s="7">
        <v>390</v>
      </c>
      <c r="Q11" s="7">
        <v>419</v>
      </c>
      <c r="R11" s="7">
        <v>293</v>
      </c>
      <c r="S11" s="7">
        <v>354</v>
      </c>
      <c r="T11" s="7">
        <v>412</v>
      </c>
      <c r="U11" s="7">
        <v>235</v>
      </c>
      <c r="V11" s="7">
        <v>240</v>
      </c>
      <c r="W11" s="7">
        <v>282</v>
      </c>
      <c r="X11" s="7">
        <v>358</v>
      </c>
      <c r="Y11" s="7">
        <v>123</v>
      </c>
      <c r="Z11" s="7">
        <v>120</v>
      </c>
      <c r="AA11" s="7">
        <v>306</v>
      </c>
      <c r="AB11" s="7">
        <v>347</v>
      </c>
      <c r="AC11" s="7">
        <v>304</v>
      </c>
      <c r="AD11" s="7">
        <v>385</v>
      </c>
      <c r="AE11" s="7">
        <v>617</v>
      </c>
      <c r="AF11" s="7">
        <v>466</v>
      </c>
      <c r="AG11" s="7">
        <v>615</v>
      </c>
      <c r="AH11" s="7">
        <v>511</v>
      </c>
      <c r="AI11" s="7">
        <v>267</v>
      </c>
      <c r="AJ11" s="7">
        <v>476</v>
      </c>
      <c r="AK11" s="7">
        <v>453</v>
      </c>
      <c r="AL11" s="7">
        <v>273</v>
      </c>
      <c r="AM11" s="7">
        <v>400</v>
      </c>
      <c r="AN11" s="7">
        <v>232</v>
      </c>
      <c r="AO11" s="7">
        <v>304</v>
      </c>
      <c r="AP11" s="7">
        <v>660</v>
      </c>
      <c r="AQ11" s="7">
        <v>245</v>
      </c>
      <c r="AR11" s="7">
        <v>144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</row>
    <row r="12" spans="1:81">
      <c r="A12" s="1" t="s">
        <v>1171</v>
      </c>
      <c r="B12" s="1" t="s">
        <v>113</v>
      </c>
      <c r="C12" s="1" t="s">
        <v>114</v>
      </c>
      <c r="D12" s="1" t="str">
        <f>HYPERLINK("http://eros.fiehnlab.ucdavis.edu:8080/binbase-compound/bin/show/381469?db=rtx5","381469")</f>
        <v>381469</v>
      </c>
      <c r="E12" s="1" t="s">
        <v>115</v>
      </c>
      <c r="F12" s="1" t="s">
        <v>0</v>
      </c>
      <c r="G12" s="1" t="s">
        <v>0</v>
      </c>
      <c r="H12" s="1"/>
      <c r="I12" s="7">
        <v>58798</v>
      </c>
      <c r="J12" s="7">
        <v>116597</v>
      </c>
      <c r="K12" s="7">
        <v>55498</v>
      </c>
      <c r="L12" s="7">
        <v>58910</v>
      </c>
      <c r="M12" s="7">
        <v>71674</v>
      </c>
      <c r="N12" s="7">
        <v>99471</v>
      </c>
      <c r="O12" s="7">
        <v>75584</v>
      </c>
      <c r="P12" s="7">
        <v>65833</v>
      </c>
      <c r="Q12" s="7">
        <v>78707</v>
      </c>
      <c r="R12" s="7">
        <v>64716</v>
      </c>
      <c r="S12" s="7">
        <v>84334</v>
      </c>
      <c r="T12" s="7">
        <v>98106</v>
      </c>
      <c r="U12" s="7">
        <v>35601</v>
      </c>
      <c r="V12" s="7">
        <v>75964</v>
      </c>
      <c r="W12" s="7">
        <v>83974</v>
      </c>
      <c r="X12" s="7">
        <v>56376</v>
      </c>
      <c r="Y12" s="7">
        <v>41460</v>
      </c>
      <c r="Z12" s="7">
        <v>107911</v>
      </c>
      <c r="AA12" s="7">
        <v>75834</v>
      </c>
      <c r="AB12" s="7">
        <v>52182</v>
      </c>
      <c r="AC12" s="7">
        <v>47143</v>
      </c>
      <c r="AD12" s="7">
        <v>67499</v>
      </c>
      <c r="AE12" s="7">
        <v>58067</v>
      </c>
      <c r="AF12" s="7">
        <v>50876</v>
      </c>
      <c r="AG12" s="7">
        <v>66820</v>
      </c>
      <c r="AH12" s="7">
        <v>56111</v>
      </c>
      <c r="AI12" s="7">
        <v>84024</v>
      </c>
      <c r="AJ12" s="7">
        <v>43137</v>
      </c>
      <c r="AK12" s="7">
        <v>49919</v>
      </c>
      <c r="AL12" s="7">
        <v>96672</v>
      </c>
      <c r="AM12" s="7">
        <v>46206</v>
      </c>
      <c r="AN12" s="7">
        <v>92311</v>
      </c>
      <c r="AO12" s="7">
        <v>42372</v>
      </c>
      <c r="AP12" s="7">
        <v>48972</v>
      </c>
      <c r="AQ12" s="7">
        <v>112099</v>
      </c>
      <c r="AR12" s="7">
        <v>51811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</row>
    <row r="13" spans="1:81">
      <c r="A13" s="1" t="s">
        <v>118</v>
      </c>
      <c r="B13" s="1" t="s">
        <v>119</v>
      </c>
      <c r="C13" s="1" t="s">
        <v>120</v>
      </c>
      <c r="D13" s="1" t="str">
        <f>HYPERLINK("http://eros.fiehnlab.ucdavis.edu:8080/binbase-compound/bin/show/216485?db=rtx5","216485")</f>
        <v>216485</v>
      </c>
      <c r="E13" s="1" t="s">
        <v>121</v>
      </c>
      <c r="F13" s="1" t="str">
        <f>HYPERLINK("http://www.genome.ad.jp/dbget-bin/www_bget?compound+C00078","C00078")</f>
        <v>C00078</v>
      </c>
      <c r="G13" s="1" t="str">
        <f>HYPERLINK("http://pubchem.ncbi.nlm.nih.gov/summary/summary.cgi?cid=6305","6305")</f>
        <v>6305</v>
      </c>
      <c r="H13" s="1"/>
      <c r="I13" s="7">
        <v>2777</v>
      </c>
      <c r="J13" s="7">
        <v>1420</v>
      </c>
      <c r="K13" s="7">
        <v>2059</v>
      </c>
      <c r="L13" s="7">
        <v>4503</v>
      </c>
      <c r="M13" s="7">
        <v>1646</v>
      </c>
      <c r="N13" s="7">
        <v>3525</v>
      </c>
      <c r="O13" s="7">
        <v>2423</v>
      </c>
      <c r="P13" s="7">
        <v>4071</v>
      </c>
      <c r="Q13" s="7">
        <v>2013</v>
      </c>
      <c r="R13" s="7">
        <v>6055</v>
      </c>
      <c r="S13" s="7">
        <v>1201</v>
      </c>
      <c r="T13" s="7">
        <v>2282</v>
      </c>
      <c r="U13" s="7">
        <v>2227</v>
      </c>
      <c r="V13" s="7">
        <v>2044</v>
      </c>
      <c r="W13" s="7">
        <v>1313</v>
      </c>
      <c r="X13" s="7">
        <v>1028</v>
      </c>
      <c r="Y13" s="7">
        <v>3332</v>
      </c>
      <c r="Z13" s="7">
        <v>5037</v>
      </c>
      <c r="AA13" s="7">
        <v>1691</v>
      </c>
      <c r="AB13" s="7">
        <v>3655</v>
      </c>
      <c r="AC13" s="7">
        <v>4792</v>
      </c>
      <c r="AD13" s="7">
        <v>16190</v>
      </c>
      <c r="AE13" s="7">
        <v>3117</v>
      </c>
      <c r="AF13" s="7">
        <v>8693</v>
      </c>
      <c r="AG13" s="7">
        <v>2709</v>
      </c>
      <c r="AH13" s="7">
        <v>5985</v>
      </c>
      <c r="AI13" s="7">
        <v>3309</v>
      </c>
      <c r="AJ13" s="7">
        <v>5771</v>
      </c>
      <c r="AK13" s="7">
        <v>4013</v>
      </c>
      <c r="AL13" s="7">
        <v>1812</v>
      </c>
      <c r="AM13" s="7">
        <v>1661</v>
      </c>
      <c r="AN13" s="7">
        <v>2015</v>
      </c>
      <c r="AO13" s="7">
        <v>1481</v>
      </c>
      <c r="AP13" s="7">
        <v>2571</v>
      </c>
      <c r="AQ13" s="7">
        <v>1425</v>
      </c>
      <c r="AR13" s="7">
        <v>1244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</row>
    <row r="14" spans="1:81">
      <c r="A14" s="1" t="s">
        <v>122</v>
      </c>
      <c r="B14" s="1" t="s">
        <v>123</v>
      </c>
      <c r="C14" s="1" t="s">
        <v>124</v>
      </c>
      <c r="D14" s="1" t="str">
        <f>HYPERLINK("http://eros.fiehnlab.ucdavis.edu:8080/binbase-compound/bin/show/199289?db=rtx5","199289")</f>
        <v>199289</v>
      </c>
      <c r="E14" s="1" t="s">
        <v>125</v>
      </c>
      <c r="F14" s="1" t="str">
        <f>HYPERLINK("http://www.genome.ad.jp/dbget-bin/www_bget?compound+C01083","C01083")</f>
        <v>C01083</v>
      </c>
      <c r="G14" s="1" t="str">
        <f>HYPERLINK("http://pubchem.ncbi.nlm.nih.gov/summary/summary.cgi?cid=7427","7427")</f>
        <v>7427</v>
      </c>
      <c r="H14" s="1"/>
      <c r="I14" s="7">
        <v>128</v>
      </c>
      <c r="J14" s="7">
        <v>164</v>
      </c>
      <c r="K14" s="7">
        <v>625</v>
      </c>
      <c r="L14" s="7">
        <v>1186</v>
      </c>
      <c r="M14" s="7">
        <v>356</v>
      </c>
      <c r="N14" s="7">
        <v>1262</v>
      </c>
      <c r="O14" s="7">
        <v>562</v>
      </c>
      <c r="P14" s="7">
        <v>934</v>
      </c>
      <c r="Q14" s="7">
        <v>370</v>
      </c>
      <c r="R14" s="7">
        <v>864</v>
      </c>
      <c r="S14" s="7">
        <v>452</v>
      </c>
      <c r="T14" s="7">
        <v>630</v>
      </c>
      <c r="U14" s="7">
        <v>1789</v>
      </c>
      <c r="V14" s="7">
        <v>499</v>
      </c>
      <c r="W14" s="7">
        <v>346</v>
      </c>
      <c r="X14" s="7">
        <v>680</v>
      </c>
      <c r="Y14" s="7">
        <v>727</v>
      </c>
      <c r="Z14" s="7">
        <v>233</v>
      </c>
      <c r="AA14" s="7">
        <v>358</v>
      </c>
      <c r="AB14" s="7">
        <v>621</v>
      </c>
      <c r="AC14" s="7">
        <v>817</v>
      </c>
      <c r="AD14" s="7">
        <v>686</v>
      </c>
      <c r="AE14" s="7">
        <v>556</v>
      </c>
      <c r="AF14" s="7">
        <v>921</v>
      </c>
      <c r="AG14" s="7">
        <v>602</v>
      </c>
      <c r="AH14" s="7">
        <v>863</v>
      </c>
      <c r="AI14" s="7">
        <v>302</v>
      </c>
      <c r="AJ14" s="7">
        <v>920</v>
      </c>
      <c r="AK14" s="7">
        <v>1143</v>
      </c>
      <c r="AL14" s="7">
        <v>345</v>
      </c>
      <c r="AM14" s="7">
        <v>790</v>
      </c>
      <c r="AN14" s="7">
        <v>219</v>
      </c>
      <c r="AO14" s="7">
        <v>677</v>
      </c>
      <c r="AP14" s="7">
        <v>852</v>
      </c>
      <c r="AQ14" s="7">
        <v>224</v>
      </c>
      <c r="AR14" s="7">
        <v>612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</row>
    <row r="15" spans="1:81">
      <c r="A15" s="1" t="s">
        <v>126</v>
      </c>
      <c r="B15" s="1" t="s">
        <v>127</v>
      </c>
      <c r="C15" s="1" t="s">
        <v>128</v>
      </c>
      <c r="D15" s="1" t="str">
        <f>HYPERLINK("http://eros.fiehnlab.ucdavis.edu:8080/binbase-compound/bin/show/236696?db=rtx5","236696")</f>
        <v>236696</v>
      </c>
      <c r="E15" s="1" t="s">
        <v>129</v>
      </c>
      <c r="F15" s="1" t="str">
        <f>HYPERLINK("http://www.genome.ad.jp/dbget-bin/www_bget?compound+C00178","C00178")</f>
        <v>C00178</v>
      </c>
      <c r="G15" s="1" t="str">
        <f>HYPERLINK("http://pubchem.ncbi.nlm.nih.gov/summary/summary.cgi?cid=1135","1135")</f>
        <v>1135</v>
      </c>
      <c r="H15" s="1"/>
      <c r="I15" s="7">
        <v>3637</v>
      </c>
      <c r="J15" s="7">
        <v>2073</v>
      </c>
      <c r="K15" s="7">
        <v>9603</v>
      </c>
      <c r="L15" s="7">
        <v>18583</v>
      </c>
      <c r="M15" s="7">
        <v>3935</v>
      </c>
      <c r="N15" s="7">
        <v>4459</v>
      </c>
      <c r="O15" s="7">
        <v>5348</v>
      </c>
      <c r="P15" s="7">
        <v>14619</v>
      </c>
      <c r="Q15" s="7">
        <v>6600</v>
      </c>
      <c r="R15" s="7">
        <v>13584</v>
      </c>
      <c r="S15" s="7">
        <v>6467</v>
      </c>
      <c r="T15" s="7">
        <v>4075</v>
      </c>
      <c r="U15" s="7">
        <v>4811</v>
      </c>
      <c r="V15" s="7">
        <v>4634</v>
      </c>
      <c r="W15" s="7">
        <v>4704</v>
      </c>
      <c r="X15" s="7">
        <v>9118</v>
      </c>
      <c r="Y15" s="7">
        <v>7136</v>
      </c>
      <c r="Z15" s="7">
        <v>3249</v>
      </c>
      <c r="AA15" s="7">
        <v>3020</v>
      </c>
      <c r="AB15" s="7">
        <v>8865</v>
      </c>
      <c r="AC15" s="7">
        <v>16203</v>
      </c>
      <c r="AD15" s="7">
        <v>21621</v>
      </c>
      <c r="AE15" s="7">
        <v>13235</v>
      </c>
      <c r="AF15" s="7">
        <v>21339</v>
      </c>
      <c r="AG15" s="7">
        <v>8245</v>
      </c>
      <c r="AH15" s="7">
        <v>19573</v>
      </c>
      <c r="AI15" s="7">
        <v>3696</v>
      </c>
      <c r="AJ15" s="7">
        <v>16060</v>
      </c>
      <c r="AK15" s="7">
        <v>12091</v>
      </c>
      <c r="AL15" s="7">
        <v>3614</v>
      </c>
      <c r="AM15" s="7">
        <v>12741</v>
      </c>
      <c r="AN15" s="7">
        <v>2698</v>
      </c>
      <c r="AO15" s="7">
        <v>10326</v>
      </c>
      <c r="AP15" s="7">
        <v>13258</v>
      </c>
      <c r="AQ15" s="7">
        <v>2018</v>
      </c>
      <c r="AR15" s="7">
        <v>8859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</row>
    <row r="16" spans="1:81">
      <c r="A16" s="1" t="s">
        <v>130</v>
      </c>
      <c r="B16" s="1" t="s">
        <v>131</v>
      </c>
      <c r="C16" s="1" t="s">
        <v>132</v>
      </c>
      <c r="D16" s="1" t="str">
        <f>HYPERLINK("http://eros.fiehnlab.ucdavis.edu:8080/binbase-compound/bin/show/199626?db=rtx5","199626")</f>
        <v>199626</v>
      </c>
      <c r="E16" s="1" t="s">
        <v>133</v>
      </c>
      <c r="F16" s="1" t="str">
        <f>HYPERLINK("http://www.genome.ad.jp/dbget-bin/www_bget?compound+C00188","C00188")</f>
        <v>C00188</v>
      </c>
      <c r="G16" s="1" t="str">
        <f>HYPERLINK("http://pubchem.ncbi.nlm.nih.gov/summary/summary.cgi?cid=6288","6288")</f>
        <v>6288</v>
      </c>
      <c r="H16" s="1"/>
      <c r="I16" s="7">
        <v>1113</v>
      </c>
      <c r="J16" s="7">
        <v>1205</v>
      </c>
      <c r="K16" s="7">
        <v>730</v>
      </c>
      <c r="L16" s="7">
        <v>965</v>
      </c>
      <c r="M16" s="7">
        <v>2231</v>
      </c>
      <c r="N16" s="7">
        <v>1502</v>
      </c>
      <c r="O16" s="7">
        <v>1605</v>
      </c>
      <c r="P16" s="7">
        <v>817</v>
      </c>
      <c r="Q16" s="7">
        <v>646</v>
      </c>
      <c r="R16" s="7">
        <v>732</v>
      </c>
      <c r="S16" s="7">
        <v>1400</v>
      </c>
      <c r="T16" s="7">
        <v>1241</v>
      </c>
      <c r="U16" s="7">
        <v>1385</v>
      </c>
      <c r="V16" s="7">
        <v>3475</v>
      </c>
      <c r="W16" s="7">
        <v>1176</v>
      </c>
      <c r="X16" s="7">
        <v>953</v>
      </c>
      <c r="Y16" s="7">
        <v>1489</v>
      </c>
      <c r="Z16" s="7">
        <v>1446</v>
      </c>
      <c r="AA16" s="7">
        <v>1013</v>
      </c>
      <c r="AB16" s="7">
        <v>1559</v>
      </c>
      <c r="AC16" s="7">
        <v>651</v>
      </c>
      <c r="AD16" s="7">
        <v>2082</v>
      </c>
      <c r="AE16" s="7">
        <v>1319</v>
      </c>
      <c r="AF16" s="7">
        <v>2016</v>
      </c>
      <c r="AG16" s="7">
        <v>1617</v>
      </c>
      <c r="AH16" s="7">
        <v>863</v>
      </c>
      <c r="AI16" s="7">
        <v>3587</v>
      </c>
      <c r="AJ16" s="7">
        <v>2082</v>
      </c>
      <c r="AK16" s="7">
        <v>1465</v>
      </c>
      <c r="AL16" s="7">
        <v>1691</v>
      </c>
      <c r="AM16" s="7">
        <v>951</v>
      </c>
      <c r="AN16" s="7">
        <v>2899</v>
      </c>
      <c r="AO16" s="7">
        <v>1175</v>
      </c>
      <c r="AP16" s="7">
        <v>1206</v>
      </c>
      <c r="AQ16" s="7">
        <v>1639</v>
      </c>
      <c r="AR16" s="7">
        <v>1148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7" spans="1:81">
      <c r="A17" s="1" t="s">
        <v>1172</v>
      </c>
      <c r="B17" s="1" t="s">
        <v>134</v>
      </c>
      <c r="C17" s="1" t="s">
        <v>135</v>
      </c>
      <c r="D17" s="1" t="str">
        <f>HYPERLINK("http://eros.fiehnlab.ucdavis.edu:8080/binbase-compound/bin/show/199262?db=rtx5","199262")</f>
        <v>199262</v>
      </c>
      <c r="E17" s="1" t="s">
        <v>136</v>
      </c>
      <c r="F17" s="1" t="str">
        <f>HYPERLINK("http://www.genome.ad.jp/dbget-bin/www_bget?compound+C01620","C01620")</f>
        <v>C01620</v>
      </c>
      <c r="G17" s="1" t="str">
        <f>HYPERLINK("http://pubchem.ncbi.nlm.nih.gov/summary/summary.cgi?cid=439535","439535")</f>
        <v>439535</v>
      </c>
      <c r="H17" s="1"/>
      <c r="I17" s="7">
        <v>250</v>
      </c>
      <c r="J17" s="7">
        <v>450</v>
      </c>
      <c r="K17" s="7">
        <v>432</v>
      </c>
      <c r="L17" s="7">
        <v>368</v>
      </c>
      <c r="M17" s="7">
        <v>218</v>
      </c>
      <c r="N17" s="7">
        <v>340</v>
      </c>
      <c r="O17" s="7">
        <v>280</v>
      </c>
      <c r="P17" s="7">
        <v>332</v>
      </c>
      <c r="Q17" s="7">
        <v>283</v>
      </c>
      <c r="R17" s="7">
        <v>371</v>
      </c>
      <c r="S17" s="7">
        <v>337</v>
      </c>
      <c r="T17" s="7">
        <v>337</v>
      </c>
      <c r="U17" s="7">
        <v>228</v>
      </c>
      <c r="V17" s="7">
        <v>379</v>
      </c>
      <c r="W17" s="7">
        <v>558</v>
      </c>
      <c r="X17" s="7">
        <v>396</v>
      </c>
      <c r="Y17" s="7">
        <v>289</v>
      </c>
      <c r="Z17" s="7">
        <v>248</v>
      </c>
      <c r="AA17" s="7">
        <v>335</v>
      </c>
      <c r="AB17" s="7">
        <v>457</v>
      </c>
      <c r="AC17" s="7">
        <v>624</v>
      </c>
      <c r="AD17" s="7">
        <v>646</v>
      </c>
      <c r="AE17" s="7">
        <v>547</v>
      </c>
      <c r="AF17" s="7">
        <v>491</v>
      </c>
      <c r="AG17" s="7">
        <v>382</v>
      </c>
      <c r="AH17" s="7">
        <v>420</v>
      </c>
      <c r="AI17" s="7">
        <v>251</v>
      </c>
      <c r="AJ17" s="7">
        <v>468</v>
      </c>
      <c r="AK17" s="7">
        <v>524</v>
      </c>
      <c r="AL17" s="7">
        <v>263</v>
      </c>
      <c r="AM17" s="7">
        <v>425</v>
      </c>
      <c r="AN17" s="7">
        <v>246</v>
      </c>
      <c r="AO17" s="7">
        <v>821</v>
      </c>
      <c r="AP17" s="7">
        <v>546</v>
      </c>
      <c r="AQ17" s="7">
        <v>280</v>
      </c>
      <c r="AR17" s="7">
        <v>407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</row>
    <row r="18" spans="1:81">
      <c r="A18" s="1" t="s">
        <v>137</v>
      </c>
      <c r="B18" s="1" t="s">
        <v>138</v>
      </c>
      <c r="C18" s="1" t="s">
        <v>139</v>
      </c>
      <c r="D18" s="1" t="str">
        <f>HYPERLINK("http://eros.fiehnlab.ucdavis.edu:8080/binbase-compound/bin/show/203674?db=rtx5","203674")</f>
        <v>203674</v>
      </c>
      <c r="E18" s="1" t="s">
        <v>140</v>
      </c>
      <c r="F18" s="1" t="str">
        <f>HYPERLINK("http://www.genome.ad.jp/dbget-bin/www_bget?compound+C00089","C00089")</f>
        <v>C00089</v>
      </c>
      <c r="G18" s="1" t="str">
        <f>HYPERLINK("http://pubchem.ncbi.nlm.nih.gov/summary/summary.cgi?cid=5988","5988")</f>
        <v>5988</v>
      </c>
      <c r="H18" s="1"/>
      <c r="I18" s="7">
        <v>552</v>
      </c>
      <c r="J18" s="7">
        <v>487</v>
      </c>
      <c r="K18" s="7">
        <v>625</v>
      </c>
      <c r="L18" s="7">
        <v>261</v>
      </c>
      <c r="M18" s="7">
        <v>164</v>
      </c>
      <c r="N18" s="7">
        <v>344</v>
      </c>
      <c r="O18" s="7">
        <v>566</v>
      </c>
      <c r="P18" s="7">
        <v>738</v>
      </c>
      <c r="Q18" s="7">
        <v>154</v>
      </c>
      <c r="R18" s="7">
        <v>664</v>
      </c>
      <c r="S18" s="7">
        <v>368</v>
      </c>
      <c r="T18" s="7">
        <v>163</v>
      </c>
      <c r="U18" s="7">
        <v>507</v>
      </c>
      <c r="V18" s="7">
        <v>147</v>
      </c>
      <c r="W18" s="7">
        <v>217</v>
      </c>
      <c r="X18" s="7">
        <v>234</v>
      </c>
      <c r="Y18" s="7">
        <v>532</v>
      </c>
      <c r="Z18" s="7">
        <v>145</v>
      </c>
      <c r="AA18" s="7">
        <v>351</v>
      </c>
      <c r="AB18" s="7">
        <v>447</v>
      </c>
      <c r="AC18" s="7">
        <v>651</v>
      </c>
      <c r="AD18" s="7">
        <v>1509</v>
      </c>
      <c r="AE18" s="7">
        <v>517</v>
      </c>
      <c r="AF18" s="7">
        <v>313</v>
      </c>
      <c r="AG18" s="7">
        <v>168</v>
      </c>
      <c r="AH18" s="7">
        <v>455</v>
      </c>
      <c r="AI18" s="7">
        <v>827</v>
      </c>
      <c r="AJ18" s="7">
        <v>519</v>
      </c>
      <c r="AK18" s="7">
        <v>324</v>
      </c>
      <c r="AL18" s="7">
        <v>479</v>
      </c>
      <c r="AM18" s="7">
        <v>544</v>
      </c>
      <c r="AN18" s="7">
        <v>418</v>
      </c>
      <c r="AO18" s="7">
        <v>257</v>
      </c>
      <c r="AP18" s="7">
        <v>966</v>
      </c>
      <c r="AQ18" s="7">
        <v>220</v>
      </c>
      <c r="AR18" s="7">
        <v>367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</row>
    <row r="19" spans="1:81">
      <c r="A19" s="1" t="s">
        <v>141</v>
      </c>
      <c r="B19" s="1" t="s">
        <v>142</v>
      </c>
      <c r="C19" s="1" t="s">
        <v>143</v>
      </c>
      <c r="D19" s="1" t="str">
        <f>HYPERLINK("http://eros.fiehnlab.ucdavis.edu:8080/binbase-compound/bin/show/199210?db=rtx5","199210")</f>
        <v>199210</v>
      </c>
      <c r="E19" s="1" t="s">
        <v>144</v>
      </c>
      <c r="F19" s="1" t="str">
        <f>HYPERLINK("http://www.genome.ad.jp/dbget-bin/www_bget?compound+C00042","C00042")</f>
        <v>C00042</v>
      </c>
      <c r="G19" s="1" t="str">
        <f>HYPERLINK("http://pubchem.ncbi.nlm.nih.gov/summary/summary.cgi?cid=1110","1110")</f>
        <v>1110</v>
      </c>
      <c r="H19" s="1"/>
      <c r="I19" s="7">
        <v>7206</v>
      </c>
      <c r="J19" s="7">
        <v>6761</v>
      </c>
      <c r="K19" s="7">
        <v>8931</v>
      </c>
      <c r="L19" s="7">
        <v>11451</v>
      </c>
      <c r="M19" s="7">
        <v>14913</v>
      </c>
      <c r="N19" s="7">
        <v>10994</v>
      </c>
      <c r="O19" s="7">
        <v>14935</v>
      </c>
      <c r="P19" s="7">
        <v>8759</v>
      </c>
      <c r="Q19" s="7">
        <v>2792</v>
      </c>
      <c r="R19" s="7">
        <v>8148</v>
      </c>
      <c r="S19" s="7">
        <v>3340</v>
      </c>
      <c r="T19" s="7">
        <v>2485</v>
      </c>
      <c r="U19" s="7">
        <v>10561</v>
      </c>
      <c r="V19" s="7">
        <v>10021</v>
      </c>
      <c r="W19" s="7">
        <v>5521</v>
      </c>
      <c r="X19" s="7">
        <v>2990</v>
      </c>
      <c r="Y19" s="7">
        <v>6622</v>
      </c>
      <c r="Z19" s="7">
        <v>5443</v>
      </c>
      <c r="AA19" s="7">
        <v>4619</v>
      </c>
      <c r="AB19" s="7">
        <v>6221</v>
      </c>
      <c r="AC19" s="7">
        <v>7026</v>
      </c>
      <c r="AD19" s="7">
        <v>19624</v>
      </c>
      <c r="AE19" s="7">
        <v>6278</v>
      </c>
      <c r="AF19" s="7">
        <v>13558</v>
      </c>
      <c r="AG19" s="7">
        <v>8045</v>
      </c>
      <c r="AH19" s="7">
        <v>13645</v>
      </c>
      <c r="AI19" s="7">
        <v>2774</v>
      </c>
      <c r="AJ19" s="7">
        <v>11556</v>
      </c>
      <c r="AK19" s="7">
        <v>8862</v>
      </c>
      <c r="AL19" s="7">
        <v>3224</v>
      </c>
      <c r="AM19" s="7">
        <v>6157</v>
      </c>
      <c r="AN19" s="7">
        <v>2591</v>
      </c>
      <c r="AO19" s="7">
        <v>7264</v>
      </c>
      <c r="AP19" s="7">
        <v>12411</v>
      </c>
      <c r="AQ19" s="7">
        <v>7855</v>
      </c>
      <c r="AR19" s="7">
        <v>3941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</row>
    <row r="20" spans="1:81">
      <c r="A20" s="1" t="s">
        <v>145</v>
      </c>
      <c r="B20" s="1" t="s">
        <v>146</v>
      </c>
      <c r="C20" s="1" t="s">
        <v>132</v>
      </c>
      <c r="D20" s="1" t="str">
        <f>HYPERLINK("http://eros.fiehnlab.ucdavis.edu:8080/binbase-compound/bin/show/199195?db=rtx5","199195")</f>
        <v>199195</v>
      </c>
      <c r="E20" s="1" t="s">
        <v>147</v>
      </c>
      <c r="F20" s="1" t="str">
        <f>HYPERLINK("http://www.genome.ad.jp/dbget-bin/www_bget?compound+C01530","C01530")</f>
        <v>C01530</v>
      </c>
      <c r="G20" s="1" t="str">
        <f>HYPERLINK("http://pubchem.ncbi.nlm.nih.gov/summary/summary.cgi?cid=5281","5281")</f>
        <v>5281</v>
      </c>
      <c r="H20" s="1"/>
      <c r="I20" s="7">
        <v>1044936</v>
      </c>
      <c r="J20" s="7">
        <v>70287</v>
      </c>
      <c r="K20" s="7">
        <v>217132</v>
      </c>
      <c r="L20" s="7">
        <v>252873</v>
      </c>
      <c r="M20" s="7">
        <v>138798</v>
      </c>
      <c r="N20" s="7">
        <v>76234</v>
      </c>
      <c r="O20" s="7">
        <v>319748</v>
      </c>
      <c r="P20" s="7">
        <v>443405</v>
      </c>
      <c r="Q20" s="7">
        <v>831006</v>
      </c>
      <c r="R20" s="7">
        <v>274479</v>
      </c>
      <c r="S20" s="7">
        <v>221333</v>
      </c>
      <c r="T20" s="7">
        <v>86629</v>
      </c>
      <c r="U20" s="7">
        <v>2004135</v>
      </c>
      <c r="V20" s="7">
        <v>145816</v>
      </c>
      <c r="W20" s="7">
        <v>187087</v>
      </c>
      <c r="X20" s="7">
        <v>390699</v>
      </c>
      <c r="Y20" s="7">
        <v>653397</v>
      </c>
      <c r="Z20" s="7">
        <v>77048</v>
      </c>
      <c r="AA20" s="7">
        <v>243500</v>
      </c>
      <c r="AB20" s="7">
        <v>197518</v>
      </c>
      <c r="AC20" s="7">
        <v>184883</v>
      </c>
      <c r="AD20" s="7">
        <v>213765</v>
      </c>
      <c r="AE20" s="7">
        <v>371972</v>
      </c>
      <c r="AF20" s="7">
        <v>252796</v>
      </c>
      <c r="AG20" s="7">
        <v>368829</v>
      </c>
      <c r="AH20" s="7">
        <v>133814</v>
      </c>
      <c r="AI20" s="7">
        <v>176693</v>
      </c>
      <c r="AJ20" s="7">
        <v>282429</v>
      </c>
      <c r="AK20" s="7">
        <v>510720</v>
      </c>
      <c r="AL20" s="7">
        <v>57701</v>
      </c>
      <c r="AM20" s="7">
        <v>401398</v>
      </c>
      <c r="AN20" s="7">
        <v>78460</v>
      </c>
      <c r="AO20" s="7">
        <v>370312</v>
      </c>
      <c r="AP20" s="7">
        <v>577963</v>
      </c>
      <c r="AQ20" s="7">
        <v>96883</v>
      </c>
      <c r="AR20" s="7">
        <v>198049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</row>
    <row r="21" spans="1:81">
      <c r="A21" s="1" t="s">
        <v>1173</v>
      </c>
      <c r="B21" s="1" t="s">
        <v>148</v>
      </c>
      <c r="C21" s="1" t="s">
        <v>98</v>
      </c>
      <c r="D21" s="1" t="str">
        <f>HYPERLINK("http://eros.fiehnlab.ucdavis.edu:8080/binbase-compound/bin/show/226186?db=rtx5","226186")</f>
        <v>226186</v>
      </c>
      <c r="E21" s="1" t="s">
        <v>149</v>
      </c>
      <c r="F21" s="1" t="str">
        <f>HYPERLINK("http://www.genome.ad.jp/dbget-bin/www_bget?compound+C00750","C00750")</f>
        <v>C00750</v>
      </c>
      <c r="G21" s="1" t="str">
        <f>HYPERLINK("http://pubchem.ncbi.nlm.nih.gov/summary/summary.cgi?cid=1103","1103")</f>
        <v>1103</v>
      </c>
      <c r="H21" s="1"/>
      <c r="I21" s="7">
        <v>116</v>
      </c>
      <c r="J21" s="7">
        <v>383</v>
      </c>
      <c r="K21" s="7">
        <v>411</v>
      </c>
      <c r="L21" s="7">
        <v>255</v>
      </c>
      <c r="M21" s="7">
        <v>241</v>
      </c>
      <c r="N21" s="7">
        <v>409</v>
      </c>
      <c r="O21" s="7">
        <v>592</v>
      </c>
      <c r="P21" s="7">
        <v>293</v>
      </c>
      <c r="Q21" s="7">
        <v>118</v>
      </c>
      <c r="R21" s="7">
        <v>613</v>
      </c>
      <c r="S21" s="7">
        <v>216</v>
      </c>
      <c r="T21" s="7">
        <v>68</v>
      </c>
      <c r="U21" s="7">
        <v>287</v>
      </c>
      <c r="V21" s="7">
        <v>301</v>
      </c>
      <c r="W21" s="7">
        <v>307</v>
      </c>
      <c r="X21" s="7">
        <v>250</v>
      </c>
      <c r="Y21" s="7">
        <v>457</v>
      </c>
      <c r="Z21" s="7">
        <v>455</v>
      </c>
      <c r="AA21" s="7">
        <v>162</v>
      </c>
      <c r="AB21" s="7">
        <v>438</v>
      </c>
      <c r="AC21" s="7">
        <v>471</v>
      </c>
      <c r="AD21" s="7">
        <v>355</v>
      </c>
      <c r="AE21" s="7">
        <v>299</v>
      </c>
      <c r="AF21" s="7">
        <v>256</v>
      </c>
      <c r="AG21" s="7">
        <v>500</v>
      </c>
      <c r="AH21" s="7">
        <v>903</v>
      </c>
      <c r="AI21" s="7">
        <v>279</v>
      </c>
      <c r="AJ21" s="7">
        <v>399</v>
      </c>
      <c r="AK21" s="7">
        <v>879</v>
      </c>
      <c r="AL21" s="7">
        <v>157</v>
      </c>
      <c r="AM21" s="7">
        <v>339</v>
      </c>
      <c r="AN21" s="7">
        <v>224</v>
      </c>
      <c r="AO21" s="7">
        <v>327</v>
      </c>
      <c r="AP21" s="7">
        <v>703</v>
      </c>
      <c r="AQ21" s="7">
        <v>213</v>
      </c>
      <c r="AR21" s="7">
        <v>220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</row>
    <row r="22" spans="1:81">
      <c r="A22" s="1" t="s">
        <v>1174</v>
      </c>
      <c r="B22" s="1" t="s">
        <v>150</v>
      </c>
      <c r="C22" s="1" t="s">
        <v>98</v>
      </c>
      <c r="D22" s="1" t="str">
        <f>HYPERLINK("http://eros.fiehnlab.ucdavis.edu:8080/binbase-compound/bin/show/200990?db=rtx5","200990")</f>
        <v>200990</v>
      </c>
      <c r="E22" s="1" t="s">
        <v>151</v>
      </c>
      <c r="F22" s="1" t="str">
        <f>HYPERLINK("http://www.genome.ad.jp/dbget-bin/www_bget?compound+C00315","C00315")</f>
        <v>C00315</v>
      </c>
      <c r="G22" s="1" t="str">
        <f>HYPERLINK("http://pubchem.ncbi.nlm.nih.gov/summary/summary.cgi?cid=1102","1102")</f>
        <v>1102</v>
      </c>
      <c r="H22" s="1"/>
      <c r="I22" s="7">
        <v>16788</v>
      </c>
      <c r="J22" s="7">
        <v>20071</v>
      </c>
      <c r="K22" s="7">
        <v>16854</v>
      </c>
      <c r="L22" s="7">
        <v>25906</v>
      </c>
      <c r="M22" s="7">
        <v>16388</v>
      </c>
      <c r="N22" s="7">
        <v>23860</v>
      </c>
      <c r="O22" s="7">
        <v>26727</v>
      </c>
      <c r="P22" s="7">
        <v>17715</v>
      </c>
      <c r="Q22" s="7">
        <v>6567</v>
      </c>
      <c r="R22" s="7">
        <v>16173</v>
      </c>
      <c r="S22" s="7">
        <v>16239</v>
      </c>
      <c r="T22" s="7">
        <v>11933</v>
      </c>
      <c r="U22" s="7">
        <v>8523</v>
      </c>
      <c r="V22" s="7">
        <v>33705</v>
      </c>
      <c r="W22" s="7">
        <v>6208</v>
      </c>
      <c r="X22" s="7">
        <v>19889</v>
      </c>
      <c r="Y22" s="7">
        <v>14552</v>
      </c>
      <c r="Z22" s="7">
        <v>17664</v>
      </c>
      <c r="AA22" s="7">
        <v>6757</v>
      </c>
      <c r="AB22" s="7">
        <v>15601</v>
      </c>
      <c r="AC22" s="7">
        <v>8602</v>
      </c>
      <c r="AD22" s="7">
        <v>5607</v>
      </c>
      <c r="AE22" s="7">
        <v>17600</v>
      </c>
      <c r="AF22" s="7">
        <v>6998</v>
      </c>
      <c r="AG22" s="7">
        <v>15669</v>
      </c>
      <c r="AH22" s="7">
        <v>12449</v>
      </c>
      <c r="AI22" s="7">
        <v>32583</v>
      </c>
      <c r="AJ22" s="7">
        <v>8321</v>
      </c>
      <c r="AK22" s="7">
        <v>16140</v>
      </c>
      <c r="AL22" s="7">
        <v>10310</v>
      </c>
      <c r="AM22" s="7">
        <v>5991</v>
      </c>
      <c r="AN22" s="7">
        <v>26423</v>
      </c>
      <c r="AO22" s="7">
        <v>5938</v>
      </c>
      <c r="AP22" s="7">
        <v>8377</v>
      </c>
      <c r="AQ22" s="7">
        <v>7321</v>
      </c>
      <c r="AR22" s="7">
        <v>6267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</row>
    <row r="23" spans="1:81">
      <c r="A23" s="1" t="s">
        <v>153</v>
      </c>
      <c r="B23" s="1" t="s">
        <v>154</v>
      </c>
      <c r="C23" s="1" t="s">
        <v>155</v>
      </c>
      <c r="D23" s="1" t="str">
        <f>HYPERLINK("http://eros.fiehnlab.ucdavis.edu:8080/binbase-compound/bin/show/199440?db=rtx5","199440")</f>
        <v>199440</v>
      </c>
      <c r="E23" s="1" t="s">
        <v>156</v>
      </c>
      <c r="F23" s="1" t="str">
        <f>HYPERLINK("http://www.genome.ad.jp/dbget-bin/www_bget?compound+C00065","C00065")</f>
        <v>C00065</v>
      </c>
      <c r="G23" s="1" t="str">
        <f>HYPERLINK("http://pubchem.ncbi.nlm.nih.gov/summary/summary.cgi?cid=5951","5951")</f>
        <v>5951</v>
      </c>
      <c r="H23" s="1"/>
      <c r="I23" s="7">
        <v>8359</v>
      </c>
      <c r="J23" s="7">
        <v>1743</v>
      </c>
      <c r="K23" s="7">
        <v>2938</v>
      </c>
      <c r="L23" s="7">
        <v>3491</v>
      </c>
      <c r="M23" s="7">
        <v>5187</v>
      </c>
      <c r="N23" s="7">
        <v>5464</v>
      </c>
      <c r="O23" s="7">
        <v>8220</v>
      </c>
      <c r="P23" s="7">
        <v>4741</v>
      </c>
      <c r="Q23" s="7">
        <v>752</v>
      </c>
      <c r="R23" s="7">
        <v>5859</v>
      </c>
      <c r="S23" s="7">
        <v>2136</v>
      </c>
      <c r="T23" s="7">
        <v>2594</v>
      </c>
      <c r="U23" s="7">
        <v>4066</v>
      </c>
      <c r="V23" s="7">
        <v>6119</v>
      </c>
      <c r="W23" s="7">
        <v>1652</v>
      </c>
      <c r="X23" s="7">
        <v>1726</v>
      </c>
      <c r="Y23" s="7">
        <v>5294</v>
      </c>
      <c r="Z23" s="7">
        <v>6133</v>
      </c>
      <c r="AA23" s="7">
        <v>1353</v>
      </c>
      <c r="AB23" s="7">
        <v>3767</v>
      </c>
      <c r="AC23" s="7">
        <v>4039</v>
      </c>
      <c r="AD23" s="7">
        <v>4004</v>
      </c>
      <c r="AE23" s="7">
        <v>3747</v>
      </c>
      <c r="AF23" s="7">
        <v>7730</v>
      </c>
      <c r="AG23" s="7">
        <v>4298</v>
      </c>
      <c r="AH23" s="7">
        <v>4346</v>
      </c>
      <c r="AI23" s="7">
        <v>7513</v>
      </c>
      <c r="AJ23" s="7">
        <v>6349</v>
      </c>
      <c r="AK23" s="7">
        <v>4270</v>
      </c>
      <c r="AL23" s="7">
        <v>2293</v>
      </c>
      <c r="AM23" s="7">
        <v>3835</v>
      </c>
      <c r="AN23" s="7">
        <v>3947</v>
      </c>
      <c r="AO23" s="7">
        <v>3839</v>
      </c>
      <c r="AP23" s="7">
        <v>4550</v>
      </c>
      <c r="AQ23" s="7">
        <v>1914</v>
      </c>
      <c r="AR23" s="7">
        <v>2162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</row>
    <row r="24" spans="1:81">
      <c r="A24" s="1" t="s">
        <v>157</v>
      </c>
      <c r="B24" s="1" t="s">
        <v>158</v>
      </c>
      <c r="C24" s="1" t="s">
        <v>159</v>
      </c>
      <c r="D24" s="1" t="str">
        <f>HYPERLINK("http://eros.fiehnlab.ucdavis.edu:8080/binbase-compound/bin/show/199200?db=rtx5","199200")</f>
        <v>199200</v>
      </c>
      <c r="E24" s="1" t="s">
        <v>160</v>
      </c>
      <c r="F24" s="1" t="str">
        <f>HYPERLINK("http://www.genome.ad.jp/dbget-bin/www_bget?compound+C00805","C00805")</f>
        <v>C00805</v>
      </c>
      <c r="G24" s="1" t="str">
        <f>HYPERLINK("http://pubchem.ncbi.nlm.nih.gov/summary/summary.cgi?cid=338","338")</f>
        <v>338</v>
      </c>
      <c r="H24" s="1"/>
      <c r="I24" s="7">
        <v>937</v>
      </c>
      <c r="J24" s="7">
        <v>632</v>
      </c>
      <c r="K24" s="7">
        <v>1293</v>
      </c>
      <c r="L24" s="7">
        <v>1216</v>
      </c>
      <c r="M24" s="7">
        <v>835</v>
      </c>
      <c r="N24" s="7">
        <v>1066</v>
      </c>
      <c r="O24" s="7">
        <v>1377</v>
      </c>
      <c r="P24" s="7">
        <v>1565</v>
      </c>
      <c r="Q24" s="7">
        <v>1252</v>
      </c>
      <c r="R24" s="7">
        <v>1539</v>
      </c>
      <c r="S24" s="7">
        <v>1547</v>
      </c>
      <c r="T24" s="7">
        <v>1173</v>
      </c>
      <c r="U24" s="7">
        <v>896</v>
      </c>
      <c r="V24" s="7">
        <v>863</v>
      </c>
      <c r="W24" s="7">
        <v>1079</v>
      </c>
      <c r="X24" s="7">
        <v>1909</v>
      </c>
      <c r="Y24" s="7">
        <v>2605</v>
      </c>
      <c r="Z24" s="7">
        <v>695</v>
      </c>
      <c r="AA24" s="7">
        <v>1413</v>
      </c>
      <c r="AB24" s="7">
        <v>1696</v>
      </c>
      <c r="AC24" s="7">
        <v>1814</v>
      </c>
      <c r="AD24" s="7">
        <v>1905</v>
      </c>
      <c r="AE24" s="7">
        <v>2147</v>
      </c>
      <c r="AF24" s="7">
        <v>1787</v>
      </c>
      <c r="AG24" s="7">
        <v>1899</v>
      </c>
      <c r="AH24" s="7">
        <v>1804</v>
      </c>
      <c r="AI24" s="7">
        <v>697</v>
      </c>
      <c r="AJ24" s="7">
        <v>1851</v>
      </c>
      <c r="AK24" s="7">
        <v>3258</v>
      </c>
      <c r="AL24" s="7">
        <v>859</v>
      </c>
      <c r="AM24" s="7">
        <v>1850</v>
      </c>
      <c r="AN24" s="7">
        <v>1074</v>
      </c>
      <c r="AO24" s="7">
        <v>2615</v>
      </c>
      <c r="AP24" s="7">
        <v>2626</v>
      </c>
      <c r="AQ24" s="7">
        <v>800</v>
      </c>
      <c r="AR24" s="7">
        <v>1933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</row>
    <row r="25" spans="1:81">
      <c r="A25" s="1" t="s">
        <v>161</v>
      </c>
      <c r="B25" s="1" t="s">
        <v>162</v>
      </c>
      <c r="C25" s="1" t="s">
        <v>163</v>
      </c>
      <c r="D25" s="1" t="str">
        <f>HYPERLINK("http://eros.fiehnlab.ucdavis.edu:8080/binbase-compound/bin/show/213449?db=rtx5","213449")</f>
        <v>213449</v>
      </c>
      <c r="E25" s="1" t="s">
        <v>164</v>
      </c>
      <c r="F25" s="1" t="str">
        <f>HYPERLINK("http://www.genome.ad.jp/dbget-bin/www_bget?compound+C06202","C06202")</f>
        <v>C06202</v>
      </c>
      <c r="G25" s="1" t="str">
        <f>HYPERLINK("http://pubchem.ncbi.nlm.nih.gov/summary/summary.cgi?cid=6998","6998")</f>
        <v>6998</v>
      </c>
      <c r="H25" s="1"/>
      <c r="I25" s="7">
        <v>212</v>
      </c>
      <c r="J25" s="7">
        <v>259</v>
      </c>
      <c r="K25" s="7">
        <v>482</v>
      </c>
      <c r="L25" s="7">
        <v>1220</v>
      </c>
      <c r="M25" s="7">
        <v>259</v>
      </c>
      <c r="N25" s="7">
        <v>330</v>
      </c>
      <c r="O25" s="7">
        <v>345</v>
      </c>
      <c r="P25" s="7">
        <v>1226</v>
      </c>
      <c r="Q25" s="7">
        <v>308</v>
      </c>
      <c r="R25" s="7">
        <v>512</v>
      </c>
      <c r="S25" s="7">
        <v>342</v>
      </c>
      <c r="T25" s="7">
        <v>304</v>
      </c>
      <c r="U25" s="7">
        <v>269</v>
      </c>
      <c r="V25" s="7">
        <v>293</v>
      </c>
      <c r="W25" s="7">
        <v>324</v>
      </c>
      <c r="X25" s="7">
        <v>937</v>
      </c>
      <c r="Y25" s="7">
        <v>680</v>
      </c>
      <c r="Z25" s="7">
        <v>253</v>
      </c>
      <c r="AA25" s="7">
        <v>660</v>
      </c>
      <c r="AB25" s="7">
        <v>763</v>
      </c>
      <c r="AC25" s="7">
        <v>1021</v>
      </c>
      <c r="AD25" s="7">
        <v>546</v>
      </c>
      <c r="AE25" s="7">
        <v>1449</v>
      </c>
      <c r="AF25" s="7">
        <v>661</v>
      </c>
      <c r="AG25" s="7">
        <v>1078</v>
      </c>
      <c r="AH25" s="7">
        <v>834</v>
      </c>
      <c r="AI25" s="7">
        <v>60</v>
      </c>
      <c r="AJ25" s="7">
        <v>987</v>
      </c>
      <c r="AK25" s="7">
        <v>1141</v>
      </c>
      <c r="AL25" s="7">
        <v>425</v>
      </c>
      <c r="AM25" s="7">
        <v>641</v>
      </c>
      <c r="AN25" s="7">
        <v>391</v>
      </c>
      <c r="AO25" s="7">
        <v>976</v>
      </c>
      <c r="AP25" s="7">
        <v>943</v>
      </c>
      <c r="AQ25" s="7">
        <v>409</v>
      </c>
      <c r="AR25" s="7">
        <v>560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</row>
    <row r="26" spans="1:81">
      <c r="A26" s="1" t="s">
        <v>165</v>
      </c>
      <c r="B26" s="1" t="s">
        <v>166</v>
      </c>
      <c r="C26" s="1" t="s">
        <v>167</v>
      </c>
      <c r="D26" s="1" t="str">
        <f>HYPERLINK("http://eros.fiehnlab.ucdavis.edu:8080/binbase-compound/bin/show/219185?db=rtx5","219185")</f>
        <v>219185</v>
      </c>
      <c r="E26" s="1" t="s">
        <v>168</v>
      </c>
      <c r="F26" s="1" t="str">
        <f>HYPERLINK("http://www.genome.ad.jp/dbget-bin/www_bget?compound+C00449","C00449")</f>
        <v>C00449</v>
      </c>
      <c r="G26" s="1" t="str">
        <f>HYPERLINK("http://pubchem.ncbi.nlm.nih.gov/summary/summary.cgi?cid=160556","160556")</f>
        <v>160556</v>
      </c>
      <c r="H26" s="1"/>
      <c r="I26" s="7">
        <v>1035</v>
      </c>
      <c r="J26" s="7">
        <v>752</v>
      </c>
      <c r="K26" s="7">
        <v>488</v>
      </c>
      <c r="L26" s="7">
        <v>721</v>
      </c>
      <c r="M26" s="7">
        <v>712</v>
      </c>
      <c r="N26" s="7">
        <v>428</v>
      </c>
      <c r="O26" s="7">
        <v>463</v>
      </c>
      <c r="P26" s="7">
        <v>405</v>
      </c>
      <c r="Q26" s="7">
        <v>1022</v>
      </c>
      <c r="R26" s="7">
        <v>572</v>
      </c>
      <c r="S26" s="7">
        <v>883</v>
      </c>
      <c r="T26" s="7">
        <v>2190</v>
      </c>
      <c r="U26" s="7">
        <v>476</v>
      </c>
      <c r="V26" s="7">
        <v>1821</v>
      </c>
      <c r="W26" s="7">
        <v>900</v>
      </c>
      <c r="X26" s="7">
        <v>1026</v>
      </c>
      <c r="Y26" s="7">
        <v>838</v>
      </c>
      <c r="Z26" s="7">
        <v>1167</v>
      </c>
      <c r="AA26" s="7">
        <v>4776</v>
      </c>
      <c r="AB26" s="7">
        <v>812</v>
      </c>
      <c r="AC26" s="7">
        <v>553</v>
      </c>
      <c r="AD26" s="7">
        <v>532</v>
      </c>
      <c r="AE26" s="7">
        <v>1272</v>
      </c>
      <c r="AF26" s="7">
        <v>709</v>
      </c>
      <c r="AG26" s="7">
        <v>682</v>
      </c>
      <c r="AH26" s="7">
        <v>568</v>
      </c>
      <c r="AI26" s="7">
        <v>800</v>
      </c>
      <c r="AJ26" s="7">
        <v>578</v>
      </c>
      <c r="AK26" s="7">
        <v>781</v>
      </c>
      <c r="AL26" s="7">
        <v>839</v>
      </c>
      <c r="AM26" s="7">
        <v>620</v>
      </c>
      <c r="AN26" s="7">
        <v>1276</v>
      </c>
      <c r="AO26" s="7">
        <v>561</v>
      </c>
      <c r="AP26" s="7">
        <v>728</v>
      </c>
      <c r="AQ26" s="7">
        <v>973</v>
      </c>
      <c r="AR26" s="7">
        <v>826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</row>
    <row r="27" spans="1:81">
      <c r="A27" s="1" t="s">
        <v>169</v>
      </c>
      <c r="B27" s="1" t="s">
        <v>170</v>
      </c>
      <c r="C27" s="1" t="s">
        <v>171</v>
      </c>
      <c r="D27" s="1" t="str">
        <f>HYPERLINK("http://eros.fiehnlab.ucdavis.edu:8080/binbase-compound/bin/show/203258?db=rtx5","203258")</f>
        <v>203258</v>
      </c>
      <c r="E27" s="1" t="s">
        <v>172</v>
      </c>
      <c r="F27" s="1" t="str">
        <f>HYPERLINK("http://www.genome.ad.jp/dbget-bin/www_bget?compound+C00117","C00117")</f>
        <v>C00117</v>
      </c>
      <c r="G27" s="1" t="str">
        <f>HYPERLINK("http://pubchem.ncbi.nlm.nih.gov/summary/summary.cgi?cid=77982","77982")</f>
        <v>77982</v>
      </c>
      <c r="H27" s="1"/>
      <c r="I27" s="7">
        <v>685</v>
      </c>
      <c r="J27" s="7">
        <v>396</v>
      </c>
      <c r="K27" s="7">
        <v>1121</v>
      </c>
      <c r="L27" s="7">
        <v>1231</v>
      </c>
      <c r="M27" s="7">
        <v>545</v>
      </c>
      <c r="N27" s="7">
        <v>536</v>
      </c>
      <c r="O27" s="7">
        <v>336</v>
      </c>
      <c r="P27" s="7">
        <v>570</v>
      </c>
      <c r="Q27" s="7">
        <v>315</v>
      </c>
      <c r="R27" s="7">
        <v>635</v>
      </c>
      <c r="S27" s="7">
        <v>368</v>
      </c>
      <c r="T27" s="7">
        <v>374</v>
      </c>
      <c r="U27" s="7">
        <v>514</v>
      </c>
      <c r="V27" s="7">
        <v>782</v>
      </c>
      <c r="W27" s="7">
        <v>779</v>
      </c>
      <c r="X27" s="7">
        <v>558</v>
      </c>
      <c r="Y27" s="7">
        <v>385</v>
      </c>
      <c r="Z27" s="7">
        <v>162</v>
      </c>
      <c r="AA27" s="7">
        <v>140</v>
      </c>
      <c r="AB27" s="7">
        <v>1725</v>
      </c>
      <c r="AC27" s="7">
        <v>4208</v>
      </c>
      <c r="AD27" s="7">
        <v>6623</v>
      </c>
      <c r="AE27" s="7">
        <v>1054</v>
      </c>
      <c r="AF27" s="7">
        <v>548</v>
      </c>
      <c r="AG27" s="7">
        <v>812</v>
      </c>
      <c r="AH27" s="7">
        <v>2354</v>
      </c>
      <c r="AI27" s="7">
        <v>217</v>
      </c>
      <c r="AJ27" s="7">
        <v>2144</v>
      </c>
      <c r="AK27" s="7">
        <v>1127</v>
      </c>
      <c r="AL27" s="7">
        <v>364</v>
      </c>
      <c r="AM27" s="7">
        <v>866</v>
      </c>
      <c r="AN27" s="7">
        <v>241</v>
      </c>
      <c r="AO27" s="7">
        <v>4129</v>
      </c>
      <c r="AP27" s="7">
        <v>2247</v>
      </c>
      <c r="AQ27" s="7">
        <v>235</v>
      </c>
      <c r="AR27" s="7">
        <v>784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</row>
    <row r="28" spans="1:81">
      <c r="A28" s="1" t="s">
        <v>173</v>
      </c>
      <c r="B28" s="1" t="s">
        <v>174</v>
      </c>
      <c r="C28" s="1" t="s">
        <v>175</v>
      </c>
      <c r="D28" s="1" t="str">
        <f>HYPERLINK("http://eros.fiehnlab.ucdavis.edu:8080/binbase-compound/bin/show/205473?db=rtx5","205473")</f>
        <v>205473</v>
      </c>
      <c r="E28" s="1" t="s">
        <v>176</v>
      </c>
      <c r="F28" s="1" t="str">
        <f>HYPERLINK("http://www.genome.ad.jp/dbget-bin/www_bget?compound+C00121","C00121")</f>
        <v>C00121</v>
      </c>
      <c r="G28" s="1" t="str">
        <f>HYPERLINK("http://pubchem.ncbi.nlm.nih.gov/summary/summary.cgi?cid=5779","5779")</f>
        <v>5779</v>
      </c>
      <c r="H28" s="1"/>
      <c r="I28" s="7">
        <v>9477</v>
      </c>
      <c r="J28" s="7">
        <v>7296</v>
      </c>
      <c r="K28" s="7">
        <v>23182</v>
      </c>
      <c r="L28" s="7">
        <v>21400</v>
      </c>
      <c r="M28" s="7">
        <v>9476</v>
      </c>
      <c r="N28" s="7">
        <v>13617</v>
      </c>
      <c r="O28" s="7">
        <v>7318</v>
      </c>
      <c r="P28" s="7">
        <v>8593</v>
      </c>
      <c r="Q28" s="7">
        <v>16745</v>
      </c>
      <c r="R28" s="7">
        <v>13145</v>
      </c>
      <c r="S28" s="7">
        <v>34786</v>
      </c>
      <c r="T28" s="7">
        <v>23365</v>
      </c>
      <c r="U28" s="7">
        <v>9383</v>
      </c>
      <c r="V28" s="7">
        <v>7960</v>
      </c>
      <c r="W28" s="7">
        <v>17995</v>
      </c>
      <c r="X28" s="7">
        <v>27100</v>
      </c>
      <c r="Y28" s="7">
        <v>18450</v>
      </c>
      <c r="Z28" s="7">
        <v>8589</v>
      </c>
      <c r="AA28" s="7">
        <v>6777</v>
      </c>
      <c r="AB28" s="7">
        <v>49159</v>
      </c>
      <c r="AC28" s="7">
        <v>33410</v>
      </c>
      <c r="AD28" s="7">
        <v>28566</v>
      </c>
      <c r="AE28" s="7">
        <v>60505</v>
      </c>
      <c r="AF28" s="7">
        <v>22831</v>
      </c>
      <c r="AG28" s="7">
        <v>48671</v>
      </c>
      <c r="AH28" s="7">
        <v>52779</v>
      </c>
      <c r="AI28" s="7">
        <v>14014</v>
      </c>
      <c r="AJ28" s="7">
        <v>37145</v>
      </c>
      <c r="AK28" s="7">
        <v>49390</v>
      </c>
      <c r="AL28" s="7">
        <v>19085</v>
      </c>
      <c r="AM28" s="7">
        <v>33461</v>
      </c>
      <c r="AN28" s="7">
        <v>19132</v>
      </c>
      <c r="AO28" s="7">
        <v>35683</v>
      </c>
      <c r="AP28" s="7">
        <v>36478</v>
      </c>
      <c r="AQ28" s="7">
        <v>18836</v>
      </c>
      <c r="AR28" s="7">
        <v>40862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</row>
    <row r="29" spans="1:81">
      <c r="A29" s="1" t="s">
        <v>177</v>
      </c>
      <c r="B29" s="1" t="s">
        <v>178</v>
      </c>
      <c r="C29" s="1" t="s">
        <v>179</v>
      </c>
      <c r="D29" s="1" t="str">
        <f>HYPERLINK("http://eros.fiehnlab.ucdavis.edu:8080/binbase-compound/bin/show/200341?db=rtx5","200341")</f>
        <v>200341</v>
      </c>
      <c r="E29" s="1" t="s">
        <v>180</v>
      </c>
      <c r="F29" s="1" t="str">
        <f>HYPERLINK("http://www.genome.ad.jp/dbget-bin/www_bget?compound+C00013","C00013")</f>
        <v>C00013</v>
      </c>
      <c r="G29" s="1" t="str">
        <f>HYPERLINK("http://pubchem.ncbi.nlm.nih.gov/summary/summary.cgi?cid=1023","1023")</f>
        <v>1023</v>
      </c>
      <c r="H29" s="1"/>
      <c r="I29" s="7">
        <v>13339</v>
      </c>
      <c r="J29" s="7">
        <v>11586</v>
      </c>
      <c r="K29" s="7">
        <v>30629</v>
      </c>
      <c r="L29" s="7">
        <v>113511</v>
      </c>
      <c r="M29" s="7">
        <v>52618</v>
      </c>
      <c r="N29" s="7">
        <v>12320</v>
      </c>
      <c r="O29" s="7">
        <v>8257</v>
      </c>
      <c r="P29" s="7">
        <v>34919</v>
      </c>
      <c r="Q29" s="7">
        <v>16807</v>
      </c>
      <c r="R29" s="7">
        <v>26522</v>
      </c>
      <c r="S29" s="7">
        <v>53433</v>
      </c>
      <c r="T29" s="7">
        <v>42832</v>
      </c>
      <c r="U29" s="7">
        <v>3614</v>
      </c>
      <c r="V29" s="7">
        <v>37410</v>
      </c>
      <c r="W29" s="7">
        <v>17946</v>
      </c>
      <c r="X29" s="7">
        <v>79157</v>
      </c>
      <c r="Y29" s="7">
        <v>7340</v>
      </c>
      <c r="Z29" s="7">
        <v>17055</v>
      </c>
      <c r="AA29" s="7">
        <v>9193</v>
      </c>
      <c r="AB29" s="7">
        <v>82261</v>
      </c>
      <c r="AC29" s="7">
        <v>30874</v>
      </c>
      <c r="AD29" s="7">
        <v>30063</v>
      </c>
      <c r="AE29" s="7">
        <v>130165</v>
      </c>
      <c r="AF29" s="7">
        <v>58141</v>
      </c>
      <c r="AG29" s="7">
        <v>95930</v>
      </c>
      <c r="AH29" s="7">
        <v>84560</v>
      </c>
      <c r="AI29" s="7">
        <v>31988</v>
      </c>
      <c r="AJ29" s="7">
        <v>67608</v>
      </c>
      <c r="AK29" s="7">
        <v>87427</v>
      </c>
      <c r="AL29" s="7">
        <v>25344</v>
      </c>
      <c r="AM29" s="7">
        <v>57243</v>
      </c>
      <c r="AN29" s="7">
        <v>21713</v>
      </c>
      <c r="AO29" s="7">
        <v>41113</v>
      </c>
      <c r="AP29" s="7">
        <v>52331</v>
      </c>
      <c r="AQ29" s="7">
        <v>8707</v>
      </c>
      <c r="AR29" s="7">
        <v>47758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</row>
    <row r="30" spans="1:81">
      <c r="A30" s="1" t="s">
        <v>181</v>
      </c>
      <c r="B30" s="1" t="s">
        <v>182</v>
      </c>
      <c r="C30" s="1" t="s">
        <v>117</v>
      </c>
      <c r="D30" s="1" t="str">
        <f>HYPERLINK("http://eros.fiehnlab.ucdavis.edu:8080/binbase-compound/bin/show/228373?db=rtx5","228373")</f>
        <v>228373</v>
      </c>
      <c r="E30" s="1" t="s">
        <v>183</v>
      </c>
      <c r="F30" s="1" t="str">
        <f>HYPERLINK("http://www.genome.ad.jp/dbget-bin/www_bget?compound+C00134","C00134")</f>
        <v>C00134</v>
      </c>
      <c r="G30" s="1" t="str">
        <f>HYPERLINK("http://pubchem.ncbi.nlm.nih.gov/summary/summary.cgi?cid=1045","1045")</f>
        <v>1045</v>
      </c>
      <c r="H30" s="1"/>
      <c r="I30" s="7">
        <v>573526</v>
      </c>
      <c r="J30" s="7">
        <v>461018</v>
      </c>
      <c r="K30" s="7">
        <v>473571</v>
      </c>
      <c r="L30" s="7">
        <v>781989</v>
      </c>
      <c r="M30" s="7">
        <v>518869</v>
      </c>
      <c r="N30" s="7">
        <v>495459</v>
      </c>
      <c r="O30" s="7">
        <v>457852</v>
      </c>
      <c r="P30" s="7">
        <v>515624</v>
      </c>
      <c r="Q30" s="7">
        <v>501963</v>
      </c>
      <c r="R30" s="7">
        <v>567585</v>
      </c>
      <c r="S30" s="7">
        <v>829959</v>
      </c>
      <c r="T30" s="7">
        <v>848198</v>
      </c>
      <c r="U30" s="7">
        <v>314762</v>
      </c>
      <c r="V30" s="7">
        <v>747607</v>
      </c>
      <c r="W30" s="7">
        <v>499632</v>
      </c>
      <c r="X30" s="7">
        <v>816296</v>
      </c>
      <c r="Y30" s="7">
        <v>579393</v>
      </c>
      <c r="Z30" s="7">
        <v>559486</v>
      </c>
      <c r="AA30" s="7">
        <v>421818</v>
      </c>
      <c r="AB30" s="7">
        <v>953541</v>
      </c>
      <c r="AC30" s="7">
        <v>241208</v>
      </c>
      <c r="AD30" s="7">
        <v>98879</v>
      </c>
      <c r="AE30" s="7">
        <v>1208509</v>
      </c>
      <c r="AF30" s="7">
        <v>435165</v>
      </c>
      <c r="AG30" s="7">
        <v>695359</v>
      </c>
      <c r="AH30" s="7">
        <v>300965</v>
      </c>
      <c r="AI30" s="7">
        <v>778302</v>
      </c>
      <c r="AJ30" s="7">
        <v>424198</v>
      </c>
      <c r="AK30" s="7">
        <v>649073</v>
      </c>
      <c r="AL30" s="7">
        <v>537150</v>
      </c>
      <c r="AM30" s="7">
        <v>743034</v>
      </c>
      <c r="AN30" s="7">
        <v>833612</v>
      </c>
      <c r="AO30" s="7">
        <v>582848</v>
      </c>
      <c r="AP30" s="7">
        <v>748145</v>
      </c>
      <c r="AQ30" s="7">
        <v>408358</v>
      </c>
      <c r="AR30" s="7">
        <v>1169406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</row>
    <row r="31" spans="1:81">
      <c r="A31" s="1" t="s">
        <v>184</v>
      </c>
      <c r="B31" s="1" t="s">
        <v>185</v>
      </c>
      <c r="C31" s="1" t="s">
        <v>89</v>
      </c>
      <c r="D31" s="1" t="str">
        <f>HYPERLINK("http://eros.fiehnlab.ucdavis.edu:8080/binbase-compound/bin/show/213381?db=rtx5","213381")</f>
        <v>213381</v>
      </c>
      <c r="E31" s="1" t="s">
        <v>186</v>
      </c>
      <c r="F31" s="1" t="str">
        <f>HYPERLINK("http://www.genome.ad.jp/dbget-bin/www_bget?compound+C02067","C02067")</f>
        <v>C02067</v>
      </c>
      <c r="G31" s="1" t="str">
        <f>HYPERLINK("http://pubchem.ncbi.nlm.nih.gov/summary/summary.cgi?cid=15047","15047")</f>
        <v>15047</v>
      </c>
      <c r="H31" s="1"/>
      <c r="I31" s="7">
        <v>2462</v>
      </c>
      <c r="J31" s="7">
        <v>1152</v>
      </c>
      <c r="K31" s="7">
        <v>3493</v>
      </c>
      <c r="L31" s="7">
        <v>3101</v>
      </c>
      <c r="M31" s="7">
        <v>3228</v>
      </c>
      <c r="N31" s="7">
        <v>1927</v>
      </c>
      <c r="O31" s="7">
        <v>988</v>
      </c>
      <c r="P31" s="7">
        <v>2464</v>
      </c>
      <c r="Q31" s="7">
        <v>3695</v>
      </c>
      <c r="R31" s="7">
        <v>2804</v>
      </c>
      <c r="S31" s="7">
        <v>1292</v>
      </c>
      <c r="T31" s="7">
        <v>2498</v>
      </c>
      <c r="U31" s="7">
        <v>1589</v>
      </c>
      <c r="V31" s="7">
        <v>1122</v>
      </c>
      <c r="W31" s="7">
        <v>1238</v>
      </c>
      <c r="X31" s="7">
        <v>1464</v>
      </c>
      <c r="Y31" s="7">
        <v>1788</v>
      </c>
      <c r="Z31" s="7">
        <v>1511</v>
      </c>
      <c r="AA31" s="7">
        <v>1962</v>
      </c>
      <c r="AB31" s="7">
        <v>2924</v>
      </c>
      <c r="AC31" s="7">
        <v>4350</v>
      </c>
      <c r="AD31" s="7">
        <v>9433</v>
      </c>
      <c r="AE31" s="7">
        <v>2582</v>
      </c>
      <c r="AF31" s="7">
        <v>6768</v>
      </c>
      <c r="AG31" s="7">
        <v>3175</v>
      </c>
      <c r="AH31" s="7">
        <v>6454</v>
      </c>
      <c r="AI31" s="7">
        <v>1703</v>
      </c>
      <c r="AJ31" s="7">
        <v>4978</v>
      </c>
      <c r="AK31" s="7">
        <v>4744</v>
      </c>
      <c r="AL31" s="7">
        <v>2219</v>
      </c>
      <c r="AM31" s="7">
        <v>2351</v>
      </c>
      <c r="AN31" s="7">
        <v>1050</v>
      </c>
      <c r="AO31" s="7">
        <v>2379</v>
      </c>
      <c r="AP31" s="7">
        <v>3966</v>
      </c>
      <c r="AQ31" s="7">
        <v>1396</v>
      </c>
      <c r="AR31" s="7">
        <v>1336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</row>
    <row r="32" spans="1:81">
      <c r="A32" s="1" t="s">
        <v>188</v>
      </c>
      <c r="B32" s="1" t="s">
        <v>189</v>
      </c>
      <c r="C32" s="1" t="s">
        <v>190</v>
      </c>
      <c r="D32" s="1" t="str">
        <f>HYPERLINK("http://eros.fiehnlab.ucdavis.edu:8080/binbase-compound/bin/show/199611?db=rtx5","199611")</f>
        <v>199611</v>
      </c>
      <c r="E32" s="1" t="s">
        <v>191</v>
      </c>
      <c r="F32" s="1" t="str">
        <f>HYPERLINK("http://www.genome.ad.jp/dbget-bin/www_bget?compound+C00148","C00148")</f>
        <v>C00148</v>
      </c>
      <c r="G32" s="1" t="str">
        <f>HYPERLINK("http://pubchem.ncbi.nlm.nih.gov/summary/summary.cgi?cid=145742","145742")</f>
        <v>145742</v>
      </c>
      <c r="H32" s="1"/>
      <c r="I32" s="7">
        <v>83022</v>
      </c>
      <c r="J32" s="7">
        <v>168813</v>
      </c>
      <c r="K32" s="7">
        <v>62320</v>
      </c>
      <c r="L32" s="7">
        <v>8132</v>
      </c>
      <c r="M32" s="7">
        <v>109285</v>
      </c>
      <c r="N32" s="7">
        <v>78033</v>
      </c>
      <c r="O32" s="7">
        <v>132486</v>
      </c>
      <c r="P32" s="7">
        <v>45299</v>
      </c>
      <c r="Q32" s="7">
        <v>40459</v>
      </c>
      <c r="R32" s="7">
        <v>37721</v>
      </c>
      <c r="S32" s="7">
        <v>68464</v>
      </c>
      <c r="T32" s="7">
        <v>29792</v>
      </c>
      <c r="U32" s="7">
        <v>34837</v>
      </c>
      <c r="V32" s="7">
        <v>86006</v>
      </c>
      <c r="W32" s="7">
        <v>107937</v>
      </c>
      <c r="X32" s="7">
        <v>49607</v>
      </c>
      <c r="Y32" s="7">
        <v>48580</v>
      </c>
      <c r="Z32" s="7">
        <v>151846</v>
      </c>
      <c r="AA32" s="7">
        <v>54120</v>
      </c>
      <c r="AB32" s="7">
        <v>35431</v>
      </c>
      <c r="AC32" s="7">
        <v>33929</v>
      </c>
      <c r="AD32" s="7">
        <v>72556</v>
      </c>
      <c r="AE32" s="7">
        <v>49014</v>
      </c>
      <c r="AF32" s="7">
        <v>46830</v>
      </c>
      <c r="AG32" s="7">
        <v>66482</v>
      </c>
      <c r="AH32" s="7">
        <v>22954</v>
      </c>
      <c r="AI32" s="7">
        <v>47878</v>
      </c>
      <c r="AJ32" s="7">
        <v>20021</v>
      </c>
      <c r="AK32" s="7">
        <v>9974</v>
      </c>
      <c r="AL32" s="7">
        <v>120783</v>
      </c>
      <c r="AM32" s="7">
        <v>45594</v>
      </c>
      <c r="AN32" s="7">
        <v>107800</v>
      </c>
      <c r="AO32" s="7">
        <v>68065</v>
      </c>
      <c r="AP32" s="7">
        <v>40762</v>
      </c>
      <c r="AQ32" s="7">
        <v>153419</v>
      </c>
      <c r="AR32" s="7">
        <v>37210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</row>
    <row r="33" spans="1:81">
      <c r="A33" s="1" t="s">
        <v>192</v>
      </c>
      <c r="B33" s="1" t="s">
        <v>193</v>
      </c>
      <c r="C33" s="1" t="s">
        <v>167</v>
      </c>
      <c r="D33" s="1" t="str">
        <f>HYPERLINK("http://eros.fiehnlab.ucdavis.edu:8080/binbase-compound/bin/show/200382?db=rtx5","200382")</f>
        <v>200382</v>
      </c>
      <c r="E33" s="1" t="s">
        <v>194</v>
      </c>
      <c r="F33" s="1" t="str">
        <f>HYPERLINK("http://www.genome.ad.jp/dbget-bin/www_bget?compound+C00408","C00408")</f>
        <v>C00408</v>
      </c>
      <c r="G33" s="1" t="str">
        <f>HYPERLINK("http://pubchem.ncbi.nlm.nih.gov/summary/summary.cgi?cid=439227","439227")</f>
        <v>439227</v>
      </c>
      <c r="H33" s="1"/>
      <c r="I33" s="7">
        <v>983</v>
      </c>
      <c r="J33" s="7">
        <v>1179</v>
      </c>
      <c r="K33" s="7">
        <v>953</v>
      </c>
      <c r="L33" s="7">
        <v>333</v>
      </c>
      <c r="M33" s="7">
        <v>1190</v>
      </c>
      <c r="N33" s="7">
        <v>1073</v>
      </c>
      <c r="O33" s="7">
        <v>1381</v>
      </c>
      <c r="P33" s="7">
        <v>799</v>
      </c>
      <c r="Q33" s="7">
        <v>185</v>
      </c>
      <c r="R33" s="7">
        <v>1304</v>
      </c>
      <c r="S33" s="7">
        <v>616</v>
      </c>
      <c r="T33" s="7">
        <v>1359</v>
      </c>
      <c r="U33" s="7">
        <v>629</v>
      </c>
      <c r="V33" s="7">
        <v>965</v>
      </c>
      <c r="W33" s="7">
        <v>1077</v>
      </c>
      <c r="X33" s="7">
        <v>952</v>
      </c>
      <c r="Y33" s="7">
        <v>1163</v>
      </c>
      <c r="Z33" s="7">
        <v>1813</v>
      </c>
      <c r="AA33" s="7">
        <v>462</v>
      </c>
      <c r="AB33" s="7">
        <v>702</v>
      </c>
      <c r="AC33" s="7">
        <v>662</v>
      </c>
      <c r="AD33" s="7">
        <v>1058</v>
      </c>
      <c r="AE33" s="7">
        <v>631</v>
      </c>
      <c r="AF33" s="7">
        <v>1458</v>
      </c>
      <c r="AG33" s="7">
        <v>902</v>
      </c>
      <c r="AH33" s="7">
        <v>447</v>
      </c>
      <c r="AI33" s="7">
        <v>515</v>
      </c>
      <c r="AJ33" s="7">
        <v>812</v>
      </c>
      <c r="AK33" s="7">
        <v>531</v>
      </c>
      <c r="AL33" s="7">
        <v>1737</v>
      </c>
      <c r="AM33" s="7">
        <v>690</v>
      </c>
      <c r="AN33" s="7">
        <v>1432</v>
      </c>
      <c r="AO33" s="7">
        <v>496</v>
      </c>
      <c r="AP33" s="7">
        <v>1155</v>
      </c>
      <c r="AQ33" s="7">
        <v>1746</v>
      </c>
      <c r="AR33" s="7">
        <v>657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</row>
    <row r="34" spans="1:81">
      <c r="A34" s="1" t="s">
        <v>195</v>
      </c>
      <c r="B34" s="1" t="s">
        <v>196</v>
      </c>
      <c r="C34" s="1" t="s">
        <v>197</v>
      </c>
      <c r="D34" s="1" t="str">
        <f>HYPERLINK("http://eros.fiehnlab.ucdavis.edu:8080/binbase-compound/bin/show/199165?db=rtx5","199165")</f>
        <v>199165</v>
      </c>
      <c r="E34" s="1" t="s">
        <v>198</v>
      </c>
      <c r="F34" s="1" t="str">
        <f>HYPERLINK("http://www.genome.ad.jp/dbget-bin/www_bget?compound+C00009","C00009")</f>
        <v>C00009</v>
      </c>
      <c r="G34" s="1" t="str">
        <f>HYPERLINK("http://pubchem.ncbi.nlm.nih.gov/summary/summary.cgi?cid= 1004"," 1004")</f>
        <v xml:space="preserve"> 1004</v>
      </c>
      <c r="H34" s="1"/>
      <c r="I34" s="7">
        <v>103648</v>
      </c>
      <c r="J34" s="7">
        <v>102522</v>
      </c>
      <c r="K34" s="7">
        <v>403613</v>
      </c>
      <c r="L34" s="7">
        <v>227303</v>
      </c>
      <c r="M34" s="7">
        <v>88428</v>
      </c>
      <c r="N34" s="7">
        <v>103004</v>
      </c>
      <c r="O34" s="7">
        <v>141131</v>
      </c>
      <c r="P34" s="7">
        <v>230993</v>
      </c>
      <c r="Q34" s="7">
        <v>84612</v>
      </c>
      <c r="R34" s="7">
        <v>218889</v>
      </c>
      <c r="S34" s="7">
        <v>155382</v>
      </c>
      <c r="T34" s="7">
        <v>161867</v>
      </c>
      <c r="U34" s="7">
        <v>167710</v>
      </c>
      <c r="V34" s="7">
        <v>175666</v>
      </c>
      <c r="W34" s="7">
        <v>173702</v>
      </c>
      <c r="X34" s="7">
        <v>123384</v>
      </c>
      <c r="Y34" s="7">
        <v>544100</v>
      </c>
      <c r="Z34" s="7">
        <v>86283</v>
      </c>
      <c r="AA34" s="7">
        <v>164241</v>
      </c>
      <c r="AB34" s="7">
        <v>478649</v>
      </c>
      <c r="AC34" s="7">
        <v>535589</v>
      </c>
      <c r="AD34" s="7">
        <v>260784</v>
      </c>
      <c r="AE34" s="7">
        <v>245408</v>
      </c>
      <c r="AF34" s="7">
        <v>284458</v>
      </c>
      <c r="AG34" s="7">
        <v>53773</v>
      </c>
      <c r="AH34" s="7">
        <v>340287</v>
      </c>
      <c r="AI34" s="7">
        <v>521480</v>
      </c>
      <c r="AJ34" s="7">
        <v>395163</v>
      </c>
      <c r="AK34" s="7">
        <v>389224</v>
      </c>
      <c r="AL34" s="7">
        <v>87300</v>
      </c>
      <c r="AM34" s="7">
        <v>573580</v>
      </c>
      <c r="AN34" s="7">
        <v>87973</v>
      </c>
      <c r="AO34" s="7">
        <v>613333</v>
      </c>
      <c r="AP34" s="7">
        <v>456475</v>
      </c>
      <c r="AQ34" s="7">
        <v>72464</v>
      </c>
      <c r="AR34" s="7">
        <v>395946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</row>
    <row r="35" spans="1:81">
      <c r="A35" s="1" t="s">
        <v>195</v>
      </c>
      <c r="B35" s="1" t="s">
        <v>199</v>
      </c>
      <c r="C35" s="1" t="s">
        <v>197</v>
      </c>
      <c r="D35" s="1" t="str">
        <f>HYPERLINK("http://eros.fiehnlab.ucdavis.edu:8080/binbase-compound/bin/show/242185?db=rtx5","242185")</f>
        <v>242185</v>
      </c>
      <c r="E35" s="1" t="s">
        <v>200</v>
      </c>
      <c r="F35" s="1" t="str">
        <f>HYPERLINK("http://www.genome.ad.jp/dbget-bin/www_bget?compound+C00009","C00009")</f>
        <v>C00009</v>
      </c>
      <c r="G35" s="1" t="str">
        <f>HYPERLINK("http://pubchem.ncbi.nlm.nih.gov/summary/summary.cgi?cid=1004","1004")</f>
        <v>1004</v>
      </c>
      <c r="H35" s="1"/>
      <c r="I35" s="7">
        <v>200415</v>
      </c>
      <c r="J35" s="7">
        <v>76827</v>
      </c>
      <c r="K35" s="7">
        <v>403613</v>
      </c>
      <c r="L35" s="7">
        <v>511715</v>
      </c>
      <c r="M35" s="7">
        <v>227720</v>
      </c>
      <c r="N35" s="7">
        <v>180052</v>
      </c>
      <c r="O35" s="7">
        <v>263655</v>
      </c>
      <c r="P35" s="7">
        <v>471073</v>
      </c>
      <c r="Q35" s="7">
        <v>211028</v>
      </c>
      <c r="R35" s="7">
        <v>511555</v>
      </c>
      <c r="S35" s="7">
        <v>257573</v>
      </c>
      <c r="T35" s="7">
        <v>190505</v>
      </c>
      <c r="U35" s="7">
        <v>246516</v>
      </c>
      <c r="V35" s="7">
        <v>137264</v>
      </c>
      <c r="W35" s="7">
        <v>238557</v>
      </c>
      <c r="X35" s="7">
        <v>384555</v>
      </c>
      <c r="Y35" s="7">
        <v>544100</v>
      </c>
      <c r="Z35" s="7">
        <v>138368</v>
      </c>
      <c r="AA35" s="7">
        <v>208358</v>
      </c>
      <c r="AB35" s="7">
        <v>545578</v>
      </c>
      <c r="AC35" s="7">
        <v>535589</v>
      </c>
      <c r="AD35" s="7">
        <v>377550</v>
      </c>
      <c r="AE35" s="7">
        <v>204388</v>
      </c>
      <c r="AF35" s="7">
        <v>475890</v>
      </c>
      <c r="AG35" s="7">
        <v>301026</v>
      </c>
      <c r="AH35" s="7">
        <v>537229</v>
      </c>
      <c r="AI35" s="7">
        <v>61</v>
      </c>
      <c r="AJ35" s="7">
        <v>580702</v>
      </c>
      <c r="AK35" s="7">
        <v>215680</v>
      </c>
      <c r="AL35" s="7">
        <v>64776</v>
      </c>
      <c r="AM35" s="7">
        <v>573580</v>
      </c>
      <c r="AN35" s="7">
        <v>154308</v>
      </c>
      <c r="AO35" s="7">
        <v>613333</v>
      </c>
      <c r="AP35" s="7">
        <v>95074</v>
      </c>
      <c r="AQ35" s="7">
        <v>117535</v>
      </c>
      <c r="AR35" s="7">
        <v>469018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</row>
    <row r="36" spans="1:81">
      <c r="A36" s="1" t="s">
        <v>201</v>
      </c>
      <c r="B36" s="1" t="s">
        <v>202</v>
      </c>
      <c r="C36" s="1" t="s">
        <v>203</v>
      </c>
      <c r="D36" s="1" t="str">
        <f>HYPERLINK("http://eros.fiehnlab.ucdavis.edu:8080/binbase-compound/bin/show/199628?db=rtx5","199628")</f>
        <v>199628</v>
      </c>
      <c r="E36" s="1" t="s">
        <v>204</v>
      </c>
      <c r="F36" s="1" t="str">
        <f>HYPERLINK("http://www.genome.ad.jp/dbget-bin/www_bget?compound+C00346","C00346")</f>
        <v>C00346</v>
      </c>
      <c r="G36" s="1" t="str">
        <f>HYPERLINK("http://pubchem.ncbi.nlm.nih.gov/summary/summary.cgi?cid=1015","1015")</f>
        <v>1015</v>
      </c>
      <c r="H36" s="1"/>
      <c r="I36" s="7">
        <v>6847</v>
      </c>
      <c r="J36" s="7">
        <v>3090</v>
      </c>
      <c r="K36" s="7">
        <v>6219</v>
      </c>
      <c r="L36" s="7">
        <v>9326</v>
      </c>
      <c r="M36" s="7">
        <v>3363</v>
      </c>
      <c r="N36" s="7">
        <v>2587</v>
      </c>
      <c r="O36" s="7">
        <v>2842</v>
      </c>
      <c r="P36" s="7">
        <v>7067</v>
      </c>
      <c r="Q36" s="7">
        <v>893</v>
      </c>
      <c r="R36" s="7">
        <v>7852</v>
      </c>
      <c r="S36" s="7">
        <v>6620</v>
      </c>
      <c r="T36" s="7">
        <v>5304</v>
      </c>
      <c r="U36" s="7">
        <v>3911</v>
      </c>
      <c r="V36" s="7">
        <v>5284</v>
      </c>
      <c r="W36" s="7">
        <v>2369</v>
      </c>
      <c r="X36" s="7">
        <v>8819</v>
      </c>
      <c r="Y36" s="7">
        <v>4481</v>
      </c>
      <c r="Z36" s="7">
        <v>4114</v>
      </c>
      <c r="AA36" s="7">
        <v>2406</v>
      </c>
      <c r="AB36" s="7">
        <v>10215</v>
      </c>
      <c r="AC36" s="7">
        <v>9091</v>
      </c>
      <c r="AD36" s="7">
        <v>6699</v>
      </c>
      <c r="AE36" s="7">
        <v>14356</v>
      </c>
      <c r="AF36" s="7">
        <v>6306</v>
      </c>
      <c r="AG36" s="7">
        <v>8915</v>
      </c>
      <c r="AH36" s="7">
        <v>5302</v>
      </c>
      <c r="AI36" s="7">
        <v>2889</v>
      </c>
      <c r="AJ36" s="7">
        <v>8265</v>
      </c>
      <c r="AK36" s="7">
        <v>11839</v>
      </c>
      <c r="AL36" s="7">
        <v>4719</v>
      </c>
      <c r="AM36" s="7">
        <v>6937</v>
      </c>
      <c r="AN36" s="7">
        <v>4122</v>
      </c>
      <c r="AO36" s="7">
        <v>9174</v>
      </c>
      <c r="AP36" s="7">
        <v>7261</v>
      </c>
      <c r="AQ36" s="7">
        <v>2324</v>
      </c>
      <c r="AR36" s="7">
        <v>5558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</row>
    <row r="37" spans="1:81">
      <c r="A37" s="1" t="s">
        <v>205</v>
      </c>
      <c r="B37" s="1" t="s">
        <v>206</v>
      </c>
      <c r="C37" s="1" t="s">
        <v>117</v>
      </c>
      <c r="D37" s="1" t="str">
        <f>HYPERLINK("http://eros.fiehnlab.ucdavis.edu:8080/binbase-compound/bin/show/272665?db=rtx5","272665")</f>
        <v>272665</v>
      </c>
      <c r="E37" s="1" t="s">
        <v>207</v>
      </c>
      <c r="F37" s="1" t="str">
        <f>HYPERLINK("http://www.genome.ad.jp/dbget-bin/www_bget?compound+C05332","C05332")</f>
        <v>C05332</v>
      </c>
      <c r="G37" s="1" t="str">
        <f>HYPERLINK("http://pubchem.ncbi.nlm.nih.gov/summary/summary.cgi?cid=1001","1001")</f>
        <v>1001</v>
      </c>
      <c r="H37" s="1"/>
      <c r="I37" s="7">
        <v>231</v>
      </c>
      <c r="J37" s="7">
        <v>356</v>
      </c>
      <c r="K37" s="7">
        <v>488</v>
      </c>
      <c r="L37" s="7">
        <v>368</v>
      </c>
      <c r="M37" s="7">
        <v>594</v>
      </c>
      <c r="N37" s="7">
        <v>504</v>
      </c>
      <c r="O37" s="7">
        <v>501</v>
      </c>
      <c r="P37" s="7">
        <v>229</v>
      </c>
      <c r="Q37" s="7">
        <v>567</v>
      </c>
      <c r="R37" s="7">
        <v>338</v>
      </c>
      <c r="S37" s="7">
        <v>380</v>
      </c>
      <c r="T37" s="7">
        <v>529</v>
      </c>
      <c r="U37" s="7">
        <v>199</v>
      </c>
      <c r="V37" s="7">
        <v>453</v>
      </c>
      <c r="W37" s="7">
        <v>2195</v>
      </c>
      <c r="X37" s="7">
        <v>877</v>
      </c>
      <c r="Y37" s="7">
        <v>340</v>
      </c>
      <c r="Z37" s="7">
        <v>168</v>
      </c>
      <c r="AA37" s="7">
        <v>372</v>
      </c>
      <c r="AB37" s="7">
        <v>428</v>
      </c>
      <c r="AC37" s="7">
        <v>449</v>
      </c>
      <c r="AD37" s="7">
        <v>460</v>
      </c>
      <c r="AE37" s="7">
        <v>401</v>
      </c>
      <c r="AF37" s="7">
        <v>361</v>
      </c>
      <c r="AG37" s="7">
        <v>485</v>
      </c>
      <c r="AH37" s="7">
        <v>333</v>
      </c>
      <c r="AI37" s="7">
        <v>409</v>
      </c>
      <c r="AJ37" s="7">
        <v>323</v>
      </c>
      <c r="AK37" s="7">
        <v>417</v>
      </c>
      <c r="AL37" s="7">
        <v>272</v>
      </c>
      <c r="AM37" s="7">
        <v>431</v>
      </c>
      <c r="AN37" s="7">
        <v>575</v>
      </c>
      <c r="AO37" s="7">
        <v>223</v>
      </c>
      <c r="AP37" s="7">
        <v>498</v>
      </c>
      <c r="AQ37" s="7">
        <v>270</v>
      </c>
      <c r="AR37" s="7">
        <v>431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</row>
    <row r="38" spans="1:81">
      <c r="A38" s="1" t="s">
        <v>208</v>
      </c>
      <c r="B38" s="1" t="s">
        <v>209</v>
      </c>
      <c r="C38" s="1" t="s">
        <v>114</v>
      </c>
      <c r="D38" s="1" t="str">
        <f>HYPERLINK("http://eros.fiehnlab.ucdavis.edu:8080/binbase-compound/bin/show/217642?db=rtx5","217642")</f>
        <v>217642</v>
      </c>
      <c r="E38" s="1" t="s">
        <v>210</v>
      </c>
      <c r="F38" s="1" t="str">
        <f>HYPERLINK("http://www.genome.ad.jp/dbget-bin/www_bget?compound+C00079","C00079")</f>
        <v>C00079</v>
      </c>
      <c r="G38" s="1" t="str">
        <f>HYPERLINK("http://pubchem.ncbi.nlm.nih.gov/summary/summary.cgi?cid=6140","6140")</f>
        <v>6140</v>
      </c>
      <c r="H38" s="1"/>
      <c r="I38" s="7">
        <v>94478</v>
      </c>
      <c r="J38" s="7">
        <v>268307</v>
      </c>
      <c r="K38" s="7">
        <v>87533</v>
      </c>
      <c r="L38" s="7">
        <v>83397</v>
      </c>
      <c r="M38" s="7">
        <v>139975</v>
      </c>
      <c r="N38" s="7">
        <v>196793</v>
      </c>
      <c r="O38" s="7">
        <v>148320</v>
      </c>
      <c r="P38" s="7">
        <v>110638</v>
      </c>
      <c r="Q38" s="7">
        <v>172099</v>
      </c>
      <c r="R38" s="7">
        <v>100184</v>
      </c>
      <c r="S38" s="7">
        <v>159477</v>
      </c>
      <c r="T38" s="7">
        <v>163662</v>
      </c>
      <c r="U38" s="7">
        <v>55097</v>
      </c>
      <c r="V38" s="7">
        <v>149839</v>
      </c>
      <c r="W38" s="7">
        <v>191357</v>
      </c>
      <c r="X38" s="7">
        <v>100308</v>
      </c>
      <c r="Y38" s="7">
        <v>75842</v>
      </c>
      <c r="Z38" s="7">
        <v>216425</v>
      </c>
      <c r="AA38" s="7">
        <v>186541</v>
      </c>
      <c r="AB38" s="7">
        <v>79090</v>
      </c>
      <c r="AC38" s="7">
        <v>65320</v>
      </c>
      <c r="AD38" s="7">
        <v>95608</v>
      </c>
      <c r="AE38" s="7">
        <v>87624</v>
      </c>
      <c r="AF38" s="7">
        <v>71345</v>
      </c>
      <c r="AG38" s="7">
        <v>115058</v>
      </c>
      <c r="AH38" s="7">
        <v>75021</v>
      </c>
      <c r="AI38" s="7">
        <v>178671</v>
      </c>
      <c r="AJ38" s="7">
        <v>61002</v>
      </c>
      <c r="AK38" s="7">
        <v>71773</v>
      </c>
      <c r="AL38" s="7">
        <v>215049</v>
      </c>
      <c r="AM38" s="7">
        <v>77079</v>
      </c>
      <c r="AN38" s="7">
        <v>211659</v>
      </c>
      <c r="AO38" s="7">
        <v>70726</v>
      </c>
      <c r="AP38" s="7">
        <v>89467</v>
      </c>
      <c r="AQ38" s="7">
        <v>248177</v>
      </c>
      <c r="AR38" s="7">
        <v>93457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</row>
    <row r="39" spans="1:81">
      <c r="A39" s="1" t="s">
        <v>211</v>
      </c>
      <c r="B39" s="1" t="s">
        <v>212</v>
      </c>
      <c r="C39" s="1" t="s">
        <v>132</v>
      </c>
      <c r="D39" s="1" t="str">
        <f>HYPERLINK("http://eros.fiehnlab.ucdavis.edu:8080/binbase-compound/bin/show/203296?db=rtx5","203296")</f>
        <v>203296</v>
      </c>
      <c r="E39" s="1" t="s">
        <v>213</v>
      </c>
      <c r="F39" s="1" t="str">
        <f>HYPERLINK("http://www.genome.ad.jp/dbget-bin/www_bget?compound+C16537","C16537")</f>
        <v>C16537</v>
      </c>
      <c r="G39" s="1" t="str">
        <f>HYPERLINK("http://pubchem.ncbi.nlm.nih.gov/summary/summary.cgi?cid=13849","13849")</f>
        <v>13849</v>
      </c>
      <c r="H39" s="1"/>
      <c r="I39" s="7">
        <v>11280</v>
      </c>
      <c r="J39" s="7">
        <v>3010</v>
      </c>
      <c r="K39" s="7">
        <v>4400</v>
      </c>
      <c r="L39" s="7">
        <v>5628</v>
      </c>
      <c r="M39" s="7">
        <v>3441</v>
      </c>
      <c r="N39" s="7">
        <v>11306</v>
      </c>
      <c r="O39" s="7">
        <v>7605</v>
      </c>
      <c r="P39" s="7">
        <v>13369</v>
      </c>
      <c r="Q39" s="7">
        <v>7903</v>
      </c>
      <c r="R39" s="7">
        <v>8325</v>
      </c>
      <c r="S39" s="7">
        <v>5523</v>
      </c>
      <c r="T39" s="7">
        <v>3343</v>
      </c>
      <c r="U39" s="7">
        <v>18953</v>
      </c>
      <c r="V39" s="7">
        <v>5015</v>
      </c>
      <c r="W39" s="7">
        <v>4985</v>
      </c>
      <c r="X39" s="7">
        <v>6388</v>
      </c>
      <c r="Y39" s="7">
        <v>11261</v>
      </c>
      <c r="Z39" s="7">
        <v>4099</v>
      </c>
      <c r="AA39" s="7">
        <v>3847</v>
      </c>
      <c r="AB39" s="7">
        <v>6884</v>
      </c>
      <c r="AC39" s="7">
        <v>6435</v>
      </c>
      <c r="AD39" s="7">
        <v>5348</v>
      </c>
      <c r="AE39" s="7">
        <v>11080</v>
      </c>
      <c r="AF39" s="7">
        <v>6180</v>
      </c>
      <c r="AG39" s="7">
        <v>7633</v>
      </c>
      <c r="AH39" s="7">
        <v>5108</v>
      </c>
      <c r="AI39" s="7">
        <v>5795</v>
      </c>
      <c r="AJ39" s="7">
        <v>6411</v>
      </c>
      <c r="AK39" s="7">
        <v>9136</v>
      </c>
      <c r="AL39" s="7">
        <v>3292</v>
      </c>
      <c r="AM39" s="7">
        <v>6625</v>
      </c>
      <c r="AN39" s="7">
        <v>4237</v>
      </c>
      <c r="AO39" s="7">
        <v>5975</v>
      </c>
      <c r="AP39" s="7">
        <v>7955</v>
      </c>
      <c r="AQ39" s="7">
        <v>3585</v>
      </c>
      <c r="AR39" s="7">
        <v>6794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</row>
    <row r="40" spans="1:81">
      <c r="A40" s="1" t="s">
        <v>214</v>
      </c>
      <c r="B40" s="1" t="s">
        <v>215</v>
      </c>
      <c r="C40" s="1" t="s">
        <v>132</v>
      </c>
      <c r="D40" s="1" t="str">
        <f>HYPERLINK("http://eros.fiehnlab.ucdavis.edu:8080/binbase-compound/bin/show/233458?db=rtx5","233458")</f>
        <v>233458</v>
      </c>
      <c r="E40" s="1" t="s">
        <v>216</v>
      </c>
      <c r="F40" s="1" t="str">
        <f>HYPERLINK("http://www.genome.ad.jp/dbget-bin/www_bget?compound+C01601","C01601")</f>
        <v>C01601</v>
      </c>
      <c r="G40" s="1" t="str">
        <f>HYPERLINK("http://pubchem.ncbi.nlm.nih.gov/summary/summary.cgi?cid=8158","8158")</f>
        <v>8158</v>
      </c>
      <c r="H40" s="1"/>
      <c r="I40" s="7">
        <v>14075</v>
      </c>
      <c r="J40" s="7">
        <v>5402</v>
      </c>
      <c r="K40" s="7">
        <v>23686</v>
      </c>
      <c r="L40" s="7">
        <v>31878</v>
      </c>
      <c r="M40" s="7">
        <v>8210</v>
      </c>
      <c r="N40" s="7">
        <v>6932</v>
      </c>
      <c r="O40" s="7">
        <v>17221</v>
      </c>
      <c r="P40" s="7">
        <v>28720</v>
      </c>
      <c r="Q40" s="7">
        <v>14880</v>
      </c>
      <c r="R40" s="7">
        <v>19815</v>
      </c>
      <c r="S40" s="7">
        <v>14349</v>
      </c>
      <c r="T40" s="7">
        <v>10467</v>
      </c>
      <c r="U40" s="7">
        <v>15731</v>
      </c>
      <c r="V40" s="7">
        <v>15432</v>
      </c>
      <c r="W40" s="7">
        <v>16178</v>
      </c>
      <c r="X40" s="7">
        <v>21399</v>
      </c>
      <c r="Y40" s="7">
        <v>24483</v>
      </c>
      <c r="Z40" s="7">
        <v>5859</v>
      </c>
      <c r="AA40" s="7">
        <v>23291</v>
      </c>
      <c r="AB40" s="7">
        <v>24803</v>
      </c>
      <c r="AC40" s="7">
        <v>19305</v>
      </c>
      <c r="AD40" s="7">
        <v>17626</v>
      </c>
      <c r="AE40" s="7">
        <v>19797</v>
      </c>
      <c r="AF40" s="7">
        <v>33586</v>
      </c>
      <c r="AG40" s="7">
        <v>26659</v>
      </c>
      <c r="AH40" s="7">
        <v>34111</v>
      </c>
      <c r="AI40" s="7">
        <v>13608</v>
      </c>
      <c r="AJ40" s="7">
        <v>30984</v>
      </c>
      <c r="AK40" s="7">
        <v>38723</v>
      </c>
      <c r="AL40" s="7">
        <v>5645</v>
      </c>
      <c r="AM40" s="7">
        <v>37538</v>
      </c>
      <c r="AN40" s="7">
        <v>7035</v>
      </c>
      <c r="AO40" s="7">
        <v>35620</v>
      </c>
      <c r="AP40" s="7">
        <v>18651</v>
      </c>
      <c r="AQ40" s="7">
        <v>6025</v>
      </c>
      <c r="AR40" s="7">
        <v>22984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</row>
    <row r="41" spans="1:81">
      <c r="A41" s="1" t="s">
        <v>217</v>
      </c>
      <c r="B41" s="1" t="s">
        <v>218</v>
      </c>
      <c r="C41" s="1" t="s">
        <v>86</v>
      </c>
      <c r="D41" s="1" t="str">
        <f>HYPERLINK("http://eros.fiehnlab.ucdavis.edu:8080/binbase-compound/bin/show/205158?db=rtx5","205158")</f>
        <v>205158</v>
      </c>
      <c r="E41" s="1" t="s">
        <v>219</v>
      </c>
      <c r="F41" s="1" t="str">
        <f>HYPERLINK("http://www.genome.ad.jp/dbget-bin/www_bget?compound+C00864","C00864")</f>
        <v>C00864</v>
      </c>
      <c r="G41" s="1" t="str">
        <f>HYPERLINK("http://pubchem.ncbi.nlm.nih.gov/summary/summary.cgi?cid=6613","6613")</f>
        <v>6613</v>
      </c>
      <c r="H41" s="1"/>
      <c r="I41" s="7">
        <v>3628</v>
      </c>
      <c r="J41" s="7">
        <v>2765</v>
      </c>
      <c r="K41" s="7">
        <v>4625</v>
      </c>
      <c r="L41" s="7">
        <v>5218</v>
      </c>
      <c r="M41" s="7">
        <v>2565</v>
      </c>
      <c r="N41" s="7">
        <v>2233</v>
      </c>
      <c r="O41" s="7">
        <v>2210</v>
      </c>
      <c r="P41" s="7">
        <v>4754</v>
      </c>
      <c r="Q41" s="7">
        <v>4118</v>
      </c>
      <c r="R41" s="7">
        <v>5222</v>
      </c>
      <c r="S41" s="7">
        <v>3427</v>
      </c>
      <c r="T41" s="7">
        <v>4388</v>
      </c>
      <c r="U41" s="7">
        <v>3433</v>
      </c>
      <c r="V41" s="7">
        <v>2915</v>
      </c>
      <c r="W41" s="7">
        <v>3096</v>
      </c>
      <c r="X41" s="7">
        <v>3829</v>
      </c>
      <c r="Y41" s="7">
        <v>3183</v>
      </c>
      <c r="Z41" s="7">
        <v>2985</v>
      </c>
      <c r="AA41" s="7">
        <v>3102</v>
      </c>
      <c r="AB41" s="7">
        <v>6573</v>
      </c>
      <c r="AC41" s="7">
        <v>6446</v>
      </c>
      <c r="AD41" s="7">
        <v>10341</v>
      </c>
      <c r="AE41" s="7">
        <v>8832</v>
      </c>
      <c r="AF41" s="7">
        <v>11511</v>
      </c>
      <c r="AG41" s="7">
        <v>6863</v>
      </c>
      <c r="AH41" s="7">
        <v>10301</v>
      </c>
      <c r="AI41" s="7">
        <v>3273</v>
      </c>
      <c r="AJ41" s="7">
        <v>7890</v>
      </c>
      <c r="AK41" s="7">
        <v>8540</v>
      </c>
      <c r="AL41" s="7">
        <v>3051</v>
      </c>
      <c r="AM41" s="7">
        <v>4941</v>
      </c>
      <c r="AN41" s="7">
        <v>2791</v>
      </c>
      <c r="AO41" s="7">
        <v>5754</v>
      </c>
      <c r="AP41" s="7">
        <v>5875</v>
      </c>
      <c r="AQ41" s="7">
        <v>2472</v>
      </c>
      <c r="AR41" s="7">
        <v>3884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</row>
    <row r="42" spans="1:81">
      <c r="A42" s="1" t="s">
        <v>220</v>
      </c>
      <c r="B42" s="1" t="s">
        <v>221</v>
      </c>
      <c r="C42" s="1" t="s">
        <v>222</v>
      </c>
      <c r="D42" s="1" t="str">
        <f>HYPERLINK("http://eros.fiehnlab.ucdavis.edu:8080/binbase-compound/bin/show/203265?db=rtx5","203265")</f>
        <v>203265</v>
      </c>
      <c r="E42" s="1" t="s">
        <v>223</v>
      </c>
      <c r="F42" s="1" t="str">
        <f>HYPERLINK("http://www.genome.ad.jp/dbget-bin/www_bget?compound+C08362","C08362")</f>
        <v>C08362</v>
      </c>
      <c r="G42" s="1" t="str">
        <f>HYPERLINK("http://pubchem.ncbi.nlm.nih.gov/summary/summary.cgi?cid=445638","445638")</f>
        <v>445638</v>
      </c>
      <c r="H42" s="1"/>
      <c r="I42" s="7">
        <v>3719</v>
      </c>
      <c r="J42" s="7">
        <v>1720</v>
      </c>
      <c r="K42" s="7">
        <v>3617</v>
      </c>
      <c r="L42" s="7">
        <v>3664</v>
      </c>
      <c r="M42" s="7">
        <v>1447</v>
      </c>
      <c r="N42" s="7">
        <v>7667</v>
      </c>
      <c r="O42" s="7">
        <v>3655</v>
      </c>
      <c r="P42" s="7">
        <v>10658</v>
      </c>
      <c r="Q42" s="7">
        <v>2326</v>
      </c>
      <c r="R42" s="7">
        <v>5488</v>
      </c>
      <c r="S42" s="7">
        <v>3272</v>
      </c>
      <c r="T42" s="7">
        <v>1150</v>
      </c>
      <c r="U42" s="7">
        <v>4107</v>
      </c>
      <c r="V42" s="7">
        <v>1870</v>
      </c>
      <c r="W42" s="7">
        <v>3085</v>
      </c>
      <c r="X42" s="7">
        <v>3813</v>
      </c>
      <c r="Y42" s="7">
        <v>5784</v>
      </c>
      <c r="Z42" s="7">
        <v>2221</v>
      </c>
      <c r="AA42" s="7">
        <v>1753</v>
      </c>
      <c r="AB42" s="7">
        <v>3589</v>
      </c>
      <c r="AC42" s="7">
        <v>3604</v>
      </c>
      <c r="AD42" s="7">
        <v>3298</v>
      </c>
      <c r="AE42" s="7">
        <v>6976</v>
      </c>
      <c r="AF42" s="7">
        <v>2614</v>
      </c>
      <c r="AG42" s="7">
        <v>3319</v>
      </c>
      <c r="AH42" s="7">
        <v>2257</v>
      </c>
      <c r="AI42" s="7">
        <v>2800</v>
      </c>
      <c r="AJ42" s="7">
        <v>2261</v>
      </c>
      <c r="AK42" s="7">
        <v>3210</v>
      </c>
      <c r="AL42" s="7">
        <v>1606</v>
      </c>
      <c r="AM42" s="7">
        <v>3609</v>
      </c>
      <c r="AN42" s="7">
        <v>2344</v>
      </c>
      <c r="AO42" s="7">
        <v>2400</v>
      </c>
      <c r="AP42" s="7">
        <v>4196</v>
      </c>
      <c r="AQ42" s="7">
        <v>1542</v>
      </c>
      <c r="AR42" s="7">
        <v>3698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</row>
    <row r="43" spans="1:81">
      <c r="A43" s="1" t="s">
        <v>224</v>
      </c>
      <c r="B43" s="1" t="s">
        <v>225</v>
      </c>
      <c r="C43" s="1" t="s">
        <v>226</v>
      </c>
      <c r="D43" s="1" t="str">
        <f>HYPERLINK("http://eros.fiehnlab.ucdavis.edu:8080/binbase-compound/bin/show/227993?db=rtx5","227993")</f>
        <v>227993</v>
      </c>
      <c r="E43" s="1" t="s">
        <v>227</v>
      </c>
      <c r="F43" s="1" t="str">
        <f>HYPERLINK("http://www.genome.ad.jp/dbget-bin/www_bget?compound+C00249","C00249")</f>
        <v>C00249</v>
      </c>
      <c r="G43" s="1" t="str">
        <f>HYPERLINK("http://pubchem.ncbi.nlm.nih.gov/summary/summary.cgi?cid=985","985")</f>
        <v>985</v>
      </c>
      <c r="H43" s="1"/>
      <c r="I43" s="7">
        <v>3809</v>
      </c>
      <c r="J43" s="7">
        <v>7477</v>
      </c>
      <c r="K43" s="7">
        <v>17501</v>
      </c>
      <c r="L43" s="7">
        <v>20598</v>
      </c>
      <c r="M43" s="7">
        <v>13503</v>
      </c>
      <c r="N43" s="7">
        <v>12849</v>
      </c>
      <c r="O43" s="7">
        <v>31352</v>
      </c>
      <c r="P43" s="7">
        <v>40316</v>
      </c>
      <c r="Q43" s="7">
        <v>55267</v>
      </c>
      <c r="R43" s="7">
        <v>27001</v>
      </c>
      <c r="S43" s="7">
        <v>23312</v>
      </c>
      <c r="T43" s="7">
        <v>9439</v>
      </c>
      <c r="U43" s="7">
        <v>180098</v>
      </c>
      <c r="V43" s="7">
        <v>16654</v>
      </c>
      <c r="W43" s="7">
        <v>17367</v>
      </c>
      <c r="X43" s="7">
        <v>28571</v>
      </c>
      <c r="Y43" s="7">
        <v>56139</v>
      </c>
      <c r="Z43" s="7">
        <v>8287</v>
      </c>
      <c r="AA43" s="7">
        <v>24079</v>
      </c>
      <c r="AB43" s="7">
        <v>19182</v>
      </c>
      <c r="AC43" s="7">
        <v>18301</v>
      </c>
      <c r="AD43" s="7">
        <v>19144</v>
      </c>
      <c r="AE43" s="7">
        <v>33993</v>
      </c>
      <c r="AF43" s="7">
        <v>21576</v>
      </c>
      <c r="AG43" s="7">
        <v>43327</v>
      </c>
      <c r="AH43" s="7">
        <v>15651</v>
      </c>
      <c r="AI43" s="7">
        <v>15769</v>
      </c>
      <c r="AJ43" s="7">
        <v>23920</v>
      </c>
      <c r="AK43" s="7">
        <v>51022</v>
      </c>
      <c r="AL43" s="7">
        <v>6297</v>
      </c>
      <c r="AM43" s="7">
        <v>39922</v>
      </c>
      <c r="AN43" s="7">
        <v>8528</v>
      </c>
      <c r="AO43" s="7">
        <v>28797</v>
      </c>
      <c r="AP43" s="7">
        <v>38193</v>
      </c>
      <c r="AQ43" s="7">
        <v>11904</v>
      </c>
      <c r="AR43" s="7">
        <v>18948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</row>
    <row r="44" spans="1:81">
      <c r="A44" s="1" t="s">
        <v>228</v>
      </c>
      <c r="B44" s="1" t="s">
        <v>229</v>
      </c>
      <c r="C44" s="1" t="s">
        <v>167</v>
      </c>
      <c r="D44" s="1" t="str">
        <f>HYPERLINK("http://eros.fiehnlab.ucdavis.edu:8080/binbase-compound/bin/show/228006?db=rtx5","228006")</f>
        <v>228006</v>
      </c>
      <c r="E44" s="1" t="s">
        <v>230</v>
      </c>
      <c r="F44" s="1" t="str">
        <f>HYPERLINK("http://www.genome.ad.jp/dbget-bin/www_bget?compound+C01879","C01879")</f>
        <v>C01879</v>
      </c>
      <c r="G44" s="1" t="str">
        <f>HYPERLINK("http://pubchem.ncbi.nlm.nih.gov/summary/summary.cgi?cid=7405","7405")</f>
        <v>7405</v>
      </c>
      <c r="H44" s="1"/>
      <c r="I44" s="7">
        <v>227704</v>
      </c>
      <c r="J44" s="7">
        <v>479372</v>
      </c>
      <c r="K44" s="7">
        <v>220848</v>
      </c>
      <c r="L44" s="7">
        <v>331512</v>
      </c>
      <c r="M44" s="7">
        <v>364773</v>
      </c>
      <c r="N44" s="7">
        <v>382188</v>
      </c>
      <c r="O44" s="7">
        <v>315128</v>
      </c>
      <c r="P44" s="7">
        <v>323813</v>
      </c>
      <c r="Q44" s="7">
        <v>347267</v>
      </c>
      <c r="R44" s="7">
        <v>183270</v>
      </c>
      <c r="S44" s="7">
        <v>419684</v>
      </c>
      <c r="T44" s="7">
        <v>268447</v>
      </c>
      <c r="U44" s="7">
        <v>149977</v>
      </c>
      <c r="V44" s="7">
        <v>332548</v>
      </c>
      <c r="W44" s="7">
        <v>429556</v>
      </c>
      <c r="X44" s="7">
        <v>317429</v>
      </c>
      <c r="Y44" s="7">
        <v>198583</v>
      </c>
      <c r="Z44" s="7">
        <v>438341</v>
      </c>
      <c r="AA44" s="7">
        <v>351478</v>
      </c>
      <c r="AB44" s="7">
        <v>186159</v>
      </c>
      <c r="AC44" s="7">
        <v>170032</v>
      </c>
      <c r="AD44" s="7">
        <v>176891</v>
      </c>
      <c r="AE44" s="7">
        <v>268205</v>
      </c>
      <c r="AF44" s="7">
        <v>231387</v>
      </c>
      <c r="AG44" s="7">
        <v>266894</v>
      </c>
      <c r="AH44" s="7">
        <v>184495</v>
      </c>
      <c r="AI44" s="7">
        <v>350740</v>
      </c>
      <c r="AJ44" s="7">
        <v>166704</v>
      </c>
      <c r="AK44" s="7">
        <v>191725</v>
      </c>
      <c r="AL44" s="7">
        <v>456199</v>
      </c>
      <c r="AM44" s="7">
        <v>237306</v>
      </c>
      <c r="AN44" s="7">
        <v>487508</v>
      </c>
      <c r="AO44" s="7">
        <v>207741</v>
      </c>
      <c r="AP44" s="7">
        <v>243118</v>
      </c>
      <c r="AQ44" s="7">
        <v>548227</v>
      </c>
      <c r="AR44" s="7">
        <v>212414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</row>
    <row r="45" spans="1:81">
      <c r="A45" s="1" t="s">
        <v>231</v>
      </c>
      <c r="B45" s="1" t="s">
        <v>232</v>
      </c>
      <c r="C45" s="1" t="s">
        <v>233</v>
      </c>
      <c r="D45" s="1" t="str">
        <f>HYPERLINK("http://eros.fiehnlab.ucdavis.edu:8080/binbase-compound/bin/show/237885?db=rtx5","237885")</f>
        <v>237885</v>
      </c>
      <c r="E45" s="1" t="s">
        <v>234</v>
      </c>
      <c r="F45" s="1" t="str">
        <f>HYPERLINK("http://www.genome.ad.jp/dbget-bin/www_bget?compound+C00295","C00295")</f>
        <v>C00295</v>
      </c>
      <c r="G45" s="1" t="str">
        <f>HYPERLINK("http://pubchem.ncbi.nlm.nih.gov/summary/summary.cgi?cid=967","967")</f>
        <v>967</v>
      </c>
      <c r="H45" s="1"/>
      <c r="I45" s="7">
        <v>165</v>
      </c>
      <c r="J45" s="7">
        <v>336</v>
      </c>
      <c r="K45" s="7">
        <v>271</v>
      </c>
      <c r="L45" s="7">
        <v>344</v>
      </c>
      <c r="M45" s="7">
        <v>267</v>
      </c>
      <c r="N45" s="7">
        <v>193</v>
      </c>
      <c r="O45" s="7">
        <v>222</v>
      </c>
      <c r="P45" s="7">
        <v>280</v>
      </c>
      <c r="Q45" s="7">
        <v>277</v>
      </c>
      <c r="R45" s="7">
        <v>299</v>
      </c>
      <c r="S45" s="7">
        <v>200</v>
      </c>
      <c r="T45" s="7">
        <v>117</v>
      </c>
      <c r="U45" s="7">
        <v>151</v>
      </c>
      <c r="V45" s="7">
        <v>243</v>
      </c>
      <c r="W45" s="7">
        <v>199</v>
      </c>
      <c r="X45" s="7">
        <v>318</v>
      </c>
      <c r="Y45" s="7">
        <v>328</v>
      </c>
      <c r="Z45" s="7">
        <v>131</v>
      </c>
      <c r="AA45" s="7">
        <v>444</v>
      </c>
      <c r="AB45" s="7">
        <v>253</v>
      </c>
      <c r="AC45" s="7">
        <v>422</v>
      </c>
      <c r="AD45" s="7">
        <v>306</v>
      </c>
      <c r="AE45" s="7">
        <v>220</v>
      </c>
      <c r="AF45" s="7">
        <v>323</v>
      </c>
      <c r="AG45" s="7">
        <v>291</v>
      </c>
      <c r="AH45" s="7">
        <v>366</v>
      </c>
      <c r="AI45" s="7">
        <v>262</v>
      </c>
      <c r="AJ45" s="7">
        <v>735</v>
      </c>
      <c r="AK45" s="7">
        <v>329</v>
      </c>
      <c r="AL45" s="7">
        <v>284</v>
      </c>
      <c r="AM45" s="7">
        <v>287</v>
      </c>
      <c r="AN45" s="7">
        <v>298</v>
      </c>
      <c r="AO45" s="7">
        <v>366</v>
      </c>
      <c r="AP45" s="7">
        <v>358</v>
      </c>
      <c r="AQ45" s="7">
        <v>288</v>
      </c>
      <c r="AR45" s="7">
        <v>174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</row>
    <row r="46" spans="1:81">
      <c r="A46" s="1" t="s">
        <v>235</v>
      </c>
      <c r="B46" s="1" t="s">
        <v>236</v>
      </c>
      <c r="C46" s="1" t="s">
        <v>190</v>
      </c>
      <c r="D46" s="1" t="str">
        <f>HYPERLINK("http://eros.fiehnlab.ucdavis.edu:8080/binbase-compound/bin/show/228666?db=rtx5","228666")</f>
        <v>228666</v>
      </c>
      <c r="E46" s="1" t="s">
        <v>237</v>
      </c>
      <c r="F46" s="1" t="str">
        <f>HYPERLINK("http://www.genome.ad.jp/dbget-bin/www_bget?compound+C00077","C00077")</f>
        <v>C00077</v>
      </c>
      <c r="G46" s="1" t="str">
        <f>HYPERLINK("http://pubchem.ncbi.nlm.nih.gov/summary/summary.cgi?cid=6262","6262")</f>
        <v>6262</v>
      </c>
      <c r="H46" s="1"/>
      <c r="I46" s="7">
        <v>18309</v>
      </c>
      <c r="J46" s="7">
        <v>29072</v>
      </c>
      <c r="K46" s="7">
        <v>11932</v>
      </c>
      <c r="L46" s="7">
        <v>7035</v>
      </c>
      <c r="M46" s="7">
        <v>14981</v>
      </c>
      <c r="N46" s="7">
        <v>8727</v>
      </c>
      <c r="O46" s="7">
        <v>12204</v>
      </c>
      <c r="P46" s="7">
        <v>3111</v>
      </c>
      <c r="Q46" s="7">
        <v>5237</v>
      </c>
      <c r="R46" s="7">
        <v>6934</v>
      </c>
      <c r="S46" s="7">
        <v>10147</v>
      </c>
      <c r="T46" s="7">
        <v>15617</v>
      </c>
      <c r="U46" s="7">
        <v>10229</v>
      </c>
      <c r="V46" s="7">
        <v>20130</v>
      </c>
      <c r="W46" s="7">
        <v>21855</v>
      </c>
      <c r="X46" s="7">
        <v>6529</v>
      </c>
      <c r="Y46" s="7">
        <v>7461</v>
      </c>
      <c r="Z46" s="7">
        <v>22062</v>
      </c>
      <c r="AA46" s="7">
        <v>4342</v>
      </c>
      <c r="AB46" s="7">
        <v>6756</v>
      </c>
      <c r="AC46" s="7">
        <v>3710</v>
      </c>
      <c r="AD46" s="7">
        <v>5248</v>
      </c>
      <c r="AE46" s="7">
        <v>7586</v>
      </c>
      <c r="AF46" s="7">
        <v>15729</v>
      </c>
      <c r="AG46" s="7">
        <v>7102</v>
      </c>
      <c r="AH46" s="7">
        <v>3991</v>
      </c>
      <c r="AI46" s="7">
        <v>8073</v>
      </c>
      <c r="AJ46" s="7">
        <v>4243</v>
      </c>
      <c r="AK46" s="7">
        <v>2948</v>
      </c>
      <c r="AL46" s="7">
        <v>10506</v>
      </c>
      <c r="AM46" s="7">
        <v>5132</v>
      </c>
      <c r="AN46" s="7">
        <v>21613</v>
      </c>
      <c r="AO46" s="7">
        <v>4843</v>
      </c>
      <c r="AP46" s="7">
        <v>6589</v>
      </c>
      <c r="AQ46" s="7">
        <v>26736</v>
      </c>
      <c r="AR46" s="7">
        <v>6971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</row>
    <row r="47" spans="1:81">
      <c r="A47" s="1" t="s">
        <v>238</v>
      </c>
      <c r="B47" s="1" t="s">
        <v>239</v>
      </c>
      <c r="C47" s="1" t="s">
        <v>240</v>
      </c>
      <c r="D47" s="1" t="str">
        <f>HYPERLINK("http://eros.fiehnlab.ucdavis.edu:8080/binbase-compound/bin/show/215488?db=rtx5","215488")</f>
        <v>215488</v>
      </c>
      <c r="E47" s="1" t="s">
        <v>241</v>
      </c>
      <c r="F47" s="1" t="str">
        <f>HYPERLINK("http://www.genome.ad.jp/dbget-bin/www_bget?compound+C00712","C00712")</f>
        <v>C00712</v>
      </c>
      <c r="G47" s="1" t="str">
        <f>HYPERLINK("http://pubchem.ncbi.nlm.nih.gov/summary/summary.cgi?cid=445639","445639")</f>
        <v>445639</v>
      </c>
      <c r="H47" s="1"/>
      <c r="I47" s="7">
        <v>157</v>
      </c>
      <c r="J47" s="7">
        <v>528</v>
      </c>
      <c r="K47" s="7">
        <v>414</v>
      </c>
      <c r="L47" s="7">
        <v>272</v>
      </c>
      <c r="M47" s="7">
        <v>174</v>
      </c>
      <c r="N47" s="7">
        <v>864</v>
      </c>
      <c r="O47" s="7">
        <v>249</v>
      </c>
      <c r="P47" s="7">
        <v>363</v>
      </c>
      <c r="Q47" s="7">
        <v>52</v>
      </c>
      <c r="R47" s="7">
        <v>276</v>
      </c>
      <c r="S47" s="7">
        <v>292</v>
      </c>
      <c r="T47" s="7">
        <v>73</v>
      </c>
      <c r="U47" s="7">
        <v>707</v>
      </c>
      <c r="V47" s="7">
        <v>209</v>
      </c>
      <c r="W47" s="7">
        <v>241</v>
      </c>
      <c r="X47" s="7">
        <v>198</v>
      </c>
      <c r="Y47" s="7">
        <v>627</v>
      </c>
      <c r="Z47" s="7">
        <v>188</v>
      </c>
      <c r="AA47" s="7">
        <v>413</v>
      </c>
      <c r="AB47" s="7">
        <v>139</v>
      </c>
      <c r="AC47" s="7">
        <v>324</v>
      </c>
      <c r="AD47" s="7">
        <v>306</v>
      </c>
      <c r="AE47" s="7">
        <v>284</v>
      </c>
      <c r="AF47" s="7">
        <v>212</v>
      </c>
      <c r="AG47" s="7">
        <v>499</v>
      </c>
      <c r="AH47" s="7">
        <v>616</v>
      </c>
      <c r="AI47" s="7">
        <v>590</v>
      </c>
      <c r="AJ47" s="7">
        <v>347</v>
      </c>
      <c r="AK47" s="7">
        <v>583</v>
      </c>
      <c r="AL47" s="7">
        <v>476</v>
      </c>
      <c r="AM47" s="7">
        <v>517</v>
      </c>
      <c r="AN47" s="7">
        <v>321</v>
      </c>
      <c r="AO47" s="7">
        <v>271</v>
      </c>
      <c r="AP47" s="7">
        <v>260</v>
      </c>
      <c r="AQ47" s="7">
        <v>148</v>
      </c>
      <c r="AR47" s="7">
        <v>89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</row>
    <row r="48" spans="1:81">
      <c r="A48" s="1" t="s">
        <v>242</v>
      </c>
      <c r="B48" s="1" t="s">
        <v>243</v>
      </c>
      <c r="C48" s="1" t="s">
        <v>132</v>
      </c>
      <c r="D48" s="1" t="str">
        <f>HYPERLINK("http://eros.fiehnlab.ucdavis.edu:8080/binbase-compound/bin/show/241109?db=rtx5","241109")</f>
        <v>241109</v>
      </c>
      <c r="E48" s="1" t="s">
        <v>244</v>
      </c>
      <c r="F48" s="1" t="str">
        <f>HYPERLINK("http://www.genome.ad.jp/dbget-bin/www_bget?compound+C16535","C16535")</f>
        <v>C16535</v>
      </c>
      <c r="G48" s="1" t="str">
        <f>HYPERLINK("http://pubchem.ncbi.nlm.nih.gov/summary/summary.cgi?cid=12591","12591")</f>
        <v>12591</v>
      </c>
      <c r="H48" s="1"/>
      <c r="I48" s="7">
        <v>2452</v>
      </c>
      <c r="J48" s="7">
        <v>1009</v>
      </c>
      <c r="K48" s="7">
        <v>817</v>
      </c>
      <c r="L48" s="7">
        <v>807</v>
      </c>
      <c r="M48" s="7">
        <v>840</v>
      </c>
      <c r="N48" s="7">
        <v>871</v>
      </c>
      <c r="O48" s="7">
        <v>583</v>
      </c>
      <c r="P48" s="7">
        <v>1434</v>
      </c>
      <c r="Q48" s="7">
        <v>1619</v>
      </c>
      <c r="R48" s="7">
        <v>1025</v>
      </c>
      <c r="S48" s="7">
        <v>723</v>
      </c>
      <c r="T48" s="7">
        <v>662</v>
      </c>
      <c r="U48" s="7">
        <v>4952</v>
      </c>
      <c r="V48" s="7">
        <v>843</v>
      </c>
      <c r="W48" s="7">
        <v>992</v>
      </c>
      <c r="X48" s="7">
        <v>711</v>
      </c>
      <c r="Y48" s="7">
        <v>1923</v>
      </c>
      <c r="Z48" s="7">
        <v>890</v>
      </c>
      <c r="AA48" s="7">
        <v>665</v>
      </c>
      <c r="AB48" s="7">
        <v>1459</v>
      </c>
      <c r="AC48" s="7">
        <v>1277</v>
      </c>
      <c r="AD48" s="7">
        <v>881</v>
      </c>
      <c r="AE48" s="7">
        <v>815</v>
      </c>
      <c r="AF48" s="7">
        <v>967</v>
      </c>
      <c r="AG48" s="7">
        <v>893</v>
      </c>
      <c r="AH48" s="7">
        <v>855</v>
      </c>
      <c r="AI48" s="7">
        <v>685</v>
      </c>
      <c r="AJ48" s="7">
        <v>1004</v>
      </c>
      <c r="AK48" s="7">
        <v>1388</v>
      </c>
      <c r="AL48" s="7">
        <v>915</v>
      </c>
      <c r="AM48" s="7">
        <v>1063</v>
      </c>
      <c r="AN48" s="7">
        <v>942</v>
      </c>
      <c r="AO48" s="7">
        <v>1020</v>
      </c>
      <c r="AP48" s="7">
        <v>1164</v>
      </c>
      <c r="AQ48" s="7">
        <v>1074</v>
      </c>
      <c r="AR48" s="7">
        <v>717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</row>
    <row r="49" spans="1:81">
      <c r="A49" s="1" t="s">
        <v>245</v>
      </c>
      <c r="B49" s="1" t="s">
        <v>246</v>
      </c>
      <c r="C49" s="1" t="s">
        <v>247</v>
      </c>
      <c r="D49" s="1" t="str">
        <f>HYPERLINK("http://eros.fiehnlab.ucdavis.edu:8080/binbase-compound/bin/show/205663?db=rtx5","205663")</f>
        <v>205663</v>
      </c>
      <c r="E49" s="1" t="s">
        <v>248</v>
      </c>
      <c r="F49" s="1" t="str">
        <f>HYPERLINK("http://www.genome.ad.jp/dbget-bin/www_bget?compound+C02721","C02721")</f>
        <v>C02721</v>
      </c>
      <c r="G49" s="1" t="str">
        <f>HYPERLINK("http://pubchem.ncbi.nlm.nih.gov/summary/summary.cgi?cid=5288725","5288725")</f>
        <v>5288725</v>
      </c>
      <c r="H49" s="1"/>
      <c r="I49" s="7">
        <v>13036</v>
      </c>
      <c r="J49" s="7">
        <v>15120</v>
      </c>
      <c r="K49" s="7">
        <v>12765</v>
      </c>
      <c r="L49" s="7">
        <v>8470</v>
      </c>
      <c r="M49" s="7">
        <v>13168</v>
      </c>
      <c r="N49" s="7">
        <v>11703</v>
      </c>
      <c r="O49" s="7">
        <v>14725</v>
      </c>
      <c r="P49" s="7">
        <v>11667</v>
      </c>
      <c r="Q49" s="7">
        <v>12656</v>
      </c>
      <c r="R49" s="7">
        <v>16873</v>
      </c>
      <c r="S49" s="7">
        <v>14118</v>
      </c>
      <c r="T49" s="7">
        <v>19710</v>
      </c>
      <c r="U49" s="7">
        <v>5544</v>
      </c>
      <c r="V49" s="7">
        <v>8482</v>
      </c>
      <c r="W49" s="7">
        <v>13462</v>
      </c>
      <c r="X49" s="7">
        <v>12639</v>
      </c>
      <c r="Y49" s="7">
        <v>8899</v>
      </c>
      <c r="Z49" s="7">
        <v>16597</v>
      </c>
      <c r="AA49" s="7">
        <v>11477</v>
      </c>
      <c r="AB49" s="7">
        <v>14003</v>
      </c>
      <c r="AC49" s="7">
        <v>15943</v>
      </c>
      <c r="AD49" s="7">
        <v>27307</v>
      </c>
      <c r="AE49" s="7">
        <v>13709</v>
      </c>
      <c r="AF49" s="7">
        <v>20687</v>
      </c>
      <c r="AG49" s="7">
        <v>16224</v>
      </c>
      <c r="AH49" s="7">
        <v>14015</v>
      </c>
      <c r="AI49" s="7">
        <v>10710</v>
      </c>
      <c r="AJ49" s="7">
        <v>14931</v>
      </c>
      <c r="AK49" s="7">
        <v>11634</v>
      </c>
      <c r="AL49" s="7">
        <v>15003</v>
      </c>
      <c r="AM49" s="7">
        <v>11135</v>
      </c>
      <c r="AN49" s="7">
        <v>11897</v>
      </c>
      <c r="AO49" s="7">
        <v>12260</v>
      </c>
      <c r="AP49" s="7">
        <v>14192</v>
      </c>
      <c r="AQ49" s="7">
        <v>11495</v>
      </c>
      <c r="AR49" s="7">
        <v>11774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</row>
    <row r="50" spans="1:81">
      <c r="A50" s="1" t="s">
        <v>249</v>
      </c>
      <c r="B50" s="1" t="s">
        <v>250</v>
      </c>
      <c r="C50" s="1" t="s">
        <v>116</v>
      </c>
      <c r="D50" s="1" t="str">
        <f>HYPERLINK("http://eros.fiehnlab.ucdavis.edu:8080/binbase-compound/bin/show/296490?db=rtx5","296490")</f>
        <v>296490</v>
      </c>
      <c r="E50" s="1" t="s">
        <v>251</v>
      </c>
      <c r="F50" s="1" t="str">
        <f>HYPERLINK("http://www.genome.ad.jp/dbget-bin/www_bget?compound+C00153","C00153")</f>
        <v>C00153</v>
      </c>
      <c r="G50" s="1" t="str">
        <f>HYPERLINK("http://pubchem.ncbi.nlm.nih.gov/summary/summary.cgi?cid=936","936")</f>
        <v>936</v>
      </c>
      <c r="H50" s="1"/>
      <c r="I50" s="7">
        <v>8071</v>
      </c>
      <c r="J50" s="7">
        <v>1338</v>
      </c>
      <c r="K50" s="7">
        <v>10739</v>
      </c>
      <c r="L50" s="7">
        <v>17839</v>
      </c>
      <c r="M50" s="7">
        <v>5544</v>
      </c>
      <c r="N50" s="7">
        <v>2180</v>
      </c>
      <c r="O50" s="7">
        <v>4146</v>
      </c>
      <c r="P50" s="7">
        <v>11456</v>
      </c>
      <c r="Q50" s="7">
        <v>4607</v>
      </c>
      <c r="R50" s="7">
        <v>21007</v>
      </c>
      <c r="S50" s="7">
        <v>5494</v>
      </c>
      <c r="T50" s="7">
        <v>6815</v>
      </c>
      <c r="U50" s="7">
        <v>6352</v>
      </c>
      <c r="V50" s="7">
        <v>3749</v>
      </c>
      <c r="W50" s="7">
        <v>1585</v>
      </c>
      <c r="X50" s="7">
        <v>5106</v>
      </c>
      <c r="Y50" s="7">
        <v>6613</v>
      </c>
      <c r="Z50" s="7">
        <v>2262</v>
      </c>
      <c r="AA50" s="7">
        <v>3445</v>
      </c>
      <c r="AB50" s="7">
        <v>11300</v>
      </c>
      <c r="AC50" s="7">
        <v>11682</v>
      </c>
      <c r="AD50" s="7">
        <v>13677</v>
      </c>
      <c r="AE50" s="7">
        <v>11898</v>
      </c>
      <c r="AF50" s="7">
        <v>14034</v>
      </c>
      <c r="AG50" s="7">
        <v>16060</v>
      </c>
      <c r="AH50" s="7">
        <v>25073</v>
      </c>
      <c r="AI50" s="7">
        <v>3299</v>
      </c>
      <c r="AJ50" s="7">
        <v>14838</v>
      </c>
      <c r="AK50" s="7">
        <v>17626</v>
      </c>
      <c r="AL50" s="7">
        <v>2658</v>
      </c>
      <c r="AM50" s="7">
        <v>11677</v>
      </c>
      <c r="AN50" s="7">
        <v>2408</v>
      </c>
      <c r="AO50" s="7">
        <v>8543</v>
      </c>
      <c r="AP50" s="7">
        <v>16578</v>
      </c>
      <c r="AQ50" s="7">
        <v>1700</v>
      </c>
      <c r="AR50" s="7">
        <v>8505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</row>
    <row r="51" spans="1:81">
      <c r="A51" s="1" t="s">
        <v>252</v>
      </c>
      <c r="B51" s="1" t="s">
        <v>253</v>
      </c>
      <c r="C51" s="1" t="s">
        <v>254</v>
      </c>
      <c r="D51" s="1" t="str">
        <f>HYPERLINK("http://eros.fiehnlab.ucdavis.edu:8080/binbase-compound/bin/show/362116?db=rtx5","362116")</f>
        <v>362116</v>
      </c>
      <c r="E51" s="1" t="s">
        <v>255</v>
      </c>
      <c r="F51" s="1" t="s">
        <v>0</v>
      </c>
      <c r="G51" s="1" t="s">
        <v>0</v>
      </c>
      <c r="H51" s="1"/>
      <c r="I51" s="7">
        <v>232</v>
      </c>
      <c r="J51" s="7">
        <v>860</v>
      </c>
      <c r="K51" s="7">
        <v>453</v>
      </c>
      <c r="L51" s="7">
        <v>323</v>
      </c>
      <c r="M51" s="7">
        <v>522</v>
      </c>
      <c r="N51" s="7">
        <v>392</v>
      </c>
      <c r="O51" s="7">
        <v>527</v>
      </c>
      <c r="P51" s="7">
        <v>456</v>
      </c>
      <c r="Q51" s="7">
        <v>406</v>
      </c>
      <c r="R51" s="7">
        <v>501</v>
      </c>
      <c r="S51" s="7">
        <v>542</v>
      </c>
      <c r="T51" s="7">
        <v>424</v>
      </c>
      <c r="U51" s="7">
        <v>265</v>
      </c>
      <c r="V51" s="7">
        <v>673</v>
      </c>
      <c r="W51" s="7">
        <v>694</v>
      </c>
      <c r="X51" s="7">
        <v>471</v>
      </c>
      <c r="Y51" s="7">
        <v>317</v>
      </c>
      <c r="Z51" s="7">
        <v>658</v>
      </c>
      <c r="AA51" s="7">
        <v>407</v>
      </c>
      <c r="AB51" s="7">
        <v>395</v>
      </c>
      <c r="AC51" s="7">
        <v>353</v>
      </c>
      <c r="AD51" s="7">
        <v>308</v>
      </c>
      <c r="AE51" s="7">
        <v>371</v>
      </c>
      <c r="AF51" s="7">
        <v>388</v>
      </c>
      <c r="AG51" s="7">
        <v>526</v>
      </c>
      <c r="AH51" s="7">
        <v>360</v>
      </c>
      <c r="AI51" s="7">
        <v>420</v>
      </c>
      <c r="AJ51" s="7">
        <v>366</v>
      </c>
      <c r="AK51" s="7">
        <v>352</v>
      </c>
      <c r="AL51" s="7">
        <v>704</v>
      </c>
      <c r="AM51" s="7">
        <v>464</v>
      </c>
      <c r="AN51" s="7">
        <v>620</v>
      </c>
      <c r="AO51" s="7">
        <v>350</v>
      </c>
      <c r="AP51" s="7">
        <v>400</v>
      </c>
      <c r="AQ51" s="7">
        <v>864</v>
      </c>
      <c r="AR51" s="7">
        <v>396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</row>
    <row r="52" spans="1:81">
      <c r="A52" s="1" t="s">
        <v>1175</v>
      </c>
      <c r="B52" s="1" t="s">
        <v>257</v>
      </c>
      <c r="C52" s="1" t="s">
        <v>258</v>
      </c>
      <c r="D52" s="1" t="str">
        <f>HYPERLINK("http://eros.fiehnlab.ucdavis.edu:8080/binbase-compound/bin/show/205676?db=rtx5","205676")</f>
        <v>205676</v>
      </c>
      <c r="E52" s="1" t="s">
        <v>259</v>
      </c>
      <c r="F52" s="1" t="str">
        <f>HYPERLINK("http://www.genome.ad.jp/dbget-bin/www_bget?compound+C00645","C00645")</f>
        <v>C00645</v>
      </c>
      <c r="G52" s="1" t="str">
        <f>HYPERLINK("http://pubchem.ncbi.nlm.nih.gov/summary/summary.cgi?cid=65150","65150")</f>
        <v>65150</v>
      </c>
      <c r="H52" s="1"/>
      <c r="I52" s="7">
        <v>105</v>
      </c>
      <c r="J52" s="7">
        <v>148</v>
      </c>
      <c r="K52" s="7">
        <v>352</v>
      </c>
      <c r="L52" s="7">
        <v>346</v>
      </c>
      <c r="M52" s="7">
        <v>197</v>
      </c>
      <c r="N52" s="7">
        <v>130</v>
      </c>
      <c r="O52" s="7">
        <v>45</v>
      </c>
      <c r="P52" s="7">
        <v>280</v>
      </c>
      <c r="Q52" s="7">
        <v>94</v>
      </c>
      <c r="R52" s="7">
        <v>353</v>
      </c>
      <c r="S52" s="7">
        <v>231</v>
      </c>
      <c r="T52" s="7">
        <v>197</v>
      </c>
      <c r="U52" s="7">
        <v>241</v>
      </c>
      <c r="V52" s="7">
        <v>322</v>
      </c>
      <c r="W52" s="7">
        <v>98</v>
      </c>
      <c r="X52" s="7">
        <v>291</v>
      </c>
      <c r="Y52" s="7">
        <v>285</v>
      </c>
      <c r="Z52" s="7">
        <v>247</v>
      </c>
      <c r="AA52" s="7">
        <v>283</v>
      </c>
      <c r="AB52" s="7">
        <v>455</v>
      </c>
      <c r="AC52" s="7">
        <v>635</v>
      </c>
      <c r="AD52" s="7">
        <v>816</v>
      </c>
      <c r="AE52" s="7">
        <v>455</v>
      </c>
      <c r="AF52" s="7">
        <v>694</v>
      </c>
      <c r="AG52" s="7">
        <v>417</v>
      </c>
      <c r="AH52" s="7">
        <v>695</v>
      </c>
      <c r="AI52" s="7">
        <v>161</v>
      </c>
      <c r="AJ52" s="7">
        <v>444</v>
      </c>
      <c r="AK52" s="7">
        <v>543</v>
      </c>
      <c r="AL52" s="7">
        <v>105</v>
      </c>
      <c r="AM52" s="7">
        <v>439</v>
      </c>
      <c r="AN52" s="7">
        <v>84</v>
      </c>
      <c r="AO52" s="7">
        <v>589</v>
      </c>
      <c r="AP52" s="7">
        <v>546</v>
      </c>
      <c r="AQ52" s="7">
        <v>172</v>
      </c>
      <c r="AR52" s="7">
        <v>293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</row>
    <row r="53" spans="1:81">
      <c r="A53" s="1" t="s">
        <v>260</v>
      </c>
      <c r="B53" s="1" t="s">
        <v>261</v>
      </c>
      <c r="C53" s="1" t="s">
        <v>86</v>
      </c>
      <c r="D53" s="1" t="str">
        <f>HYPERLINK("http://eros.fiehnlab.ucdavis.edu:8080/binbase-compound/bin/show/211596?db=rtx5","211596")</f>
        <v>211596</v>
      </c>
      <c r="E53" s="1" t="s">
        <v>262</v>
      </c>
      <c r="F53" s="1" t="str">
        <f>HYPERLINK("http://www.genome.ad.jp/dbget-bin/www_bget?compound+C03136","C03136")</f>
        <v>C03136</v>
      </c>
      <c r="G53" s="1" t="str">
        <f>HYPERLINK("http://pubchem.ncbi.nlm.nih.gov/summary/summary.cgi?cid=439281","439281")</f>
        <v>439281</v>
      </c>
      <c r="H53" s="1"/>
      <c r="I53" s="7">
        <v>6296</v>
      </c>
      <c r="J53" s="7">
        <v>413</v>
      </c>
      <c r="K53" s="7">
        <v>3331</v>
      </c>
      <c r="L53" s="7">
        <v>9963</v>
      </c>
      <c r="M53" s="7">
        <v>5567</v>
      </c>
      <c r="N53" s="7">
        <v>1038</v>
      </c>
      <c r="O53" s="7">
        <v>2898</v>
      </c>
      <c r="P53" s="7">
        <v>4276</v>
      </c>
      <c r="Q53" s="7">
        <v>3830</v>
      </c>
      <c r="R53" s="7">
        <v>10242</v>
      </c>
      <c r="S53" s="7">
        <v>4610</v>
      </c>
      <c r="T53" s="7">
        <v>7129</v>
      </c>
      <c r="U53" s="7">
        <v>3823</v>
      </c>
      <c r="V53" s="7">
        <v>3070</v>
      </c>
      <c r="W53" s="7">
        <v>8003</v>
      </c>
      <c r="X53" s="7">
        <v>3087</v>
      </c>
      <c r="Y53" s="7">
        <v>3463</v>
      </c>
      <c r="Z53" s="7">
        <v>712</v>
      </c>
      <c r="AA53" s="7">
        <v>974</v>
      </c>
      <c r="AB53" s="7">
        <v>10141</v>
      </c>
      <c r="AC53" s="7">
        <v>9433</v>
      </c>
      <c r="AD53" s="7">
        <v>1554</v>
      </c>
      <c r="AE53" s="7">
        <v>6433</v>
      </c>
      <c r="AF53" s="7">
        <v>6277</v>
      </c>
      <c r="AG53" s="7">
        <v>6527</v>
      </c>
      <c r="AH53" s="7">
        <v>7058</v>
      </c>
      <c r="AI53" s="7">
        <v>3935</v>
      </c>
      <c r="AJ53" s="7">
        <v>7183</v>
      </c>
      <c r="AK53" s="7">
        <v>5120</v>
      </c>
      <c r="AL53" s="7">
        <v>4120</v>
      </c>
      <c r="AM53" s="7">
        <v>5204</v>
      </c>
      <c r="AN53" s="7">
        <v>759</v>
      </c>
      <c r="AO53" s="7">
        <v>7769</v>
      </c>
      <c r="AP53" s="7">
        <v>9126</v>
      </c>
      <c r="AQ53" s="7">
        <v>940</v>
      </c>
      <c r="AR53" s="7">
        <v>6758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</row>
    <row r="54" spans="1:81">
      <c r="A54" s="1" t="s">
        <v>263</v>
      </c>
      <c r="B54" s="1" t="s">
        <v>264</v>
      </c>
      <c r="C54" s="1" t="s">
        <v>265</v>
      </c>
      <c r="D54" s="1" t="str">
        <f>HYPERLINK("http://eros.fiehnlab.ucdavis.edu:8080/binbase-compound/bin/show/199929?db=rtx5","199929")</f>
        <v>199929</v>
      </c>
      <c r="E54" s="1" t="s">
        <v>266</v>
      </c>
      <c r="F54" s="1" t="str">
        <f>HYPERLINK("http://www.genome.ad.jp/dbget-bin/www_bget?compound+C06424","C06424")</f>
        <v>C06424</v>
      </c>
      <c r="G54" s="1" t="str">
        <f>HYPERLINK("http://pubchem.ncbi.nlm.nih.gov/summary/summary.cgi?cid=11005","11005")</f>
        <v>11005</v>
      </c>
      <c r="H54" s="1"/>
      <c r="I54" s="7">
        <v>3414</v>
      </c>
      <c r="J54" s="7">
        <v>741</v>
      </c>
      <c r="K54" s="7">
        <v>1693</v>
      </c>
      <c r="L54" s="7">
        <v>2217</v>
      </c>
      <c r="M54" s="7">
        <v>1068</v>
      </c>
      <c r="N54" s="7">
        <v>1966</v>
      </c>
      <c r="O54" s="7">
        <v>2053</v>
      </c>
      <c r="P54" s="7">
        <v>3393</v>
      </c>
      <c r="Q54" s="7">
        <v>3271</v>
      </c>
      <c r="R54" s="7">
        <v>2773</v>
      </c>
      <c r="S54" s="7">
        <v>1739</v>
      </c>
      <c r="T54" s="7">
        <v>1116</v>
      </c>
      <c r="U54" s="7">
        <v>8099</v>
      </c>
      <c r="V54" s="7">
        <v>1369</v>
      </c>
      <c r="W54" s="7">
        <v>1468</v>
      </c>
      <c r="X54" s="7">
        <v>2114</v>
      </c>
      <c r="Y54" s="7">
        <v>4555</v>
      </c>
      <c r="Z54" s="7">
        <v>746</v>
      </c>
      <c r="AA54" s="7">
        <v>1559</v>
      </c>
      <c r="AB54" s="7">
        <v>2203</v>
      </c>
      <c r="AC54" s="7">
        <v>2516</v>
      </c>
      <c r="AD54" s="7">
        <v>2048</v>
      </c>
      <c r="AE54" s="7">
        <v>2430</v>
      </c>
      <c r="AF54" s="7">
        <v>2406</v>
      </c>
      <c r="AG54" s="7">
        <v>2671</v>
      </c>
      <c r="AH54" s="7">
        <v>2138</v>
      </c>
      <c r="AI54" s="7">
        <v>1167</v>
      </c>
      <c r="AJ54" s="7">
        <v>2700</v>
      </c>
      <c r="AK54" s="7">
        <v>3661</v>
      </c>
      <c r="AL54" s="7">
        <v>725</v>
      </c>
      <c r="AM54" s="7">
        <v>2893</v>
      </c>
      <c r="AN54" s="7">
        <v>986</v>
      </c>
      <c r="AO54" s="7">
        <v>2750</v>
      </c>
      <c r="AP54" s="7">
        <v>3000</v>
      </c>
      <c r="AQ54" s="7">
        <v>855</v>
      </c>
      <c r="AR54" s="7">
        <v>2228</v>
      </c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</row>
    <row r="55" spans="1:81">
      <c r="A55" s="1" t="s">
        <v>267</v>
      </c>
      <c r="B55" s="1" t="s">
        <v>268</v>
      </c>
      <c r="C55" s="1" t="s">
        <v>143</v>
      </c>
      <c r="D55" s="1" t="str">
        <f>HYPERLINK("http://eros.fiehnlab.ucdavis.edu:8080/binbase-compound/bin/show/296075?db=rtx5","296075")</f>
        <v>296075</v>
      </c>
      <c r="E55" s="1" t="s">
        <v>269</v>
      </c>
      <c r="F55" s="1" t="str">
        <f>HYPERLINK("http://www.genome.ad.jp/dbget-bin/www_bget?compound+C00418","C00418")</f>
        <v>C00418</v>
      </c>
      <c r="G55" s="1" t="str">
        <f>HYPERLINK("http://pubchem.ncbi.nlm.nih.gov/summary/summary.cgi?cid=439230","439230")</f>
        <v>439230</v>
      </c>
      <c r="H55" s="1"/>
      <c r="I55" s="7">
        <v>149</v>
      </c>
      <c r="J55" s="7">
        <v>235</v>
      </c>
      <c r="K55" s="7">
        <v>217</v>
      </c>
      <c r="L55" s="7">
        <v>259</v>
      </c>
      <c r="M55" s="7">
        <v>210</v>
      </c>
      <c r="N55" s="7">
        <v>193</v>
      </c>
      <c r="O55" s="7">
        <v>217</v>
      </c>
      <c r="P55" s="7">
        <v>224</v>
      </c>
      <c r="Q55" s="7">
        <v>206</v>
      </c>
      <c r="R55" s="7">
        <v>307</v>
      </c>
      <c r="S55" s="7">
        <v>226</v>
      </c>
      <c r="T55" s="7">
        <v>207</v>
      </c>
      <c r="U55" s="7">
        <v>147</v>
      </c>
      <c r="V55" s="7">
        <v>252</v>
      </c>
      <c r="W55" s="7">
        <v>166</v>
      </c>
      <c r="X55" s="7">
        <v>214</v>
      </c>
      <c r="Y55" s="7">
        <v>209</v>
      </c>
      <c r="Z55" s="7">
        <v>116</v>
      </c>
      <c r="AA55" s="7">
        <v>185</v>
      </c>
      <c r="AB55" s="7">
        <v>237</v>
      </c>
      <c r="AC55" s="7">
        <v>353</v>
      </c>
      <c r="AD55" s="7">
        <v>320</v>
      </c>
      <c r="AE55" s="7">
        <v>203</v>
      </c>
      <c r="AF55" s="7">
        <v>313</v>
      </c>
      <c r="AG55" s="7">
        <v>253</v>
      </c>
      <c r="AH55" s="7">
        <v>327</v>
      </c>
      <c r="AI55" s="7">
        <v>219</v>
      </c>
      <c r="AJ55" s="7">
        <v>272</v>
      </c>
      <c r="AK55" s="7">
        <v>236</v>
      </c>
      <c r="AL55" s="7">
        <v>145</v>
      </c>
      <c r="AM55" s="7">
        <v>226</v>
      </c>
      <c r="AN55" s="7">
        <v>132</v>
      </c>
      <c r="AO55" s="7">
        <v>311</v>
      </c>
      <c r="AP55" s="7">
        <v>379</v>
      </c>
      <c r="AQ55" s="7">
        <v>182</v>
      </c>
      <c r="AR55" s="7">
        <v>230</v>
      </c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</row>
    <row r="56" spans="1:81">
      <c r="A56" s="1" t="s">
        <v>270</v>
      </c>
      <c r="B56" s="1" t="s">
        <v>271</v>
      </c>
      <c r="C56" s="1" t="s">
        <v>132</v>
      </c>
      <c r="D56" s="1" t="str">
        <f>HYPERLINK("http://eros.fiehnlab.ucdavis.edu:8080/binbase-compound/bin/show/200398?db=rtx5","200398")</f>
        <v>200398</v>
      </c>
      <c r="E56" s="1" t="s">
        <v>272</v>
      </c>
      <c r="F56" s="1" t="str">
        <f>HYPERLINK("http://www.genome.ad.jp/dbget-bin/www_bget?compound+n/a","n/a")</f>
        <v>n/a</v>
      </c>
      <c r="G56" s="1" t="str">
        <f>HYPERLINK("http://pubchem.ncbi.nlm.nih.gov/summary/summary.cgi?cid=10465","10465")</f>
        <v>10465</v>
      </c>
      <c r="H56" s="1"/>
      <c r="I56" s="7">
        <v>28147</v>
      </c>
      <c r="J56" s="7">
        <v>1761</v>
      </c>
      <c r="K56" s="7">
        <v>4579</v>
      </c>
      <c r="L56" s="7">
        <v>5004</v>
      </c>
      <c r="M56" s="7">
        <v>2505</v>
      </c>
      <c r="N56" s="7">
        <v>4065</v>
      </c>
      <c r="O56" s="7">
        <v>8587</v>
      </c>
      <c r="P56" s="7">
        <v>14554</v>
      </c>
      <c r="Q56" s="7">
        <v>19364</v>
      </c>
      <c r="R56" s="7">
        <v>7269</v>
      </c>
      <c r="S56" s="7">
        <v>4505</v>
      </c>
      <c r="T56" s="7">
        <v>2178</v>
      </c>
      <c r="U56" s="7">
        <v>64347</v>
      </c>
      <c r="V56" s="7">
        <v>3122</v>
      </c>
      <c r="W56" s="7">
        <v>4519</v>
      </c>
      <c r="X56" s="7">
        <v>4245</v>
      </c>
      <c r="Y56" s="7">
        <v>17411</v>
      </c>
      <c r="Z56" s="7">
        <v>2169</v>
      </c>
      <c r="AA56" s="7">
        <v>3032</v>
      </c>
      <c r="AB56" s="7">
        <v>5106</v>
      </c>
      <c r="AC56" s="7">
        <v>4512</v>
      </c>
      <c r="AD56" s="7">
        <v>4302</v>
      </c>
      <c r="AE56" s="7">
        <v>5157</v>
      </c>
      <c r="AF56" s="7">
        <v>4437</v>
      </c>
      <c r="AG56" s="7">
        <v>5106</v>
      </c>
      <c r="AH56" s="7">
        <v>3665</v>
      </c>
      <c r="AI56" s="7">
        <v>3654</v>
      </c>
      <c r="AJ56" s="7">
        <v>4840</v>
      </c>
      <c r="AK56" s="7">
        <v>7133</v>
      </c>
      <c r="AL56" s="7">
        <v>2097</v>
      </c>
      <c r="AM56" s="7">
        <v>4478</v>
      </c>
      <c r="AN56" s="7">
        <v>2194</v>
      </c>
      <c r="AO56" s="7">
        <v>5216</v>
      </c>
      <c r="AP56" s="7">
        <v>5964</v>
      </c>
      <c r="AQ56" s="7">
        <v>1674</v>
      </c>
      <c r="AR56" s="7">
        <v>4145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</row>
    <row r="57" spans="1:81">
      <c r="A57" s="1" t="s">
        <v>276</v>
      </c>
      <c r="B57" s="1" t="s">
        <v>274</v>
      </c>
      <c r="C57" s="1" t="s">
        <v>273</v>
      </c>
      <c r="D57" s="1" t="str">
        <f>HYPERLINK("http://eros.fiehnlab.ucdavis.edu:8080/binbase-compound/bin/show/218901?db=rtx5","218901")</f>
        <v>218901</v>
      </c>
      <c r="E57" s="1" t="s">
        <v>275</v>
      </c>
      <c r="F57" s="1" t="str">
        <f>HYPERLINK("http://www.genome.ad.jp/dbget-bin/www_bget?compound+C02989","C02989")</f>
        <v>C02989</v>
      </c>
      <c r="G57" s="1" t="str">
        <f>HYPERLINK("http://pubchem.ncbi.nlm.nih.gov/summary/summary.cgi?cid=158980","158980")</f>
        <v>158980</v>
      </c>
      <c r="H57" s="1"/>
      <c r="I57" s="7">
        <v>30959</v>
      </c>
      <c r="J57" s="7">
        <v>66285</v>
      </c>
      <c r="K57" s="7">
        <v>42158</v>
      </c>
      <c r="L57" s="7">
        <v>33137</v>
      </c>
      <c r="M57" s="7">
        <v>5980</v>
      </c>
      <c r="N57" s="7">
        <v>56423</v>
      </c>
      <c r="O57" s="7">
        <v>32305</v>
      </c>
      <c r="P57" s="7">
        <v>3752</v>
      </c>
      <c r="Q57" s="7">
        <v>9046</v>
      </c>
      <c r="R57" s="7">
        <v>2637</v>
      </c>
      <c r="S57" s="7">
        <v>5777</v>
      </c>
      <c r="T57" s="7">
        <v>2787</v>
      </c>
      <c r="U57" s="7">
        <v>17300</v>
      </c>
      <c r="V57" s="7">
        <v>60216</v>
      </c>
      <c r="W57" s="7">
        <v>54695</v>
      </c>
      <c r="X57" s="7">
        <v>37153</v>
      </c>
      <c r="Y57" s="7">
        <v>25798</v>
      </c>
      <c r="Z57" s="7">
        <v>6113</v>
      </c>
      <c r="AA57" s="7">
        <v>50025</v>
      </c>
      <c r="AB57" s="7">
        <v>35205</v>
      </c>
      <c r="AC57" s="7">
        <v>28977</v>
      </c>
      <c r="AD57" s="7">
        <v>49625</v>
      </c>
      <c r="AE57" s="7">
        <v>30286</v>
      </c>
      <c r="AF57" s="7">
        <v>38975</v>
      </c>
      <c r="AG57" s="7">
        <v>7791</v>
      </c>
      <c r="AH57" s="7">
        <v>30098</v>
      </c>
      <c r="AI57" s="7">
        <v>15025</v>
      </c>
      <c r="AJ57" s="7">
        <v>25469</v>
      </c>
      <c r="AK57" s="7">
        <v>23242</v>
      </c>
      <c r="AL57" s="7">
        <v>37842</v>
      </c>
      <c r="AM57" s="7">
        <v>33798</v>
      </c>
      <c r="AN57" s="7">
        <v>37161</v>
      </c>
      <c r="AO57" s="7">
        <v>31065</v>
      </c>
      <c r="AP57" s="7">
        <v>34517</v>
      </c>
      <c r="AQ57" s="7">
        <v>44808</v>
      </c>
      <c r="AR57" s="7">
        <v>25763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</row>
    <row r="58" spans="1:81">
      <c r="A58" s="1" t="s">
        <v>277</v>
      </c>
      <c r="B58" s="1" t="s">
        <v>278</v>
      </c>
      <c r="C58" s="1" t="s">
        <v>279</v>
      </c>
      <c r="D58" s="1" t="str">
        <f>HYPERLINK("http://eros.fiehnlab.ucdavis.edu:8080/binbase-compound/bin/show/200533?db=rtx5","200533")</f>
        <v>200533</v>
      </c>
      <c r="E58" s="1" t="s">
        <v>280</v>
      </c>
      <c r="F58" s="1" t="str">
        <f>HYPERLINK("http://www.genome.ad.jp/dbget-bin/www_bget?compound+C00073","C00073")</f>
        <v>C00073</v>
      </c>
      <c r="G58" s="1" t="str">
        <f>HYPERLINK("http://pubchem.ncbi.nlm.nih.gov/summary/summary.cgi?cid=6137","6137")</f>
        <v>6137</v>
      </c>
      <c r="H58" s="1"/>
      <c r="I58" s="7">
        <v>19763</v>
      </c>
      <c r="J58" s="7">
        <v>47729</v>
      </c>
      <c r="K58" s="7">
        <v>2625</v>
      </c>
      <c r="L58" s="7">
        <v>5978</v>
      </c>
      <c r="M58" s="7">
        <v>57916</v>
      </c>
      <c r="N58" s="7">
        <v>25230</v>
      </c>
      <c r="O58" s="7">
        <v>27877</v>
      </c>
      <c r="P58" s="7">
        <v>26689</v>
      </c>
      <c r="Q58" s="7">
        <v>37543</v>
      </c>
      <c r="R58" s="7">
        <v>31746</v>
      </c>
      <c r="S58" s="7">
        <v>56277</v>
      </c>
      <c r="T58" s="7">
        <v>61882</v>
      </c>
      <c r="U58" s="7">
        <v>9304</v>
      </c>
      <c r="V58" s="7">
        <v>16400</v>
      </c>
      <c r="W58" s="7">
        <v>28454</v>
      </c>
      <c r="X58" s="7">
        <v>13175</v>
      </c>
      <c r="Y58" s="7">
        <v>8686</v>
      </c>
      <c r="Z58" s="7">
        <v>76566</v>
      </c>
      <c r="AA58" s="7">
        <v>18705</v>
      </c>
      <c r="AB58" s="7">
        <v>1770</v>
      </c>
      <c r="AC58" s="7">
        <v>571</v>
      </c>
      <c r="AD58" s="7">
        <v>1140</v>
      </c>
      <c r="AE58" s="7">
        <v>8827</v>
      </c>
      <c r="AF58" s="7">
        <v>2266</v>
      </c>
      <c r="AG58" s="7">
        <v>36522</v>
      </c>
      <c r="AH58" s="7">
        <v>6304</v>
      </c>
      <c r="AI58" s="7">
        <v>47417</v>
      </c>
      <c r="AJ58" s="7">
        <v>6937</v>
      </c>
      <c r="AK58" s="7">
        <v>5316</v>
      </c>
      <c r="AL58" s="7">
        <v>49472</v>
      </c>
      <c r="AM58" s="7">
        <v>3391</v>
      </c>
      <c r="AN58" s="7">
        <v>54185</v>
      </c>
      <c r="AO58" s="7">
        <v>663</v>
      </c>
      <c r="AP58" s="7">
        <v>9098</v>
      </c>
      <c r="AQ58" s="7">
        <v>55455</v>
      </c>
      <c r="AR58" s="7">
        <v>10775</v>
      </c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</row>
    <row r="59" spans="1:81">
      <c r="A59" s="1" t="s">
        <v>281</v>
      </c>
      <c r="B59" s="1" t="s">
        <v>282</v>
      </c>
      <c r="C59" s="1" t="s">
        <v>283</v>
      </c>
      <c r="D59" s="1" t="str">
        <f>HYPERLINK("http://eros.fiehnlab.ucdavis.edu:8080/binbase-compound/bin/show/227823?db=rtx5","227823")</f>
        <v>227823</v>
      </c>
      <c r="E59" s="1" t="s">
        <v>284</v>
      </c>
      <c r="F59" s="1" t="str">
        <f>HYPERLINK("http://www.genome.ad.jp/dbget-bin/www_bget?compound+C00275","C00275")</f>
        <v>C00275</v>
      </c>
      <c r="G59" s="1" t="str">
        <f>HYPERLINK("http://pubchem.ncbi.nlm.nih.gov/summary/summary.cgi?cid=65127","65127")</f>
        <v>65127</v>
      </c>
      <c r="H59" s="1"/>
      <c r="I59" s="7">
        <v>289</v>
      </c>
      <c r="J59" s="7">
        <v>139</v>
      </c>
      <c r="K59" s="7">
        <v>364</v>
      </c>
      <c r="L59" s="7">
        <v>355</v>
      </c>
      <c r="M59" s="7">
        <v>32</v>
      </c>
      <c r="N59" s="7">
        <v>105</v>
      </c>
      <c r="O59" s="7">
        <v>234</v>
      </c>
      <c r="P59" s="7">
        <v>303</v>
      </c>
      <c r="Q59" s="7">
        <v>169</v>
      </c>
      <c r="R59" s="7">
        <v>427</v>
      </c>
      <c r="S59" s="7">
        <v>196</v>
      </c>
      <c r="T59" s="7">
        <v>171</v>
      </c>
      <c r="U59" s="7">
        <v>144</v>
      </c>
      <c r="V59" s="7">
        <v>183</v>
      </c>
      <c r="W59" s="7">
        <v>171</v>
      </c>
      <c r="X59" s="7">
        <v>310</v>
      </c>
      <c r="Y59" s="7">
        <v>350</v>
      </c>
      <c r="Z59" s="7">
        <v>179</v>
      </c>
      <c r="AA59" s="7">
        <v>195</v>
      </c>
      <c r="AB59" s="7">
        <v>453</v>
      </c>
      <c r="AC59" s="7">
        <v>293</v>
      </c>
      <c r="AD59" s="7">
        <v>309</v>
      </c>
      <c r="AE59" s="7">
        <v>253</v>
      </c>
      <c r="AF59" s="7">
        <v>363</v>
      </c>
      <c r="AG59" s="7">
        <v>406</v>
      </c>
      <c r="AH59" s="7">
        <v>261</v>
      </c>
      <c r="AI59" s="7">
        <v>149</v>
      </c>
      <c r="AJ59" s="7">
        <v>336</v>
      </c>
      <c r="AK59" s="7">
        <v>510</v>
      </c>
      <c r="AL59" s="7">
        <v>136</v>
      </c>
      <c r="AM59" s="7">
        <v>376</v>
      </c>
      <c r="AN59" s="7">
        <v>163</v>
      </c>
      <c r="AO59" s="7">
        <v>332</v>
      </c>
      <c r="AP59" s="7">
        <v>436</v>
      </c>
      <c r="AQ59" s="7">
        <v>153</v>
      </c>
      <c r="AR59" s="7">
        <v>253</v>
      </c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</row>
    <row r="60" spans="1:81">
      <c r="A60" s="1" t="s">
        <v>1176</v>
      </c>
      <c r="B60" s="1" t="s">
        <v>285</v>
      </c>
      <c r="C60" s="1" t="s">
        <v>286</v>
      </c>
      <c r="D60" s="1" t="str">
        <f>HYPERLINK("http://eros.fiehnlab.ucdavis.edu:8080/binbase-compound/bin/show/204171?db=rtx5","204171")</f>
        <v>204171</v>
      </c>
      <c r="E60" s="1" t="s">
        <v>287</v>
      </c>
      <c r="F60" s="1" t="str">
        <f>HYPERLINK("http://www.genome.ad.jp/dbget-bin/www_bget?compound+C00208","C00208")</f>
        <v>C00208</v>
      </c>
      <c r="G60" s="1" t="str">
        <f>HYPERLINK("http://pubchem.ncbi.nlm.nih.gov/summary/summary.cgi?cid=6255","6255")</f>
        <v>6255</v>
      </c>
      <c r="H60" s="1"/>
      <c r="I60" s="7">
        <v>239</v>
      </c>
      <c r="J60" s="7">
        <v>158</v>
      </c>
      <c r="K60" s="7">
        <v>283</v>
      </c>
      <c r="L60" s="7">
        <v>390</v>
      </c>
      <c r="M60" s="7">
        <v>197</v>
      </c>
      <c r="N60" s="7">
        <v>72</v>
      </c>
      <c r="O60" s="7">
        <v>513</v>
      </c>
      <c r="P60" s="7">
        <v>927</v>
      </c>
      <c r="Q60" s="7">
        <v>486</v>
      </c>
      <c r="R60" s="7">
        <v>423</v>
      </c>
      <c r="S60" s="7">
        <v>232</v>
      </c>
      <c r="T60" s="7">
        <v>1357</v>
      </c>
      <c r="U60" s="7">
        <v>1726</v>
      </c>
      <c r="V60" s="7">
        <v>264</v>
      </c>
      <c r="W60" s="7">
        <v>187</v>
      </c>
      <c r="X60" s="7">
        <v>1050</v>
      </c>
      <c r="Y60" s="7">
        <v>418</v>
      </c>
      <c r="Z60" s="7">
        <v>184</v>
      </c>
      <c r="AA60" s="7">
        <v>493</v>
      </c>
      <c r="AB60" s="7">
        <v>260</v>
      </c>
      <c r="AC60" s="7">
        <v>919</v>
      </c>
      <c r="AD60" s="7">
        <v>409</v>
      </c>
      <c r="AE60" s="7">
        <v>483</v>
      </c>
      <c r="AF60" s="7">
        <v>403</v>
      </c>
      <c r="AG60" s="7">
        <v>709</v>
      </c>
      <c r="AH60" s="7">
        <v>556</v>
      </c>
      <c r="AI60" s="7">
        <v>296</v>
      </c>
      <c r="AJ60" s="7">
        <v>588</v>
      </c>
      <c r="AK60" s="7">
        <v>1519</v>
      </c>
      <c r="AL60" s="7">
        <v>472</v>
      </c>
      <c r="AM60" s="7">
        <v>630</v>
      </c>
      <c r="AN60" s="7">
        <v>270</v>
      </c>
      <c r="AO60" s="7">
        <v>533</v>
      </c>
      <c r="AP60" s="7">
        <v>740</v>
      </c>
      <c r="AQ60" s="7">
        <v>136</v>
      </c>
      <c r="AR60" s="7">
        <v>412</v>
      </c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</row>
    <row r="61" spans="1:81">
      <c r="A61" s="1" t="s">
        <v>288</v>
      </c>
      <c r="B61" s="1" t="s">
        <v>289</v>
      </c>
      <c r="C61" s="1" t="s">
        <v>290</v>
      </c>
      <c r="D61" s="1" t="str">
        <f>HYPERLINK("http://eros.fiehnlab.ucdavis.edu:8080/binbase-compound/bin/show/247180?db=rtx5","247180")</f>
        <v>247180</v>
      </c>
      <c r="E61" s="1" t="s">
        <v>291</v>
      </c>
      <c r="F61" s="1" t="str">
        <f>HYPERLINK("http://www.genome.ad.jp/dbget-bin/www_bget?compound+C00149","C00149")</f>
        <v>C00149</v>
      </c>
      <c r="G61" s="1" t="str">
        <f>HYPERLINK("http://pubchem.ncbi.nlm.nih.gov/summary/summary.cgi?cid=222656","222656")</f>
        <v>222656</v>
      </c>
      <c r="H61" s="1"/>
      <c r="I61" s="7">
        <v>12441</v>
      </c>
      <c r="J61" s="7">
        <v>10063</v>
      </c>
      <c r="K61" s="7">
        <v>8268</v>
      </c>
      <c r="L61" s="7">
        <v>14195</v>
      </c>
      <c r="M61" s="7">
        <v>29967</v>
      </c>
      <c r="N61" s="7">
        <v>4033</v>
      </c>
      <c r="O61" s="7">
        <v>22677</v>
      </c>
      <c r="P61" s="7">
        <v>9897</v>
      </c>
      <c r="Q61" s="7">
        <v>2208</v>
      </c>
      <c r="R61" s="7">
        <v>9672</v>
      </c>
      <c r="S61" s="7">
        <v>5415</v>
      </c>
      <c r="T61" s="7">
        <v>2410</v>
      </c>
      <c r="U61" s="7">
        <v>7935</v>
      </c>
      <c r="V61" s="7">
        <v>30653</v>
      </c>
      <c r="W61" s="7">
        <v>4856</v>
      </c>
      <c r="X61" s="7">
        <v>5171</v>
      </c>
      <c r="Y61" s="7">
        <v>7334</v>
      </c>
      <c r="Z61" s="7">
        <v>11435</v>
      </c>
      <c r="AA61" s="7">
        <v>2903</v>
      </c>
      <c r="AB61" s="7">
        <v>5195</v>
      </c>
      <c r="AC61" s="7">
        <v>7088</v>
      </c>
      <c r="AD61" s="7">
        <v>18813</v>
      </c>
      <c r="AE61" s="7">
        <v>9277</v>
      </c>
      <c r="AF61" s="7">
        <v>26722</v>
      </c>
      <c r="AG61" s="7">
        <v>9888</v>
      </c>
      <c r="AH61" s="7">
        <v>17425</v>
      </c>
      <c r="AI61" s="7">
        <v>5600</v>
      </c>
      <c r="AJ61" s="7">
        <v>10793</v>
      </c>
      <c r="AK61" s="7">
        <v>10103</v>
      </c>
      <c r="AL61" s="7">
        <v>3143</v>
      </c>
      <c r="AM61" s="7">
        <v>4954</v>
      </c>
      <c r="AN61" s="7">
        <v>4898</v>
      </c>
      <c r="AO61" s="7">
        <v>8219</v>
      </c>
      <c r="AP61" s="7">
        <v>13163</v>
      </c>
      <c r="AQ61" s="7">
        <v>27677</v>
      </c>
      <c r="AR61" s="7">
        <v>3538</v>
      </c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</row>
    <row r="62" spans="1:81">
      <c r="A62" s="1" t="s">
        <v>292</v>
      </c>
      <c r="B62" s="1" t="s">
        <v>293</v>
      </c>
      <c r="C62" s="1" t="s">
        <v>294</v>
      </c>
      <c r="D62" s="1" t="str">
        <f>HYPERLINK("http://eros.fiehnlab.ucdavis.edu:8080/binbase-compound/bin/show/200907?db=rtx5","200907")</f>
        <v>200907</v>
      </c>
      <c r="E62" s="1" t="s">
        <v>295</v>
      </c>
      <c r="F62" s="1" t="str">
        <f>HYPERLINK("http://www.genome.ad.jp/dbget-bin/www_bget?compound+C07272","C07272")</f>
        <v>C07272</v>
      </c>
      <c r="G62" s="1" t="str">
        <f>HYPERLINK("http://pubchem.ncbi.nlm.nih.gov/summary/summary.cgi?cid=10935","10935")</f>
        <v>10935</v>
      </c>
      <c r="H62" s="1"/>
      <c r="I62" s="7">
        <v>3879</v>
      </c>
      <c r="J62" s="7">
        <v>9583</v>
      </c>
      <c r="K62" s="7">
        <v>4633</v>
      </c>
      <c r="L62" s="7">
        <v>4409</v>
      </c>
      <c r="M62" s="7">
        <v>4097</v>
      </c>
      <c r="N62" s="7">
        <v>5889</v>
      </c>
      <c r="O62" s="7">
        <v>6062</v>
      </c>
      <c r="P62" s="7">
        <v>2886</v>
      </c>
      <c r="Q62" s="7">
        <v>5473</v>
      </c>
      <c r="R62" s="7">
        <v>5111</v>
      </c>
      <c r="S62" s="7">
        <v>3525</v>
      </c>
      <c r="T62" s="7">
        <v>4486</v>
      </c>
      <c r="U62" s="7">
        <v>2297</v>
      </c>
      <c r="V62" s="7">
        <v>6583</v>
      </c>
      <c r="W62" s="7">
        <v>8199</v>
      </c>
      <c r="X62" s="7">
        <v>5973</v>
      </c>
      <c r="Y62" s="7">
        <v>4985</v>
      </c>
      <c r="Z62" s="7">
        <v>7385</v>
      </c>
      <c r="AA62" s="7">
        <v>7194</v>
      </c>
      <c r="AB62" s="7">
        <v>5104</v>
      </c>
      <c r="AC62" s="7">
        <v>6897</v>
      </c>
      <c r="AD62" s="7">
        <v>3866</v>
      </c>
      <c r="AE62" s="7">
        <v>3624</v>
      </c>
      <c r="AF62" s="7">
        <v>4233</v>
      </c>
      <c r="AG62" s="7">
        <v>5285</v>
      </c>
      <c r="AH62" s="7">
        <v>4094</v>
      </c>
      <c r="AI62" s="7">
        <v>3695</v>
      </c>
      <c r="AJ62" s="7">
        <v>2976</v>
      </c>
      <c r="AK62" s="7">
        <v>5201</v>
      </c>
      <c r="AL62" s="7">
        <v>10266</v>
      </c>
      <c r="AM62" s="7">
        <v>3394</v>
      </c>
      <c r="AN62" s="7">
        <v>6606</v>
      </c>
      <c r="AO62" s="7">
        <v>5938</v>
      </c>
      <c r="AP62" s="7">
        <v>5484</v>
      </c>
      <c r="AQ62" s="7">
        <v>10890</v>
      </c>
      <c r="AR62" s="7">
        <v>4402</v>
      </c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</row>
    <row r="63" spans="1:81">
      <c r="A63" s="1" t="s">
        <v>1177</v>
      </c>
      <c r="B63" s="1" t="s">
        <v>296</v>
      </c>
      <c r="C63" s="1" t="s">
        <v>89</v>
      </c>
      <c r="D63" s="1" t="str">
        <f>HYPERLINK("http://eros.fiehnlab.ucdavis.edu:8080/binbase-compound/bin/show/323629?db=rtx5","323629")</f>
        <v>323629</v>
      </c>
      <c r="E63" s="1" t="s">
        <v>297</v>
      </c>
      <c r="F63" s="1" t="str">
        <f>HYPERLINK("http://www.genome.ad.jp/dbget-bin/www_bget?compound+n/a","n/a")</f>
        <v>n/a</v>
      </c>
      <c r="G63" s="1" t="str">
        <f>HYPERLINK("http://pubchem.ncbi.nlm.nih.gov/summary/summary.cgi?cid=65550","65550")</f>
        <v>65550</v>
      </c>
      <c r="H63" s="1"/>
      <c r="I63" s="7">
        <v>62198</v>
      </c>
      <c r="J63" s="7">
        <v>38216</v>
      </c>
      <c r="K63" s="7">
        <v>27057</v>
      </c>
      <c r="L63" s="7">
        <v>28783</v>
      </c>
      <c r="M63" s="7">
        <v>15383</v>
      </c>
      <c r="N63" s="7">
        <v>37293</v>
      </c>
      <c r="O63" s="7">
        <v>22321</v>
      </c>
      <c r="P63" s="7">
        <v>593</v>
      </c>
      <c r="Q63" s="7">
        <v>59538</v>
      </c>
      <c r="R63" s="7">
        <v>14618</v>
      </c>
      <c r="S63" s="7">
        <v>18662</v>
      </c>
      <c r="T63" s="7">
        <v>37789</v>
      </c>
      <c r="U63" s="7">
        <v>16050</v>
      </c>
      <c r="V63" s="7">
        <v>28147</v>
      </c>
      <c r="W63" s="7">
        <v>62230</v>
      </c>
      <c r="X63" s="7">
        <v>42253</v>
      </c>
      <c r="Y63" s="7">
        <v>36172</v>
      </c>
      <c r="Z63" s="7">
        <v>68564</v>
      </c>
      <c r="AA63" s="7">
        <v>390507</v>
      </c>
      <c r="AB63" s="7">
        <v>16480</v>
      </c>
      <c r="AC63" s="7">
        <v>44812</v>
      </c>
      <c r="AD63" s="7">
        <v>34415</v>
      </c>
      <c r="AE63" s="7">
        <v>9181</v>
      </c>
      <c r="AF63" s="7">
        <v>20242</v>
      </c>
      <c r="AG63" s="7">
        <v>21388</v>
      </c>
      <c r="AH63" s="7">
        <v>56905</v>
      </c>
      <c r="AI63" s="7">
        <v>22093</v>
      </c>
      <c r="AJ63" s="7">
        <v>29437</v>
      </c>
      <c r="AK63" s="7">
        <v>30935</v>
      </c>
      <c r="AL63" s="7">
        <v>52695</v>
      </c>
      <c r="AM63" s="7">
        <v>8425</v>
      </c>
      <c r="AN63" s="7">
        <v>41426</v>
      </c>
      <c r="AO63" s="7">
        <v>22197</v>
      </c>
      <c r="AP63" s="7">
        <v>24583</v>
      </c>
      <c r="AQ63" s="7">
        <v>74314</v>
      </c>
      <c r="AR63" s="7">
        <v>9789</v>
      </c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</row>
    <row r="64" spans="1:81">
      <c r="A64" s="1" t="s">
        <v>298</v>
      </c>
      <c r="B64" s="1" t="s">
        <v>299</v>
      </c>
      <c r="C64" s="1" t="s">
        <v>167</v>
      </c>
      <c r="D64" s="1" t="str">
        <f>HYPERLINK("http://eros.fiehnlab.ucdavis.edu:8080/binbase-compound/bin/show/328426?db=rtx5","328426")</f>
        <v>328426</v>
      </c>
      <c r="E64" s="1" t="s">
        <v>300</v>
      </c>
      <c r="F64" s="1" t="str">
        <f>HYPERLINK("http://www.genome.ad.jp/dbget-bin/www_bget?compound+C00047","C00047")</f>
        <v>C00047</v>
      </c>
      <c r="G64" s="1" t="str">
        <f>HYPERLINK("http://pubchem.ncbi.nlm.nih.gov/summary/summary.cgi?cid=5962","5962")</f>
        <v>5962</v>
      </c>
      <c r="H64" s="1"/>
      <c r="I64" s="7">
        <v>163728</v>
      </c>
      <c r="J64" s="7">
        <v>165479</v>
      </c>
      <c r="K64" s="7">
        <v>93875</v>
      </c>
      <c r="L64" s="7">
        <v>104152</v>
      </c>
      <c r="M64" s="7">
        <v>203131</v>
      </c>
      <c r="N64" s="7">
        <v>259186</v>
      </c>
      <c r="O64" s="7">
        <v>171028</v>
      </c>
      <c r="P64" s="7">
        <v>86345</v>
      </c>
      <c r="Q64" s="7">
        <v>19955</v>
      </c>
      <c r="R64" s="7">
        <v>63600</v>
      </c>
      <c r="S64" s="7">
        <v>121448</v>
      </c>
      <c r="T64" s="7">
        <v>156145</v>
      </c>
      <c r="U64" s="7">
        <v>14731</v>
      </c>
      <c r="V64" s="7">
        <v>191963</v>
      </c>
      <c r="W64" s="7">
        <v>20605</v>
      </c>
      <c r="X64" s="7">
        <v>158334</v>
      </c>
      <c r="Y64" s="7">
        <v>47109</v>
      </c>
      <c r="Z64" s="7">
        <v>235018</v>
      </c>
      <c r="AA64" s="7">
        <v>44982</v>
      </c>
      <c r="AB64" s="7">
        <v>22633</v>
      </c>
      <c r="AC64" s="7">
        <v>12302</v>
      </c>
      <c r="AD64" s="7">
        <v>13570</v>
      </c>
      <c r="AE64" s="7">
        <v>34658</v>
      </c>
      <c r="AF64" s="7">
        <v>38669</v>
      </c>
      <c r="AG64" s="7">
        <v>37946</v>
      </c>
      <c r="AH64" s="7">
        <v>13827</v>
      </c>
      <c r="AI64" s="7">
        <v>233600</v>
      </c>
      <c r="AJ64" s="7">
        <v>21642</v>
      </c>
      <c r="AK64" s="7">
        <v>18617</v>
      </c>
      <c r="AL64" s="7">
        <v>70771</v>
      </c>
      <c r="AM64" s="7">
        <v>24280</v>
      </c>
      <c r="AN64" s="7">
        <v>64623</v>
      </c>
      <c r="AO64" s="7">
        <v>21005</v>
      </c>
      <c r="AP64" s="7">
        <v>28935</v>
      </c>
      <c r="AQ64" s="7">
        <v>119432</v>
      </c>
      <c r="AR64" s="7">
        <v>36003</v>
      </c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</row>
    <row r="65" spans="1:81">
      <c r="A65" s="1" t="s">
        <v>301</v>
      </c>
      <c r="B65" s="1" t="s">
        <v>302</v>
      </c>
      <c r="C65" s="1" t="s">
        <v>155</v>
      </c>
      <c r="D65" s="1" t="str">
        <f>HYPERLINK("http://eros.fiehnlab.ucdavis.edu:8080/binbase-compound/bin/show/199201?db=rtx5","199201")</f>
        <v>199201</v>
      </c>
      <c r="E65" s="1" t="s">
        <v>303</v>
      </c>
      <c r="F65" s="1" t="str">
        <f>HYPERLINK("http://www.genome.ad.jp/dbget-bin/www_bget?compound+n/a","n/a")</f>
        <v>n/a</v>
      </c>
      <c r="G65" s="1" t="str">
        <f>HYPERLINK("http://pubchem.ncbi.nlm.nih.gov/summary/summary.cgi?cid=2724705","2724705")</f>
        <v>2724705</v>
      </c>
      <c r="H65" s="1"/>
      <c r="I65" s="7">
        <v>606</v>
      </c>
      <c r="J65" s="7">
        <v>587</v>
      </c>
      <c r="K65" s="7">
        <v>513</v>
      </c>
      <c r="L65" s="7">
        <v>937</v>
      </c>
      <c r="M65" s="7">
        <v>669</v>
      </c>
      <c r="N65" s="7">
        <v>587</v>
      </c>
      <c r="O65" s="7">
        <v>564</v>
      </c>
      <c r="P65" s="7">
        <v>361</v>
      </c>
      <c r="Q65" s="7">
        <v>513</v>
      </c>
      <c r="R65" s="7">
        <v>833</v>
      </c>
      <c r="S65" s="7">
        <v>246</v>
      </c>
      <c r="T65" s="7">
        <v>600</v>
      </c>
      <c r="U65" s="7">
        <v>233</v>
      </c>
      <c r="V65" s="7">
        <v>640</v>
      </c>
      <c r="W65" s="7">
        <v>522</v>
      </c>
      <c r="X65" s="7">
        <v>702</v>
      </c>
      <c r="Y65" s="7">
        <v>541</v>
      </c>
      <c r="Z65" s="7">
        <v>380</v>
      </c>
      <c r="AA65" s="7">
        <v>345</v>
      </c>
      <c r="AB65" s="7">
        <v>715</v>
      </c>
      <c r="AC65" s="7">
        <v>884</v>
      </c>
      <c r="AD65" s="7">
        <v>832</v>
      </c>
      <c r="AE65" s="7">
        <v>553</v>
      </c>
      <c r="AF65" s="7">
        <v>696</v>
      </c>
      <c r="AG65" s="7">
        <v>837</v>
      </c>
      <c r="AH65" s="7">
        <v>598</v>
      </c>
      <c r="AI65" s="7">
        <v>564</v>
      </c>
      <c r="AJ65" s="7">
        <v>582</v>
      </c>
      <c r="AK65" s="7">
        <v>924</v>
      </c>
      <c r="AL65" s="7">
        <v>543</v>
      </c>
      <c r="AM65" s="7">
        <v>468</v>
      </c>
      <c r="AN65" s="7">
        <v>401</v>
      </c>
      <c r="AO65" s="7">
        <v>638</v>
      </c>
      <c r="AP65" s="7">
        <v>564</v>
      </c>
      <c r="AQ65" s="7">
        <v>399</v>
      </c>
      <c r="AR65" s="7">
        <v>719</v>
      </c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</row>
    <row r="66" spans="1:81">
      <c r="A66" s="1" t="s">
        <v>304</v>
      </c>
      <c r="B66" s="1" t="s">
        <v>305</v>
      </c>
      <c r="C66" s="1" t="s">
        <v>254</v>
      </c>
      <c r="D66" s="1" t="str">
        <f>HYPERLINK("http://eros.fiehnlab.ucdavis.edu:8080/binbase-compound/bin/show/232325?db=rtx5","232325")</f>
        <v>232325</v>
      </c>
      <c r="E66" s="1" t="s">
        <v>306</v>
      </c>
      <c r="F66" s="1" t="str">
        <f>HYPERLINK("http://www.genome.ad.jp/dbget-bin/www_bget?compound+C00123","C00123")</f>
        <v>C00123</v>
      </c>
      <c r="G66" s="1" t="str">
        <f>HYPERLINK("http://pubchem.ncbi.nlm.nih.gov/summary/summary.cgi?cid=6106","6106")</f>
        <v>6106</v>
      </c>
      <c r="H66" s="1"/>
      <c r="I66" s="7">
        <v>219290</v>
      </c>
      <c r="J66" s="7">
        <v>430898</v>
      </c>
      <c r="K66" s="7">
        <v>366897</v>
      </c>
      <c r="L66" s="7">
        <v>117460</v>
      </c>
      <c r="M66" s="7">
        <v>327921</v>
      </c>
      <c r="N66" s="7">
        <v>334580</v>
      </c>
      <c r="O66" s="7">
        <v>338863</v>
      </c>
      <c r="P66" s="7">
        <v>244703</v>
      </c>
      <c r="Q66" s="7">
        <v>283302</v>
      </c>
      <c r="R66" s="7">
        <v>386562</v>
      </c>
      <c r="S66" s="7">
        <v>260924</v>
      </c>
      <c r="T66" s="7">
        <v>308090</v>
      </c>
      <c r="U66" s="7">
        <v>265770</v>
      </c>
      <c r="V66" s="7">
        <v>299500</v>
      </c>
      <c r="W66" s="7">
        <v>384183</v>
      </c>
      <c r="X66" s="7">
        <v>205649</v>
      </c>
      <c r="Y66" s="7">
        <v>307356</v>
      </c>
      <c r="Z66" s="7">
        <v>457987</v>
      </c>
      <c r="AA66" s="7">
        <v>556445</v>
      </c>
      <c r="AB66" s="7">
        <v>144170</v>
      </c>
      <c r="AC66" s="7">
        <v>296982</v>
      </c>
      <c r="AD66" s="7">
        <v>434540</v>
      </c>
      <c r="AE66" s="7">
        <v>130064</v>
      </c>
      <c r="AF66" s="7">
        <v>376686</v>
      </c>
      <c r="AG66" s="7">
        <v>245852</v>
      </c>
      <c r="AH66" s="7">
        <v>231752</v>
      </c>
      <c r="AI66" s="7">
        <v>287878</v>
      </c>
      <c r="AJ66" s="7">
        <v>255893</v>
      </c>
      <c r="AK66" s="7">
        <v>176702</v>
      </c>
      <c r="AL66" s="7">
        <v>427812</v>
      </c>
      <c r="AM66" s="7">
        <v>221168</v>
      </c>
      <c r="AN66" s="7">
        <v>372497</v>
      </c>
      <c r="AO66" s="7">
        <v>278924</v>
      </c>
      <c r="AP66" s="7">
        <v>317308</v>
      </c>
      <c r="AQ66" s="7">
        <v>437489</v>
      </c>
      <c r="AR66" s="7">
        <v>175646</v>
      </c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</row>
    <row r="67" spans="1:81">
      <c r="A67" s="1" t="s">
        <v>307</v>
      </c>
      <c r="B67" s="1" t="s">
        <v>308</v>
      </c>
      <c r="C67" s="1" t="s">
        <v>124</v>
      </c>
      <c r="D67" s="1" t="str">
        <f>HYPERLINK("http://eros.fiehnlab.ucdavis.edu:8080/binbase-compound/bin/show/228677?db=rtx5","228677")</f>
        <v>228677</v>
      </c>
      <c r="E67" s="1" t="s">
        <v>309</v>
      </c>
      <c r="F67" s="1" t="str">
        <f>HYPERLINK("http://www.genome.ad.jp/dbget-bin/www_bget?compound+C00256","C00256")</f>
        <v>C00256</v>
      </c>
      <c r="G67" s="1" t="str">
        <f>HYPERLINK("http://pubchem.ncbi.nlm.nih.gov/summary/summary.cgi?cid=61503","61503")</f>
        <v>61503</v>
      </c>
      <c r="H67" s="1"/>
      <c r="I67" s="7">
        <v>9828</v>
      </c>
      <c r="J67" s="7">
        <v>1772</v>
      </c>
      <c r="K67" s="7">
        <v>7581</v>
      </c>
      <c r="L67" s="7">
        <v>8736</v>
      </c>
      <c r="M67" s="7">
        <v>3836</v>
      </c>
      <c r="N67" s="7">
        <v>4926</v>
      </c>
      <c r="O67" s="7">
        <v>4908</v>
      </c>
      <c r="P67" s="7">
        <v>10078</v>
      </c>
      <c r="Q67" s="7">
        <v>2977</v>
      </c>
      <c r="R67" s="7">
        <v>8395</v>
      </c>
      <c r="S67" s="7">
        <v>4024</v>
      </c>
      <c r="T67" s="7">
        <v>4008</v>
      </c>
      <c r="U67" s="7">
        <v>4843</v>
      </c>
      <c r="V67" s="7">
        <v>2918</v>
      </c>
      <c r="W67" s="7">
        <v>2942</v>
      </c>
      <c r="X67" s="7">
        <v>9743</v>
      </c>
      <c r="Y67" s="7">
        <v>12539</v>
      </c>
      <c r="Z67" s="7">
        <v>1693</v>
      </c>
      <c r="AA67" s="7">
        <v>6267</v>
      </c>
      <c r="AB67" s="7">
        <v>9033</v>
      </c>
      <c r="AC67" s="7">
        <v>10152</v>
      </c>
      <c r="AD67" s="7">
        <v>7828</v>
      </c>
      <c r="AE67" s="7">
        <v>7966</v>
      </c>
      <c r="AF67" s="7">
        <v>6245</v>
      </c>
      <c r="AG67" s="7">
        <v>5872</v>
      </c>
      <c r="AH67" s="7">
        <v>6692</v>
      </c>
      <c r="AI67" s="7">
        <v>3384</v>
      </c>
      <c r="AJ67" s="7">
        <v>7243</v>
      </c>
      <c r="AK67" s="7">
        <v>9827</v>
      </c>
      <c r="AL67" s="7">
        <v>2194</v>
      </c>
      <c r="AM67" s="7">
        <v>14886</v>
      </c>
      <c r="AN67" s="7">
        <v>2495</v>
      </c>
      <c r="AO67" s="7">
        <v>8975</v>
      </c>
      <c r="AP67" s="7">
        <v>10628</v>
      </c>
      <c r="AQ67" s="7">
        <v>1738</v>
      </c>
      <c r="AR67" s="7">
        <v>6492</v>
      </c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</row>
    <row r="68" spans="1:81">
      <c r="A68" s="1" t="s">
        <v>310</v>
      </c>
      <c r="B68" s="1" t="s">
        <v>311</v>
      </c>
      <c r="C68" s="1" t="s">
        <v>135</v>
      </c>
      <c r="D68" s="1" t="str">
        <f>HYPERLINK("http://eros.fiehnlab.ucdavis.edu:8080/binbase-compound/bin/show/200467?db=rtx5","200467")</f>
        <v>200467</v>
      </c>
      <c r="E68" s="1" t="s">
        <v>312</v>
      </c>
      <c r="F68" s="1" t="str">
        <f>HYPERLINK("http://www.genome.ad.jp/dbget-bin/www_bget?compound+n/a","n/a")</f>
        <v>n/a</v>
      </c>
      <c r="G68" s="1" t="str">
        <f>HYPERLINK("http://pubchem.ncbi.nlm.nih.gov/summary/summary.cgi?cid=151152","151152")</f>
        <v>151152</v>
      </c>
      <c r="H68" s="1"/>
      <c r="I68" s="7">
        <v>2963</v>
      </c>
      <c r="J68" s="7">
        <v>5728</v>
      </c>
      <c r="K68" s="7">
        <v>3094</v>
      </c>
      <c r="L68" s="7">
        <v>953</v>
      </c>
      <c r="M68" s="7">
        <v>582</v>
      </c>
      <c r="N68" s="7">
        <v>3452</v>
      </c>
      <c r="O68" s="7">
        <v>813</v>
      </c>
      <c r="P68" s="7">
        <v>560</v>
      </c>
      <c r="Q68" s="7">
        <v>861</v>
      </c>
      <c r="R68" s="7">
        <v>590</v>
      </c>
      <c r="S68" s="7">
        <v>612</v>
      </c>
      <c r="T68" s="7">
        <v>805</v>
      </c>
      <c r="U68" s="7">
        <v>656</v>
      </c>
      <c r="V68" s="7">
        <v>5453</v>
      </c>
      <c r="W68" s="7">
        <v>5417</v>
      </c>
      <c r="X68" s="7">
        <v>2313</v>
      </c>
      <c r="Y68" s="7">
        <v>1049</v>
      </c>
      <c r="Z68" s="7">
        <v>848</v>
      </c>
      <c r="AA68" s="7">
        <v>2390</v>
      </c>
      <c r="AB68" s="7">
        <v>3188</v>
      </c>
      <c r="AC68" s="7">
        <v>5605</v>
      </c>
      <c r="AD68" s="7">
        <v>8979</v>
      </c>
      <c r="AE68" s="7">
        <v>2465</v>
      </c>
      <c r="AF68" s="7">
        <v>3430</v>
      </c>
      <c r="AG68" s="7">
        <v>847</v>
      </c>
      <c r="AH68" s="7">
        <v>1028</v>
      </c>
      <c r="AI68" s="7">
        <v>754</v>
      </c>
      <c r="AJ68" s="7">
        <v>1774</v>
      </c>
      <c r="AK68" s="7">
        <v>1362</v>
      </c>
      <c r="AL68" s="7">
        <v>1929</v>
      </c>
      <c r="AM68" s="7">
        <v>1612</v>
      </c>
      <c r="AN68" s="7">
        <v>1350</v>
      </c>
      <c r="AO68" s="7">
        <v>14321</v>
      </c>
      <c r="AP68" s="7">
        <v>2064</v>
      </c>
      <c r="AQ68" s="7">
        <v>1709</v>
      </c>
      <c r="AR68" s="7">
        <v>1626</v>
      </c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</row>
    <row r="69" spans="1:81">
      <c r="A69" s="1" t="s">
        <v>313</v>
      </c>
      <c r="B69" s="1" t="s">
        <v>314</v>
      </c>
      <c r="C69" s="1" t="s">
        <v>315</v>
      </c>
      <c r="D69" s="1" t="str">
        <f>HYPERLINK("http://eros.fiehnlab.ucdavis.edu:8080/binbase-compound/bin/show/206136?db=rtx5","206136")</f>
        <v>206136</v>
      </c>
      <c r="E69" s="1" t="s">
        <v>316</v>
      </c>
      <c r="F69" s="1" t="str">
        <f>HYPERLINK("http://www.genome.ad.jp/dbget-bin/www_bget?compound+C07446","C07446")</f>
        <v>C07446</v>
      </c>
      <c r="G69" s="1" t="str">
        <f>HYPERLINK("http://pubchem.ncbi.nlm.nih.gov/summary/summary.cgi?cid=5922","5922")</f>
        <v>5922</v>
      </c>
      <c r="H69" s="1"/>
      <c r="I69" s="7">
        <v>2739</v>
      </c>
      <c r="J69" s="7">
        <v>5442</v>
      </c>
      <c r="K69" s="7">
        <v>5910</v>
      </c>
      <c r="L69" s="7">
        <v>5628</v>
      </c>
      <c r="M69" s="7">
        <v>3122</v>
      </c>
      <c r="N69" s="7">
        <v>4448</v>
      </c>
      <c r="O69" s="7">
        <v>3370</v>
      </c>
      <c r="P69" s="7">
        <v>5639</v>
      </c>
      <c r="Q69" s="7">
        <v>5874</v>
      </c>
      <c r="R69" s="7">
        <v>8108</v>
      </c>
      <c r="S69" s="7">
        <v>3586</v>
      </c>
      <c r="T69" s="7">
        <v>9083</v>
      </c>
      <c r="U69" s="7">
        <v>5058</v>
      </c>
      <c r="V69" s="7">
        <v>3176</v>
      </c>
      <c r="W69" s="7">
        <v>3992</v>
      </c>
      <c r="X69" s="7">
        <v>2361</v>
      </c>
      <c r="Y69" s="7">
        <v>2615</v>
      </c>
      <c r="Z69" s="7">
        <v>3962</v>
      </c>
      <c r="AA69" s="7">
        <v>3465</v>
      </c>
      <c r="AB69" s="7">
        <v>5727</v>
      </c>
      <c r="AC69" s="7">
        <v>7678</v>
      </c>
      <c r="AD69" s="7">
        <v>26251</v>
      </c>
      <c r="AE69" s="7">
        <v>4452</v>
      </c>
      <c r="AF69" s="7">
        <v>13946</v>
      </c>
      <c r="AG69" s="7">
        <v>4984</v>
      </c>
      <c r="AH69" s="7">
        <v>10794</v>
      </c>
      <c r="AI69" s="7">
        <v>3881</v>
      </c>
      <c r="AJ69" s="7">
        <v>7228</v>
      </c>
      <c r="AK69" s="7">
        <v>6261</v>
      </c>
      <c r="AL69" s="7">
        <v>4970</v>
      </c>
      <c r="AM69" s="7">
        <v>3387</v>
      </c>
      <c r="AN69" s="7">
        <v>3985</v>
      </c>
      <c r="AO69" s="7">
        <v>3385</v>
      </c>
      <c r="AP69" s="7">
        <v>3863</v>
      </c>
      <c r="AQ69" s="7">
        <v>4670</v>
      </c>
      <c r="AR69" s="7">
        <v>2836</v>
      </c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</row>
    <row r="70" spans="1:81">
      <c r="A70" s="1" t="s">
        <v>317</v>
      </c>
      <c r="B70" s="1" t="s">
        <v>318</v>
      </c>
      <c r="C70" s="1" t="s">
        <v>254</v>
      </c>
      <c r="D70" s="1" t="str">
        <f>HYPERLINK("http://eros.fiehnlab.ucdavis.edu:8080/binbase-compound/bin/show/215089?db=rtx5","215089")</f>
        <v>215089</v>
      </c>
      <c r="E70" s="1" t="s">
        <v>319</v>
      </c>
      <c r="F70" s="1" t="str">
        <f>HYPERLINK("http://www.genome.ad.jp/dbget-bin/www_bget?compound+C00407","C00407")</f>
        <v>C00407</v>
      </c>
      <c r="G70" s="1" t="str">
        <f>HYPERLINK("http://pubchem.ncbi.nlm.nih.gov/summary/summary.cgi?cid=6306","6306")</f>
        <v>6306</v>
      </c>
      <c r="H70" s="1"/>
      <c r="I70" s="7">
        <v>202462</v>
      </c>
      <c r="J70" s="7">
        <v>470278</v>
      </c>
      <c r="K70" s="7">
        <v>194160</v>
      </c>
      <c r="L70" s="7">
        <v>155183</v>
      </c>
      <c r="M70" s="7">
        <v>292870</v>
      </c>
      <c r="N70" s="7">
        <v>381779</v>
      </c>
      <c r="O70" s="7">
        <v>319423</v>
      </c>
      <c r="P70" s="7">
        <v>199681</v>
      </c>
      <c r="Q70" s="7">
        <v>321888</v>
      </c>
      <c r="R70" s="7">
        <v>198581</v>
      </c>
      <c r="S70" s="7">
        <v>333163</v>
      </c>
      <c r="T70" s="7">
        <v>370100</v>
      </c>
      <c r="U70" s="7">
        <v>112193</v>
      </c>
      <c r="V70" s="7">
        <v>246072</v>
      </c>
      <c r="W70" s="7">
        <v>371706</v>
      </c>
      <c r="X70" s="7">
        <v>239866</v>
      </c>
      <c r="Y70" s="7">
        <v>162907</v>
      </c>
      <c r="Z70" s="7">
        <v>425899</v>
      </c>
      <c r="AA70" s="7">
        <v>335227</v>
      </c>
      <c r="AB70" s="7">
        <v>161581</v>
      </c>
      <c r="AC70" s="7">
        <v>153605</v>
      </c>
      <c r="AD70" s="7">
        <v>215094</v>
      </c>
      <c r="AE70" s="7">
        <v>128957</v>
      </c>
      <c r="AF70" s="7">
        <v>169986</v>
      </c>
      <c r="AG70" s="7">
        <v>253733</v>
      </c>
      <c r="AH70" s="7">
        <v>152435</v>
      </c>
      <c r="AI70" s="7">
        <v>334955</v>
      </c>
      <c r="AJ70" s="7">
        <v>136627</v>
      </c>
      <c r="AK70" s="7">
        <v>139866</v>
      </c>
      <c r="AL70" s="7">
        <v>436663</v>
      </c>
      <c r="AM70" s="7">
        <v>170878</v>
      </c>
      <c r="AN70" s="7">
        <v>393444</v>
      </c>
      <c r="AO70" s="7">
        <v>146282</v>
      </c>
      <c r="AP70" s="7">
        <v>183173</v>
      </c>
      <c r="AQ70" s="7">
        <v>448481</v>
      </c>
      <c r="AR70" s="7">
        <v>201935</v>
      </c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</row>
    <row r="71" spans="1:81">
      <c r="A71" s="1" t="s">
        <v>320</v>
      </c>
      <c r="B71" s="1" t="s">
        <v>321</v>
      </c>
      <c r="C71" s="1" t="s">
        <v>322</v>
      </c>
      <c r="D71" s="1" t="str">
        <f>HYPERLINK("http://eros.fiehnlab.ucdavis.edu:8080/binbase-compound/bin/show/228005?db=rtx5","228005")</f>
        <v>228005</v>
      </c>
      <c r="E71" s="1" t="s">
        <v>323</v>
      </c>
      <c r="F71" s="1" t="str">
        <f>HYPERLINK("http://www.genome.ad.jp/dbget-bin/www_bget?compound+C00137","C00137")</f>
        <v>C00137</v>
      </c>
      <c r="G71" s="1" t="str">
        <f>HYPERLINK("http://pubchem.ncbi.nlm.nih.gov/summary/summary.cgi?cid=892","892")</f>
        <v>892</v>
      </c>
      <c r="H71" s="1"/>
      <c r="I71" s="7">
        <v>2187</v>
      </c>
      <c r="J71" s="7">
        <v>5327</v>
      </c>
      <c r="K71" s="7">
        <v>291</v>
      </c>
      <c r="L71" s="7">
        <v>1282</v>
      </c>
      <c r="M71" s="7">
        <v>141</v>
      </c>
      <c r="N71" s="7">
        <v>4103</v>
      </c>
      <c r="O71" s="7">
        <v>592</v>
      </c>
      <c r="P71" s="7">
        <v>271</v>
      </c>
      <c r="Q71" s="7">
        <v>3646</v>
      </c>
      <c r="R71" s="7">
        <v>1624</v>
      </c>
      <c r="S71" s="7">
        <v>362</v>
      </c>
      <c r="T71" s="7">
        <v>3048</v>
      </c>
      <c r="U71" s="7">
        <v>310</v>
      </c>
      <c r="V71" s="7">
        <v>428</v>
      </c>
      <c r="W71" s="7">
        <v>4051</v>
      </c>
      <c r="X71" s="7">
        <v>1835</v>
      </c>
      <c r="Y71" s="7">
        <v>375</v>
      </c>
      <c r="Z71" s="7">
        <v>4255</v>
      </c>
      <c r="AA71" s="7">
        <v>535</v>
      </c>
      <c r="AB71" s="7">
        <v>1315</v>
      </c>
      <c r="AC71" s="7">
        <v>1630</v>
      </c>
      <c r="AD71" s="7">
        <v>1630</v>
      </c>
      <c r="AE71" s="7">
        <v>344</v>
      </c>
      <c r="AF71" s="7">
        <v>1745</v>
      </c>
      <c r="AG71" s="7">
        <v>2552</v>
      </c>
      <c r="AH71" s="7">
        <v>283</v>
      </c>
      <c r="AI71" s="7">
        <v>514</v>
      </c>
      <c r="AJ71" s="7">
        <v>853</v>
      </c>
      <c r="AK71" s="7">
        <v>350</v>
      </c>
      <c r="AL71" s="7">
        <v>4421</v>
      </c>
      <c r="AM71" s="7">
        <v>2014</v>
      </c>
      <c r="AN71" s="7">
        <v>4133</v>
      </c>
      <c r="AO71" s="7">
        <v>1106</v>
      </c>
      <c r="AP71" s="7">
        <v>1527</v>
      </c>
      <c r="AQ71" s="7">
        <v>5418</v>
      </c>
      <c r="AR71" s="7">
        <v>1502</v>
      </c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</row>
    <row r="72" spans="1:81">
      <c r="A72" s="1" t="s">
        <v>324</v>
      </c>
      <c r="B72" s="1" t="s">
        <v>325</v>
      </c>
      <c r="C72" s="1" t="s">
        <v>326</v>
      </c>
      <c r="D72" s="1" t="str">
        <f>HYPERLINK("http://eros.fiehnlab.ucdavis.edu:8080/binbase-compound/bin/show/203304?db=rtx5","203304")</f>
        <v>203304</v>
      </c>
      <c r="E72" s="1" t="s">
        <v>327</v>
      </c>
      <c r="F72" s="1" t="str">
        <f>HYPERLINK("http://www.genome.ad.jp/dbget-bin/www_bget?compound+n/a","n/a")</f>
        <v>n/a</v>
      </c>
      <c r="G72" s="1" t="str">
        <f>HYPERLINK("http://pubchem.ncbi.nlm.nih.gov/summary/summary.cgi?cid=892","892")</f>
        <v>892</v>
      </c>
      <c r="H72" s="1"/>
      <c r="I72" s="7">
        <v>831</v>
      </c>
      <c r="J72" s="7">
        <v>712</v>
      </c>
      <c r="K72" s="7">
        <v>501</v>
      </c>
      <c r="L72" s="7">
        <v>309</v>
      </c>
      <c r="M72" s="7">
        <v>444</v>
      </c>
      <c r="N72" s="7">
        <v>510</v>
      </c>
      <c r="O72" s="7">
        <v>906</v>
      </c>
      <c r="P72" s="7">
        <v>590</v>
      </c>
      <c r="Q72" s="7">
        <v>432</v>
      </c>
      <c r="R72" s="7">
        <v>588</v>
      </c>
      <c r="S72" s="7">
        <v>492</v>
      </c>
      <c r="T72" s="7">
        <v>441</v>
      </c>
      <c r="U72" s="7">
        <v>413</v>
      </c>
      <c r="V72" s="7">
        <v>527</v>
      </c>
      <c r="W72" s="7">
        <v>562</v>
      </c>
      <c r="X72" s="7">
        <v>264</v>
      </c>
      <c r="Y72" s="7">
        <v>432</v>
      </c>
      <c r="Z72" s="7">
        <v>574</v>
      </c>
      <c r="AA72" s="7">
        <v>556</v>
      </c>
      <c r="AB72" s="7">
        <v>387</v>
      </c>
      <c r="AC72" s="7">
        <v>546</v>
      </c>
      <c r="AD72" s="7">
        <v>530</v>
      </c>
      <c r="AE72" s="7">
        <v>643</v>
      </c>
      <c r="AF72" s="7">
        <v>690</v>
      </c>
      <c r="AG72" s="7">
        <v>734</v>
      </c>
      <c r="AH72" s="7">
        <v>473</v>
      </c>
      <c r="AI72" s="7">
        <v>455</v>
      </c>
      <c r="AJ72" s="7">
        <v>453</v>
      </c>
      <c r="AK72" s="7">
        <v>719</v>
      </c>
      <c r="AL72" s="7">
        <v>674</v>
      </c>
      <c r="AM72" s="7">
        <v>755</v>
      </c>
      <c r="AN72" s="7">
        <v>512</v>
      </c>
      <c r="AO72" s="7">
        <v>454</v>
      </c>
      <c r="AP72" s="7">
        <v>587</v>
      </c>
      <c r="AQ72" s="7">
        <v>837</v>
      </c>
      <c r="AR72" s="7">
        <v>459</v>
      </c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</row>
    <row r="73" spans="1:81">
      <c r="A73" s="1" t="s">
        <v>328</v>
      </c>
      <c r="B73" s="1" t="s">
        <v>329</v>
      </c>
      <c r="C73" s="1" t="s">
        <v>89</v>
      </c>
      <c r="D73" s="1" t="str">
        <f>HYPERLINK("http://eros.fiehnlab.ucdavis.edu:8080/binbase-compound/bin/show/199606?db=rtx5","199606")</f>
        <v>199606</v>
      </c>
      <c r="E73" s="1" t="s">
        <v>330</v>
      </c>
      <c r="F73" s="1" t="str">
        <f>HYPERLINK("http://www.genome.ad.jp/dbget-bin/www_bget?compound+C00294","C00294")</f>
        <v>C00294</v>
      </c>
      <c r="G73" s="1" t="str">
        <f>HYPERLINK("http://pubchem.ncbi.nlm.nih.gov/summary/summary.cgi?cid=6021","6021")</f>
        <v>6021</v>
      </c>
      <c r="H73" s="1"/>
      <c r="I73" s="7">
        <v>1671</v>
      </c>
      <c r="J73" s="7">
        <v>4269</v>
      </c>
      <c r="K73" s="7">
        <v>2250</v>
      </c>
      <c r="L73" s="7">
        <v>2925</v>
      </c>
      <c r="M73" s="7">
        <v>2806</v>
      </c>
      <c r="N73" s="7">
        <v>3622</v>
      </c>
      <c r="O73" s="7">
        <v>699</v>
      </c>
      <c r="P73" s="7">
        <v>973</v>
      </c>
      <c r="Q73" s="7">
        <v>3146</v>
      </c>
      <c r="R73" s="7">
        <v>532</v>
      </c>
      <c r="S73" s="7">
        <v>707</v>
      </c>
      <c r="T73" s="7">
        <v>911</v>
      </c>
      <c r="U73" s="7">
        <v>1373</v>
      </c>
      <c r="V73" s="7">
        <v>1632</v>
      </c>
      <c r="W73" s="7">
        <v>4429</v>
      </c>
      <c r="X73" s="7">
        <v>3748</v>
      </c>
      <c r="Y73" s="7">
        <v>3486</v>
      </c>
      <c r="Z73" s="7">
        <v>1015</v>
      </c>
      <c r="AA73" s="7">
        <v>4982</v>
      </c>
      <c r="AB73" s="7">
        <v>4837</v>
      </c>
      <c r="AC73" s="7">
        <v>3078</v>
      </c>
      <c r="AD73" s="7">
        <v>1174</v>
      </c>
      <c r="AE73" s="7">
        <v>7169</v>
      </c>
      <c r="AF73" s="7">
        <v>2240</v>
      </c>
      <c r="AG73" s="7">
        <v>5588</v>
      </c>
      <c r="AH73" s="7">
        <v>3760</v>
      </c>
      <c r="AI73" s="7">
        <v>2358</v>
      </c>
      <c r="AJ73" s="7">
        <v>3580</v>
      </c>
      <c r="AK73" s="7">
        <v>4187</v>
      </c>
      <c r="AL73" s="7">
        <v>7465</v>
      </c>
      <c r="AM73" s="7">
        <v>4237</v>
      </c>
      <c r="AN73" s="7">
        <v>2617</v>
      </c>
      <c r="AO73" s="7">
        <v>4537</v>
      </c>
      <c r="AP73" s="7">
        <v>4802</v>
      </c>
      <c r="AQ73" s="7">
        <v>4080</v>
      </c>
      <c r="AR73" s="7">
        <v>4651</v>
      </c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</row>
    <row r="74" spans="1:81">
      <c r="A74" s="1" t="s">
        <v>331</v>
      </c>
      <c r="B74" s="1" t="s">
        <v>332</v>
      </c>
      <c r="C74" s="1" t="s">
        <v>333</v>
      </c>
      <c r="D74" s="1" t="str">
        <f>HYPERLINK("http://eros.fiehnlab.ucdavis.edu:8080/binbase-compound/bin/show/199598?db=rtx5","199598")</f>
        <v>199598</v>
      </c>
      <c r="E74" s="1" t="s">
        <v>334</v>
      </c>
      <c r="F74" s="1" t="str">
        <f>HYPERLINK("http://www.genome.ad.jp/dbget-bin/www_bget?compound+C00262","C00262")</f>
        <v>C00262</v>
      </c>
      <c r="G74" s="1" t="str">
        <f>HYPERLINK("http://pubchem.ncbi.nlm.nih.gov/summary/summary.cgi?cid=790","790")</f>
        <v>790</v>
      </c>
      <c r="H74" s="1"/>
      <c r="I74" s="7">
        <v>23736</v>
      </c>
      <c r="J74" s="7">
        <v>17253</v>
      </c>
      <c r="K74" s="7">
        <v>84218</v>
      </c>
      <c r="L74" s="7">
        <v>70581</v>
      </c>
      <c r="M74" s="7">
        <v>21519</v>
      </c>
      <c r="N74" s="7">
        <v>25397</v>
      </c>
      <c r="O74" s="7">
        <v>17110</v>
      </c>
      <c r="P74" s="7">
        <v>34883</v>
      </c>
      <c r="Q74" s="7">
        <v>18765</v>
      </c>
      <c r="R74" s="7">
        <v>56249</v>
      </c>
      <c r="S74" s="7">
        <v>10899</v>
      </c>
      <c r="T74" s="7">
        <v>27444</v>
      </c>
      <c r="U74" s="7">
        <v>27716</v>
      </c>
      <c r="V74" s="7">
        <v>15749</v>
      </c>
      <c r="W74" s="7">
        <v>23960</v>
      </c>
      <c r="X74" s="7">
        <v>26731</v>
      </c>
      <c r="Y74" s="7">
        <v>42941</v>
      </c>
      <c r="Z74" s="7">
        <v>14160</v>
      </c>
      <c r="AA74" s="7">
        <v>28824</v>
      </c>
      <c r="AB74" s="7">
        <v>89503</v>
      </c>
      <c r="AC74" s="7">
        <v>103066</v>
      </c>
      <c r="AD74" s="7">
        <v>91027</v>
      </c>
      <c r="AE74" s="7">
        <v>101044</v>
      </c>
      <c r="AF74" s="7">
        <v>120547</v>
      </c>
      <c r="AG74" s="7">
        <v>70002</v>
      </c>
      <c r="AH74" s="7">
        <v>123305</v>
      </c>
      <c r="AI74" s="7">
        <v>18607</v>
      </c>
      <c r="AJ74" s="7">
        <v>61716</v>
      </c>
      <c r="AK74" s="7">
        <v>90783</v>
      </c>
      <c r="AL74" s="7">
        <v>24853</v>
      </c>
      <c r="AM74" s="7">
        <v>47185</v>
      </c>
      <c r="AN74" s="7">
        <v>15908</v>
      </c>
      <c r="AO74" s="7">
        <v>76891</v>
      </c>
      <c r="AP74" s="7">
        <v>33515</v>
      </c>
      <c r="AQ74" s="7">
        <v>12702</v>
      </c>
      <c r="AR74" s="7">
        <v>44925</v>
      </c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</row>
    <row r="75" spans="1:81">
      <c r="A75" s="1" t="s">
        <v>335</v>
      </c>
      <c r="B75" s="1" t="s">
        <v>336</v>
      </c>
      <c r="C75" s="1" t="s">
        <v>95</v>
      </c>
      <c r="D75" s="1" t="str">
        <f>HYPERLINK("http://eros.fiehnlab.ucdavis.edu:8080/binbase-compound/bin/show/210191?db=rtx5","210191")</f>
        <v>210191</v>
      </c>
      <c r="E75" s="1" t="s">
        <v>337</v>
      </c>
      <c r="F75" s="1" t="str">
        <f>HYPERLINK("http://www.genome.ad.jp/dbget-bin/www_bget?compound+C00192","C00192")</f>
        <v>C00192</v>
      </c>
      <c r="G75" s="1" t="str">
        <f>HYPERLINK("http://pubchem.ncbi.nlm.nih.gov/summary/summary.cgi?cid=787","787")</f>
        <v>787</v>
      </c>
      <c r="H75" s="1"/>
      <c r="I75" s="7">
        <v>9269</v>
      </c>
      <c r="J75" s="7">
        <v>4380</v>
      </c>
      <c r="K75" s="7">
        <v>23362</v>
      </c>
      <c r="L75" s="7">
        <v>34451</v>
      </c>
      <c r="M75" s="7">
        <v>10101</v>
      </c>
      <c r="N75" s="7">
        <v>7111</v>
      </c>
      <c r="O75" s="7">
        <v>12986</v>
      </c>
      <c r="P75" s="7">
        <v>25305</v>
      </c>
      <c r="Q75" s="7">
        <v>11908</v>
      </c>
      <c r="R75" s="7">
        <v>28674</v>
      </c>
      <c r="S75" s="7">
        <v>14873</v>
      </c>
      <c r="T75" s="7">
        <v>9295</v>
      </c>
      <c r="U75" s="7">
        <v>16291</v>
      </c>
      <c r="V75" s="7">
        <v>12890</v>
      </c>
      <c r="W75" s="7">
        <v>8874</v>
      </c>
      <c r="X75" s="7">
        <v>15108</v>
      </c>
      <c r="Y75" s="7">
        <v>30675</v>
      </c>
      <c r="Z75" s="7">
        <v>6897</v>
      </c>
      <c r="AA75" s="7">
        <v>12087</v>
      </c>
      <c r="AB75" s="7">
        <v>16144</v>
      </c>
      <c r="AC75" s="7">
        <v>23806</v>
      </c>
      <c r="AD75" s="7">
        <v>27772</v>
      </c>
      <c r="AE75" s="7">
        <v>22210</v>
      </c>
      <c r="AF75" s="7">
        <v>28702</v>
      </c>
      <c r="AG75" s="7">
        <v>21421</v>
      </c>
      <c r="AH75" s="7">
        <v>35237</v>
      </c>
      <c r="AI75" s="7">
        <v>11202</v>
      </c>
      <c r="AJ75" s="7">
        <v>29928</v>
      </c>
      <c r="AK75" s="7">
        <v>40197</v>
      </c>
      <c r="AL75" s="7">
        <v>6789</v>
      </c>
      <c r="AM75" s="7">
        <v>25728</v>
      </c>
      <c r="AN75" s="7">
        <v>7370</v>
      </c>
      <c r="AO75" s="7">
        <v>37930</v>
      </c>
      <c r="AP75" s="7">
        <v>32319</v>
      </c>
      <c r="AQ75" s="7">
        <v>5916</v>
      </c>
      <c r="AR75" s="7">
        <v>25341</v>
      </c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</row>
    <row r="76" spans="1:81">
      <c r="A76" s="1" t="s">
        <v>338</v>
      </c>
      <c r="B76" s="1" t="s">
        <v>339</v>
      </c>
      <c r="C76" s="1" t="s">
        <v>114</v>
      </c>
      <c r="D76" s="1" t="str">
        <f>HYPERLINK("http://eros.fiehnlab.ucdavis.edu:8080/binbase-compound/bin/show/227861?db=rtx5","227861")</f>
        <v>227861</v>
      </c>
      <c r="E76" s="1" t="s">
        <v>340</v>
      </c>
      <c r="F76" s="1" t="str">
        <f>HYPERLINK("http://www.genome.ad.jp/dbget-bin/www_bget?compound+C00263","C00263")</f>
        <v>C00263</v>
      </c>
      <c r="G76" s="1" t="str">
        <f>HYPERLINK("http://pubchem.ncbi.nlm.nih.gov/summary/summary.cgi?cid=12647","12647")</f>
        <v>12647</v>
      </c>
      <c r="H76" s="1"/>
      <c r="I76" s="7">
        <v>433</v>
      </c>
      <c r="J76" s="7">
        <v>917</v>
      </c>
      <c r="K76" s="7">
        <v>939</v>
      </c>
      <c r="L76" s="7">
        <v>146</v>
      </c>
      <c r="M76" s="7">
        <v>709</v>
      </c>
      <c r="N76" s="7">
        <v>822</v>
      </c>
      <c r="O76" s="7">
        <v>2685</v>
      </c>
      <c r="P76" s="7">
        <v>1438</v>
      </c>
      <c r="Q76" s="7">
        <v>595</v>
      </c>
      <c r="R76" s="7">
        <v>1248</v>
      </c>
      <c r="S76" s="7">
        <v>3171</v>
      </c>
      <c r="T76" s="7">
        <v>1213</v>
      </c>
      <c r="U76" s="7">
        <v>290</v>
      </c>
      <c r="V76" s="7">
        <v>550</v>
      </c>
      <c r="W76" s="7">
        <v>475</v>
      </c>
      <c r="X76" s="7">
        <v>741</v>
      </c>
      <c r="Y76" s="7">
        <v>389</v>
      </c>
      <c r="Z76" s="7">
        <v>530</v>
      </c>
      <c r="AA76" s="7">
        <v>328</v>
      </c>
      <c r="AB76" s="7">
        <v>786</v>
      </c>
      <c r="AC76" s="7">
        <v>691</v>
      </c>
      <c r="AD76" s="7">
        <v>953</v>
      </c>
      <c r="AE76" s="7">
        <v>384</v>
      </c>
      <c r="AF76" s="7">
        <v>803</v>
      </c>
      <c r="AG76" s="7">
        <v>784</v>
      </c>
      <c r="AH76" s="7">
        <v>709</v>
      </c>
      <c r="AI76" s="7">
        <v>542</v>
      </c>
      <c r="AJ76" s="7">
        <v>828</v>
      </c>
      <c r="AK76" s="7">
        <v>553</v>
      </c>
      <c r="AL76" s="7">
        <v>508</v>
      </c>
      <c r="AM76" s="7">
        <v>710</v>
      </c>
      <c r="AN76" s="7">
        <v>943</v>
      </c>
      <c r="AO76" s="7">
        <v>784</v>
      </c>
      <c r="AP76" s="7">
        <v>626</v>
      </c>
      <c r="AQ76" s="7">
        <v>657</v>
      </c>
      <c r="AR76" s="7">
        <v>726</v>
      </c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</row>
    <row r="77" spans="1:81">
      <c r="A77" s="1" t="s">
        <v>341</v>
      </c>
      <c r="B77" s="1" t="s">
        <v>342</v>
      </c>
      <c r="C77" s="1" t="s">
        <v>273</v>
      </c>
      <c r="D77" s="1" t="str">
        <f>HYPERLINK("http://eros.fiehnlab.ucdavis.edu:8080/binbase-compound/bin/show/236875?db=rtx5","236875")</f>
        <v>236875</v>
      </c>
      <c r="E77" s="1" t="s">
        <v>343</v>
      </c>
      <c r="F77" s="1" t="str">
        <f>HYPERLINK("http://www.genome.ad.jp/dbget-bin/www_bget?compound+C01817","C01817")</f>
        <v>C01817</v>
      </c>
      <c r="G77" s="1" t="str">
        <f>HYPERLINK("http://pubchem.ncbi.nlm.nih.gov/summary/summary.cgi?cid=439579","439579")</f>
        <v>439579</v>
      </c>
      <c r="H77" s="1"/>
      <c r="I77" s="7">
        <v>357</v>
      </c>
      <c r="J77" s="7">
        <v>508</v>
      </c>
      <c r="K77" s="7">
        <v>420</v>
      </c>
      <c r="L77" s="7">
        <v>645</v>
      </c>
      <c r="M77" s="7">
        <v>570</v>
      </c>
      <c r="N77" s="7">
        <v>283</v>
      </c>
      <c r="O77" s="7">
        <v>391</v>
      </c>
      <c r="P77" s="7">
        <v>1078</v>
      </c>
      <c r="Q77" s="7">
        <v>994</v>
      </c>
      <c r="R77" s="7">
        <v>2527</v>
      </c>
      <c r="S77" s="7">
        <v>1208</v>
      </c>
      <c r="T77" s="7">
        <v>7221</v>
      </c>
      <c r="U77" s="7">
        <v>464</v>
      </c>
      <c r="V77" s="7">
        <v>425</v>
      </c>
      <c r="W77" s="7">
        <v>942</v>
      </c>
      <c r="X77" s="7">
        <v>444</v>
      </c>
      <c r="Y77" s="7">
        <v>403</v>
      </c>
      <c r="Z77" s="7">
        <v>549</v>
      </c>
      <c r="AA77" s="7">
        <v>259</v>
      </c>
      <c r="AB77" s="7">
        <v>532</v>
      </c>
      <c r="AC77" s="7">
        <v>460</v>
      </c>
      <c r="AD77" s="7">
        <v>409</v>
      </c>
      <c r="AE77" s="7">
        <v>736</v>
      </c>
      <c r="AF77" s="7">
        <v>497</v>
      </c>
      <c r="AG77" s="7">
        <v>1543</v>
      </c>
      <c r="AH77" s="7">
        <v>1095</v>
      </c>
      <c r="AI77" s="7">
        <v>611</v>
      </c>
      <c r="AJ77" s="7">
        <v>940</v>
      </c>
      <c r="AK77" s="7">
        <v>893</v>
      </c>
      <c r="AL77" s="7">
        <v>672</v>
      </c>
      <c r="AM77" s="7">
        <v>659</v>
      </c>
      <c r="AN77" s="7">
        <v>278</v>
      </c>
      <c r="AO77" s="7">
        <v>401</v>
      </c>
      <c r="AP77" s="7">
        <v>655</v>
      </c>
      <c r="AQ77" s="7">
        <v>910</v>
      </c>
      <c r="AR77" s="7">
        <v>451</v>
      </c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</row>
    <row r="78" spans="1:81">
      <c r="A78" s="1" t="s">
        <v>344</v>
      </c>
      <c r="B78" s="1" t="s">
        <v>345</v>
      </c>
      <c r="C78" s="1" t="s">
        <v>346</v>
      </c>
      <c r="D78" s="1" t="str">
        <f>HYPERLINK("http://eros.fiehnlab.ucdavis.edu:8080/binbase-compound/bin/show/238365?db=rtx5","238365")</f>
        <v>238365</v>
      </c>
      <c r="E78" s="1" t="s">
        <v>347</v>
      </c>
      <c r="F78" s="1" t="str">
        <f>HYPERLINK("http://www.genome.ad.jp/dbget-bin/www_bget?compound+C00387","C00387")</f>
        <v>C00387</v>
      </c>
      <c r="G78" s="1" t="str">
        <f>HYPERLINK("http://pubchem.ncbi.nlm.nih.gov/summary/summary.cgi?cid=6802","6802")</f>
        <v>6802</v>
      </c>
      <c r="H78" s="1"/>
      <c r="I78" s="7">
        <v>178</v>
      </c>
      <c r="J78" s="7">
        <v>98</v>
      </c>
      <c r="K78" s="7">
        <v>229</v>
      </c>
      <c r="L78" s="7">
        <v>427</v>
      </c>
      <c r="M78" s="7">
        <v>182</v>
      </c>
      <c r="N78" s="7">
        <v>170</v>
      </c>
      <c r="O78" s="7">
        <v>392</v>
      </c>
      <c r="P78" s="7">
        <v>398</v>
      </c>
      <c r="Q78" s="7">
        <v>305</v>
      </c>
      <c r="R78" s="7">
        <v>404</v>
      </c>
      <c r="S78" s="7">
        <v>561</v>
      </c>
      <c r="T78" s="7">
        <v>300</v>
      </c>
      <c r="U78" s="7">
        <v>266</v>
      </c>
      <c r="V78" s="7">
        <v>196</v>
      </c>
      <c r="W78" s="7">
        <v>1021</v>
      </c>
      <c r="X78" s="7">
        <v>1008</v>
      </c>
      <c r="Y78" s="7">
        <v>270</v>
      </c>
      <c r="Z78" s="7">
        <v>135</v>
      </c>
      <c r="AA78" s="7">
        <v>755</v>
      </c>
      <c r="AB78" s="7">
        <v>677</v>
      </c>
      <c r="AC78" s="7">
        <v>449</v>
      </c>
      <c r="AD78" s="7">
        <v>199</v>
      </c>
      <c r="AE78" s="7">
        <v>1314</v>
      </c>
      <c r="AF78" s="7">
        <v>392</v>
      </c>
      <c r="AG78" s="7">
        <v>612</v>
      </c>
      <c r="AH78" s="7">
        <v>313</v>
      </c>
      <c r="AI78" s="7">
        <v>202</v>
      </c>
      <c r="AJ78" s="7">
        <v>498</v>
      </c>
      <c r="AK78" s="7">
        <v>719</v>
      </c>
      <c r="AL78" s="7">
        <v>842</v>
      </c>
      <c r="AM78" s="7">
        <v>612</v>
      </c>
      <c r="AN78" s="7">
        <v>702</v>
      </c>
      <c r="AO78" s="7">
        <v>561</v>
      </c>
      <c r="AP78" s="7">
        <v>475</v>
      </c>
      <c r="AQ78" s="7">
        <v>107</v>
      </c>
      <c r="AR78" s="7">
        <v>976</v>
      </c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</row>
    <row r="79" spans="1:81">
      <c r="A79" s="1" t="s">
        <v>348</v>
      </c>
      <c r="B79" s="1" t="s">
        <v>349</v>
      </c>
      <c r="C79" s="1" t="s">
        <v>350</v>
      </c>
      <c r="D79" s="1" t="str">
        <f>HYPERLINK("http://eros.fiehnlab.ucdavis.edu:8080/binbase-compound/bin/show/213138?db=rtx5","213138")</f>
        <v>213138</v>
      </c>
      <c r="E79" s="1" t="s">
        <v>351</v>
      </c>
      <c r="F79" s="1" t="str">
        <f>HYPERLINK("http://www.genome.ad.jp/dbget-bin/www_bget?compound+C00242","C00242")</f>
        <v>C00242</v>
      </c>
      <c r="G79" s="1" t="str">
        <f>HYPERLINK("http://pubchem.ncbi.nlm.nih.gov/summary/summary.cgi?cid=764","764")</f>
        <v>764</v>
      </c>
      <c r="H79" s="1"/>
      <c r="I79" s="7">
        <v>345</v>
      </c>
      <c r="J79" s="7">
        <v>119</v>
      </c>
      <c r="K79" s="7">
        <v>802</v>
      </c>
      <c r="L79" s="7">
        <v>632</v>
      </c>
      <c r="M79" s="7">
        <v>153</v>
      </c>
      <c r="N79" s="7">
        <v>213</v>
      </c>
      <c r="O79" s="7">
        <v>796</v>
      </c>
      <c r="P79" s="7">
        <v>746</v>
      </c>
      <c r="Q79" s="7">
        <v>692</v>
      </c>
      <c r="R79" s="7">
        <v>650</v>
      </c>
      <c r="S79" s="7">
        <v>3629</v>
      </c>
      <c r="T79" s="7">
        <v>2864</v>
      </c>
      <c r="U79" s="7">
        <v>668</v>
      </c>
      <c r="V79" s="7">
        <v>293</v>
      </c>
      <c r="W79" s="7">
        <v>2972</v>
      </c>
      <c r="X79" s="7">
        <v>4211</v>
      </c>
      <c r="Y79" s="7">
        <v>610</v>
      </c>
      <c r="Z79" s="7">
        <v>139</v>
      </c>
      <c r="AA79" s="7">
        <v>1999</v>
      </c>
      <c r="AB79" s="7">
        <v>5255</v>
      </c>
      <c r="AC79" s="7">
        <v>2138</v>
      </c>
      <c r="AD79" s="7">
        <v>353</v>
      </c>
      <c r="AE79" s="7">
        <v>7884</v>
      </c>
      <c r="AF79" s="7">
        <v>810</v>
      </c>
      <c r="AG79" s="7">
        <v>3748</v>
      </c>
      <c r="AH79" s="7">
        <v>919</v>
      </c>
      <c r="AI79" s="7">
        <v>303</v>
      </c>
      <c r="AJ79" s="7">
        <v>1810</v>
      </c>
      <c r="AK79" s="7">
        <v>4520</v>
      </c>
      <c r="AL79" s="7">
        <v>1259</v>
      </c>
      <c r="AM79" s="7">
        <v>3431</v>
      </c>
      <c r="AN79" s="7">
        <v>2167</v>
      </c>
      <c r="AO79" s="7">
        <v>2889</v>
      </c>
      <c r="AP79" s="7">
        <v>1564</v>
      </c>
      <c r="AQ79" s="7">
        <v>132</v>
      </c>
      <c r="AR79" s="7">
        <v>4958</v>
      </c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</row>
    <row r="80" spans="1:81">
      <c r="A80" s="1" t="s">
        <v>352</v>
      </c>
      <c r="B80" s="1" t="s">
        <v>353</v>
      </c>
      <c r="C80" s="1" t="s">
        <v>117</v>
      </c>
      <c r="D80" s="1" t="str">
        <f>HYPERLINK("http://eros.fiehnlab.ucdavis.edu:8080/binbase-compound/bin/show/357057?db=rtx5","357057")</f>
        <v>357057</v>
      </c>
      <c r="E80" s="1" t="s">
        <v>354</v>
      </c>
      <c r="F80" s="1" t="s">
        <v>0</v>
      </c>
      <c r="G80" s="1" t="s">
        <v>0</v>
      </c>
      <c r="H80" s="1"/>
      <c r="I80" s="7">
        <v>63945</v>
      </c>
      <c r="J80" s="7">
        <v>21185</v>
      </c>
      <c r="K80" s="7">
        <v>8826</v>
      </c>
      <c r="L80" s="7">
        <v>50462</v>
      </c>
      <c r="M80" s="7">
        <v>15692</v>
      </c>
      <c r="N80" s="7">
        <v>42576</v>
      </c>
      <c r="O80" s="7">
        <v>13100</v>
      </c>
      <c r="P80" s="7">
        <v>25539</v>
      </c>
      <c r="Q80" s="7">
        <v>7223</v>
      </c>
      <c r="R80" s="7">
        <v>14822</v>
      </c>
      <c r="S80" s="7">
        <v>33363</v>
      </c>
      <c r="T80" s="7">
        <v>14230</v>
      </c>
      <c r="U80" s="7">
        <v>6542</v>
      </c>
      <c r="V80" s="7">
        <v>67100</v>
      </c>
      <c r="W80" s="7">
        <v>1394</v>
      </c>
      <c r="X80" s="7">
        <v>28538</v>
      </c>
      <c r="Y80" s="7">
        <v>11101</v>
      </c>
      <c r="Z80" s="7">
        <v>5418</v>
      </c>
      <c r="AA80" s="7">
        <v>22251</v>
      </c>
      <c r="AB80" s="7">
        <v>1274</v>
      </c>
      <c r="AC80" s="7">
        <v>1372</v>
      </c>
      <c r="AD80" s="7">
        <v>2301</v>
      </c>
      <c r="AE80" s="7">
        <v>10866</v>
      </c>
      <c r="AF80" s="7">
        <v>8748</v>
      </c>
      <c r="AG80" s="7">
        <v>4943</v>
      </c>
      <c r="AH80" s="7">
        <v>3197</v>
      </c>
      <c r="AI80" s="7">
        <v>9328</v>
      </c>
      <c r="AJ80" s="7">
        <v>11691</v>
      </c>
      <c r="AK80" s="7">
        <v>3606</v>
      </c>
      <c r="AL80" s="7">
        <v>25634</v>
      </c>
      <c r="AM80" s="7">
        <v>6091</v>
      </c>
      <c r="AN80" s="7">
        <v>8050</v>
      </c>
      <c r="AO80" s="7">
        <v>9239</v>
      </c>
      <c r="AP80" s="7">
        <v>20903</v>
      </c>
      <c r="AQ80" s="7">
        <v>7827</v>
      </c>
      <c r="AR80" s="7">
        <v>44382</v>
      </c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</row>
    <row r="81" spans="1:81">
      <c r="A81" s="1" t="s">
        <v>355</v>
      </c>
      <c r="B81" s="1" t="s">
        <v>356</v>
      </c>
      <c r="C81" s="1" t="s">
        <v>187</v>
      </c>
      <c r="D81" s="1" t="str">
        <f>HYPERLINK("http://eros.fiehnlab.ucdavis.edu:8080/binbase-compound/bin/show/216047?db=rtx5","216047")</f>
        <v>216047</v>
      </c>
      <c r="E81" s="1" t="s">
        <v>357</v>
      </c>
      <c r="F81" s="1" t="str">
        <f>HYPERLINK("http://www.genome.ad.jp/dbget-bin/www_bget?compound+C00160","C00160")</f>
        <v>C00160</v>
      </c>
      <c r="G81" s="1" t="str">
        <f>HYPERLINK("http://pubchem.ncbi.nlm.nih.gov/summary/summary.cgi?cid=757","757")</f>
        <v>757</v>
      </c>
      <c r="H81" s="1"/>
      <c r="I81" s="7">
        <v>2313</v>
      </c>
      <c r="J81" s="7">
        <v>1458</v>
      </c>
      <c r="K81" s="7">
        <v>3182</v>
      </c>
      <c r="L81" s="7">
        <v>3818</v>
      </c>
      <c r="M81" s="7">
        <v>588</v>
      </c>
      <c r="N81" s="7">
        <v>1583</v>
      </c>
      <c r="O81" s="7">
        <v>3530</v>
      </c>
      <c r="P81" s="7">
        <v>2637</v>
      </c>
      <c r="Q81" s="7">
        <v>1426</v>
      </c>
      <c r="R81" s="7">
        <v>3543</v>
      </c>
      <c r="S81" s="7">
        <v>1518</v>
      </c>
      <c r="T81" s="7">
        <v>1041</v>
      </c>
      <c r="U81" s="7">
        <v>3400</v>
      </c>
      <c r="V81" s="7">
        <v>2707</v>
      </c>
      <c r="W81" s="7">
        <v>2174</v>
      </c>
      <c r="X81" s="7">
        <v>2391</v>
      </c>
      <c r="Y81" s="7">
        <v>2949</v>
      </c>
      <c r="Z81" s="7">
        <v>1160</v>
      </c>
      <c r="AA81" s="7">
        <v>1463</v>
      </c>
      <c r="AB81" s="7">
        <v>3086</v>
      </c>
      <c r="AC81" s="7">
        <v>4119</v>
      </c>
      <c r="AD81" s="7">
        <v>4769</v>
      </c>
      <c r="AE81" s="7">
        <v>2240</v>
      </c>
      <c r="AF81" s="7">
        <v>3946</v>
      </c>
      <c r="AG81" s="7">
        <v>2445</v>
      </c>
      <c r="AH81" s="7">
        <v>2598</v>
      </c>
      <c r="AI81" s="7">
        <v>1080</v>
      </c>
      <c r="AJ81" s="7">
        <v>2373</v>
      </c>
      <c r="AK81" s="7">
        <v>2813</v>
      </c>
      <c r="AL81" s="7">
        <v>866</v>
      </c>
      <c r="AM81" s="7">
        <v>3059</v>
      </c>
      <c r="AN81" s="7">
        <v>1086</v>
      </c>
      <c r="AO81" s="7">
        <v>5235</v>
      </c>
      <c r="AP81" s="7">
        <v>3208</v>
      </c>
      <c r="AQ81" s="7">
        <v>1019</v>
      </c>
      <c r="AR81" s="7">
        <v>2301</v>
      </c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</row>
    <row r="82" spans="1:81">
      <c r="A82" s="1" t="s">
        <v>358</v>
      </c>
      <c r="B82" s="1" t="s">
        <v>359</v>
      </c>
      <c r="C82" s="1" t="s">
        <v>117</v>
      </c>
      <c r="D82" s="1" t="str">
        <f>HYPERLINK("http://eros.fiehnlab.ucdavis.edu:8080/binbase-compound/bin/show/227957?db=rtx5","227957")</f>
        <v>227957</v>
      </c>
      <c r="E82" s="1" t="s">
        <v>360</v>
      </c>
      <c r="F82" s="1" t="str">
        <f>HYPERLINK("http://www.genome.ad.jp/dbget-bin/www_bget?compound+C00037","C00037")</f>
        <v>C00037</v>
      </c>
      <c r="G82" s="1" t="str">
        <f>HYPERLINK("http://pubchem.ncbi.nlm.nih.gov/summary/summary.cgi?cid=750","750")</f>
        <v>750</v>
      </c>
      <c r="H82" s="1"/>
      <c r="I82" s="7">
        <v>107670</v>
      </c>
      <c r="J82" s="7">
        <v>226132</v>
      </c>
      <c r="K82" s="7">
        <v>102951</v>
      </c>
      <c r="L82" s="7">
        <v>85112</v>
      </c>
      <c r="M82" s="7">
        <v>169770</v>
      </c>
      <c r="N82" s="7">
        <v>190366</v>
      </c>
      <c r="O82" s="7">
        <v>236995</v>
      </c>
      <c r="P82" s="7">
        <v>138202</v>
      </c>
      <c r="Q82" s="7">
        <v>127114</v>
      </c>
      <c r="R82" s="7">
        <v>131053</v>
      </c>
      <c r="S82" s="7">
        <v>205039</v>
      </c>
      <c r="T82" s="7">
        <v>42464</v>
      </c>
      <c r="U82" s="7">
        <v>66242</v>
      </c>
      <c r="V82" s="7">
        <v>206114</v>
      </c>
      <c r="W82" s="7">
        <v>178733</v>
      </c>
      <c r="X82" s="7">
        <v>93032</v>
      </c>
      <c r="Y82" s="7">
        <v>83333</v>
      </c>
      <c r="Z82" s="7">
        <v>185178</v>
      </c>
      <c r="AA82" s="7">
        <v>98889</v>
      </c>
      <c r="AB82" s="7">
        <v>65508</v>
      </c>
      <c r="AC82" s="7">
        <v>64301</v>
      </c>
      <c r="AD82" s="7">
        <v>120632</v>
      </c>
      <c r="AE82" s="7">
        <v>76108</v>
      </c>
      <c r="AF82" s="7">
        <v>114730</v>
      </c>
      <c r="AG82" s="7">
        <v>82864</v>
      </c>
      <c r="AH82" s="7">
        <v>104431</v>
      </c>
      <c r="AI82" s="7">
        <v>147537</v>
      </c>
      <c r="AJ82" s="7">
        <v>108865</v>
      </c>
      <c r="AK82" s="7">
        <v>70791</v>
      </c>
      <c r="AL82" s="7">
        <v>171756</v>
      </c>
      <c r="AM82" s="7">
        <v>52213</v>
      </c>
      <c r="AN82" s="7">
        <v>188648</v>
      </c>
      <c r="AO82" s="7">
        <v>59558</v>
      </c>
      <c r="AP82" s="7">
        <v>67448</v>
      </c>
      <c r="AQ82" s="7">
        <v>244133</v>
      </c>
      <c r="AR82" s="7">
        <v>51777</v>
      </c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</row>
    <row r="83" spans="1:81">
      <c r="A83" s="1" t="s">
        <v>361</v>
      </c>
      <c r="B83" s="1" t="s">
        <v>362</v>
      </c>
      <c r="C83" s="1" t="s">
        <v>363</v>
      </c>
      <c r="D83" s="1" t="str">
        <f>HYPERLINK("http://eros.fiehnlab.ucdavis.edu:8080/binbase-compound/bin/show/199419?db=rtx5","199419")</f>
        <v>199419</v>
      </c>
      <c r="E83" s="1" t="s">
        <v>364</v>
      </c>
      <c r="F83" s="1" t="str">
        <f>HYPERLINK("http://www.genome.ad.jp/dbget-bin/www_bget?compound+C00093","C00093")</f>
        <v>C00093</v>
      </c>
      <c r="G83" s="1" t="str">
        <f>HYPERLINK("http://pubchem.ncbi.nlm.nih.gov/summary/summary.cgi?cid=754","754")</f>
        <v>754</v>
      </c>
      <c r="H83" s="1"/>
      <c r="I83" s="7">
        <v>7959</v>
      </c>
      <c r="J83" s="7">
        <v>2946</v>
      </c>
      <c r="K83" s="7">
        <v>8319</v>
      </c>
      <c r="L83" s="7">
        <v>12730</v>
      </c>
      <c r="M83" s="7">
        <v>5084</v>
      </c>
      <c r="N83" s="7">
        <v>4607</v>
      </c>
      <c r="O83" s="7">
        <v>6339</v>
      </c>
      <c r="P83" s="7">
        <v>11433</v>
      </c>
      <c r="Q83" s="7">
        <v>4433</v>
      </c>
      <c r="R83" s="7">
        <v>11217</v>
      </c>
      <c r="S83" s="7">
        <v>6348</v>
      </c>
      <c r="T83" s="7">
        <v>5374</v>
      </c>
      <c r="U83" s="7">
        <v>6889</v>
      </c>
      <c r="V83" s="7">
        <v>8691</v>
      </c>
      <c r="W83" s="7">
        <v>4497</v>
      </c>
      <c r="X83" s="7">
        <v>14216</v>
      </c>
      <c r="Y83" s="7">
        <v>7009</v>
      </c>
      <c r="Z83" s="7">
        <v>6149</v>
      </c>
      <c r="AA83" s="7">
        <v>3423</v>
      </c>
      <c r="AB83" s="7">
        <v>13428</v>
      </c>
      <c r="AC83" s="7">
        <v>16238</v>
      </c>
      <c r="AD83" s="7">
        <v>13854</v>
      </c>
      <c r="AE83" s="7">
        <v>19042</v>
      </c>
      <c r="AF83" s="7">
        <v>9761</v>
      </c>
      <c r="AG83" s="7">
        <v>13083</v>
      </c>
      <c r="AH83" s="7">
        <v>11380</v>
      </c>
      <c r="AI83" s="7">
        <v>8223</v>
      </c>
      <c r="AJ83" s="7">
        <v>13571</v>
      </c>
      <c r="AK83" s="7">
        <v>15804</v>
      </c>
      <c r="AL83" s="7">
        <v>5964</v>
      </c>
      <c r="AM83" s="7">
        <v>14071</v>
      </c>
      <c r="AN83" s="7">
        <v>5301</v>
      </c>
      <c r="AO83" s="7">
        <v>9707</v>
      </c>
      <c r="AP83" s="7">
        <v>14400</v>
      </c>
      <c r="AQ83" s="7">
        <v>2520</v>
      </c>
      <c r="AR83" s="7">
        <v>11356</v>
      </c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</row>
    <row r="84" spans="1:81">
      <c r="A84" s="1" t="s">
        <v>365</v>
      </c>
      <c r="B84" s="1" t="s">
        <v>366</v>
      </c>
      <c r="C84" s="1" t="s">
        <v>155</v>
      </c>
      <c r="D84" s="1" t="str">
        <f>HYPERLINK("http://eros.fiehnlab.ucdavis.edu:8080/binbase-compound/bin/show/225851?db=rtx5","225851")</f>
        <v>225851</v>
      </c>
      <c r="E84" s="1" t="s">
        <v>367</v>
      </c>
      <c r="F84" s="1" t="str">
        <f>HYPERLINK("http://www.genome.ad.jp/dbget-bin/www_bget?compound+C05401","C05401")</f>
        <v>C05401</v>
      </c>
      <c r="G84" s="1" t="str">
        <f>HYPERLINK("http://pubchem.ncbi.nlm.nih.gov/summary/summary.cgi?cid=656504","656504")</f>
        <v>656504</v>
      </c>
      <c r="H84" s="1"/>
      <c r="I84" s="7">
        <v>7611</v>
      </c>
      <c r="J84" s="7">
        <v>3305</v>
      </c>
      <c r="K84" s="7">
        <v>10200</v>
      </c>
      <c r="L84" s="7">
        <v>15390</v>
      </c>
      <c r="M84" s="7">
        <v>6087</v>
      </c>
      <c r="N84" s="7">
        <v>4222</v>
      </c>
      <c r="O84" s="7">
        <v>6867</v>
      </c>
      <c r="P84" s="7">
        <v>16072</v>
      </c>
      <c r="Q84" s="7">
        <v>6862</v>
      </c>
      <c r="R84" s="7">
        <v>19181</v>
      </c>
      <c r="S84" s="7">
        <v>10658</v>
      </c>
      <c r="T84" s="7">
        <v>8725</v>
      </c>
      <c r="U84" s="7">
        <v>6884</v>
      </c>
      <c r="V84" s="7">
        <v>7047</v>
      </c>
      <c r="W84" s="7">
        <v>5717</v>
      </c>
      <c r="X84" s="7">
        <v>8771</v>
      </c>
      <c r="Y84" s="7">
        <v>8457</v>
      </c>
      <c r="Z84" s="7">
        <v>5123</v>
      </c>
      <c r="AA84" s="7">
        <v>5696</v>
      </c>
      <c r="AB84" s="7">
        <v>15942</v>
      </c>
      <c r="AC84" s="7">
        <v>13523</v>
      </c>
      <c r="AD84" s="7">
        <v>17959</v>
      </c>
      <c r="AE84" s="7">
        <v>16440</v>
      </c>
      <c r="AF84" s="7">
        <v>15860</v>
      </c>
      <c r="AG84" s="7">
        <v>15640</v>
      </c>
      <c r="AH84" s="7">
        <v>22063</v>
      </c>
      <c r="AI84" s="7">
        <v>6339</v>
      </c>
      <c r="AJ84" s="7">
        <v>17476</v>
      </c>
      <c r="AK84" s="7">
        <v>19265</v>
      </c>
      <c r="AL84" s="7">
        <v>6297</v>
      </c>
      <c r="AM84" s="7">
        <v>13332</v>
      </c>
      <c r="AN84" s="7">
        <v>6390</v>
      </c>
      <c r="AO84" s="7">
        <v>15823</v>
      </c>
      <c r="AP84" s="7">
        <v>19371</v>
      </c>
      <c r="AQ84" s="7">
        <v>4637</v>
      </c>
      <c r="AR84" s="7">
        <v>11753</v>
      </c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</row>
    <row r="85" spans="1:81">
      <c r="A85" s="1" t="s">
        <v>368</v>
      </c>
      <c r="B85" s="1" t="s">
        <v>369</v>
      </c>
      <c r="C85" s="1" t="s">
        <v>370</v>
      </c>
      <c r="D85" s="1" t="str">
        <f>HYPERLINK("http://eros.fiehnlab.ucdavis.edu:8080/binbase-compound/bin/show/199174?db=rtx5","199174")</f>
        <v>199174</v>
      </c>
      <c r="E85" s="1" t="s">
        <v>371</v>
      </c>
      <c r="F85" s="1" t="str">
        <f>HYPERLINK("http://www.genome.ad.jp/dbget-bin/www_bget?compound+C00258","C00258")</f>
        <v>C00258</v>
      </c>
      <c r="G85" s="1" t="str">
        <f>HYPERLINK("http://pubchem.ncbi.nlm.nih.gov/summary/summary.cgi?cid=439194","439194")</f>
        <v>439194</v>
      </c>
      <c r="H85" s="1"/>
      <c r="I85" s="7">
        <v>4578</v>
      </c>
      <c r="J85" s="7">
        <v>5757</v>
      </c>
      <c r="K85" s="7">
        <v>6145</v>
      </c>
      <c r="L85" s="7">
        <v>5157</v>
      </c>
      <c r="M85" s="7">
        <v>2779</v>
      </c>
      <c r="N85" s="7">
        <v>3836</v>
      </c>
      <c r="O85" s="7">
        <v>3525</v>
      </c>
      <c r="P85" s="7">
        <v>4595</v>
      </c>
      <c r="Q85" s="7">
        <v>3201</v>
      </c>
      <c r="R85" s="7">
        <v>3895</v>
      </c>
      <c r="S85" s="7">
        <v>2183</v>
      </c>
      <c r="T85" s="7">
        <v>3498</v>
      </c>
      <c r="U85" s="7">
        <v>5390</v>
      </c>
      <c r="V85" s="7">
        <v>6482</v>
      </c>
      <c r="W85" s="7">
        <v>6348</v>
      </c>
      <c r="X85" s="7">
        <v>3949</v>
      </c>
      <c r="Y85" s="7">
        <v>4166</v>
      </c>
      <c r="Z85" s="7">
        <v>1916</v>
      </c>
      <c r="AA85" s="7">
        <v>3227</v>
      </c>
      <c r="AB85" s="7">
        <v>7821</v>
      </c>
      <c r="AC85" s="7">
        <v>17802</v>
      </c>
      <c r="AD85" s="7">
        <v>30687</v>
      </c>
      <c r="AE85" s="7">
        <v>11213</v>
      </c>
      <c r="AF85" s="7">
        <v>22319</v>
      </c>
      <c r="AG85" s="7">
        <v>6808</v>
      </c>
      <c r="AH85" s="7">
        <v>30022</v>
      </c>
      <c r="AI85" s="7">
        <v>2022</v>
      </c>
      <c r="AJ85" s="7">
        <v>18476</v>
      </c>
      <c r="AK85" s="7">
        <v>11851</v>
      </c>
      <c r="AL85" s="7">
        <v>3200</v>
      </c>
      <c r="AM85" s="7">
        <v>6177</v>
      </c>
      <c r="AN85" s="7">
        <v>2404</v>
      </c>
      <c r="AO85" s="7">
        <v>20224</v>
      </c>
      <c r="AP85" s="7">
        <v>10267</v>
      </c>
      <c r="AQ85" s="7">
        <v>2989</v>
      </c>
      <c r="AR85" s="7">
        <v>4832</v>
      </c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</row>
    <row r="86" spans="1:81">
      <c r="A86" s="1" t="s">
        <v>372</v>
      </c>
      <c r="B86" s="1" t="s">
        <v>373</v>
      </c>
      <c r="C86" s="1" t="s">
        <v>167</v>
      </c>
      <c r="D86" s="1" t="str">
        <f>HYPERLINK("http://eros.fiehnlab.ucdavis.edu:8080/binbase-compound/bin/show/199776?db=rtx5","199776")</f>
        <v>199776</v>
      </c>
      <c r="E86" s="1" t="s">
        <v>374</v>
      </c>
      <c r="F86" s="1" t="str">
        <f>HYPERLINK("http://www.genome.ad.jp/dbget-bin/www_bget?compound+C00064","C00064")</f>
        <v>C00064</v>
      </c>
      <c r="G86" s="1" t="str">
        <f>HYPERLINK("http://pubchem.ncbi.nlm.nih.gov/summary/summary.cgi?cid=5961","5961")</f>
        <v>5961</v>
      </c>
      <c r="H86" s="1"/>
      <c r="I86" s="7">
        <v>2173</v>
      </c>
      <c r="J86" s="7">
        <v>3116</v>
      </c>
      <c r="K86" s="7">
        <v>2386</v>
      </c>
      <c r="L86" s="7">
        <v>3034</v>
      </c>
      <c r="M86" s="7">
        <v>6024</v>
      </c>
      <c r="N86" s="7">
        <v>3463</v>
      </c>
      <c r="O86" s="7">
        <v>8232</v>
      </c>
      <c r="P86" s="7">
        <v>2450</v>
      </c>
      <c r="Q86" s="7">
        <v>3285</v>
      </c>
      <c r="R86" s="7">
        <v>2465</v>
      </c>
      <c r="S86" s="7">
        <v>2920</v>
      </c>
      <c r="T86" s="7">
        <v>1989</v>
      </c>
      <c r="U86" s="7">
        <v>1229</v>
      </c>
      <c r="V86" s="7">
        <v>6708</v>
      </c>
      <c r="W86" s="7">
        <v>4117</v>
      </c>
      <c r="X86" s="7">
        <v>1490</v>
      </c>
      <c r="Y86" s="7">
        <v>1458</v>
      </c>
      <c r="Z86" s="7">
        <v>4592</v>
      </c>
      <c r="AA86" s="7">
        <v>6169</v>
      </c>
      <c r="AB86" s="7">
        <v>3001</v>
      </c>
      <c r="AC86" s="7">
        <v>2181</v>
      </c>
      <c r="AD86" s="7">
        <v>2046</v>
      </c>
      <c r="AE86" s="7">
        <v>2621</v>
      </c>
      <c r="AF86" s="7">
        <v>1827</v>
      </c>
      <c r="AG86" s="7">
        <v>4859</v>
      </c>
      <c r="AH86" s="7">
        <v>2239</v>
      </c>
      <c r="AI86" s="7">
        <v>6745</v>
      </c>
      <c r="AJ86" s="7">
        <v>1453</v>
      </c>
      <c r="AK86" s="7">
        <v>1827</v>
      </c>
      <c r="AL86" s="7">
        <v>3228</v>
      </c>
      <c r="AM86" s="7">
        <v>2248</v>
      </c>
      <c r="AN86" s="7">
        <v>4901</v>
      </c>
      <c r="AO86" s="7">
        <v>2573</v>
      </c>
      <c r="AP86" s="7">
        <v>3012</v>
      </c>
      <c r="AQ86" s="7">
        <v>4430</v>
      </c>
      <c r="AR86" s="7">
        <v>2181</v>
      </c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</row>
    <row r="87" spans="1:81">
      <c r="A87" s="1" t="s">
        <v>375</v>
      </c>
      <c r="B87" s="1" t="s">
        <v>376</v>
      </c>
      <c r="C87" s="1" t="s">
        <v>377</v>
      </c>
      <c r="D87" s="1" t="str">
        <f>HYPERLINK("http://eros.fiehnlab.ucdavis.edu:8080/binbase-compound/bin/show/227977?db=rtx5","227977")</f>
        <v>227977</v>
      </c>
      <c r="E87" s="1" t="s">
        <v>378</v>
      </c>
      <c r="F87" s="1" t="str">
        <f>HYPERLINK("http://www.genome.ad.jp/dbget-bin/www_bget?compound+C00025","C00025")</f>
        <v>C00025</v>
      </c>
      <c r="G87" s="1" t="str">
        <f>HYPERLINK("http://pubchem.ncbi.nlm.nih.gov/summary/summary.cgi?cid=33032","33032")</f>
        <v>33032</v>
      </c>
      <c r="H87" s="1"/>
      <c r="I87" s="7">
        <v>29358</v>
      </c>
      <c r="J87" s="7">
        <v>112909</v>
      </c>
      <c r="K87" s="7">
        <v>7334</v>
      </c>
      <c r="L87" s="7">
        <v>7291</v>
      </c>
      <c r="M87" s="7">
        <v>40612</v>
      </c>
      <c r="N87" s="7">
        <v>82409</v>
      </c>
      <c r="O87" s="7">
        <v>46055</v>
      </c>
      <c r="P87" s="7">
        <v>6104</v>
      </c>
      <c r="Q87" s="7">
        <v>23438</v>
      </c>
      <c r="R87" s="7">
        <v>27026</v>
      </c>
      <c r="S87" s="7">
        <v>69713</v>
      </c>
      <c r="T87" s="7">
        <v>25191</v>
      </c>
      <c r="U87" s="7">
        <v>11561</v>
      </c>
      <c r="V87" s="7">
        <v>46370</v>
      </c>
      <c r="W87" s="7">
        <v>48045</v>
      </c>
      <c r="X87" s="7">
        <v>29295</v>
      </c>
      <c r="Y87" s="7">
        <v>16023</v>
      </c>
      <c r="Z87" s="7">
        <v>62178</v>
      </c>
      <c r="AA87" s="7">
        <v>31732</v>
      </c>
      <c r="AB87" s="7">
        <v>5779</v>
      </c>
      <c r="AC87" s="7">
        <v>2467</v>
      </c>
      <c r="AD87" s="7">
        <v>6699</v>
      </c>
      <c r="AE87" s="7">
        <v>19164</v>
      </c>
      <c r="AF87" s="7">
        <v>8131</v>
      </c>
      <c r="AG87" s="7">
        <v>41339</v>
      </c>
      <c r="AH87" s="7">
        <v>6579</v>
      </c>
      <c r="AI87" s="7">
        <v>78332</v>
      </c>
      <c r="AJ87" s="7">
        <v>15489</v>
      </c>
      <c r="AK87" s="7">
        <v>6399</v>
      </c>
      <c r="AL87" s="7">
        <v>41277</v>
      </c>
      <c r="AM87" s="7">
        <v>26797</v>
      </c>
      <c r="AN87" s="7">
        <v>87352</v>
      </c>
      <c r="AO87" s="7">
        <v>4083</v>
      </c>
      <c r="AP87" s="7">
        <v>45203</v>
      </c>
      <c r="AQ87" s="7">
        <v>98120</v>
      </c>
      <c r="AR87" s="7">
        <v>34821</v>
      </c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</row>
    <row r="88" spans="1:81">
      <c r="A88" s="1" t="s">
        <v>1178</v>
      </c>
      <c r="B88" s="1" t="s">
        <v>379</v>
      </c>
      <c r="C88" s="1" t="s">
        <v>283</v>
      </c>
      <c r="D88" s="1" t="str">
        <f>HYPERLINK("http://eros.fiehnlab.ucdavis.edu:8080/binbase-compound/bin/show/199915?db=rtx5","199915")</f>
        <v>199915</v>
      </c>
      <c r="E88" s="1" t="s">
        <v>380</v>
      </c>
      <c r="F88" s="1" t="str">
        <f>HYPERLINK("http://www.genome.ad.jp/dbget-bin/www_bget?compound+C00092","C00092")</f>
        <v>C00092</v>
      </c>
      <c r="G88" s="1" t="str">
        <f>HYPERLINK("http://pubchem.ncbi.nlm.nih.gov/summary/summary.cgi?cid=5958","5958")</f>
        <v>5958</v>
      </c>
      <c r="H88" s="1"/>
      <c r="I88" s="7">
        <v>186</v>
      </c>
      <c r="J88" s="7">
        <v>267</v>
      </c>
      <c r="K88" s="7">
        <v>345</v>
      </c>
      <c r="L88" s="7">
        <v>416</v>
      </c>
      <c r="M88" s="7">
        <v>173</v>
      </c>
      <c r="N88" s="7">
        <v>263</v>
      </c>
      <c r="O88" s="7">
        <v>224</v>
      </c>
      <c r="P88" s="7">
        <v>302</v>
      </c>
      <c r="Q88" s="7">
        <v>233</v>
      </c>
      <c r="R88" s="7">
        <v>359</v>
      </c>
      <c r="S88" s="7">
        <v>240</v>
      </c>
      <c r="T88" s="7">
        <v>367</v>
      </c>
      <c r="U88" s="7">
        <v>153</v>
      </c>
      <c r="V88" s="7">
        <v>352</v>
      </c>
      <c r="W88" s="7">
        <v>185</v>
      </c>
      <c r="X88" s="7">
        <v>292</v>
      </c>
      <c r="Y88" s="7">
        <v>281</v>
      </c>
      <c r="Z88" s="7">
        <v>147</v>
      </c>
      <c r="AA88" s="7">
        <v>93</v>
      </c>
      <c r="AB88" s="7">
        <v>318</v>
      </c>
      <c r="AC88" s="7">
        <v>335</v>
      </c>
      <c r="AD88" s="7">
        <v>289</v>
      </c>
      <c r="AE88" s="7">
        <v>429</v>
      </c>
      <c r="AF88" s="7">
        <v>405</v>
      </c>
      <c r="AG88" s="7">
        <v>396</v>
      </c>
      <c r="AH88" s="7">
        <v>368</v>
      </c>
      <c r="AI88" s="7">
        <v>275</v>
      </c>
      <c r="AJ88" s="7">
        <v>362</v>
      </c>
      <c r="AK88" s="7">
        <v>553</v>
      </c>
      <c r="AL88" s="7">
        <v>165</v>
      </c>
      <c r="AM88" s="7">
        <v>482</v>
      </c>
      <c r="AN88" s="7">
        <v>205</v>
      </c>
      <c r="AO88" s="7">
        <v>392</v>
      </c>
      <c r="AP88" s="7">
        <v>600</v>
      </c>
      <c r="AQ88" s="7">
        <v>189</v>
      </c>
      <c r="AR88" s="7">
        <v>329</v>
      </c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</row>
    <row r="89" spans="1:81">
      <c r="A89" s="1" t="s">
        <v>381</v>
      </c>
      <c r="B89" s="1" t="s">
        <v>382</v>
      </c>
      <c r="C89" s="1" t="s">
        <v>89</v>
      </c>
      <c r="D89" s="1" t="str">
        <f>HYPERLINK("http://eros.fiehnlab.ucdavis.edu:8080/binbase-compound/bin/show/199178?db=rtx5","199178")</f>
        <v>199178</v>
      </c>
      <c r="E89" s="1" t="s">
        <v>383</v>
      </c>
      <c r="F89" s="1" t="str">
        <f>HYPERLINK("http://www.genome.ad.jp/dbget-bin/www_bget?compound+C00103","C00103")</f>
        <v>C00103</v>
      </c>
      <c r="G89" s="1" t="str">
        <f>HYPERLINK("http://pubchem.ncbi.nlm.nih.gov/summary/summary.cgi?cid=65533","65533")</f>
        <v>65533</v>
      </c>
      <c r="H89" s="1"/>
      <c r="I89" s="7">
        <v>2475</v>
      </c>
      <c r="J89" s="7">
        <v>743</v>
      </c>
      <c r="K89" s="7">
        <v>2991</v>
      </c>
      <c r="L89" s="7">
        <v>3967</v>
      </c>
      <c r="M89" s="7">
        <v>1954</v>
      </c>
      <c r="N89" s="7">
        <v>1055</v>
      </c>
      <c r="O89" s="7">
        <v>875</v>
      </c>
      <c r="P89" s="7">
        <v>2089</v>
      </c>
      <c r="Q89" s="7">
        <v>1721</v>
      </c>
      <c r="R89" s="7">
        <v>3359</v>
      </c>
      <c r="S89" s="7">
        <v>1371</v>
      </c>
      <c r="T89" s="7">
        <v>2168</v>
      </c>
      <c r="U89" s="7">
        <v>1841</v>
      </c>
      <c r="V89" s="7">
        <v>1903</v>
      </c>
      <c r="W89" s="7">
        <v>618</v>
      </c>
      <c r="X89" s="7">
        <v>1366</v>
      </c>
      <c r="Y89" s="7">
        <v>1319</v>
      </c>
      <c r="Z89" s="7">
        <v>864</v>
      </c>
      <c r="AA89" s="7">
        <v>1179</v>
      </c>
      <c r="AB89" s="7">
        <v>3200</v>
      </c>
      <c r="AC89" s="7">
        <v>3737</v>
      </c>
      <c r="AD89" s="7">
        <v>2703</v>
      </c>
      <c r="AE89" s="7">
        <v>2341</v>
      </c>
      <c r="AF89" s="7">
        <v>3002</v>
      </c>
      <c r="AG89" s="7">
        <v>3848</v>
      </c>
      <c r="AH89" s="7">
        <v>3413</v>
      </c>
      <c r="AI89" s="7">
        <v>1525</v>
      </c>
      <c r="AJ89" s="7">
        <v>3961</v>
      </c>
      <c r="AK89" s="7">
        <v>3422</v>
      </c>
      <c r="AL89" s="7">
        <v>941</v>
      </c>
      <c r="AM89" s="7">
        <v>1753</v>
      </c>
      <c r="AN89" s="7">
        <v>944</v>
      </c>
      <c r="AO89" s="7">
        <v>3336</v>
      </c>
      <c r="AP89" s="7">
        <v>4224</v>
      </c>
      <c r="AQ89" s="7">
        <v>1087</v>
      </c>
      <c r="AR89" s="7">
        <v>2863</v>
      </c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</row>
    <row r="90" spans="1:81">
      <c r="A90" s="1" t="s">
        <v>1179</v>
      </c>
      <c r="B90" s="1" t="s">
        <v>384</v>
      </c>
      <c r="C90" s="1" t="s">
        <v>385</v>
      </c>
      <c r="D90" s="1" t="str">
        <f>HYPERLINK("http://eros.fiehnlab.ucdavis.edu:8080/binbase-compound/bin/show/219881?db=rtx5","219881")</f>
        <v>219881</v>
      </c>
      <c r="E90" s="1" t="s">
        <v>386</v>
      </c>
      <c r="F90" s="1" t="str">
        <f>HYPERLINK("http://www.genome.ad.jp/dbget-bin/www_bget?compound+C00031","C00031")</f>
        <v>C00031</v>
      </c>
      <c r="G90" s="1" t="str">
        <f>HYPERLINK("http://pubchem.ncbi.nlm.nih.gov/summary/summary.cgi?cid=5793","5793")</f>
        <v>5793</v>
      </c>
      <c r="H90" s="1"/>
      <c r="I90" s="7">
        <v>791</v>
      </c>
      <c r="J90" s="7">
        <v>643</v>
      </c>
      <c r="K90" s="7">
        <v>1028</v>
      </c>
      <c r="L90" s="7">
        <v>1347</v>
      </c>
      <c r="M90" s="7">
        <v>651</v>
      </c>
      <c r="N90" s="7">
        <v>1423</v>
      </c>
      <c r="O90" s="7">
        <v>455</v>
      </c>
      <c r="P90" s="7">
        <v>1129</v>
      </c>
      <c r="Q90" s="7">
        <v>849</v>
      </c>
      <c r="R90" s="7">
        <v>1038</v>
      </c>
      <c r="S90" s="7">
        <v>2887</v>
      </c>
      <c r="T90" s="7">
        <v>2993</v>
      </c>
      <c r="U90" s="7">
        <v>1449</v>
      </c>
      <c r="V90" s="7">
        <v>353</v>
      </c>
      <c r="W90" s="7">
        <v>1275</v>
      </c>
      <c r="X90" s="7">
        <v>4282</v>
      </c>
      <c r="Y90" s="7">
        <v>983</v>
      </c>
      <c r="Z90" s="7">
        <v>505</v>
      </c>
      <c r="AA90" s="7">
        <v>960</v>
      </c>
      <c r="AB90" s="7">
        <v>867</v>
      </c>
      <c r="AC90" s="7">
        <v>2773</v>
      </c>
      <c r="AD90" s="7">
        <v>1037</v>
      </c>
      <c r="AE90" s="7">
        <v>1987</v>
      </c>
      <c r="AF90" s="7">
        <v>994</v>
      </c>
      <c r="AG90" s="7">
        <v>1454</v>
      </c>
      <c r="AH90" s="7">
        <v>1354</v>
      </c>
      <c r="AI90" s="7">
        <v>843</v>
      </c>
      <c r="AJ90" s="7">
        <v>1703</v>
      </c>
      <c r="AK90" s="7">
        <v>2403</v>
      </c>
      <c r="AL90" s="7">
        <v>2091</v>
      </c>
      <c r="AM90" s="7">
        <v>1751</v>
      </c>
      <c r="AN90" s="7">
        <v>1603</v>
      </c>
      <c r="AO90" s="7">
        <v>1500</v>
      </c>
      <c r="AP90" s="7">
        <v>2235</v>
      </c>
      <c r="AQ90" s="7">
        <v>1590</v>
      </c>
      <c r="AR90" s="7">
        <v>1685</v>
      </c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</row>
    <row r="91" spans="1:81">
      <c r="A91" s="1" t="s">
        <v>387</v>
      </c>
      <c r="B91" s="1" t="s">
        <v>388</v>
      </c>
      <c r="C91" s="1" t="s">
        <v>389</v>
      </c>
      <c r="D91" s="1" t="str">
        <f>HYPERLINK("http://eros.fiehnlab.ucdavis.edu:8080/binbase-compound/bin/show/238197?db=rtx5","238197")</f>
        <v>238197</v>
      </c>
      <c r="E91" s="1" t="s">
        <v>390</v>
      </c>
      <c r="F91" s="1" t="str">
        <f>HYPERLINK("http://www.genome.ad.jp/dbget-bin/www_bget?compound+C08349","C08349")</f>
        <v>C08349</v>
      </c>
      <c r="G91" s="1" t="str">
        <f>HYPERLINK("http://pubchem.ncbi.nlm.nih.gov/summary/summary.cgi?cid=441477","441477")</f>
        <v>441477</v>
      </c>
      <c r="H91" s="1"/>
      <c r="I91" s="7">
        <v>136</v>
      </c>
      <c r="J91" s="7">
        <v>75</v>
      </c>
      <c r="K91" s="7">
        <v>646</v>
      </c>
      <c r="L91" s="7">
        <v>604</v>
      </c>
      <c r="M91" s="7">
        <v>108</v>
      </c>
      <c r="N91" s="7">
        <v>194</v>
      </c>
      <c r="O91" s="7">
        <v>143</v>
      </c>
      <c r="P91" s="7">
        <v>436</v>
      </c>
      <c r="Q91" s="7">
        <v>215</v>
      </c>
      <c r="R91" s="7">
        <v>501</v>
      </c>
      <c r="S91" s="7">
        <v>112</v>
      </c>
      <c r="T91" s="7">
        <v>86</v>
      </c>
      <c r="U91" s="7">
        <v>254</v>
      </c>
      <c r="V91" s="7">
        <v>169</v>
      </c>
      <c r="W91" s="7">
        <v>133</v>
      </c>
      <c r="X91" s="7">
        <v>224</v>
      </c>
      <c r="Y91" s="7">
        <v>397</v>
      </c>
      <c r="Z91" s="7">
        <v>141</v>
      </c>
      <c r="AA91" s="7">
        <v>193</v>
      </c>
      <c r="AB91" s="7">
        <v>532</v>
      </c>
      <c r="AC91" s="7">
        <v>606</v>
      </c>
      <c r="AD91" s="7">
        <v>780</v>
      </c>
      <c r="AE91" s="7">
        <v>265</v>
      </c>
      <c r="AF91" s="7">
        <v>631</v>
      </c>
      <c r="AG91" s="7">
        <v>258</v>
      </c>
      <c r="AH91" s="7">
        <v>525</v>
      </c>
      <c r="AI91" s="7">
        <v>70</v>
      </c>
      <c r="AJ91" s="7">
        <v>506</v>
      </c>
      <c r="AK91" s="7">
        <v>398</v>
      </c>
      <c r="AL91" s="7">
        <v>95</v>
      </c>
      <c r="AM91" s="7">
        <v>246</v>
      </c>
      <c r="AN91" s="7">
        <v>84</v>
      </c>
      <c r="AO91" s="7">
        <v>434</v>
      </c>
      <c r="AP91" s="7">
        <v>368</v>
      </c>
      <c r="AQ91" s="7">
        <v>60</v>
      </c>
      <c r="AR91" s="7">
        <v>307</v>
      </c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</row>
    <row r="92" spans="1:81">
      <c r="A92" s="1" t="s">
        <v>1180</v>
      </c>
      <c r="B92" s="1" t="s">
        <v>391</v>
      </c>
      <c r="C92" s="1" t="s">
        <v>155</v>
      </c>
      <c r="D92" s="1" t="str">
        <f>HYPERLINK("http://eros.fiehnlab.ucdavis.edu:8080/binbase-compound/bin/show/211957?db=rtx5","211957")</f>
        <v>211957</v>
      </c>
      <c r="E92" s="1" t="s">
        <v>392</v>
      </c>
      <c r="F92" s="1" t="str">
        <f>HYPERLINK("http://www.genome.ad.jp/dbget-bin/www_bget?compound+C01235","C01235")</f>
        <v>C01235</v>
      </c>
      <c r="G92" s="1" t="str">
        <f>HYPERLINK("http://pubchem.ncbi.nlm.nih.gov/summary/summary.cgi?cid=439451","439451")</f>
        <v>439451</v>
      </c>
      <c r="H92" s="1"/>
      <c r="I92" s="7">
        <v>920</v>
      </c>
      <c r="J92" s="7">
        <v>1100</v>
      </c>
      <c r="K92" s="7">
        <v>1130</v>
      </c>
      <c r="L92" s="7">
        <v>1210</v>
      </c>
      <c r="M92" s="7">
        <v>1154</v>
      </c>
      <c r="N92" s="7">
        <v>849</v>
      </c>
      <c r="O92" s="7">
        <v>1024</v>
      </c>
      <c r="P92" s="7">
        <v>795</v>
      </c>
      <c r="Q92" s="7">
        <v>1064</v>
      </c>
      <c r="R92" s="7">
        <v>924</v>
      </c>
      <c r="S92" s="7">
        <v>954</v>
      </c>
      <c r="T92" s="7">
        <v>716</v>
      </c>
      <c r="U92" s="7">
        <v>536</v>
      </c>
      <c r="V92" s="7">
        <v>1124</v>
      </c>
      <c r="W92" s="7">
        <v>1228</v>
      </c>
      <c r="X92" s="7">
        <v>870</v>
      </c>
      <c r="Y92" s="7">
        <v>698</v>
      </c>
      <c r="Z92" s="7">
        <v>1053</v>
      </c>
      <c r="AA92" s="7">
        <v>661</v>
      </c>
      <c r="AB92" s="7">
        <v>939</v>
      </c>
      <c r="AC92" s="7">
        <v>1150</v>
      </c>
      <c r="AD92" s="7">
        <v>1060</v>
      </c>
      <c r="AE92" s="7">
        <v>900</v>
      </c>
      <c r="AF92" s="7">
        <v>1036</v>
      </c>
      <c r="AG92" s="7">
        <v>929</v>
      </c>
      <c r="AH92" s="7">
        <v>984</v>
      </c>
      <c r="AI92" s="7">
        <v>610</v>
      </c>
      <c r="AJ92" s="7">
        <v>929</v>
      </c>
      <c r="AK92" s="7">
        <v>965</v>
      </c>
      <c r="AL92" s="7">
        <v>1251</v>
      </c>
      <c r="AM92" s="7">
        <v>1004</v>
      </c>
      <c r="AN92" s="7">
        <v>1062</v>
      </c>
      <c r="AO92" s="7">
        <v>1148</v>
      </c>
      <c r="AP92" s="7">
        <v>1233</v>
      </c>
      <c r="AQ92" s="7">
        <v>1275</v>
      </c>
      <c r="AR92" s="7">
        <v>850</v>
      </c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</row>
    <row r="93" spans="1:81">
      <c r="A93" s="1" t="s">
        <v>393</v>
      </c>
      <c r="B93" s="1" t="s">
        <v>394</v>
      </c>
      <c r="C93" s="1" t="s">
        <v>117</v>
      </c>
      <c r="D93" s="1" t="str">
        <f>HYPERLINK("http://eros.fiehnlab.ucdavis.edu:8080/binbase-compound/bin/show/218463?db=rtx5","218463")</f>
        <v>218463</v>
      </c>
      <c r="E93" s="1" t="s">
        <v>395</v>
      </c>
      <c r="F93" s="1" t="str">
        <f>HYPERLINK("http://www.genome.ad.jp/dbget-bin/www_bget?compound+C00334","C00334")</f>
        <v>C00334</v>
      </c>
      <c r="G93" s="1" t="str">
        <f>HYPERLINK("http://pubchem.ncbi.nlm.nih.gov/summary/summary.cgi?cid=119","119")</f>
        <v>119</v>
      </c>
      <c r="H93" s="1"/>
      <c r="I93" s="7">
        <v>19508</v>
      </c>
      <c r="J93" s="7">
        <v>19488</v>
      </c>
      <c r="K93" s="7">
        <v>11182</v>
      </c>
      <c r="L93" s="7">
        <v>28809</v>
      </c>
      <c r="M93" s="7">
        <v>41383</v>
      </c>
      <c r="N93" s="7">
        <v>19502</v>
      </c>
      <c r="O93" s="7">
        <v>13083</v>
      </c>
      <c r="P93" s="7">
        <v>9359</v>
      </c>
      <c r="Q93" s="7">
        <v>234553</v>
      </c>
      <c r="R93" s="7">
        <v>13539</v>
      </c>
      <c r="S93" s="7">
        <v>36111</v>
      </c>
      <c r="T93" s="7">
        <v>501493</v>
      </c>
      <c r="U93" s="7">
        <v>10424</v>
      </c>
      <c r="V93" s="7">
        <v>11738</v>
      </c>
      <c r="W93" s="7">
        <v>69489</v>
      </c>
      <c r="X93" s="7">
        <v>73387</v>
      </c>
      <c r="Y93" s="7">
        <v>13628</v>
      </c>
      <c r="Z93" s="7">
        <v>14394</v>
      </c>
      <c r="AA93" s="7">
        <v>272204</v>
      </c>
      <c r="AB93" s="7">
        <v>201131</v>
      </c>
      <c r="AC93" s="7">
        <v>202778</v>
      </c>
      <c r="AD93" s="7">
        <v>49853</v>
      </c>
      <c r="AE93" s="7">
        <v>107100</v>
      </c>
      <c r="AF93" s="7">
        <v>63908</v>
      </c>
      <c r="AG93" s="7">
        <v>247790</v>
      </c>
      <c r="AH93" s="7">
        <v>210951</v>
      </c>
      <c r="AI93" s="7">
        <v>52648</v>
      </c>
      <c r="AJ93" s="7">
        <v>373340</v>
      </c>
      <c r="AK93" s="7">
        <v>367906</v>
      </c>
      <c r="AL93" s="7">
        <v>358787</v>
      </c>
      <c r="AM93" s="7">
        <v>29132</v>
      </c>
      <c r="AN93" s="7">
        <v>37158</v>
      </c>
      <c r="AO93" s="7">
        <v>21594</v>
      </c>
      <c r="AP93" s="7">
        <v>49415</v>
      </c>
      <c r="AQ93" s="7">
        <v>34426</v>
      </c>
      <c r="AR93" s="7">
        <v>68087</v>
      </c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</row>
    <row r="94" spans="1:81">
      <c r="A94" s="1" t="s">
        <v>396</v>
      </c>
      <c r="B94" s="1" t="s">
        <v>397</v>
      </c>
      <c r="C94" s="1" t="s">
        <v>398</v>
      </c>
      <c r="D94" s="1" t="str">
        <f>HYPERLINK("http://eros.fiehnlab.ucdavis.edu:8080/binbase-compound/bin/show/199198?db=rtx5","199198")</f>
        <v>199198</v>
      </c>
      <c r="E94" s="1" t="s">
        <v>399</v>
      </c>
      <c r="F94" s="1" t="str">
        <f>HYPERLINK("http://www.genome.ad.jp/dbget-bin/www_bget?compound+C00122","C00122")</f>
        <v>C00122</v>
      </c>
      <c r="G94" s="1" t="str">
        <f>HYPERLINK("http://pubchem.ncbi.nlm.nih.gov/summary/summary.cgi?cid=444972","444972")</f>
        <v>444972</v>
      </c>
      <c r="H94" s="1"/>
      <c r="I94" s="7">
        <v>8665</v>
      </c>
      <c r="J94" s="7">
        <v>5574</v>
      </c>
      <c r="K94" s="7">
        <v>7055</v>
      </c>
      <c r="L94" s="7">
        <v>10747</v>
      </c>
      <c r="M94" s="7">
        <v>19375</v>
      </c>
      <c r="N94" s="7">
        <v>6223</v>
      </c>
      <c r="O94" s="7">
        <v>16111</v>
      </c>
      <c r="P94" s="7">
        <v>7453</v>
      </c>
      <c r="Q94" s="7">
        <v>1892</v>
      </c>
      <c r="R94" s="7">
        <v>7859</v>
      </c>
      <c r="S94" s="7">
        <v>2905</v>
      </c>
      <c r="T94" s="7">
        <v>1652</v>
      </c>
      <c r="U94" s="7">
        <v>4431</v>
      </c>
      <c r="V94" s="7">
        <v>22095</v>
      </c>
      <c r="W94" s="7">
        <v>3148</v>
      </c>
      <c r="X94" s="7">
        <v>3709</v>
      </c>
      <c r="Y94" s="7">
        <v>5149</v>
      </c>
      <c r="Z94" s="7">
        <v>8425</v>
      </c>
      <c r="AA94" s="7">
        <v>2415</v>
      </c>
      <c r="AB94" s="7">
        <v>3547</v>
      </c>
      <c r="AC94" s="7">
        <v>3984</v>
      </c>
      <c r="AD94" s="7">
        <v>12192</v>
      </c>
      <c r="AE94" s="7">
        <v>4514</v>
      </c>
      <c r="AF94" s="7">
        <v>15664</v>
      </c>
      <c r="AG94" s="7">
        <v>6251</v>
      </c>
      <c r="AH94" s="7">
        <v>8927</v>
      </c>
      <c r="AI94" s="7">
        <v>5527</v>
      </c>
      <c r="AJ94" s="7">
        <v>6092</v>
      </c>
      <c r="AK94" s="7">
        <v>5956</v>
      </c>
      <c r="AL94" s="7">
        <v>2331</v>
      </c>
      <c r="AM94" s="7">
        <v>3765</v>
      </c>
      <c r="AN94" s="7">
        <v>3288</v>
      </c>
      <c r="AO94" s="7">
        <v>5054</v>
      </c>
      <c r="AP94" s="7">
        <v>7523</v>
      </c>
      <c r="AQ94" s="7">
        <v>10473</v>
      </c>
      <c r="AR94" s="7">
        <v>2037</v>
      </c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</row>
    <row r="95" spans="1:81">
      <c r="A95" s="1" t="s">
        <v>400</v>
      </c>
      <c r="B95" s="1" t="s">
        <v>401</v>
      </c>
      <c r="C95" s="1" t="s">
        <v>132</v>
      </c>
      <c r="D95" s="1" t="str">
        <f>HYPERLINK("http://eros.fiehnlab.ucdavis.edu:8080/binbase-compound/bin/show/205102?db=rtx5","205102")</f>
        <v>205102</v>
      </c>
      <c r="E95" s="1" t="s">
        <v>402</v>
      </c>
      <c r="F95" s="1" t="str">
        <f>HYPERLINK("http://www.genome.ad.jp/dbget-bin/www_bget?compound+C01018","C01018")</f>
        <v>C01018</v>
      </c>
      <c r="G95" s="1" t="str">
        <f>HYPERLINK("http://pubchem.ncbi.nlm.nih.gov/summary/summary.cgi?cid=94270","94270")</f>
        <v>94270</v>
      </c>
      <c r="H95" s="1"/>
      <c r="I95" s="7">
        <v>556</v>
      </c>
      <c r="J95" s="7">
        <v>1226</v>
      </c>
      <c r="K95" s="7">
        <v>761</v>
      </c>
      <c r="L95" s="7">
        <v>693</v>
      </c>
      <c r="M95" s="7">
        <v>799</v>
      </c>
      <c r="N95" s="7">
        <v>781</v>
      </c>
      <c r="O95" s="7">
        <v>518</v>
      </c>
      <c r="P95" s="7">
        <v>658</v>
      </c>
      <c r="Q95" s="7">
        <v>839</v>
      </c>
      <c r="R95" s="7">
        <v>780</v>
      </c>
      <c r="S95" s="7">
        <v>807</v>
      </c>
      <c r="T95" s="7">
        <v>600</v>
      </c>
      <c r="U95" s="7">
        <v>420</v>
      </c>
      <c r="V95" s="7">
        <v>941</v>
      </c>
      <c r="W95" s="7">
        <v>735</v>
      </c>
      <c r="X95" s="7">
        <v>619</v>
      </c>
      <c r="Y95" s="7">
        <v>745</v>
      </c>
      <c r="Z95" s="7">
        <v>1058</v>
      </c>
      <c r="AA95" s="7">
        <v>953</v>
      </c>
      <c r="AB95" s="7">
        <v>638</v>
      </c>
      <c r="AC95" s="7">
        <v>802</v>
      </c>
      <c r="AD95" s="7">
        <v>1494</v>
      </c>
      <c r="AE95" s="7">
        <v>626</v>
      </c>
      <c r="AF95" s="7">
        <v>887</v>
      </c>
      <c r="AG95" s="7">
        <v>771</v>
      </c>
      <c r="AH95" s="7">
        <v>976</v>
      </c>
      <c r="AI95" s="7">
        <v>849</v>
      </c>
      <c r="AJ95" s="7">
        <v>817</v>
      </c>
      <c r="AK95" s="7">
        <v>810</v>
      </c>
      <c r="AL95" s="7">
        <v>1058</v>
      </c>
      <c r="AM95" s="7">
        <v>852</v>
      </c>
      <c r="AN95" s="7">
        <v>992</v>
      </c>
      <c r="AO95" s="7">
        <v>677</v>
      </c>
      <c r="AP95" s="7">
        <v>603</v>
      </c>
      <c r="AQ95" s="7">
        <v>1153</v>
      </c>
      <c r="AR95" s="7">
        <v>496</v>
      </c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</row>
    <row r="96" spans="1:81">
      <c r="A96" s="1" t="s">
        <v>1181</v>
      </c>
      <c r="B96" s="1" t="s">
        <v>403</v>
      </c>
      <c r="C96" s="1" t="s">
        <v>175</v>
      </c>
      <c r="D96" s="1" t="str">
        <f>HYPERLINK("http://eros.fiehnlab.ucdavis.edu:8080/binbase-compound/bin/show/335365?db=rtx5","335365")</f>
        <v>335365</v>
      </c>
      <c r="E96" s="1" t="s">
        <v>404</v>
      </c>
      <c r="F96" s="1" t="str">
        <f>HYPERLINK("http://www.genome.ad.jp/dbget-bin/www_bget?compound+n/a","n/a")</f>
        <v>n/a</v>
      </c>
      <c r="G96" s="1" t="str">
        <f>HYPERLINK("http://pubchem.ncbi.nlm.nih.gov/summary/summary.cgi?cid=107428","107428")</f>
        <v>107428</v>
      </c>
      <c r="H96" s="1"/>
      <c r="I96" s="7">
        <v>543</v>
      </c>
      <c r="J96" s="7">
        <v>365</v>
      </c>
      <c r="K96" s="7">
        <v>792</v>
      </c>
      <c r="L96" s="7">
        <v>883</v>
      </c>
      <c r="M96" s="7">
        <v>312</v>
      </c>
      <c r="N96" s="7">
        <v>417</v>
      </c>
      <c r="O96" s="7">
        <v>499</v>
      </c>
      <c r="P96" s="7">
        <v>1156</v>
      </c>
      <c r="Q96" s="7">
        <v>640</v>
      </c>
      <c r="R96" s="7">
        <v>805</v>
      </c>
      <c r="S96" s="7">
        <v>946</v>
      </c>
      <c r="T96" s="7">
        <v>1662</v>
      </c>
      <c r="U96" s="7">
        <v>526</v>
      </c>
      <c r="V96" s="7">
        <v>377</v>
      </c>
      <c r="W96" s="7">
        <v>613</v>
      </c>
      <c r="X96" s="7">
        <v>905</v>
      </c>
      <c r="Y96" s="7">
        <v>516</v>
      </c>
      <c r="Z96" s="7">
        <v>328</v>
      </c>
      <c r="AA96" s="7">
        <v>582</v>
      </c>
      <c r="AB96" s="7">
        <v>1166</v>
      </c>
      <c r="AC96" s="7">
        <v>1514</v>
      </c>
      <c r="AD96" s="7">
        <v>396</v>
      </c>
      <c r="AE96" s="7">
        <v>1607</v>
      </c>
      <c r="AF96" s="7">
        <v>1171</v>
      </c>
      <c r="AG96" s="7">
        <v>1161</v>
      </c>
      <c r="AH96" s="7">
        <v>703</v>
      </c>
      <c r="AI96" s="7">
        <v>416</v>
      </c>
      <c r="AJ96" s="7">
        <v>1707</v>
      </c>
      <c r="AK96" s="7">
        <v>1903</v>
      </c>
      <c r="AL96" s="7">
        <v>867</v>
      </c>
      <c r="AM96" s="7">
        <v>1731</v>
      </c>
      <c r="AN96" s="7">
        <v>452</v>
      </c>
      <c r="AO96" s="7">
        <v>1683</v>
      </c>
      <c r="AP96" s="7">
        <v>2073</v>
      </c>
      <c r="AQ96" s="7">
        <v>628</v>
      </c>
      <c r="AR96" s="7">
        <v>1415</v>
      </c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</row>
    <row r="97" spans="1:81">
      <c r="A97" s="1" t="s">
        <v>406</v>
      </c>
      <c r="B97" s="1" t="s">
        <v>407</v>
      </c>
      <c r="C97" s="1" t="s">
        <v>258</v>
      </c>
      <c r="D97" s="1" t="str">
        <f>HYPERLINK("http://eros.fiehnlab.ucdavis.edu:8080/binbase-compound/bin/show/200514?db=rtx5","200514")</f>
        <v>200514</v>
      </c>
      <c r="E97" s="1" t="s">
        <v>408</v>
      </c>
      <c r="F97" s="1" t="str">
        <f>HYPERLINK("http://www.genome.ad.jp/dbget-bin/www_bget?compound+C00503","C00503")</f>
        <v>C00503</v>
      </c>
      <c r="G97" s="1" t="str">
        <f>HYPERLINK("http://pubchem.ncbi.nlm.nih.gov/summary/summary.cgi?cid=222285","222285")</f>
        <v>222285</v>
      </c>
      <c r="H97" s="1"/>
      <c r="I97" s="7">
        <v>483</v>
      </c>
      <c r="J97" s="7">
        <v>376</v>
      </c>
      <c r="K97" s="7">
        <v>341</v>
      </c>
      <c r="L97" s="7">
        <v>599</v>
      </c>
      <c r="M97" s="7">
        <v>304</v>
      </c>
      <c r="N97" s="7">
        <v>781</v>
      </c>
      <c r="O97" s="7">
        <v>465</v>
      </c>
      <c r="P97" s="7">
        <v>264</v>
      </c>
      <c r="Q97" s="7">
        <v>1066</v>
      </c>
      <c r="R97" s="7">
        <v>1292</v>
      </c>
      <c r="S97" s="7">
        <v>494</v>
      </c>
      <c r="T97" s="7">
        <v>915</v>
      </c>
      <c r="U97" s="7">
        <v>628</v>
      </c>
      <c r="V97" s="7">
        <v>313</v>
      </c>
      <c r="W97" s="7">
        <v>475</v>
      </c>
      <c r="X97" s="7">
        <v>399</v>
      </c>
      <c r="Y97" s="7">
        <v>713</v>
      </c>
      <c r="Z97" s="7">
        <v>879</v>
      </c>
      <c r="AA97" s="7">
        <v>357</v>
      </c>
      <c r="AB97" s="7">
        <v>364</v>
      </c>
      <c r="AC97" s="7">
        <v>739</v>
      </c>
      <c r="AD97" s="7">
        <v>1237</v>
      </c>
      <c r="AE97" s="7">
        <v>1869</v>
      </c>
      <c r="AF97" s="7">
        <v>1213</v>
      </c>
      <c r="AG97" s="7">
        <v>1147</v>
      </c>
      <c r="AH97" s="7">
        <v>824</v>
      </c>
      <c r="AI97" s="7">
        <v>608</v>
      </c>
      <c r="AJ97" s="7">
        <v>334</v>
      </c>
      <c r="AK97" s="7">
        <v>2020</v>
      </c>
      <c r="AL97" s="7">
        <v>524</v>
      </c>
      <c r="AM97" s="7">
        <v>402</v>
      </c>
      <c r="AN97" s="7">
        <v>569</v>
      </c>
      <c r="AO97" s="7">
        <v>485</v>
      </c>
      <c r="AP97" s="7">
        <v>927</v>
      </c>
      <c r="AQ97" s="7">
        <v>629</v>
      </c>
      <c r="AR97" s="7">
        <v>553</v>
      </c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</row>
    <row r="98" spans="1:81">
      <c r="A98" s="1" t="s">
        <v>409</v>
      </c>
      <c r="B98" s="1" t="s">
        <v>410</v>
      </c>
      <c r="C98" s="1" t="s">
        <v>240</v>
      </c>
      <c r="D98" s="1" t="str">
        <f>HYPERLINK("http://eros.fiehnlab.ucdavis.edu:8080/binbase-compound/bin/show/201152?db=rtx5","201152")</f>
        <v>201152</v>
      </c>
      <c r="E98" s="1" t="s">
        <v>411</v>
      </c>
      <c r="F98" s="1" t="str">
        <f>HYPERLINK("http://www.genome.ad.jp/dbget-bin/www_bget?compound+C01712","C01712")</f>
        <v>C01712</v>
      </c>
      <c r="G98" s="1" t="str">
        <f>HYPERLINK("http://pubchem.ncbi.nlm.nih.gov/summary/summary.cgi?cid=5282749","5282749")</f>
        <v>5282749</v>
      </c>
      <c r="H98" s="1"/>
      <c r="I98" s="7">
        <v>909</v>
      </c>
      <c r="J98" s="7">
        <v>489</v>
      </c>
      <c r="K98" s="7">
        <v>995</v>
      </c>
      <c r="L98" s="7">
        <v>815</v>
      </c>
      <c r="M98" s="7">
        <v>276</v>
      </c>
      <c r="N98" s="7">
        <v>446</v>
      </c>
      <c r="O98" s="7">
        <v>556</v>
      </c>
      <c r="P98" s="7">
        <v>1107</v>
      </c>
      <c r="Q98" s="7">
        <v>421</v>
      </c>
      <c r="R98" s="7">
        <v>982</v>
      </c>
      <c r="S98" s="7">
        <v>606</v>
      </c>
      <c r="T98" s="7">
        <v>307</v>
      </c>
      <c r="U98" s="7">
        <v>668</v>
      </c>
      <c r="V98" s="7">
        <v>446</v>
      </c>
      <c r="W98" s="7">
        <v>463</v>
      </c>
      <c r="X98" s="7">
        <v>348</v>
      </c>
      <c r="Y98" s="7">
        <v>651</v>
      </c>
      <c r="Z98" s="7">
        <v>418</v>
      </c>
      <c r="AA98" s="7">
        <v>330</v>
      </c>
      <c r="AB98" s="7">
        <v>638</v>
      </c>
      <c r="AC98" s="7">
        <v>728</v>
      </c>
      <c r="AD98" s="7">
        <v>548</v>
      </c>
      <c r="AE98" s="7">
        <v>788</v>
      </c>
      <c r="AF98" s="7">
        <v>617</v>
      </c>
      <c r="AG98" s="7">
        <v>665</v>
      </c>
      <c r="AH98" s="7">
        <v>596</v>
      </c>
      <c r="AI98" s="7">
        <v>830</v>
      </c>
      <c r="AJ98" s="7">
        <v>446</v>
      </c>
      <c r="AK98" s="7">
        <v>660</v>
      </c>
      <c r="AL98" s="7">
        <v>462</v>
      </c>
      <c r="AM98" s="7">
        <v>441</v>
      </c>
      <c r="AN98" s="7">
        <v>487</v>
      </c>
      <c r="AO98" s="7">
        <v>508</v>
      </c>
      <c r="AP98" s="7">
        <v>452</v>
      </c>
      <c r="AQ98" s="7">
        <v>191</v>
      </c>
      <c r="AR98" s="7">
        <v>659</v>
      </c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</row>
    <row r="99" spans="1:81">
      <c r="A99" s="1" t="s">
        <v>412</v>
      </c>
      <c r="B99" s="1" t="s">
        <v>413</v>
      </c>
      <c r="C99" s="1" t="s">
        <v>414</v>
      </c>
      <c r="D99" s="1" t="str">
        <f>HYPERLINK("http://eros.fiehnlab.ucdavis.edu:8080/binbase-compound/bin/show/218955?db=rtx5","218955")</f>
        <v>218955</v>
      </c>
      <c r="E99" s="1" t="s">
        <v>415</v>
      </c>
      <c r="F99" s="1" t="str">
        <f>HYPERLINK("http://www.genome.ad.jp/dbget-bin/www_bget?compound+C02277","C02277")</f>
        <v>C02277</v>
      </c>
      <c r="G99" s="1" t="str">
        <f>HYPERLINK("http://pubchem.ncbi.nlm.nih.gov/summary/summary.cgi?cid=8193","8193")</f>
        <v>8193</v>
      </c>
      <c r="H99" s="1"/>
      <c r="I99" s="7">
        <v>392</v>
      </c>
      <c r="J99" s="7">
        <v>159</v>
      </c>
      <c r="K99" s="7">
        <v>905</v>
      </c>
      <c r="L99" s="7">
        <v>1229</v>
      </c>
      <c r="M99" s="7">
        <v>288</v>
      </c>
      <c r="N99" s="7">
        <v>191</v>
      </c>
      <c r="O99" s="7">
        <v>448</v>
      </c>
      <c r="P99" s="7">
        <v>1148</v>
      </c>
      <c r="Q99" s="7">
        <v>360</v>
      </c>
      <c r="R99" s="7">
        <v>1518</v>
      </c>
      <c r="S99" s="7">
        <v>421</v>
      </c>
      <c r="T99" s="7">
        <v>332</v>
      </c>
      <c r="U99" s="7">
        <v>818</v>
      </c>
      <c r="V99" s="7">
        <v>386</v>
      </c>
      <c r="W99" s="7">
        <v>430</v>
      </c>
      <c r="X99" s="7">
        <v>560</v>
      </c>
      <c r="Y99" s="7">
        <v>1135</v>
      </c>
      <c r="Z99" s="7">
        <v>285</v>
      </c>
      <c r="AA99" s="7">
        <v>449</v>
      </c>
      <c r="AB99" s="7">
        <v>601</v>
      </c>
      <c r="AC99" s="7">
        <v>937</v>
      </c>
      <c r="AD99" s="7">
        <v>1836</v>
      </c>
      <c r="AE99" s="7">
        <v>721</v>
      </c>
      <c r="AF99" s="7">
        <v>1017</v>
      </c>
      <c r="AG99" s="7">
        <v>749</v>
      </c>
      <c r="AH99" s="7">
        <v>873</v>
      </c>
      <c r="AI99" s="7">
        <v>341</v>
      </c>
      <c r="AJ99" s="7">
        <v>1200</v>
      </c>
      <c r="AK99" s="7">
        <v>1174</v>
      </c>
      <c r="AL99" s="7">
        <v>293</v>
      </c>
      <c r="AM99" s="7">
        <v>811</v>
      </c>
      <c r="AN99" s="7">
        <v>316</v>
      </c>
      <c r="AO99" s="7">
        <v>1129</v>
      </c>
      <c r="AP99" s="7">
        <v>1368</v>
      </c>
      <c r="AQ99" s="7">
        <v>223</v>
      </c>
      <c r="AR99" s="7">
        <v>855</v>
      </c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</row>
    <row r="100" spans="1:81">
      <c r="A100" s="1" t="s">
        <v>416</v>
      </c>
      <c r="B100" s="1" t="s">
        <v>417</v>
      </c>
      <c r="C100" s="1" t="s">
        <v>418</v>
      </c>
      <c r="D100" s="1" t="str">
        <f>HYPERLINK("http://eros.fiehnlab.ucdavis.edu:8080/binbase-compound/bin/show/221584?db=rtx5","221584")</f>
        <v>221584</v>
      </c>
      <c r="E100" s="1" t="s">
        <v>419</v>
      </c>
      <c r="F100" s="1" t="str">
        <f>HYPERLINK("http://www.genome.ad.jp/dbget-bin/www_bget?compound+C08374","C08374")</f>
        <v>C08374</v>
      </c>
      <c r="G100" s="1" t="str">
        <f>HYPERLINK("http://pubchem.ncbi.nlm.nih.gov/summary/summary.cgi?cid=8182","8182")</f>
        <v>8182</v>
      </c>
      <c r="H100" s="1"/>
      <c r="I100" s="7">
        <v>227</v>
      </c>
      <c r="J100" s="7">
        <v>375</v>
      </c>
      <c r="K100" s="7">
        <v>482</v>
      </c>
      <c r="L100" s="7">
        <v>813</v>
      </c>
      <c r="M100" s="7">
        <v>92</v>
      </c>
      <c r="N100" s="7">
        <v>466</v>
      </c>
      <c r="O100" s="7">
        <v>266</v>
      </c>
      <c r="P100" s="7">
        <v>632</v>
      </c>
      <c r="Q100" s="7">
        <v>135</v>
      </c>
      <c r="R100" s="7">
        <v>646</v>
      </c>
      <c r="S100" s="7">
        <v>490</v>
      </c>
      <c r="T100" s="7">
        <v>90</v>
      </c>
      <c r="U100" s="7">
        <v>305</v>
      </c>
      <c r="V100" s="7">
        <v>333</v>
      </c>
      <c r="W100" s="7">
        <v>296</v>
      </c>
      <c r="X100" s="7">
        <v>448</v>
      </c>
      <c r="Y100" s="7">
        <v>743</v>
      </c>
      <c r="Z100" s="7">
        <v>95</v>
      </c>
      <c r="AA100" s="7">
        <v>456</v>
      </c>
      <c r="AB100" s="7">
        <v>707</v>
      </c>
      <c r="AC100" s="7">
        <v>233</v>
      </c>
      <c r="AD100" s="7">
        <v>552</v>
      </c>
      <c r="AE100" s="7">
        <v>703</v>
      </c>
      <c r="AF100" s="7">
        <v>621</v>
      </c>
      <c r="AG100" s="7">
        <v>527</v>
      </c>
      <c r="AH100" s="7">
        <v>889</v>
      </c>
      <c r="AI100" s="7">
        <v>529</v>
      </c>
      <c r="AJ100" s="7">
        <v>737</v>
      </c>
      <c r="AK100" s="7">
        <v>381</v>
      </c>
      <c r="AL100" s="7">
        <v>330</v>
      </c>
      <c r="AM100" s="7">
        <v>638</v>
      </c>
      <c r="AN100" s="7">
        <v>106</v>
      </c>
      <c r="AO100" s="7">
        <v>960</v>
      </c>
      <c r="AP100" s="7">
        <v>662</v>
      </c>
      <c r="AQ100" s="7">
        <v>799</v>
      </c>
      <c r="AR100" s="7">
        <v>607</v>
      </c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</row>
    <row r="101" spans="1:81">
      <c r="A101" s="1" t="s">
        <v>420</v>
      </c>
      <c r="B101" s="1" t="s">
        <v>421</v>
      </c>
      <c r="C101" s="1" t="s">
        <v>422</v>
      </c>
      <c r="D101" s="1" t="str">
        <f>HYPERLINK("http://eros.fiehnlab.ucdavis.edu:8080/binbase-compound/bin/show/226283?db=rtx5","226283")</f>
        <v>226283</v>
      </c>
      <c r="E101" s="1" t="s">
        <v>423</v>
      </c>
      <c r="F101" s="1" t="str">
        <f>HYPERLINK("http://www.genome.ad.jp/dbget-bin/www_bget?compound+n/a","n/a")</f>
        <v>n/a</v>
      </c>
      <c r="G101" s="1" t="str">
        <f>HYPERLINK("http://pubchem.ncbi.nlm.nih.gov/summary/summary.cgi?cid=227277","227277")</f>
        <v>227277</v>
      </c>
      <c r="H101" s="1"/>
      <c r="I101" s="7">
        <v>393</v>
      </c>
      <c r="J101" s="7">
        <v>377</v>
      </c>
      <c r="K101" s="7">
        <v>1035</v>
      </c>
      <c r="L101" s="7">
        <v>1057</v>
      </c>
      <c r="M101" s="7">
        <v>357</v>
      </c>
      <c r="N101" s="7">
        <v>434</v>
      </c>
      <c r="O101" s="7">
        <v>521</v>
      </c>
      <c r="P101" s="7">
        <v>461</v>
      </c>
      <c r="Q101" s="7">
        <v>893</v>
      </c>
      <c r="R101" s="7">
        <v>1145</v>
      </c>
      <c r="S101" s="7">
        <v>462</v>
      </c>
      <c r="T101" s="7">
        <v>432</v>
      </c>
      <c r="U101" s="7">
        <v>543</v>
      </c>
      <c r="V101" s="7">
        <v>515</v>
      </c>
      <c r="W101" s="7">
        <v>615</v>
      </c>
      <c r="X101" s="7">
        <v>522</v>
      </c>
      <c r="Y101" s="7">
        <v>725</v>
      </c>
      <c r="Z101" s="7">
        <v>447</v>
      </c>
      <c r="AA101" s="7">
        <v>748</v>
      </c>
      <c r="AB101" s="7">
        <v>1174</v>
      </c>
      <c r="AC101" s="7">
        <v>848</v>
      </c>
      <c r="AD101" s="7">
        <v>557</v>
      </c>
      <c r="AE101" s="7">
        <v>906</v>
      </c>
      <c r="AF101" s="7">
        <v>764</v>
      </c>
      <c r="AG101" s="7">
        <v>443</v>
      </c>
      <c r="AH101" s="7">
        <v>677</v>
      </c>
      <c r="AI101" s="7">
        <v>390</v>
      </c>
      <c r="AJ101" s="7">
        <v>1013</v>
      </c>
      <c r="AK101" s="7">
        <v>1403</v>
      </c>
      <c r="AL101" s="7">
        <v>422</v>
      </c>
      <c r="AM101" s="7">
        <v>622</v>
      </c>
      <c r="AN101" s="7">
        <v>496</v>
      </c>
      <c r="AO101" s="7">
        <v>1421</v>
      </c>
      <c r="AP101" s="7">
        <v>781</v>
      </c>
      <c r="AQ101" s="7">
        <v>451</v>
      </c>
      <c r="AR101" s="7">
        <v>873</v>
      </c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</row>
    <row r="102" spans="1:81">
      <c r="A102" s="1" t="s">
        <v>424</v>
      </c>
      <c r="B102" s="1" t="s">
        <v>425</v>
      </c>
      <c r="C102" s="1" t="s">
        <v>426</v>
      </c>
      <c r="D102" s="1" t="str">
        <f>HYPERLINK("http://eros.fiehnlab.ucdavis.edu:8080/binbase-compound/bin/show/227594?db=rtx5","227594")</f>
        <v>227594</v>
      </c>
      <c r="E102" s="1" t="s">
        <v>427</v>
      </c>
      <c r="F102" s="1" t="str">
        <f>HYPERLINK("http://www.genome.ad.jp/dbget-bin/www_bget?compound+C01419","C01419")</f>
        <v>C01419</v>
      </c>
      <c r="G102" s="1" t="str">
        <f>HYPERLINK("http://pubchem.ncbi.nlm.nih.gov/summary/summary.cgi?cid=439498","439498")</f>
        <v>439498</v>
      </c>
      <c r="H102" s="1"/>
      <c r="I102" s="7">
        <v>637</v>
      </c>
      <c r="J102" s="7">
        <v>347</v>
      </c>
      <c r="K102" s="7">
        <v>597</v>
      </c>
      <c r="L102" s="7">
        <v>1210</v>
      </c>
      <c r="M102" s="7">
        <v>1421</v>
      </c>
      <c r="N102" s="7">
        <v>539</v>
      </c>
      <c r="O102" s="7">
        <v>328</v>
      </c>
      <c r="P102" s="7">
        <v>1460</v>
      </c>
      <c r="Q102" s="7">
        <v>1014</v>
      </c>
      <c r="R102" s="7">
        <v>1983</v>
      </c>
      <c r="S102" s="7">
        <v>1727</v>
      </c>
      <c r="T102" s="7">
        <v>3008</v>
      </c>
      <c r="U102" s="7">
        <v>583</v>
      </c>
      <c r="V102" s="7">
        <v>366</v>
      </c>
      <c r="W102" s="7">
        <v>402</v>
      </c>
      <c r="X102" s="7">
        <v>828</v>
      </c>
      <c r="Y102" s="7">
        <v>512</v>
      </c>
      <c r="Z102" s="7">
        <v>578</v>
      </c>
      <c r="AA102" s="7">
        <v>422</v>
      </c>
      <c r="AB102" s="7">
        <v>723</v>
      </c>
      <c r="AC102" s="7">
        <v>899</v>
      </c>
      <c r="AD102" s="7">
        <v>861</v>
      </c>
      <c r="AE102" s="7">
        <v>834</v>
      </c>
      <c r="AF102" s="7">
        <v>965</v>
      </c>
      <c r="AG102" s="7">
        <v>1258</v>
      </c>
      <c r="AH102" s="7">
        <v>1192</v>
      </c>
      <c r="AI102" s="7">
        <v>712</v>
      </c>
      <c r="AJ102" s="7">
        <v>1106</v>
      </c>
      <c r="AK102" s="7">
        <v>1489</v>
      </c>
      <c r="AL102" s="7">
        <v>478</v>
      </c>
      <c r="AM102" s="7">
        <v>593</v>
      </c>
      <c r="AN102" s="7">
        <v>347</v>
      </c>
      <c r="AO102" s="7">
        <v>628</v>
      </c>
      <c r="AP102" s="7">
        <v>991</v>
      </c>
      <c r="AQ102" s="7">
        <v>399</v>
      </c>
      <c r="AR102" s="7">
        <v>717</v>
      </c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</row>
    <row r="103" spans="1:81">
      <c r="A103" s="1" t="s">
        <v>428</v>
      </c>
      <c r="B103" s="1" t="s">
        <v>429</v>
      </c>
      <c r="C103" s="1" t="s">
        <v>426</v>
      </c>
      <c r="D103" s="1" t="str">
        <f>HYPERLINK("http://eros.fiehnlab.ucdavis.edu:8080/binbase-compound/bin/show/200918?db=rtx5","200918")</f>
        <v>200918</v>
      </c>
      <c r="E103" s="1" t="s">
        <v>430</v>
      </c>
      <c r="F103" s="1" t="str">
        <f>HYPERLINK("http://www.genome.ad.jp/dbget-bin/www_bget?compound+C00097","C00097")</f>
        <v>C00097</v>
      </c>
      <c r="G103" s="1" t="str">
        <f>HYPERLINK("http://pubchem.ncbi.nlm.nih.gov/summary/summary.cgi?cid=594","594")</f>
        <v>594</v>
      </c>
      <c r="H103" s="1"/>
      <c r="I103" s="7">
        <v>229</v>
      </c>
      <c r="J103" s="7">
        <v>528</v>
      </c>
      <c r="K103" s="7">
        <v>227</v>
      </c>
      <c r="L103" s="7">
        <v>268</v>
      </c>
      <c r="M103" s="7">
        <v>1064</v>
      </c>
      <c r="N103" s="7">
        <v>161</v>
      </c>
      <c r="O103" s="7">
        <v>182</v>
      </c>
      <c r="P103" s="7">
        <v>514</v>
      </c>
      <c r="Q103" s="7">
        <v>437</v>
      </c>
      <c r="R103" s="7">
        <v>1828</v>
      </c>
      <c r="S103" s="7">
        <v>1865</v>
      </c>
      <c r="T103" s="7">
        <v>3345</v>
      </c>
      <c r="U103" s="7">
        <v>235</v>
      </c>
      <c r="V103" s="7">
        <v>209</v>
      </c>
      <c r="W103" s="7">
        <v>296</v>
      </c>
      <c r="X103" s="7">
        <v>503</v>
      </c>
      <c r="Y103" s="7">
        <v>420</v>
      </c>
      <c r="Z103" s="7">
        <v>937</v>
      </c>
      <c r="AA103" s="7">
        <v>249</v>
      </c>
      <c r="AB103" s="7">
        <v>359</v>
      </c>
      <c r="AC103" s="7">
        <v>406</v>
      </c>
      <c r="AD103" s="7">
        <v>327</v>
      </c>
      <c r="AE103" s="7">
        <v>402</v>
      </c>
      <c r="AF103" s="7">
        <v>659</v>
      </c>
      <c r="AG103" s="7">
        <v>790</v>
      </c>
      <c r="AH103" s="7">
        <v>396</v>
      </c>
      <c r="AI103" s="7">
        <v>473</v>
      </c>
      <c r="AJ103" s="7">
        <v>1002</v>
      </c>
      <c r="AK103" s="7">
        <v>712</v>
      </c>
      <c r="AL103" s="7">
        <v>623</v>
      </c>
      <c r="AM103" s="7">
        <v>287</v>
      </c>
      <c r="AN103" s="7">
        <v>552</v>
      </c>
      <c r="AO103" s="7">
        <v>278</v>
      </c>
      <c r="AP103" s="7">
        <v>516</v>
      </c>
      <c r="AQ103" s="7">
        <v>443</v>
      </c>
      <c r="AR103" s="7">
        <v>327</v>
      </c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</row>
    <row r="104" spans="1:81">
      <c r="A104" s="1" t="s">
        <v>431</v>
      </c>
      <c r="B104" s="1" t="s">
        <v>432</v>
      </c>
      <c r="C104" s="1" t="s">
        <v>433</v>
      </c>
      <c r="D104" s="1" t="str">
        <f>HYPERLINK("http://eros.fiehnlab.ucdavis.edu:8080/binbase-compound/bin/show/339415?db=rtx5","339415")</f>
        <v>339415</v>
      </c>
      <c r="E104" s="1" t="s">
        <v>434</v>
      </c>
      <c r="F104" s="1" t="str">
        <f>HYPERLINK("http://www.genome.ad.jp/dbget-bin/www_bget?compound+C00327","C00327")</f>
        <v>C00327</v>
      </c>
      <c r="G104" s="1" t="str">
        <f>HYPERLINK("http://pubchem.ncbi.nlm.nih.gov/summary/summary.cgi?cid=9750","9750")</f>
        <v>9750</v>
      </c>
      <c r="H104" s="1"/>
      <c r="I104" s="7">
        <v>3845</v>
      </c>
      <c r="J104" s="7">
        <v>5933</v>
      </c>
      <c r="K104" s="7">
        <v>4182</v>
      </c>
      <c r="L104" s="7">
        <v>2343</v>
      </c>
      <c r="M104" s="7">
        <v>4143</v>
      </c>
      <c r="N104" s="7">
        <v>3875</v>
      </c>
      <c r="O104" s="7">
        <v>4283</v>
      </c>
      <c r="P104" s="7">
        <v>3213</v>
      </c>
      <c r="Q104" s="7">
        <v>3165</v>
      </c>
      <c r="R104" s="7">
        <v>3212</v>
      </c>
      <c r="S104" s="7">
        <v>3688</v>
      </c>
      <c r="T104" s="7">
        <v>3047</v>
      </c>
      <c r="U104" s="7">
        <v>2640</v>
      </c>
      <c r="V104" s="7">
        <v>5953</v>
      </c>
      <c r="W104" s="7">
        <v>6250</v>
      </c>
      <c r="X104" s="7">
        <v>2704</v>
      </c>
      <c r="Y104" s="7">
        <v>2810</v>
      </c>
      <c r="Z104" s="7">
        <v>5552</v>
      </c>
      <c r="AA104" s="7">
        <v>2067</v>
      </c>
      <c r="AB104" s="7">
        <v>1706</v>
      </c>
      <c r="AC104" s="7">
        <v>1115</v>
      </c>
      <c r="AD104" s="7">
        <v>2763</v>
      </c>
      <c r="AE104" s="7">
        <v>3002</v>
      </c>
      <c r="AF104" s="7">
        <v>4827</v>
      </c>
      <c r="AG104" s="7">
        <v>2533</v>
      </c>
      <c r="AH104" s="7">
        <v>1493</v>
      </c>
      <c r="AI104" s="7">
        <v>3497</v>
      </c>
      <c r="AJ104" s="7">
        <v>1795</v>
      </c>
      <c r="AK104" s="7">
        <v>1424</v>
      </c>
      <c r="AL104" s="7">
        <v>3159</v>
      </c>
      <c r="AM104" s="7">
        <v>2804</v>
      </c>
      <c r="AN104" s="7">
        <v>4627</v>
      </c>
      <c r="AO104" s="7">
        <v>2648</v>
      </c>
      <c r="AP104" s="7">
        <v>2678</v>
      </c>
      <c r="AQ104" s="7">
        <v>5750</v>
      </c>
      <c r="AR104" s="7">
        <v>2487</v>
      </c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</row>
    <row r="105" spans="1:81">
      <c r="A105" s="1" t="s">
        <v>435</v>
      </c>
      <c r="B105" s="1" t="s">
        <v>436</v>
      </c>
      <c r="C105" s="1" t="s">
        <v>437</v>
      </c>
      <c r="D105" s="1" t="str">
        <f>HYPERLINK("http://eros.fiehnlab.ucdavis.edu:8080/binbase-compound/bin/show/372849?db=rtx5","372849")</f>
        <v>372849</v>
      </c>
      <c r="E105" s="1" t="s">
        <v>438</v>
      </c>
      <c r="F105" s="1" t="str">
        <f>HYPERLINK("http://www.genome.ad.jp/dbget-bin/www_bget?compound+C00158","C00158")</f>
        <v>C00158</v>
      </c>
      <c r="G105" s="1" t="str">
        <f>HYPERLINK("http://pubchem.ncbi.nlm.nih.gov/summary/summary.cgi?cid=311","311")</f>
        <v>311</v>
      </c>
      <c r="H105" s="1"/>
      <c r="I105" s="7">
        <v>1056</v>
      </c>
      <c r="J105" s="7">
        <v>2174</v>
      </c>
      <c r="K105" s="7">
        <v>15534</v>
      </c>
      <c r="L105" s="7">
        <v>9459</v>
      </c>
      <c r="M105" s="7">
        <v>317</v>
      </c>
      <c r="N105" s="7">
        <v>964</v>
      </c>
      <c r="O105" s="7">
        <v>964</v>
      </c>
      <c r="P105" s="7">
        <v>3086</v>
      </c>
      <c r="Q105" s="7">
        <v>2002</v>
      </c>
      <c r="R105" s="7">
        <v>8350</v>
      </c>
      <c r="S105" s="7">
        <v>2783</v>
      </c>
      <c r="T105" s="7">
        <v>1942</v>
      </c>
      <c r="U105" s="7">
        <v>3226</v>
      </c>
      <c r="V105" s="7">
        <v>1782</v>
      </c>
      <c r="W105" s="7">
        <v>1306</v>
      </c>
      <c r="X105" s="7">
        <v>2097</v>
      </c>
      <c r="Y105" s="7">
        <v>3609</v>
      </c>
      <c r="Z105" s="7">
        <v>878</v>
      </c>
      <c r="AA105" s="7">
        <v>1437</v>
      </c>
      <c r="AB105" s="7">
        <v>10003</v>
      </c>
      <c r="AC105" s="7">
        <v>18421</v>
      </c>
      <c r="AD105" s="7">
        <v>44907</v>
      </c>
      <c r="AE105" s="7">
        <v>6279</v>
      </c>
      <c r="AF105" s="7">
        <v>57954</v>
      </c>
      <c r="AG105" s="7">
        <v>3348</v>
      </c>
      <c r="AH105" s="7">
        <v>24033</v>
      </c>
      <c r="AI105" s="7">
        <v>1813</v>
      </c>
      <c r="AJ105" s="7">
        <v>14446</v>
      </c>
      <c r="AK105" s="7">
        <v>6557</v>
      </c>
      <c r="AL105" s="7">
        <v>1563</v>
      </c>
      <c r="AM105" s="7">
        <v>5290</v>
      </c>
      <c r="AN105" s="7">
        <v>1659</v>
      </c>
      <c r="AO105" s="7">
        <v>5759</v>
      </c>
      <c r="AP105" s="7">
        <v>5907</v>
      </c>
      <c r="AQ105" s="7">
        <v>1360</v>
      </c>
      <c r="AR105" s="7">
        <v>6730</v>
      </c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</row>
    <row r="106" spans="1:81">
      <c r="A106" s="1" t="s">
        <v>439</v>
      </c>
      <c r="B106" s="1" t="s">
        <v>440</v>
      </c>
      <c r="C106" s="1" t="s">
        <v>222</v>
      </c>
      <c r="D106" s="1" t="str">
        <f>HYPERLINK("http://eros.fiehnlab.ucdavis.edu:8080/binbase-compound/bin/show/372926?db=rtx5","372926")</f>
        <v>372926</v>
      </c>
      <c r="E106" s="1" t="s">
        <v>441</v>
      </c>
      <c r="F106" s="1" t="s">
        <v>0</v>
      </c>
      <c r="G106" s="1" t="s">
        <v>0</v>
      </c>
      <c r="H106" s="1"/>
      <c r="I106" s="7">
        <v>1354</v>
      </c>
      <c r="J106" s="7">
        <v>500</v>
      </c>
      <c r="K106" s="7">
        <v>979</v>
      </c>
      <c r="L106" s="7">
        <v>2724</v>
      </c>
      <c r="M106" s="7">
        <v>442</v>
      </c>
      <c r="N106" s="7">
        <v>521</v>
      </c>
      <c r="O106" s="7">
        <v>511</v>
      </c>
      <c r="P106" s="7">
        <v>2052</v>
      </c>
      <c r="Q106" s="7">
        <v>1034</v>
      </c>
      <c r="R106" s="7">
        <v>1060</v>
      </c>
      <c r="S106" s="7">
        <v>1328</v>
      </c>
      <c r="T106" s="7">
        <v>1226</v>
      </c>
      <c r="U106" s="7">
        <v>1404</v>
      </c>
      <c r="V106" s="7">
        <v>593</v>
      </c>
      <c r="W106" s="7">
        <v>877</v>
      </c>
      <c r="X106" s="7">
        <v>2713</v>
      </c>
      <c r="Y106" s="7">
        <v>3529</v>
      </c>
      <c r="Z106" s="7">
        <v>407</v>
      </c>
      <c r="AA106" s="7">
        <v>961</v>
      </c>
      <c r="AB106" s="7">
        <v>2329</v>
      </c>
      <c r="AC106" s="7">
        <v>1343</v>
      </c>
      <c r="AD106" s="7">
        <v>961</v>
      </c>
      <c r="AE106" s="7">
        <v>2693</v>
      </c>
      <c r="AF106" s="7">
        <v>1024</v>
      </c>
      <c r="AG106" s="7">
        <v>2452</v>
      </c>
      <c r="AH106" s="7">
        <v>826</v>
      </c>
      <c r="AI106" s="7">
        <v>392</v>
      </c>
      <c r="AJ106" s="7">
        <v>1190</v>
      </c>
      <c r="AK106" s="7">
        <v>3299</v>
      </c>
      <c r="AL106" s="7">
        <v>1042</v>
      </c>
      <c r="AM106" s="7">
        <v>1441</v>
      </c>
      <c r="AN106" s="7">
        <v>751</v>
      </c>
      <c r="AO106" s="7">
        <v>927</v>
      </c>
      <c r="AP106" s="7">
        <v>1386</v>
      </c>
      <c r="AQ106" s="7">
        <v>376</v>
      </c>
      <c r="AR106" s="7">
        <v>857</v>
      </c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</row>
    <row r="107" spans="1:81">
      <c r="A107" s="1" t="s">
        <v>442</v>
      </c>
      <c r="B107" s="1" t="s">
        <v>443</v>
      </c>
      <c r="C107" s="1" t="s">
        <v>132</v>
      </c>
      <c r="D107" s="1" t="str">
        <f>HYPERLINK("http://eros.fiehnlab.ucdavis.edu:8080/binbase-compound/bin/show/213517?db=rtx5","213517")</f>
        <v>213517</v>
      </c>
      <c r="E107" s="1" t="s">
        <v>444</v>
      </c>
      <c r="F107" s="1" t="str">
        <f>HYPERLINK("http://www.genome.ad.jp/dbget-bin/www_bget?compound+C01571","C01571")</f>
        <v>C01571</v>
      </c>
      <c r="G107" s="1" t="str">
        <f>HYPERLINK("http://pubchem.ncbi.nlm.nih.gov/summary/summary.cgi?cid=2969","2969")</f>
        <v>2969</v>
      </c>
      <c r="H107" s="1"/>
      <c r="I107" s="7">
        <v>1865</v>
      </c>
      <c r="J107" s="7">
        <v>1229</v>
      </c>
      <c r="K107" s="7">
        <v>3054</v>
      </c>
      <c r="L107" s="7">
        <v>3616</v>
      </c>
      <c r="M107" s="7">
        <v>1334</v>
      </c>
      <c r="N107" s="7">
        <v>1651</v>
      </c>
      <c r="O107" s="7">
        <v>3350</v>
      </c>
      <c r="P107" s="7">
        <v>3984</v>
      </c>
      <c r="Q107" s="7">
        <v>2107</v>
      </c>
      <c r="R107" s="7">
        <v>3479</v>
      </c>
      <c r="S107" s="7">
        <v>2574</v>
      </c>
      <c r="T107" s="7">
        <v>1405</v>
      </c>
      <c r="U107" s="7">
        <v>2024</v>
      </c>
      <c r="V107" s="7">
        <v>2328</v>
      </c>
      <c r="W107" s="7">
        <v>2603</v>
      </c>
      <c r="X107" s="7">
        <v>2947</v>
      </c>
      <c r="Y107" s="7">
        <v>4254</v>
      </c>
      <c r="Z107" s="7">
        <v>1266</v>
      </c>
      <c r="AA107" s="7">
        <v>2677</v>
      </c>
      <c r="AB107" s="7">
        <v>3231</v>
      </c>
      <c r="AC107" s="7">
        <v>2305</v>
      </c>
      <c r="AD107" s="7">
        <v>2156</v>
      </c>
      <c r="AE107" s="7">
        <v>2134</v>
      </c>
      <c r="AF107" s="7">
        <v>4137</v>
      </c>
      <c r="AG107" s="7">
        <v>3791</v>
      </c>
      <c r="AH107" s="7">
        <v>2790</v>
      </c>
      <c r="AI107" s="7">
        <v>2247</v>
      </c>
      <c r="AJ107" s="7">
        <v>5069</v>
      </c>
      <c r="AK107" s="7">
        <v>3968</v>
      </c>
      <c r="AL107" s="7">
        <v>1186</v>
      </c>
      <c r="AM107" s="7">
        <v>3792</v>
      </c>
      <c r="AN107" s="7">
        <v>1416</v>
      </c>
      <c r="AO107" s="7">
        <v>4039</v>
      </c>
      <c r="AP107" s="7">
        <v>2822</v>
      </c>
      <c r="AQ107" s="7">
        <v>1271</v>
      </c>
      <c r="AR107" s="7">
        <v>3741</v>
      </c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</row>
    <row r="108" spans="1:81">
      <c r="A108" s="1" t="s">
        <v>445</v>
      </c>
      <c r="B108" s="1" t="s">
        <v>446</v>
      </c>
      <c r="C108" s="1" t="s">
        <v>190</v>
      </c>
      <c r="D108" s="1" t="str">
        <f>HYPERLINK("http://eros.fiehnlab.ucdavis.edu:8080/binbase-compound/bin/show/200952?db=rtx5","200952")</f>
        <v>200952</v>
      </c>
      <c r="E108" s="1" t="s">
        <v>447</v>
      </c>
      <c r="F108" s="1" t="str">
        <f>HYPERLINK("http://www.genome.ad.jp/dbget-bin/www_bget?compound+n/a","n/a")</f>
        <v>n/a</v>
      </c>
      <c r="G108" s="1" t="str">
        <f>HYPERLINK("http://pubchem.ncbi.nlm.nih.gov/summary/summary.cgi?cid=12025","12025")</f>
        <v>12025</v>
      </c>
      <c r="H108" s="1"/>
      <c r="I108" s="7">
        <v>867</v>
      </c>
      <c r="J108" s="7">
        <v>898</v>
      </c>
      <c r="K108" s="7">
        <v>1310</v>
      </c>
      <c r="L108" s="7">
        <v>1094</v>
      </c>
      <c r="M108" s="7">
        <v>1329</v>
      </c>
      <c r="N108" s="7">
        <v>690</v>
      </c>
      <c r="O108" s="7">
        <v>1191</v>
      </c>
      <c r="P108" s="7">
        <v>1326</v>
      </c>
      <c r="Q108" s="7">
        <v>3436</v>
      </c>
      <c r="R108" s="7">
        <v>557</v>
      </c>
      <c r="S108" s="7">
        <v>1270</v>
      </c>
      <c r="T108" s="7">
        <v>7104</v>
      </c>
      <c r="U108" s="7">
        <v>895</v>
      </c>
      <c r="V108" s="7">
        <v>1032</v>
      </c>
      <c r="W108" s="7">
        <v>1975</v>
      </c>
      <c r="X108" s="7">
        <v>1992</v>
      </c>
      <c r="Y108" s="7">
        <v>987</v>
      </c>
      <c r="Z108" s="7">
        <v>1019</v>
      </c>
      <c r="AA108" s="7">
        <v>4269</v>
      </c>
      <c r="AB108" s="7">
        <v>3300</v>
      </c>
      <c r="AC108" s="7">
        <v>5038</v>
      </c>
      <c r="AD108" s="7">
        <v>1386</v>
      </c>
      <c r="AE108" s="7">
        <v>2033</v>
      </c>
      <c r="AF108" s="7">
        <v>1636</v>
      </c>
      <c r="AG108" s="7">
        <v>4395</v>
      </c>
      <c r="AH108" s="7">
        <v>3166</v>
      </c>
      <c r="AI108" s="7">
        <v>1213</v>
      </c>
      <c r="AJ108" s="7">
        <v>6332</v>
      </c>
      <c r="AK108" s="7">
        <v>4699</v>
      </c>
      <c r="AL108" s="7">
        <v>5086</v>
      </c>
      <c r="AM108" s="7">
        <v>1100</v>
      </c>
      <c r="AN108" s="7">
        <v>1137</v>
      </c>
      <c r="AO108" s="7">
        <v>2274</v>
      </c>
      <c r="AP108" s="7">
        <v>1893</v>
      </c>
      <c r="AQ108" s="7">
        <v>1484</v>
      </c>
      <c r="AR108" s="7">
        <v>1892</v>
      </c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</row>
    <row r="109" spans="1:81">
      <c r="A109" s="1" t="s">
        <v>448</v>
      </c>
      <c r="B109" s="1" t="s">
        <v>449</v>
      </c>
      <c r="C109" s="1" t="s">
        <v>414</v>
      </c>
      <c r="D109" s="1" t="str">
        <f>HYPERLINK("http://eros.fiehnlab.ucdavis.edu:8080/binbase-compound/bin/show/362095?db=rtx5","362095")</f>
        <v>362095</v>
      </c>
      <c r="E109" s="1" t="s">
        <v>450</v>
      </c>
      <c r="F109" s="1" t="s">
        <v>0</v>
      </c>
      <c r="G109" s="1" t="s">
        <v>0</v>
      </c>
      <c r="H109" s="1"/>
      <c r="I109" s="7">
        <v>661</v>
      </c>
      <c r="J109" s="7">
        <v>404</v>
      </c>
      <c r="K109" s="7">
        <v>640</v>
      </c>
      <c r="L109" s="7">
        <v>917</v>
      </c>
      <c r="M109" s="7">
        <v>508</v>
      </c>
      <c r="N109" s="7">
        <v>767</v>
      </c>
      <c r="O109" s="7">
        <v>536</v>
      </c>
      <c r="P109" s="7">
        <v>895</v>
      </c>
      <c r="Q109" s="7">
        <v>1387</v>
      </c>
      <c r="R109" s="7">
        <v>1745</v>
      </c>
      <c r="S109" s="7">
        <v>359</v>
      </c>
      <c r="T109" s="7">
        <v>211</v>
      </c>
      <c r="U109" s="7">
        <v>376</v>
      </c>
      <c r="V109" s="7">
        <v>206</v>
      </c>
      <c r="W109" s="7">
        <v>456</v>
      </c>
      <c r="X109" s="7">
        <v>860</v>
      </c>
      <c r="Y109" s="7">
        <v>578</v>
      </c>
      <c r="Z109" s="7">
        <v>147</v>
      </c>
      <c r="AA109" s="7">
        <v>145</v>
      </c>
      <c r="AB109" s="7">
        <v>800</v>
      </c>
      <c r="AC109" s="7">
        <v>1212</v>
      </c>
      <c r="AD109" s="7">
        <v>1491</v>
      </c>
      <c r="AE109" s="7">
        <v>997</v>
      </c>
      <c r="AF109" s="7">
        <v>1085</v>
      </c>
      <c r="AG109" s="7">
        <v>417</v>
      </c>
      <c r="AH109" s="7">
        <v>1358</v>
      </c>
      <c r="AI109" s="7">
        <v>141</v>
      </c>
      <c r="AJ109" s="7">
        <v>1075</v>
      </c>
      <c r="AK109" s="7">
        <v>1169</v>
      </c>
      <c r="AL109" s="7">
        <v>1307</v>
      </c>
      <c r="AM109" s="7">
        <v>694</v>
      </c>
      <c r="AN109" s="7">
        <v>149</v>
      </c>
      <c r="AO109" s="7">
        <v>740</v>
      </c>
      <c r="AP109" s="7">
        <v>1046</v>
      </c>
      <c r="AQ109" s="7">
        <v>478</v>
      </c>
      <c r="AR109" s="7">
        <v>908</v>
      </c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</row>
    <row r="110" spans="1:81">
      <c r="A110" s="1" t="s">
        <v>1182</v>
      </c>
      <c r="B110" s="1" t="s">
        <v>451</v>
      </c>
      <c r="C110" s="1" t="s">
        <v>385</v>
      </c>
      <c r="D110" s="1" t="str">
        <f>HYPERLINK("http://eros.fiehnlab.ucdavis.edu:8080/binbase-compound/bin/show/233311?db=rtx5","233311")</f>
        <v>233311</v>
      </c>
      <c r="E110" s="1" t="s">
        <v>452</v>
      </c>
      <c r="F110" s="1" t="str">
        <f>HYPERLINK("http://www.genome.ad.jp/dbget-bin/www_bget?compound+C08240","C08240")</f>
        <v>C08240</v>
      </c>
      <c r="G110" s="1" t="str">
        <f>HYPERLINK("http://pubchem.ncbi.nlm.nih.gov/summary/summary.cgi?cid=441422","441422")</f>
        <v>441422</v>
      </c>
      <c r="H110" s="1"/>
      <c r="I110" s="7">
        <v>179</v>
      </c>
      <c r="J110" s="7">
        <v>79</v>
      </c>
      <c r="K110" s="7">
        <v>206</v>
      </c>
      <c r="L110" s="7">
        <v>407</v>
      </c>
      <c r="M110" s="7">
        <v>104</v>
      </c>
      <c r="N110" s="7">
        <v>169</v>
      </c>
      <c r="O110" s="7">
        <v>154</v>
      </c>
      <c r="P110" s="7">
        <v>239</v>
      </c>
      <c r="Q110" s="7">
        <v>241</v>
      </c>
      <c r="R110" s="7">
        <v>563</v>
      </c>
      <c r="S110" s="7">
        <v>275</v>
      </c>
      <c r="T110" s="7">
        <v>660</v>
      </c>
      <c r="U110" s="7">
        <v>159</v>
      </c>
      <c r="V110" s="7">
        <v>242</v>
      </c>
      <c r="W110" s="7">
        <v>123</v>
      </c>
      <c r="X110" s="7">
        <v>310</v>
      </c>
      <c r="Y110" s="7">
        <v>481</v>
      </c>
      <c r="Z110" s="7">
        <v>232</v>
      </c>
      <c r="AA110" s="7">
        <v>146</v>
      </c>
      <c r="AB110" s="7">
        <v>387</v>
      </c>
      <c r="AC110" s="7">
        <v>782</v>
      </c>
      <c r="AD110" s="7">
        <v>557</v>
      </c>
      <c r="AE110" s="7">
        <v>622</v>
      </c>
      <c r="AF110" s="7">
        <v>1137</v>
      </c>
      <c r="AG110" s="7">
        <v>482</v>
      </c>
      <c r="AH110" s="7">
        <v>742</v>
      </c>
      <c r="AI110" s="7">
        <v>127</v>
      </c>
      <c r="AJ110" s="7">
        <v>731</v>
      </c>
      <c r="AK110" s="7">
        <v>845</v>
      </c>
      <c r="AL110" s="7">
        <v>185</v>
      </c>
      <c r="AM110" s="7">
        <v>361</v>
      </c>
      <c r="AN110" s="7">
        <v>115</v>
      </c>
      <c r="AO110" s="7">
        <v>394</v>
      </c>
      <c r="AP110" s="7">
        <v>856</v>
      </c>
      <c r="AQ110" s="7">
        <v>160</v>
      </c>
      <c r="AR110" s="7">
        <v>434</v>
      </c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</row>
    <row r="111" spans="1:81">
      <c r="A111" s="1" t="s">
        <v>453</v>
      </c>
      <c r="B111" s="1" t="s">
        <v>454</v>
      </c>
      <c r="C111" s="1" t="s">
        <v>455</v>
      </c>
      <c r="D111" s="1" t="str">
        <f>HYPERLINK("http://eros.fiehnlab.ucdavis.edu:8080/binbase-compound/bin/show/233412?db=rtx5","233412")</f>
        <v>233412</v>
      </c>
      <c r="E111" s="1" t="s">
        <v>456</v>
      </c>
      <c r="F111" s="1" t="str">
        <f>HYPERLINK("http://www.genome.ad.jp/dbget-bin/www_bget?compound+C00099","C00099")</f>
        <v>C00099</v>
      </c>
      <c r="G111" s="1" t="str">
        <f>HYPERLINK("http://pubchem.ncbi.nlm.nih.gov/summary/summary.cgi?cid=239","239")</f>
        <v>239</v>
      </c>
      <c r="H111" s="1"/>
      <c r="I111" s="7">
        <v>392</v>
      </c>
      <c r="J111" s="7">
        <v>212</v>
      </c>
      <c r="K111" s="7">
        <v>463</v>
      </c>
      <c r="L111" s="7">
        <v>447</v>
      </c>
      <c r="M111" s="7">
        <v>299</v>
      </c>
      <c r="N111" s="7">
        <v>178</v>
      </c>
      <c r="O111" s="7">
        <v>260</v>
      </c>
      <c r="P111" s="7">
        <v>600</v>
      </c>
      <c r="Q111" s="7">
        <v>213</v>
      </c>
      <c r="R111" s="7">
        <v>477</v>
      </c>
      <c r="S111" s="7">
        <v>343</v>
      </c>
      <c r="T111" s="7">
        <v>180</v>
      </c>
      <c r="U111" s="7">
        <v>377</v>
      </c>
      <c r="V111" s="7">
        <v>176</v>
      </c>
      <c r="W111" s="7">
        <v>171</v>
      </c>
      <c r="X111" s="7">
        <v>270</v>
      </c>
      <c r="Y111" s="7">
        <v>205</v>
      </c>
      <c r="Z111" s="7">
        <v>138</v>
      </c>
      <c r="AA111" s="7">
        <v>200</v>
      </c>
      <c r="AB111" s="7">
        <v>775</v>
      </c>
      <c r="AC111" s="7">
        <v>484</v>
      </c>
      <c r="AD111" s="7">
        <v>937</v>
      </c>
      <c r="AE111" s="7">
        <v>583</v>
      </c>
      <c r="AF111" s="7">
        <v>470</v>
      </c>
      <c r="AG111" s="7">
        <v>577</v>
      </c>
      <c r="AH111" s="7">
        <v>717</v>
      </c>
      <c r="AI111" s="7">
        <v>157</v>
      </c>
      <c r="AJ111" s="7">
        <v>373</v>
      </c>
      <c r="AK111" s="7">
        <v>505</v>
      </c>
      <c r="AL111" s="7">
        <v>158</v>
      </c>
      <c r="AM111" s="7">
        <v>328</v>
      </c>
      <c r="AN111" s="7">
        <v>158</v>
      </c>
      <c r="AO111" s="7">
        <v>313</v>
      </c>
      <c r="AP111" s="7">
        <v>388</v>
      </c>
      <c r="AQ111" s="7">
        <v>128</v>
      </c>
      <c r="AR111" s="7">
        <v>310</v>
      </c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</row>
    <row r="112" spans="1:81">
      <c r="A112" s="1" t="s">
        <v>1183</v>
      </c>
      <c r="B112" s="1" t="s">
        <v>457</v>
      </c>
      <c r="C112" s="1" t="s">
        <v>116</v>
      </c>
      <c r="D112" s="1" t="str">
        <f>HYPERLINK("http://eros.fiehnlab.ucdavis.edu:8080/binbase-compound/bin/show/386128?db=rtx5","386128")</f>
        <v>386128</v>
      </c>
      <c r="E112" s="1" t="s">
        <v>458</v>
      </c>
      <c r="F112" s="1" t="s">
        <v>0</v>
      </c>
      <c r="G112" s="1" t="s">
        <v>0</v>
      </c>
      <c r="H112" s="1"/>
      <c r="I112" s="7">
        <v>63744</v>
      </c>
      <c r="J112" s="7">
        <v>32861</v>
      </c>
      <c r="K112" s="7">
        <v>149039</v>
      </c>
      <c r="L112" s="7">
        <v>184689</v>
      </c>
      <c r="M112" s="7">
        <v>72740</v>
      </c>
      <c r="N112" s="7">
        <v>61087</v>
      </c>
      <c r="O112" s="7">
        <v>89144</v>
      </c>
      <c r="P112" s="7">
        <v>152320</v>
      </c>
      <c r="Q112" s="7">
        <v>71266</v>
      </c>
      <c r="R112" s="7">
        <v>170215</v>
      </c>
      <c r="S112" s="7">
        <v>92232</v>
      </c>
      <c r="T112" s="7">
        <v>62168</v>
      </c>
      <c r="U112" s="7">
        <v>108586</v>
      </c>
      <c r="V112" s="7">
        <v>92885</v>
      </c>
      <c r="W112" s="7">
        <v>67910</v>
      </c>
      <c r="X112" s="7">
        <v>118458</v>
      </c>
      <c r="Y112" s="7">
        <v>205336</v>
      </c>
      <c r="Z112" s="7">
        <v>47439</v>
      </c>
      <c r="AA112" s="7">
        <v>81893</v>
      </c>
      <c r="AB112" s="7">
        <v>177752</v>
      </c>
      <c r="AC112" s="7">
        <v>189590</v>
      </c>
      <c r="AD112" s="7">
        <v>152722</v>
      </c>
      <c r="AE112" s="7">
        <v>136881</v>
      </c>
      <c r="AF112" s="7">
        <v>167842</v>
      </c>
      <c r="AG112" s="7">
        <v>138257</v>
      </c>
      <c r="AH112" s="7">
        <v>201705</v>
      </c>
      <c r="AI112" s="7">
        <v>69288</v>
      </c>
      <c r="AJ112" s="7">
        <v>186292</v>
      </c>
      <c r="AK112" s="7">
        <v>238015</v>
      </c>
      <c r="AL112" s="7">
        <v>45984</v>
      </c>
      <c r="AM112" s="7">
        <v>161262</v>
      </c>
      <c r="AN112" s="7">
        <v>48360</v>
      </c>
      <c r="AO112" s="7">
        <v>224819</v>
      </c>
      <c r="AP112" s="7">
        <v>188982</v>
      </c>
      <c r="AQ112" s="7">
        <v>39903</v>
      </c>
      <c r="AR112" s="7">
        <v>156373</v>
      </c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</row>
    <row r="113" spans="1:81">
      <c r="A113" s="1" t="s">
        <v>459</v>
      </c>
      <c r="B113" s="1" t="s">
        <v>460</v>
      </c>
      <c r="C113" s="1" t="s">
        <v>132</v>
      </c>
      <c r="D113" s="1" t="str">
        <f>HYPERLINK("http://eros.fiehnlab.ucdavis.edu:8080/binbase-compound/bin/show/203290?db=rtx5","203290")</f>
        <v>203290</v>
      </c>
      <c r="E113" s="1" t="s">
        <v>461</v>
      </c>
      <c r="F113" s="1" t="str">
        <f>HYPERLINK("http://www.genome.ad.jp/dbget-bin/www_bget?compound+C08281","C08281")</f>
        <v>C08281</v>
      </c>
      <c r="G113" s="1" t="str">
        <f>HYPERLINK("http://pubchem.ncbi.nlm.nih.gov/summary/summary.cgi?cid=8215","8215")</f>
        <v>8215</v>
      </c>
      <c r="H113" s="1"/>
      <c r="I113" s="7">
        <v>1192</v>
      </c>
      <c r="J113" s="7">
        <v>374</v>
      </c>
      <c r="K113" s="7">
        <v>1060</v>
      </c>
      <c r="L113" s="7">
        <v>1423</v>
      </c>
      <c r="M113" s="7">
        <v>666</v>
      </c>
      <c r="N113" s="7">
        <v>650</v>
      </c>
      <c r="O113" s="7">
        <v>874</v>
      </c>
      <c r="P113" s="7">
        <v>1050</v>
      </c>
      <c r="Q113" s="7">
        <v>1139</v>
      </c>
      <c r="R113" s="7">
        <v>1029</v>
      </c>
      <c r="S113" s="7">
        <v>980</v>
      </c>
      <c r="T113" s="7">
        <v>768</v>
      </c>
      <c r="U113" s="7">
        <v>1776</v>
      </c>
      <c r="V113" s="7">
        <v>816</v>
      </c>
      <c r="W113" s="7">
        <v>810</v>
      </c>
      <c r="X113" s="7">
        <v>1464</v>
      </c>
      <c r="Y113" s="7">
        <v>1765</v>
      </c>
      <c r="Z113" s="7">
        <v>558</v>
      </c>
      <c r="AA113" s="7">
        <v>1067</v>
      </c>
      <c r="AB113" s="7">
        <v>1554</v>
      </c>
      <c r="AC113" s="7">
        <v>1716</v>
      </c>
      <c r="AD113" s="7">
        <v>1333</v>
      </c>
      <c r="AE113" s="7">
        <v>1521</v>
      </c>
      <c r="AF113" s="7">
        <v>1473</v>
      </c>
      <c r="AG113" s="7">
        <v>1311</v>
      </c>
      <c r="AH113" s="7">
        <v>1293</v>
      </c>
      <c r="AI113" s="7">
        <v>578</v>
      </c>
      <c r="AJ113" s="7">
        <v>1002</v>
      </c>
      <c r="AK113" s="7">
        <v>1798</v>
      </c>
      <c r="AL113" s="7">
        <v>609</v>
      </c>
      <c r="AM113" s="7">
        <v>1663</v>
      </c>
      <c r="AN113" s="7">
        <v>880</v>
      </c>
      <c r="AO113" s="7">
        <v>1577</v>
      </c>
      <c r="AP113" s="7">
        <v>1849</v>
      </c>
      <c r="AQ113" s="7">
        <v>591</v>
      </c>
      <c r="AR113" s="7">
        <v>10810</v>
      </c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</row>
    <row r="114" spans="1:81">
      <c r="A114" s="1" t="s">
        <v>462</v>
      </c>
      <c r="B114" s="1" t="s">
        <v>463</v>
      </c>
      <c r="C114" s="1" t="s">
        <v>464</v>
      </c>
      <c r="D114" s="1" t="str">
        <f>HYPERLINK("http://eros.fiehnlab.ucdavis.edu:8080/binbase-compound/bin/show/199612?db=rtx5","199612")</f>
        <v>199612</v>
      </c>
      <c r="E114" s="1" t="s">
        <v>465</v>
      </c>
      <c r="F114" s="1" t="str">
        <f>HYPERLINK("http://www.genome.ad.jp/dbget-bin/www_bget?compound+C00049","C00049")</f>
        <v>C00049</v>
      </c>
      <c r="G114" s="1" t="str">
        <f>HYPERLINK("http://pubchem.ncbi.nlm.nih.gov/summary/summary.cgi?cid=5960","5960")</f>
        <v>5960</v>
      </c>
      <c r="H114" s="1"/>
      <c r="I114" s="7">
        <v>17355</v>
      </c>
      <c r="J114" s="7">
        <v>10670</v>
      </c>
      <c r="K114" s="7">
        <v>11430</v>
      </c>
      <c r="L114" s="7">
        <v>15509</v>
      </c>
      <c r="M114" s="7">
        <v>22435</v>
      </c>
      <c r="N114" s="7">
        <v>10261</v>
      </c>
      <c r="O114" s="7">
        <v>20020</v>
      </c>
      <c r="P114" s="7">
        <v>13198</v>
      </c>
      <c r="Q114" s="7">
        <v>9610</v>
      </c>
      <c r="R114" s="7">
        <v>29712</v>
      </c>
      <c r="S114" s="7">
        <v>11679</v>
      </c>
      <c r="T114" s="7">
        <v>21360</v>
      </c>
      <c r="U114" s="7">
        <v>9395</v>
      </c>
      <c r="V114" s="7">
        <v>16926</v>
      </c>
      <c r="W114" s="7">
        <v>10890</v>
      </c>
      <c r="X114" s="7">
        <v>8970</v>
      </c>
      <c r="Y114" s="7">
        <v>11633</v>
      </c>
      <c r="Z114" s="7">
        <v>27629</v>
      </c>
      <c r="AA114" s="7">
        <v>6787</v>
      </c>
      <c r="AB114" s="7">
        <v>8804</v>
      </c>
      <c r="AC114" s="7">
        <v>7960</v>
      </c>
      <c r="AD114" s="7">
        <v>35984</v>
      </c>
      <c r="AE114" s="7">
        <v>19830</v>
      </c>
      <c r="AF114" s="7">
        <v>40673</v>
      </c>
      <c r="AG114" s="7">
        <v>15189</v>
      </c>
      <c r="AH114" s="7">
        <v>19232</v>
      </c>
      <c r="AI114" s="7">
        <v>13890</v>
      </c>
      <c r="AJ114" s="7">
        <v>16767</v>
      </c>
      <c r="AK114" s="7">
        <v>16829</v>
      </c>
      <c r="AL114" s="7">
        <v>10831</v>
      </c>
      <c r="AM114" s="7">
        <v>10971</v>
      </c>
      <c r="AN114" s="7">
        <v>14064</v>
      </c>
      <c r="AO114" s="7">
        <v>11200</v>
      </c>
      <c r="AP114" s="7">
        <v>21725</v>
      </c>
      <c r="AQ114" s="7">
        <v>20772</v>
      </c>
      <c r="AR114" s="7">
        <v>8135</v>
      </c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</row>
    <row r="115" spans="1:81">
      <c r="A115" s="1" t="s">
        <v>1184</v>
      </c>
      <c r="B115" s="1" t="s">
        <v>466</v>
      </c>
      <c r="C115" s="1" t="s">
        <v>203</v>
      </c>
      <c r="D115" s="1" t="str">
        <f>HYPERLINK("http://eros.fiehnlab.ucdavis.edu:8080/binbase-compound/bin/show/200518?db=rtx5","200518")</f>
        <v>200518</v>
      </c>
      <c r="E115" s="1" t="s">
        <v>467</v>
      </c>
      <c r="F115" s="1" t="str">
        <f>HYPERLINK("http://www.genome.ad.jp/dbget-bin/www_bget?compound+C00152","C00152")</f>
        <v>C00152</v>
      </c>
      <c r="G115" s="1" t="str">
        <f>HYPERLINK("http://pubchem.ncbi.nlm.nih.gov/summary/summary.cgi?cid=236","236")</f>
        <v>236</v>
      </c>
      <c r="H115" s="1"/>
      <c r="I115" s="7">
        <v>979</v>
      </c>
      <c r="J115" s="7">
        <v>3404</v>
      </c>
      <c r="K115" s="7">
        <v>1296</v>
      </c>
      <c r="L115" s="7">
        <v>929</v>
      </c>
      <c r="M115" s="7">
        <v>1092</v>
      </c>
      <c r="N115" s="7">
        <v>1995</v>
      </c>
      <c r="O115" s="7">
        <v>1885</v>
      </c>
      <c r="P115" s="7">
        <v>853</v>
      </c>
      <c r="Q115" s="7">
        <v>1088</v>
      </c>
      <c r="R115" s="7">
        <v>1075</v>
      </c>
      <c r="S115" s="7">
        <v>1250</v>
      </c>
      <c r="T115" s="7">
        <v>1419</v>
      </c>
      <c r="U115" s="7">
        <v>1414</v>
      </c>
      <c r="V115" s="7">
        <v>1581</v>
      </c>
      <c r="W115" s="7">
        <v>2272</v>
      </c>
      <c r="X115" s="7">
        <v>1161</v>
      </c>
      <c r="Y115" s="7">
        <v>1255</v>
      </c>
      <c r="Z115" s="7">
        <v>1993</v>
      </c>
      <c r="AA115" s="7">
        <v>1197</v>
      </c>
      <c r="AB115" s="7">
        <v>1307</v>
      </c>
      <c r="AC115" s="7">
        <v>1270</v>
      </c>
      <c r="AD115" s="7">
        <v>1299</v>
      </c>
      <c r="AE115" s="7">
        <v>1056</v>
      </c>
      <c r="AF115" s="7">
        <v>1294</v>
      </c>
      <c r="AG115" s="7">
        <v>1355</v>
      </c>
      <c r="AH115" s="7">
        <v>1170</v>
      </c>
      <c r="AI115" s="7">
        <v>1347</v>
      </c>
      <c r="AJ115" s="7">
        <v>1090</v>
      </c>
      <c r="AK115" s="7">
        <v>979</v>
      </c>
      <c r="AL115" s="7">
        <v>2462</v>
      </c>
      <c r="AM115" s="7">
        <v>946</v>
      </c>
      <c r="AN115" s="7">
        <v>2543</v>
      </c>
      <c r="AO115" s="7">
        <v>1776</v>
      </c>
      <c r="AP115" s="7">
        <v>1208</v>
      </c>
      <c r="AQ115" s="7">
        <v>2647</v>
      </c>
      <c r="AR115" s="7">
        <v>1017</v>
      </c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</row>
    <row r="116" spans="1:81">
      <c r="A116" s="1" t="s">
        <v>468</v>
      </c>
      <c r="B116" s="1" t="s">
        <v>469</v>
      </c>
      <c r="C116" s="1" t="s">
        <v>190</v>
      </c>
      <c r="D116" s="1" t="str">
        <f>HYPERLINK("http://eros.fiehnlab.ucdavis.edu:8080/binbase-compound/bin/show/199796?db=rtx5","199796")</f>
        <v>199796</v>
      </c>
      <c r="E116" s="1" t="s">
        <v>470</v>
      </c>
      <c r="F116" s="1" t="str">
        <f>HYPERLINK("http://www.genome.ad.jp/dbget-bin/www_bget?compound+C00062","C00062")</f>
        <v>C00062</v>
      </c>
      <c r="G116" s="1" t="str">
        <f>HYPERLINK("http://pubchem.ncbi.nlm.nih.gov/summary/summary.cgi?cid=232","232")</f>
        <v>232</v>
      </c>
      <c r="H116" s="1"/>
      <c r="I116" s="7">
        <v>19374</v>
      </c>
      <c r="J116" s="7">
        <v>31242</v>
      </c>
      <c r="K116" s="7">
        <v>17528</v>
      </c>
      <c r="L116" s="7">
        <v>7999</v>
      </c>
      <c r="M116" s="7">
        <v>17985</v>
      </c>
      <c r="N116" s="7">
        <v>19800</v>
      </c>
      <c r="O116" s="7">
        <v>16154</v>
      </c>
      <c r="P116" s="7">
        <v>11302</v>
      </c>
      <c r="Q116" s="7">
        <v>15990</v>
      </c>
      <c r="R116" s="7">
        <v>10856</v>
      </c>
      <c r="S116" s="7">
        <v>15102</v>
      </c>
      <c r="T116" s="7">
        <v>16160</v>
      </c>
      <c r="U116" s="7">
        <v>9660</v>
      </c>
      <c r="V116" s="7">
        <v>21188</v>
      </c>
      <c r="W116" s="7">
        <v>24628</v>
      </c>
      <c r="X116" s="7">
        <v>9318</v>
      </c>
      <c r="Y116" s="7">
        <v>11826</v>
      </c>
      <c r="Z116" s="7">
        <v>24067</v>
      </c>
      <c r="AA116" s="7">
        <v>16176</v>
      </c>
      <c r="AB116" s="7">
        <v>7626</v>
      </c>
      <c r="AC116" s="7">
        <v>5731</v>
      </c>
      <c r="AD116" s="7">
        <v>10167</v>
      </c>
      <c r="AE116" s="7">
        <v>10035</v>
      </c>
      <c r="AF116" s="7">
        <v>14930</v>
      </c>
      <c r="AG116" s="7">
        <v>11013</v>
      </c>
      <c r="AH116" s="7">
        <v>6898</v>
      </c>
      <c r="AI116" s="7">
        <v>16549</v>
      </c>
      <c r="AJ116" s="7">
        <v>6198</v>
      </c>
      <c r="AK116" s="7">
        <v>6540</v>
      </c>
      <c r="AL116" s="7">
        <v>19311</v>
      </c>
      <c r="AM116" s="7">
        <v>10326</v>
      </c>
      <c r="AN116" s="7">
        <v>22717</v>
      </c>
      <c r="AO116" s="7">
        <v>11657</v>
      </c>
      <c r="AP116" s="7">
        <v>10886</v>
      </c>
      <c r="AQ116" s="7">
        <v>29037</v>
      </c>
      <c r="AR116" s="7">
        <v>8994</v>
      </c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</row>
    <row r="117" spans="1:81">
      <c r="A117" s="1" t="s">
        <v>471</v>
      </c>
      <c r="B117" s="1" t="s">
        <v>472</v>
      </c>
      <c r="C117" s="1" t="s">
        <v>132</v>
      </c>
      <c r="D117" s="1" t="str">
        <f>HYPERLINK("http://eros.fiehnlab.ucdavis.edu:8080/binbase-compound/bin/show/201822?db=rtx5","201822")</f>
        <v>201822</v>
      </c>
      <c r="E117" s="1" t="s">
        <v>473</v>
      </c>
      <c r="F117" s="1" t="str">
        <f>HYPERLINK("http://www.genome.ad.jp/dbget-bin/www_bget?compound+C06425","C06425")</f>
        <v>C06425</v>
      </c>
      <c r="G117" s="1" t="str">
        <f>HYPERLINK("http://pubchem.ncbi.nlm.nih.gov/summary/summary.cgi?cid=10467","10467")</f>
        <v>10467</v>
      </c>
      <c r="H117" s="1"/>
      <c r="I117" s="7">
        <v>8002</v>
      </c>
      <c r="J117" s="7">
        <v>878</v>
      </c>
      <c r="K117" s="7">
        <v>2184</v>
      </c>
      <c r="L117" s="7">
        <v>2742</v>
      </c>
      <c r="M117" s="7">
        <v>1358</v>
      </c>
      <c r="N117" s="7">
        <v>1405</v>
      </c>
      <c r="O117" s="7">
        <v>2846</v>
      </c>
      <c r="P117" s="7">
        <v>3974</v>
      </c>
      <c r="Q117" s="7">
        <v>5870</v>
      </c>
      <c r="R117" s="7">
        <v>3214</v>
      </c>
      <c r="S117" s="7">
        <v>2483</v>
      </c>
      <c r="T117" s="7">
        <v>1313</v>
      </c>
      <c r="U117" s="7">
        <v>14682</v>
      </c>
      <c r="V117" s="7">
        <v>1680</v>
      </c>
      <c r="W117" s="7">
        <v>1913</v>
      </c>
      <c r="X117" s="7">
        <v>2616</v>
      </c>
      <c r="Y117" s="7">
        <v>5096</v>
      </c>
      <c r="Z117" s="7">
        <v>618</v>
      </c>
      <c r="AA117" s="7">
        <v>2932</v>
      </c>
      <c r="AB117" s="7">
        <v>2861</v>
      </c>
      <c r="AC117" s="7">
        <v>2349</v>
      </c>
      <c r="AD117" s="7">
        <v>2645</v>
      </c>
      <c r="AE117" s="7">
        <v>3599</v>
      </c>
      <c r="AF117" s="7">
        <v>2905</v>
      </c>
      <c r="AG117" s="7">
        <v>4064</v>
      </c>
      <c r="AH117" s="7">
        <v>1978</v>
      </c>
      <c r="AI117" s="7">
        <v>1516</v>
      </c>
      <c r="AJ117" s="7">
        <v>2687</v>
      </c>
      <c r="AK117" s="7">
        <v>6061</v>
      </c>
      <c r="AL117" s="7">
        <v>804</v>
      </c>
      <c r="AM117" s="7">
        <v>4400</v>
      </c>
      <c r="AN117" s="7">
        <v>1204</v>
      </c>
      <c r="AO117" s="7">
        <v>3689</v>
      </c>
      <c r="AP117" s="7">
        <v>5000</v>
      </c>
      <c r="AQ117" s="7">
        <v>1301</v>
      </c>
      <c r="AR117" s="7">
        <v>10347</v>
      </c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</row>
    <row r="118" spans="1:81">
      <c r="A118" s="1" t="s">
        <v>474</v>
      </c>
      <c r="B118" s="1" t="s">
        <v>475</v>
      </c>
      <c r="C118" s="1" t="s">
        <v>175</v>
      </c>
      <c r="D118" s="1" t="str">
        <f>HYPERLINK("http://eros.fiehnlab.ucdavis.edu:8080/binbase-compound/bin/show/362029?db=rtx5","362029")</f>
        <v>362029</v>
      </c>
      <c r="E118" s="1" t="s">
        <v>476</v>
      </c>
      <c r="F118" s="1" t="s">
        <v>0</v>
      </c>
      <c r="G118" s="1" t="s">
        <v>0</v>
      </c>
      <c r="H118" s="1"/>
      <c r="I118" s="7">
        <v>1321</v>
      </c>
      <c r="J118" s="7">
        <v>801</v>
      </c>
      <c r="K118" s="7">
        <v>798</v>
      </c>
      <c r="L118" s="7">
        <v>1737</v>
      </c>
      <c r="M118" s="7">
        <v>1148</v>
      </c>
      <c r="N118" s="7">
        <v>1529</v>
      </c>
      <c r="O118" s="7">
        <v>970</v>
      </c>
      <c r="P118" s="7">
        <v>1723</v>
      </c>
      <c r="Q118" s="7">
        <v>3123</v>
      </c>
      <c r="R118" s="7">
        <v>3478</v>
      </c>
      <c r="S118" s="7">
        <v>3570</v>
      </c>
      <c r="T118" s="7">
        <v>8006</v>
      </c>
      <c r="U118" s="7">
        <v>561</v>
      </c>
      <c r="V118" s="7">
        <v>527</v>
      </c>
      <c r="W118" s="7">
        <v>1004</v>
      </c>
      <c r="X118" s="7">
        <v>1686</v>
      </c>
      <c r="Y118" s="7">
        <v>1108</v>
      </c>
      <c r="Z118" s="7">
        <v>1700</v>
      </c>
      <c r="AA118" s="7">
        <v>1148</v>
      </c>
      <c r="AB118" s="7">
        <v>1399</v>
      </c>
      <c r="AC118" s="7">
        <v>2138</v>
      </c>
      <c r="AD118" s="7">
        <v>3385</v>
      </c>
      <c r="AE118" s="7">
        <v>2213</v>
      </c>
      <c r="AF118" s="7">
        <v>2247</v>
      </c>
      <c r="AG118" s="7">
        <v>2048</v>
      </c>
      <c r="AH118" s="7">
        <v>2784</v>
      </c>
      <c r="AI118" s="7">
        <v>1595</v>
      </c>
      <c r="AJ118" s="7">
        <v>2493</v>
      </c>
      <c r="AK118" s="7">
        <v>2627</v>
      </c>
      <c r="AL118" s="7">
        <v>2778</v>
      </c>
      <c r="AM118" s="7">
        <v>1269</v>
      </c>
      <c r="AN118" s="7">
        <v>1071</v>
      </c>
      <c r="AO118" s="7">
        <v>1208</v>
      </c>
      <c r="AP118" s="7">
        <v>2037</v>
      </c>
      <c r="AQ118" s="7">
        <v>1071</v>
      </c>
      <c r="AR118" s="7">
        <v>1918</v>
      </c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</row>
    <row r="119" spans="1:81">
      <c r="A119" s="1" t="s">
        <v>477</v>
      </c>
      <c r="B119" s="1" t="s">
        <v>478</v>
      </c>
      <c r="C119" s="1" t="s">
        <v>89</v>
      </c>
      <c r="D119" s="1" t="str">
        <f>HYPERLINK("http://eros.fiehnlab.ucdavis.edu:8080/binbase-compound/bin/show/202065?db=rtx5","202065")</f>
        <v>202065</v>
      </c>
      <c r="E119" s="1" t="s">
        <v>479</v>
      </c>
      <c r="F119" s="1" t="str">
        <f>HYPERLINK("http://www.genome.ad.jp/dbget-bin/www_bget?compound+C00259","C00259")</f>
        <v>C00259</v>
      </c>
      <c r="G119" s="1" t="str">
        <f>HYPERLINK("http://pubchem.ncbi.nlm.nih.gov/summary/summary.cgi?cid=229","229")</f>
        <v>229</v>
      </c>
      <c r="H119" s="1"/>
      <c r="I119" s="7">
        <v>540868</v>
      </c>
      <c r="J119" s="7">
        <v>317705</v>
      </c>
      <c r="K119" s="7">
        <v>744591</v>
      </c>
      <c r="L119" s="7">
        <v>672554</v>
      </c>
      <c r="M119" s="7">
        <v>840327</v>
      </c>
      <c r="N119" s="7">
        <v>742121</v>
      </c>
      <c r="O119" s="7">
        <v>565055</v>
      </c>
      <c r="P119" s="7">
        <v>616058</v>
      </c>
      <c r="Q119" s="7">
        <v>528644</v>
      </c>
      <c r="R119" s="7">
        <v>631207</v>
      </c>
      <c r="S119" s="7">
        <v>397358</v>
      </c>
      <c r="T119" s="7">
        <v>485185</v>
      </c>
      <c r="U119" s="7">
        <v>350693</v>
      </c>
      <c r="V119" s="7">
        <v>617689</v>
      </c>
      <c r="W119" s="7">
        <v>537442</v>
      </c>
      <c r="X119" s="7">
        <v>648390</v>
      </c>
      <c r="Y119" s="7">
        <v>365799</v>
      </c>
      <c r="Z119" s="7">
        <v>408044</v>
      </c>
      <c r="AA119" s="7">
        <v>338153</v>
      </c>
      <c r="AB119" s="7">
        <v>451242</v>
      </c>
      <c r="AC119" s="7">
        <v>856739</v>
      </c>
      <c r="AD119" s="7">
        <v>937434</v>
      </c>
      <c r="AE119" s="7">
        <v>476507</v>
      </c>
      <c r="AF119" s="7">
        <v>538489</v>
      </c>
      <c r="AG119" s="7">
        <v>561070</v>
      </c>
      <c r="AH119" s="7">
        <v>775904</v>
      </c>
      <c r="AI119" s="7">
        <v>473153</v>
      </c>
      <c r="AJ119" s="7">
        <v>572097</v>
      </c>
      <c r="AK119" s="7">
        <v>477401</v>
      </c>
      <c r="AL119" s="7">
        <v>401825</v>
      </c>
      <c r="AM119" s="7">
        <v>450948</v>
      </c>
      <c r="AN119" s="7">
        <v>388626</v>
      </c>
      <c r="AO119" s="7">
        <v>387144</v>
      </c>
      <c r="AP119" s="7">
        <v>470238</v>
      </c>
      <c r="AQ119" s="7">
        <v>343232</v>
      </c>
      <c r="AR119" s="7">
        <v>580340</v>
      </c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</row>
    <row r="120" spans="1:81">
      <c r="A120" s="1" t="s">
        <v>480</v>
      </c>
      <c r="B120" s="1" t="s">
        <v>481</v>
      </c>
      <c r="C120" s="1" t="s">
        <v>114</v>
      </c>
      <c r="D120" s="1" t="str">
        <f>HYPERLINK("http://eros.fiehnlab.ucdavis.edu:8080/binbase-compound/bin/show/240264?db=rtx5","240264")</f>
        <v>240264</v>
      </c>
      <c r="E120" s="1" t="s">
        <v>482</v>
      </c>
      <c r="F120" s="1" t="str">
        <f>HYPERLINK("http://www.genome.ad.jp/dbget-bin/www_bget?compound+C00872","C00872")</f>
        <v>C00872</v>
      </c>
      <c r="G120" s="1" t="str">
        <f>HYPERLINK("http://pubchem.ncbi.nlm.nih.gov/summary/summary.cgi?cid=100714","100714")</f>
        <v>100714</v>
      </c>
      <c r="H120" s="1"/>
      <c r="I120" s="7">
        <v>259</v>
      </c>
      <c r="J120" s="7">
        <v>534</v>
      </c>
      <c r="K120" s="7">
        <v>267</v>
      </c>
      <c r="L120" s="7">
        <v>394</v>
      </c>
      <c r="M120" s="7">
        <v>216</v>
      </c>
      <c r="N120" s="7">
        <v>367</v>
      </c>
      <c r="O120" s="7">
        <v>275</v>
      </c>
      <c r="P120" s="7">
        <v>237</v>
      </c>
      <c r="Q120" s="7">
        <v>373</v>
      </c>
      <c r="R120" s="7">
        <v>320</v>
      </c>
      <c r="S120" s="7">
        <v>304</v>
      </c>
      <c r="T120" s="7">
        <v>171</v>
      </c>
      <c r="U120" s="7">
        <v>235</v>
      </c>
      <c r="V120" s="7">
        <v>340</v>
      </c>
      <c r="W120" s="7">
        <v>439</v>
      </c>
      <c r="X120" s="7">
        <v>333</v>
      </c>
      <c r="Y120" s="7">
        <v>334</v>
      </c>
      <c r="Z120" s="7">
        <v>334</v>
      </c>
      <c r="AA120" s="7">
        <v>1348</v>
      </c>
      <c r="AB120" s="7">
        <v>283</v>
      </c>
      <c r="AC120" s="7">
        <v>371</v>
      </c>
      <c r="AD120" s="7">
        <v>289</v>
      </c>
      <c r="AE120" s="7">
        <v>277</v>
      </c>
      <c r="AF120" s="7">
        <v>376</v>
      </c>
      <c r="AG120" s="7">
        <v>264</v>
      </c>
      <c r="AH120" s="7">
        <v>392</v>
      </c>
      <c r="AI120" s="7">
        <v>263</v>
      </c>
      <c r="AJ120" s="7">
        <v>336</v>
      </c>
      <c r="AK120" s="7">
        <v>426</v>
      </c>
      <c r="AL120" s="7">
        <v>496</v>
      </c>
      <c r="AM120" s="7">
        <v>277</v>
      </c>
      <c r="AN120" s="7">
        <v>404</v>
      </c>
      <c r="AO120" s="7">
        <v>415</v>
      </c>
      <c r="AP120" s="7">
        <v>374</v>
      </c>
      <c r="AQ120" s="7">
        <v>570</v>
      </c>
      <c r="AR120" s="7">
        <v>261</v>
      </c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</row>
    <row r="121" spans="1:81">
      <c r="A121" s="1" t="s">
        <v>485</v>
      </c>
      <c r="B121" s="1" t="s">
        <v>486</v>
      </c>
      <c r="C121" s="1" t="s">
        <v>483</v>
      </c>
      <c r="D121" s="1" t="str">
        <f>HYPERLINK("http://eros.fiehnlab.ucdavis.edu:8080/binbase-compound/bin/show/199651?db=rtx5","199651")</f>
        <v>199651</v>
      </c>
      <c r="E121" s="1" t="s">
        <v>487</v>
      </c>
      <c r="F121" s="1" t="str">
        <f>HYPERLINK("http://www.genome.ad.jp/dbget-bin/www_bget?compound+C00041","C00041")</f>
        <v>C00041</v>
      </c>
      <c r="G121" s="1" t="str">
        <f>HYPERLINK("http://pubchem.ncbi.nlm.nih.gov/summary/summary.cgi?cid=5950","5950")</f>
        <v>5950</v>
      </c>
      <c r="H121" s="1"/>
      <c r="I121" s="7">
        <v>272573</v>
      </c>
      <c r="J121" s="7">
        <v>408484</v>
      </c>
      <c r="K121" s="7">
        <v>195140</v>
      </c>
      <c r="L121" s="7">
        <v>84218</v>
      </c>
      <c r="M121" s="7">
        <v>358052</v>
      </c>
      <c r="N121" s="7">
        <v>263276</v>
      </c>
      <c r="O121" s="7">
        <v>376572</v>
      </c>
      <c r="P121" s="7">
        <v>208065</v>
      </c>
      <c r="Q121" s="7">
        <v>196956</v>
      </c>
      <c r="R121" s="7">
        <v>175455</v>
      </c>
      <c r="S121" s="7">
        <v>231574</v>
      </c>
      <c r="T121" s="7">
        <v>76240</v>
      </c>
      <c r="U121" s="7">
        <v>124544</v>
      </c>
      <c r="V121" s="7">
        <v>351217</v>
      </c>
      <c r="W121" s="7">
        <v>366362</v>
      </c>
      <c r="X121" s="7">
        <v>160738</v>
      </c>
      <c r="Y121" s="7">
        <v>133588</v>
      </c>
      <c r="Z121" s="7">
        <v>316355</v>
      </c>
      <c r="AA121" s="7">
        <v>247026</v>
      </c>
      <c r="AB121" s="7">
        <v>148837</v>
      </c>
      <c r="AC121" s="7">
        <v>130654</v>
      </c>
      <c r="AD121" s="7">
        <v>185667</v>
      </c>
      <c r="AE121" s="7">
        <v>148974</v>
      </c>
      <c r="AF121" s="7">
        <v>162814</v>
      </c>
      <c r="AG121" s="7">
        <v>212072</v>
      </c>
      <c r="AH121" s="7">
        <v>132042</v>
      </c>
      <c r="AI121" s="7">
        <v>263254</v>
      </c>
      <c r="AJ121" s="7">
        <v>104432</v>
      </c>
      <c r="AK121" s="7">
        <v>74547</v>
      </c>
      <c r="AL121" s="7">
        <v>352624</v>
      </c>
      <c r="AM121" s="7">
        <v>157378</v>
      </c>
      <c r="AN121" s="7">
        <v>356040</v>
      </c>
      <c r="AO121" s="7">
        <v>167509</v>
      </c>
      <c r="AP121" s="7">
        <v>118927</v>
      </c>
      <c r="AQ121" s="7">
        <v>417848</v>
      </c>
      <c r="AR121" s="7">
        <v>102852</v>
      </c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</row>
    <row r="122" spans="1:81">
      <c r="A122" s="1" t="s">
        <v>488</v>
      </c>
      <c r="B122" s="1" t="s">
        <v>489</v>
      </c>
      <c r="C122" s="1" t="s">
        <v>490</v>
      </c>
      <c r="D122" s="1" t="str">
        <f>HYPERLINK("http://eros.fiehnlab.ucdavis.edu:8080/binbase-compound/bin/show/218815?db=rtx5","218815")</f>
        <v>218815</v>
      </c>
      <c r="E122" s="1" t="s">
        <v>491</v>
      </c>
      <c r="F122" s="1" t="str">
        <f>HYPERLINK("http://www.genome.ad.jp/dbget-bin/www_bget?compound+C06104","C06104")</f>
        <v>C06104</v>
      </c>
      <c r="G122" s="1" t="str">
        <f>HYPERLINK("http://pubchem.ncbi.nlm.nih.gov/summary/summary.cgi?cid=196","196")</f>
        <v>196</v>
      </c>
      <c r="H122" s="1"/>
      <c r="I122" s="7">
        <v>902</v>
      </c>
      <c r="J122" s="7">
        <v>427</v>
      </c>
      <c r="K122" s="7">
        <v>1610</v>
      </c>
      <c r="L122" s="7">
        <v>2227</v>
      </c>
      <c r="M122" s="7">
        <v>1044</v>
      </c>
      <c r="N122" s="7">
        <v>1037</v>
      </c>
      <c r="O122" s="7">
        <v>1536</v>
      </c>
      <c r="P122" s="7">
        <v>1526</v>
      </c>
      <c r="Q122" s="7">
        <v>1034</v>
      </c>
      <c r="R122" s="7">
        <v>2065</v>
      </c>
      <c r="S122" s="7">
        <v>1002</v>
      </c>
      <c r="T122" s="7">
        <v>740</v>
      </c>
      <c r="U122" s="7">
        <v>1234</v>
      </c>
      <c r="V122" s="7">
        <v>1011</v>
      </c>
      <c r="W122" s="7">
        <v>866</v>
      </c>
      <c r="X122" s="7">
        <v>2160</v>
      </c>
      <c r="Y122" s="7">
        <v>1645</v>
      </c>
      <c r="Z122" s="7">
        <v>572</v>
      </c>
      <c r="AA122" s="7">
        <v>861</v>
      </c>
      <c r="AB122" s="7">
        <v>1833</v>
      </c>
      <c r="AC122" s="7">
        <v>1670</v>
      </c>
      <c r="AD122" s="7">
        <v>1862</v>
      </c>
      <c r="AE122" s="7">
        <v>1869</v>
      </c>
      <c r="AF122" s="7">
        <v>2060</v>
      </c>
      <c r="AG122" s="7">
        <v>1423</v>
      </c>
      <c r="AH122" s="7">
        <v>1982</v>
      </c>
      <c r="AI122" s="7">
        <v>900</v>
      </c>
      <c r="AJ122" s="7">
        <v>1812</v>
      </c>
      <c r="AK122" s="7">
        <v>2551</v>
      </c>
      <c r="AL122" s="7">
        <v>669</v>
      </c>
      <c r="AM122" s="7">
        <v>1587</v>
      </c>
      <c r="AN122" s="7">
        <v>786</v>
      </c>
      <c r="AO122" s="7">
        <v>2680</v>
      </c>
      <c r="AP122" s="7">
        <v>2254</v>
      </c>
      <c r="AQ122" s="7">
        <v>482</v>
      </c>
      <c r="AR122" s="7">
        <v>1550</v>
      </c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</row>
    <row r="123" spans="1:81">
      <c r="A123" s="1" t="s">
        <v>492</v>
      </c>
      <c r="B123" s="1" t="s">
        <v>493</v>
      </c>
      <c r="C123" s="1" t="s">
        <v>494</v>
      </c>
      <c r="D123" s="1" t="str">
        <f>HYPERLINK("http://eros.fiehnlab.ucdavis.edu:8080/binbase-compound/bin/show/362149?db=rtx5","362149")</f>
        <v>362149</v>
      </c>
      <c r="E123" s="1" t="s">
        <v>495</v>
      </c>
      <c r="F123" s="1" t="s">
        <v>0</v>
      </c>
      <c r="G123" s="1" t="s">
        <v>0</v>
      </c>
      <c r="H123" s="1"/>
      <c r="I123" s="7">
        <v>24662</v>
      </c>
      <c r="J123" s="7">
        <v>8271</v>
      </c>
      <c r="K123" s="7">
        <v>15947</v>
      </c>
      <c r="L123" s="7">
        <v>22418</v>
      </c>
      <c r="M123" s="7">
        <v>13241</v>
      </c>
      <c r="N123" s="7">
        <v>12654</v>
      </c>
      <c r="O123" s="7">
        <v>15867</v>
      </c>
      <c r="P123" s="7">
        <v>12047</v>
      </c>
      <c r="Q123" s="7">
        <v>4362</v>
      </c>
      <c r="R123" s="7">
        <v>13194</v>
      </c>
      <c r="S123" s="7">
        <v>7785</v>
      </c>
      <c r="T123" s="7">
        <v>6016</v>
      </c>
      <c r="U123" s="7">
        <v>4180</v>
      </c>
      <c r="V123" s="7">
        <v>11724</v>
      </c>
      <c r="W123" s="7">
        <v>4291</v>
      </c>
      <c r="X123" s="7">
        <v>7508</v>
      </c>
      <c r="Y123" s="7">
        <v>4721</v>
      </c>
      <c r="Z123" s="7">
        <v>9874</v>
      </c>
      <c r="AA123" s="7">
        <v>5722</v>
      </c>
      <c r="AB123" s="7">
        <v>10647</v>
      </c>
      <c r="AC123" s="7">
        <v>20677</v>
      </c>
      <c r="AD123" s="7">
        <v>17120</v>
      </c>
      <c r="AE123" s="7">
        <v>14076</v>
      </c>
      <c r="AF123" s="7">
        <v>14135</v>
      </c>
      <c r="AG123" s="7">
        <v>8889</v>
      </c>
      <c r="AH123" s="7">
        <v>14077</v>
      </c>
      <c r="AI123" s="7">
        <v>6845</v>
      </c>
      <c r="AJ123" s="7">
        <v>13467</v>
      </c>
      <c r="AK123" s="7">
        <v>12237</v>
      </c>
      <c r="AL123" s="7">
        <v>5588</v>
      </c>
      <c r="AM123" s="7">
        <v>9444</v>
      </c>
      <c r="AN123" s="7">
        <v>4915</v>
      </c>
      <c r="AO123" s="7">
        <v>14455</v>
      </c>
      <c r="AP123" s="7">
        <v>13526</v>
      </c>
      <c r="AQ123" s="7">
        <v>3115</v>
      </c>
      <c r="AR123" s="7">
        <v>6740</v>
      </c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</row>
    <row r="124" spans="1:81">
      <c r="A124" s="1" t="s">
        <v>496</v>
      </c>
      <c r="B124" s="1" t="s">
        <v>497</v>
      </c>
      <c r="C124" s="1" t="s">
        <v>498</v>
      </c>
      <c r="D124" s="1" t="str">
        <f>HYPERLINK("http://eros.fiehnlab.ucdavis.edu:8080/binbase-compound/bin/show/211944?db=rtx5","211944")</f>
        <v>211944</v>
      </c>
      <c r="E124" s="1" t="s">
        <v>499</v>
      </c>
      <c r="F124" s="1" t="str">
        <f>HYPERLINK("http://www.genome.ad.jp/dbget-bin/www_bget?compound+C00212","C00212")</f>
        <v>C00212</v>
      </c>
      <c r="G124" s="1" t="str">
        <f>HYPERLINK("http://pubchem.ncbi.nlm.nih.gov/summary/summary.cgi?cid=60961","60961")</f>
        <v>60961</v>
      </c>
      <c r="H124" s="1"/>
      <c r="I124" s="7">
        <v>474</v>
      </c>
      <c r="J124" s="7">
        <v>486</v>
      </c>
      <c r="K124" s="7">
        <v>417</v>
      </c>
      <c r="L124" s="7">
        <v>1940</v>
      </c>
      <c r="M124" s="7">
        <v>1043</v>
      </c>
      <c r="N124" s="7">
        <v>348</v>
      </c>
      <c r="O124" s="7">
        <v>912</v>
      </c>
      <c r="P124" s="7">
        <v>4034</v>
      </c>
      <c r="Q124" s="7">
        <v>606</v>
      </c>
      <c r="R124" s="7">
        <v>2049</v>
      </c>
      <c r="S124" s="7">
        <v>5861</v>
      </c>
      <c r="T124" s="7">
        <v>1369</v>
      </c>
      <c r="U124" s="7">
        <v>575</v>
      </c>
      <c r="V124" s="7">
        <v>1737</v>
      </c>
      <c r="W124" s="7">
        <v>3678</v>
      </c>
      <c r="X124" s="7">
        <v>8843</v>
      </c>
      <c r="Y124" s="7">
        <v>459</v>
      </c>
      <c r="Z124" s="7">
        <v>407</v>
      </c>
      <c r="AA124" s="7">
        <v>2231</v>
      </c>
      <c r="AB124" s="7">
        <v>2437</v>
      </c>
      <c r="AC124" s="7">
        <v>659</v>
      </c>
      <c r="AD124" s="7">
        <v>454</v>
      </c>
      <c r="AE124" s="7">
        <v>1773</v>
      </c>
      <c r="AF124" s="7">
        <v>955</v>
      </c>
      <c r="AG124" s="7">
        <v>1722</v>
      </c>
      <c r="AH124" s="7">
        <v>1129</v>
      </c>
      <c r="AI124" s="7">
        <v>2539</v>
      </c>
      <c r="AJ124" s="7">
        <v>927</v>
      </c>
      <c r="AK124" s="7">
        <v>1136</v>
      </c>
      <c r="AL124" s="7">
        <v>857</v>
      </c>
      <c r="AM124" s="7">
        <v>2794</v>
      </c>
      <c r="AN124" s="7">
        <v>5712</v>
      </c>
      <c r="AO124" s="7">
        <v>1050</v>
      </c>
      <c r="AP124" s="7">
        <v>1747</v>
      </c>
      <c r="AQ124" s="7">
        <v>3709</v>
      </c>
      <c r="AR124" s="7">
        <v>3517</v>
      </c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</row>
    <row r="125" spans="1:81">
      <c r="A125" s="1" t="s">
        <v>500</v>
      </c>
      <c r="B125" s="1" t="s">
        <v>501</v>
      </c>
      <c r="C125" s="1" t="s">
        <v>502</v>
      </c>
      <c r="D125" s="1" t="str">
        <f>HYPERLINK("http://eros.fiehnlab.ucdavis.edu:8080/binbase-compound/bin/show/307666?db=rtx5","307666")</f>
        <v>307666</v>
      </c>
      <c r="E125" s="1" t="s">
        <v>503</v>
      </c>
      <c r="F125" s="1" t="str">
        <f>HYPERLINK("http://www.genome.ad.jp/dbget-bin/www_bget?compound+C00147","C00147")</f>
        <v>C00147</v>
      </c>
      <c r="G125" s="1" t="str">
        <f>HYPERLINK("http://pubchem.ncbi.nlm.nih.gov/summary/summary.cgi?cid=190","190")</f>
        <v>190</v>
      </c>
      <c r="H125" s="1"/>
      <c r="I125" s="7">
        <v>2842</v>
      </c>
      <c r="J125" s="7">
        <v>1656</v>
      </c>
      <c r="K125" s="7">
        <v>4779</v>
      </c>
      <c r="L125" s="7">
        <v>4950</v>
      </c>
      <c r="M125" s="7">
        <v>3261</v>
      </c>
      <c r="N125" s="7">
        <v>2135</v>
      </c>
      <c r="O125" s="7">
        <v>1794</v>
      </c>
      <c r="P125" s="7">
        <v>4013</v>
      </c>
      <c r="Q125" s="7">
        <v>2172</v>
      </c>
      <c r="R125" s="7">
        <v>3831</v>
      </c>
      <c r="S125" s="7">
        <v>48103</v>
      </c>
      <c r="T125" s="7">
        <v>16463</v>
      </c>
      <c r="U125" s="7">
        <v>2996</v>
      </c>
      <c r="V125" s="7">
        <v>8025</v>
      </c>
      <c r="W125" s="7">
        <v>9910</v>
      </c>
      <c r="X125" s="7">
        <v>36215</v>
      </c>
      <c r="Y125" s="7">
        <v>2708</v>
      </c>
      <c r="Z125" s="7">
        <v>1217</v>
      </c>
      <c r="AA125" s="7">
        <v>7106</v>
      </c>
      <c r="AB125" s="7">
        <v>17548</v>
      </c>
      <c r="AC125" s="7">
        <v>6459</v>
      </c>
      <c r="AD125" s="7">
        <v>5322</v>
      </c>
      <c r="AE125" s="7">
        <v>11400</v>
      </c>
      <c r="AF125" s="7">
        <v>4338</v>
      </c>
      <c r="AG125" s="7">
        <v>10986</v>
      </c>
      <c r="AH125" s="7">
        <v>9024</v>
      </c>
      <c r="AI125" s="7">
        <v>11512</v>
      </c>
      <c r="AJ125" s="7">
        <v>6455</v>
      </c>
      <c r="AK125" s="7">
        <v>10824</v>
      </c>
      <c r="AL125" s="7">
        <v>2439</v>
      </c>
      <c r="AM125" s="7">
        <v>13806</v>
      </c>
      <c r="AN125" s="7">
        <v>17828</v>
      </c>
      <c r="AO125" s="7">
        <v>8963</v>
      </c>
      <c r="AP125" s="7">
        <v>5751</v>
      </c>
      <c r="AQ125" s="7">
        <v>5328</v>
      </c>
      <c r="AR125" s="7">
        <v>16039</v>
      </c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</row>
    <row r="126" spans="1:81">
      <c r="A126" s="1" t="s">
        <v>504</v>
      </c>
      <c r="B126" s="1" t="s">
        <v>505</v>
      </c>
      <c r="C126" s="1" t="s">
        <v>506</v>
      </c>
      <c r="D126" s="1" t="str">
        <f>HYPERLINK("http://eros.fiehnlab.ucdavis.edu:8080/binbase-compound/bin/show/211899?db=rtx5","211899")</f>
        <v>211899</v>
      </c>
      <c r="E126" s="1" t="s">
        <v>507</v>
      </c>
      <c r="F126" s="1" t="str">
        <f>HYPERLINK("http://www.genome.ad.jp/dbget-bin/www_bget?compound+C07113","C07113")</f>
        <v>C07113</v>
      </c>
      <c r="G126" s="1" t="str">
        <f>HYPERLINK("http://pubchem.ncbi.nlm.nih.gov/summary/summary.cgi?cid=7410","7410")</f>
        <v>7410</v>
      </c>
      <c r="H126" s="1"/>
      <c r="I126" s="7">
        <v>1377</v>
      </c>
      <c r="J126" s="7">
        <v>512</v>
      </c>
      <c r="K126" s="7">
        <v>1870</v>
      </c>
      <c r="L126" s="7">
        <v>1317</v>
      </c>
      <c r="M126" s="7">
        <v>1085</v>
      </c>
      <c r="N126" s="7">
        <v>744</v>
      </c>
      <c r="O126" s="7">
        <v>944</v>
      </c>
      <c r="P126" s="7">
        <v>1268</v>
      </c>
      <c r="Q126" s="7">
        <v>1410</v>
      </c>
      <c r="R126" s="7">
        <v>3208</v>
      </c>
      <c r="S126" s="7">
        <v>1999</v>
      </c>
      <c r="T126" s="7">
        <v>1604</v>
      </c>
      <c r="U126" s="7">
        <v>1465</v>
      </c>
      <c r="V126" s="7">
        <v>1923</v>
      </c>
      <c r="W126" s="7">
        <v>1683</v>
      </c>
      <c r="X126" s="7">
        <v>1359</v>
      </c>
      <c r="Y126" s="7">
        <v>2454</v>
      </c>
      <c r="Z126" s="7">
        <v>547</v>
      </c>
      <c r="AA126" s="7">
        <v>3332</v>
      </c>
      <c r="AB126" s="7">
        <v>2334</v>
      </c>
      <c r="AC126" s="7">
        <v>3519</v>
      </c>
      <c r="AD126" s="7">
        <v>2164</v>
      </c>
      <c r="AE126" s="7">
        <v>1670</v>
      </c>
      <c r="AF126" s="7">
        <v>3394</v>
      </c>
      <c r="AG126" s="7">
        <v>1925</v>
      </c>
      <c r="AH126" s="7">
        <v>2221</v>
      </c>
      <c r="AI126" s="7">
        <v>633</v>
      </c>
      <c r="AJ126" s="7">
        <v>3299</v>
      </c>
      <c r="AK126" s="7">
        <v>2910</v>
      </c>
      <c r="AL126" s="7">
        <v>723</v>
      </c>
      <c r="AM126" s="7">
        <v>3057</v>
      </c>
      <c r="AN126" s="7">
        <v>798</v>
      </c>
      <c r="AO126" s="7">
        <v>2710</v>
      </c>
      <c r="AP126" s="7">
        <v>3391</v>
      </c>
      <c r="AQ126" s="7">
        <v>619</v>
      </c>
      <c r="AR126" s="7">
        <v>2032</v>
      </c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</row>
    <row r="127" spans="1:81">
      <c r="A127" s="1" t="s">
        <v>508</v>
      </c>
      <c r="B127" s="1" t="s">
        <v>509</v>
      </c>
      <c r="C127" s="1" t="s">
        <v>498</v>
      </c>
      <c r="D127" s="1" t="str">
        <f>HYPERLINK("http://eros.fiehnlab.ucdavis.edu:8080/binbase-compound/bin/show/213373?db=rtx5","213373")</f>
        <v>213373</v>
      </c>
      <c r="E127" s="1" t="s">
        <v>510</v>
      </c>
      <c r="F127" s="1" t="str">
        <f>HYPERLINK("http://www.genome.ad.jp/dbget-bin/www_bget?compound+C00170","C00170")</f>
        <v>C00170</v>
      </c>
      <c r="G127" s="1" t="str">
        <f>HYPERLINK("http://pubchem.ncbi.nlm.nih.gov/summary/summary.cgi?cid=439176","439176")</f>
        <v>439176</v>
      </c>
      <c r="H127" s="1"/>
      <c r="I127" s="7">
        <v>362</v>
      </c>
      <c r="J127" s="7">
        <v>236</v>
      </c>
      <c r="K127" s="7">
        <v>355</v>
      </c>
      <c r="L127" s="7">
        <v>436</v>
      </c>
      <c r="M127" s="7">
        <v>516</v>
      </c>
      <c r="N127" s="7">
        <v>118</v>
      </c>
      <c r="O127" s="7">
        <v>240</v>
      </c>
      <c r="P127" s="7">
        <v>565</v>
      </c>
      <c r="Q127" s="7">
        <v>487</v>
      </c>
      <c r="R127" s="7">
        <v>609</v>
      </c>
      <c r="S127" s="7">
        <v>743</v>
      </c>
      <c r="T127" s="7">
        <v>786</v>
      </c>
      <c r="U127" s="7">
        <v>319</v>
      </c>
      <c r="V127" s="7">
        <v>205</v>
      </c>
      <c r="W127" s="7">
        <v>240</v>
      </c>
      <c r="X127" s="7">
        <v>253</v>
      </c>
      <c r="Y127" s="7">
        <v>403</v>
      </c>
      <c r="Z127" s="7">
        <v>280</v>
      </c>
      <c r="AA127" s="7">
        <v>349</v>
      </c>
      <c r="AB127" s="7">
        <v>605</v>
      </c>
      <c r="AC127" s="7">
        <v>446</v>
      </c>
      <c r="AD127" s="7">
        <v>456</v>
      </c>
      <c r="AE127" s="7">
        <v>724</v>
      </c>
      <c r="AF127" s="7">
        <v>577</v>
      </c>
      <c r="AG127" s="7">
        <v>778</v>
      </c>
      <c r="AH127" s="7">
        <v>837</v>
      </c>
      <c r="AI127" s="7">
        <v>202</v>
      </c>
      <c r="AJ127" s="7">
        <v>631</v>
      </c>
      <c r="AK127" s="7">
        <v>381</v>
      </c>
      <c r="AL127" s="7">
        <v>350</v>
      </c>
      <c r="AM127" s="7">
        <v>320</v>
      </c>
      <c r="AN127" s="7">
        <v>470</v>
      </c>
      <c r="AO127" s="7">
        <v>396</v>
      </c>
      <c r="AP127" s="7">
        <v>685</v>
      </c>
      <c r="AQ127" s="7">
        <v>245</v>
      </c>
      <c r="AR127" s="7">
        <v>426</v>
      </c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</row>
    <row r="128" spans="1:81">
      <c r="A128" s="1" t="s">
        <v>511</v>
      </c>
      <c r="B128" s="1" t="s">
        <v>512</v>
      </c>
      <c r="C128" s="1" t="s">
        <v>117</v>
      </c>
      <c r="D128" s="1" t="str">
        <f>HYPERLINK("http://eros.fiehnlab.ucdavis.edu:8080/binbase-compound/bin/show/238442?db=rtx5","238442")</f>
        <v>238442</v>
      </c>
      <c r="E128" s="1" t="s">
        <v>513</v>
      </c>
      <c r="F128" s="1" t="str">
        <f>HYPERLINK("http://www.genome.ad.jp/dbget-bin/www_bget?compound+C00431","C00431")</f>
        <v>C00431</v>
      </c>
      <c r="G128" s="1" t="str">
        <f>HYPERLINK("http://pubchem.ncbi.nlm.nih.gov/summary/summary.cgi?cid=138","138")</f>
        <v>138</v>
      </c>
      <c r="H128" s="1"/>
      <c r="I128" s="7">
        <v>1630</v>
      </c>
      <c r="J128" s="7">
        <v>3274</v>
      </c>
      <c r="K128" s="7">
        <v>3067</v>
      </c>
      <c r="L128" s="7">
        <v>3891</v>
      </c>
      <c r="M128" s="7">
        <v>1578</v>
      </c>
      <c r="N128" s="7">
        <v>2253</v>
      </c>
      <c r="O128" s="7">
        <v>1801</v>
      </c>
      <c r="P128" s="7">
        <v>2413</v>
      </c>
      <c r="Q128" s="7">
        <v>1904</v>
      </c>
      <c r="R128" s="7">
        <v>5350</v>
      </c>
      <c r="S128" s="7">
        <v>2751</v>
      </c>
      <c r="T128" s="7">
        <v>16676</v>
      </c>
      <c r="U128" s="7">
        <v>2781</v>
      </c>
      <c r="V128" s="7">
        <v>1572</v>
      </c>
      <c r="W128" s="7">
        <v>2070</v>
      </c>
      <c r="X128" s="7">
        <v>1733</v>
      </c>
      <c r="Y128" s="7">
        <v>3537</v>
      </c>
      <c r="Z128" s="7">
        <v>5245</v>
      </c>
      <c r="AA128" s="7">
        <v>1696</v>
      </c>
      <c r="AB128" s="7">
        <v>3292</v>
      </c>
      <c r="AC128" s="7">
        <v>2629</v>
      </c>
      <c r="AD128" s="7">
        <v>4765</v>
      </c>
      <c r="AE128" s="7">
        <v>3656</v>
      </c>
      <c r="AF128" s="7">
        <v>8907</v>
      </c>
      <c r="AG128" s="7">
        <v>2225</v>
      </c>
      <c r="AH128" s="7">
        <v>4429</v>
      </c>
      <c r="AI128" s="7">
        <v>2655</v>
      </c>
      <c r="AJ128" s="7">
        <v>4651</v>
      </c>
      <c r="AK128" s="7">
        <v>4304</v>
      </c>
      <c r="AL128" s="7">
        <v>3212</v>
      </c>
      <c r="AM128" s="7">
        <v>1831</v>
      </c>
      <c r="AN128" s="7">
        <v>2552</v>
      </c>
      <c r="AO128" s="7">
        <v>1486</v>
      </c>
      <c r="AP128" s="7">
        <v>4829</v>
      </c>
      <c r="AQ128" s="7">
        <v>3169</v>
      </c>
      <c r="AR128" s="7">
        <v>2519</v>
      </c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</row>
    <row r="129" spans="1:81">
      <c r="A129" s="1" t="s">
        <v>514</v>
      </c>
      <c r="B129" s="1" t="s">
        <v>515</v>
      </c>
      <c r="C129" s="1" t="s">
        <v>516</v>
      </c>
      <c r="D129" s="1" t="str">
        <f>HYPERLINK("http://eros.fiehnlab.ucdavis.edu:8080/binbase-compound/bin/show/308448?db=rtx5","308448")</f>
        <v>308448</v>
      </c>
      <c r="E129" s="1" t="s">
        <v>517</v>
      </c>
      <c r="F129" s="1" t="str">
        <f>HYPERLINK("http://www.genome.ad.jp/dbget-bin/www_bget?compound+C00642","C00642")</f>
        <v>C00642</v>
      </c>
      <c r="G129" s="1" t="str">
        <f>HYPERLINK("http://pubchem.ncbi.nlm.nih.gov/summary/summary.cgi?cid=127","127")</f>
        <v>127</v>
      </c>
      <c r="H129" s="1"/>
      <c r="I129" s="7">
        <v>196</v>
      </c>
      <c r="J129" s="7">
        <v>106</v>
      </c>
      <c r="K129" s="7">
        <v>177</v>
      </c>
      <c r="L129" s="7">
        <v>131</v>
      </c>
      <c r="M129" s="7">
        <v>102</v>
      </c>
      <c r="N129" s="7">
        <v>111</v>
      </c>
      <c r="O129" s="7">
        <v>128</v>
      </c>
      <c r="P129" s="7">
        <v>215</v>
      </c>
      <c r="Q129" s="7">
        <v>163</v>
      </c>
      <c r="R129" s="7">
        <v>266</v>
      </c>
      <c r="S129" s="7">
        <v>139</v>
      </c>
      <c r="T129" s="7">
        <v>102</v>
      </c>
      <c r="U129" s="7">
        <v>235</v>
      </c>
      <c r="V129" s="7">
        <v>57</v>
      </c>
      <c r="W129" s="7">
        <v>139</v>
      </c>
      <c r="X129" s="7">
        <v>208</v>
      </c>
      <c r="Y129" s="7">
        <v>234</v>
      </c>
      <c r="Z129" s="7">
        <v>104</v>
      </c>
      <c r="AA129" s="7">
        <v>162</v>
      </c>
      <c r="AB129" s="7">
        <v>318</v>
      </c>
      <c r="AC129" s="7">
        <v>73</v>
      </c>
      <c r="AD129" s="7">
        <v>335</v>
      </c>
      <c r="AE129" s="7">
        <v>203</v>
      </c>
      <c r="AF129" s="7">
        <v>233</v>
      </c>
      <c r="AG129" s="7">
        <v>220</v>
      </c>
      <c r="AH129" s="7">
        <v>333</v>
      </c>
      <c r="AI129" s="7">
        <v>116</v>
      </c>
      <c r="AJ129" s="7">
        <v>310</v>
      </c>
      <c r="AK129" s="7">
        <v>417</v>
      </c>
      <c r="AL129" s="7">
        <v>105</v>
      </c>
      <c r="AM129" s="7">
        <v>347</v>
      </c>
      <c r="AN129" s="7">
        <v>85</v>
      </c>
      <c r="AO129" s="7">
        <v>380</v>
      </c>
      <c r="AP129" s="7">
        <v>276</v>
      </c>
      <c r="AQ129" s="7">
        <v>83</v>
      </c>
      <c r="AR129" s="7">
        <v>223</v>
      </c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</row>
    <row r="130" spans="1:81">
      <c r="A130" s="1" t="s">
        <v>607</v>
      </c>
      <c r="B130" s="1" t="s">
        <v>608</v>
      </c>
      <c r="C130" s="1" t="s">
        <v>363</v>
      </c>
      <c r="D130" s="1" t="str">
        <f>HYPERLINK("http://eros.fiehnlab.ucdavis.edu:8080/binbase-compound/bin/show/234616?db=rtx5","234616")</f>
        <v>234616</v>
      </c>
      <c r="E130" s="1" t="s">
        <v>609</v>
      </c>
      <c r="F130" s="1" t="str">
        <f>HYPERLINK("http://www.genome.ad.jp/dbget-bin/www_bget?compound+C00197","C00197")</f>
        <v>C00197</v>
      </c>
      <c r="G130" s="1" t="str">
        <f>HYPERLINK("http://pubchem.ncbi.nlm.nih.gov/summary/summary.cgi?cid=724","724")</f>
        <v>724</v>
      </c>
      <c r="H130" s="1"/>
      <c r="I130" s="7">
        <v>39141</v>
      </c>
      <c r="J130" s="7">
        <v>18222</v>
      </c>
      <c r="K130" s="7">
        <v>78217</v>
      </c>
      <c r="L130" s="7">
        <v>96615</v>
      </c>
      <c r="M130" s="7">
        <v>23964</v>
      </c>
      <c r="N130" s="7">
        <v>28929</v>
      </c>
      <c r="O130" s="7">
        <v>23127</v>
      </c>
      <c r="P130" s="7">
        <v>61764</v>
      </c>
      <c r="Q130" s="7">
        <v>29489</v>
      </c>
      <c r="R130" s="7">
        <v>91935</v>
      </c>
      <c r="S130" s="7">
        <v>31640</v>
      </c>
      <c r="T130" s="7">
        <v>44361</v>
      </c>
      <c r="U130" s="7">
        <v>19667</v>
      </c>
      <c r="V130" s="7">
        <v>26829</v>
      </c>
      <c r="W130" s="7">
        <v>21404</v>
      </c>
      <c r="X130" s="7">
        <v>33943</v>
      </c>
      <c r="Y130" s="7">
        <v>34820</v>
      </c>
      <c r="Z130" s="7">
        <v>30763</v>
      </c>
      <c r="AA130" s="7">
        <v>17332</v>
      </c>
      <c r="AB130" s="7">
        <v>71590</v>
      </c>
      <c r="AC130" s="7">
        <v>84921</v>
      </c>
      <c r="AD130" s="7">
        <v>76603</v>
      </c>
      <c r="AE130" s="7">
        <v>80495</v>
      </c>
      <c r="AF130" s="7">
        <v>134995</v>
      </c>
      <c r="AG130" s="7">
        <v>75203</v>
      </c>
      <c r="AH130" s="7">
        <v>144143</v>
      </c>
      <c r="AI130" s="7">
        <v>21315</v>
      </c>
      <c r="AJ130" s="7">
        <v>113904</v>
      </c>
      <c r="AK130" s="7">
        <v>103408</v>
      </c>
      <c r="AL130" s="7">
        <v>24374</v>
      </c>
      <c r="AM130" s="7">
        <v>50049</v>
      </c>
      <c r="AN130" s="7">
        <v>23651</v>
      </c>
      <c r="AO130" s="7">
        <v>80382</v>
      </c>
      <c r="AP130" s="7">
        <v>75315</v>
      </c>
      <c r="AQ130" s="7">
        <v>14994</v>
      </c>
      <c r="AR130" s="7">
        <v>46056</v>
      </c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</row>
    <row r="131" spans="1:81">
      <c r="A131" s="1" t="s">
        <v>610</v>
      </c>
      <c r="B131" s="1" t="s">
        <v>611</v>
      </c>
      <c r="C131" s="1" t="s">
        <v>163</v>
      </c>
      <c r="D131" s="1" t="str">
        <f>HYPERLINK("http://eros.fiehnlab.ucdavis.edu:8080/binbase-compound/bin/show/213134?db=rtx5","213134")</f>
        <v>213134</v>
      </c>
      <c r="E131" s="1" t="s">
        <v>612</v>
      </c>
      <c r="F131" s="1" t="str">
        <f>HYPERLINK("http://www.genome.ad.jp/dbget-bin/www_bget?compound+C05607","C05607")</f>
        <v>C05607</v>
      </c>
      <c r="G131" s="1" t="str">
        <f>HYPERLINK("http://pubchem.ncbi.nlm.nih.gov/summary/summary.cgi?cid=3848","3848")</f>
        <v>3848</v>
      </c>
      <c r="H131" s="1"/>
      <c r="I131" s="7">
        <v>947</v>
      </c>
      <c r="J131" s="7">
        <v>676</v>
      </c>
      <c r="K131" s="7">
        <v>1394</v>
      </c>
      <c r="L131" s="7">
        <v>1210</v>
      </c>
      <c r="M131" s="7">
        <v>748</v>
      </c>
      <c r="N131" s="7">
        <v>951</v>
      </c>
      <c r="O131" s="7">
        <v>626</v>
      </c>
      <c r="P131" s="7">
        <v>1734</v>
      </c>
      <c r="Q131" s="7">
        <v>1495</v>
      </c>
      <c r="R131" s="7">
        <v>1475</v>
      </c>
      <c r="S131" s="7">
        <v>1108</v>
      </c>
      <c r="T131" s="7">
        <v>4250</v>
      </c>
      <c r="U131" s="7">
        <v>572</v>
      </c>
      <c r="V131" s="7">
        <v>549</v>
      </c>
      <c r="W131" s="7">
        <v>989</v>
      </c>
      <c r="X131" s="7">
        <v>1035</v>
      </c>
      <c r="Y131" s="7">
        <v>954</v>
      </c>
      <c r="Z131" s="7">
        <v>1330</v>
      </c>
      <c r="AA131" s="7">
        <v>858</v>
      </c>
      <c r="AB131" s="7">
        <v>1471</v>
      </c>
      <c r="AC131" s="7">
        <v>1139</v>
      </c>
      <c r="AD131" s="7">
        <v>2361</v>
      </c>
      <c r="AE131" s="7">
        <v>1994</v>
      </c>
      <c r="AF131" s="7">
        <v>1523</v>
      </c>
      <c r="AG131" s="7">
        <v>1526</v>
      </c>
      <c r="AH131" s="7">
        <v>2247</v>
      </c>
      <c r="AI131" s="7">
        <v>971</v>
      </c>
      <c r="AJ131" s="7">
        <v>1629</v>
      </c>
      <c r="AK131" s="7">
        <v>1715</v>
      </c>
      <c r="AL131" s="7">
        <v>1657</v>
      </c>
      <c r="AM131" s="7">
        <v>1624</v>
      </c>
      <c r="AN131" s="7">
        <v>928</v>
      </c>
      <c r="AO131" s="7">
        <v>1484</v>
      </c>
      <c r="AP131" s="7">
        <v>1797</v>
      </c>
      <c r="AQ131" s="7">
        <v>891</v>
      </c>
      <c r="AR131" s="7">
        <v>1483</v>
      </c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</row>
    <row r="132" spans="1:81">
      <c r="A132" s="1" t="s">
        <v>613</v>
      </c>
      <c r="B132" s="1" t="s">
        <v>614</v>
      </c>
      <c r="C132" s="1" t="s">
        <v>187</v>
      </c>
      <c r="D132" s="1" t="str">
        <f>HYPERLINK("http://eros.fiehnlab.ucdavis.edu:8080/binbase-compound/bin/show/213283?db=rtx5","213283")</f>
        <v>213283</v>
      </c>
      <c r="E132" s="1" t="s">
        <v>615</v>
      </c>
      <c r="F132" s="1" t="str">
        <f>HYPERLINK("http://www.genome.ad.jp/dbget-bin/www_bget?compound+C01013","C01013")</f>
        <v>C01013</v>
      </c>
      <c r="G132" s="1" t="str">
        <f>HYPERLINK("http://pubchem.ncbi.nlm.nih.gov/summary/summary.cgi?cid=68152","68152")</f>
        <v>68152</v>
      </c>
      <c r="H132" s="1"/>
      <c r="I132" s="7">
        <v>708</v>
      </c>
      <c r="J132" s="7">
        <v>1054</v>
      </c>
      <c r="K132" s="7">
        <v>1192</v>
      </c>
      <c r="L132" s="7">
        <v>1909</v>
      </c>
      <c r="M132" s="7">
        <v>949</v>
      </c>
      <c r="N132" s="7">
        <v>928</v>
      </c>
      <c r="O132" s="7">
        <v>957</v>
      </c>
      <c r="P132" s="7">
        <v>1209</v>
      </c>
      <c r="Q132" s="7">
        <v>920</v>
      </c>
      <c r="R132" s="7">
        <v>974</v>
      </c>
      <c r="S132" s="7">
        <v>971</v>
      </c>
      <c r="T132" s="7">
        <v>999</v>
      </c>
      <c r="U132" s="7">
        <v>817</v>
      </c>
      <c r="V132" s="7">
        <v>1268</v>
      </c>
      <c r="W132" s="7">
        <v>1061</v>
      </c>
      <c r="X132" s="7">
        <v>1327</v>
      </c>
      <c r="Y132" s="7">
        <v>1411</v>
      </c>
      <c r="Z132" s="7">
        <v>850</v>
      </c>
      <c r="AA132" s="7">
        <v>1343</v>
      </c>
      <c r="AB132" s="7">
        <v>1504</v>
      </c>
      <c r="AC132" s="7">
        <v>1301</v>
      </c>
      <c r="AD132" s="7">
        <v>973</v>
      </c>
      <c r="AE132" s="7">
        <v>906</v>
      </c>
      <c r="AF132" s="7">
        <v>1557</v>
      </c>
      <c r="AG132" s="7">
        <v>1191</v>
      </c>
      <c r="AH132" s="7">
        <v>1542</v>
      </c>
      <c r="AI132" s="7">
        <v>901</v>
      </c>
      <c r="AJ132" s="7">
        <v>1039</v>
      </c>
      <c r="AK132" s="7">
        <v>1543</v>
      </c>
      <c r="AL132" s="7">
        <v>1027</v>
      </c>
      <c r="AM132" s="7">
        <v>1659</v>
      </c>
      <c r="AN132" s="7">
        <v>826</v>
      </c>
      <c r="AO132" s="7">
        <v>1551</v>
      </c>
      <c r="AP132" s="7">
        <v>1174</v>
      </c>
      <c r="AQ132" s="7">
        <v>944</v>
      </c>
      <c r="AR132" s="7">
        <v>1177</v>
      </c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</row>
    <row r="133" spans="1:81">
      <c r="A133" s="1" t="s">
        <v>739</v>
      </c>
      <c r="B133" s="1" t="s">
        <v>740</v>
      </c>
      <c r="C133" s="1" t="s">
        <v>716</v>
      </c>
      <c r="D133" s="1" t="str">
        <f>HYPERLINK("http://eros.fiehnlab.ucdavis.edu:8080/binbase-compound/bin/show/228128?db=rtx5","228128")</f>
        <v>228128</v>
      </c>
      <c r="E133" s="1" t="s">
        <v>741</v>
      </c>
      <c r="F133" s="1" t="str">
        <f>HYPERLINK("http://www.genome.ad.jp/dbget-bin/www_bget?compound+n/a","n/a")</f>
        <v>n/a</v>
      </c>
      <c r="G133" s="1" t="str">
        <f>HYPERLINK("http://pubchem.ncbi.nlm.nih.gov/summary/summary.cgi?cid=152265","152265")</f>
        <v>152265</v>
      </c>
      <c r="H133" s="1"/>
      <c r="I133" s="7">
        <v>1159</v>
      </c>
      <c r="J133" s="7">
        <v>3884</v>
      </c>
      <c r="K133" s="7">
        <v>1161</v>
      </c>
      <c r="L133" s="7">
        <v>1061</v>
      </c>
      <c r="M133" s="7">
        <v>1920</v>
      </c>
      <c r="N133" s="7">
        <v>2756</v>
      </c>
      <c r="O133" s="7">
        <v>2417</v>
      </c>
      <c r="P133" s="7">
        <v>1270</v>
      </c>
      <c r="Q133" s="7">
        <v>2298</v>
      </c>
      <c r="R133" s="7">
        <v>1036</v>
      </c>
      <c r="S133" s="7">
        <v>2235</v>
      </c>
      <c r="T133" s="7">
        <v>1862</v>
      </c>
      <c r="U133" s="7">
        <v>841</v>
      </c>
      <c r="V133" s="7">
        <v>2101</v>
      </c>
      <c r="W133" s="7">
        <v>2570</v>
      </c>
      <c r="X133" s="7">
        <v>1195</v>
      </c>
      <c r="Y133" s="7">
        <v>854</v>
      </c>
      <c r="Z133" s="7">
        <v>2875</v>
      </c>
      <c r="AA133" s="7">
        <v>2182</v>
      </c>
      <c r="AB133" s="7">
        <v>1186</v>
      </c>
      <c r="AC133" s="7">
        <v>830</v>
      </c>
      <c r="AD133" s="7">
        <v>932</v>
      </c>
      <c r="AE133" s="7">
        <v>1065</v>
      </c>
      <c r="AF133" s="7">
        <v>684</v>
      </c>
      <c r="AG133" s="7">
        <v>1590</v>
      </c>
      <c r="AH133" s="7">
        <v>972</v>
      </c>
      <c r="AI133" s="7">
        <v>2401</v>
      </c>
      <c r="AJ133" s="7">
        <v>711</v>
      </c>
      <c r="AK133" s="7">
        <v>776</v>
      </c>
      <c r="AL133" s="7">
        <v>2950</v>
      </c>
      <c r="AM133" s="7">
        <v>1031</v>
      </c>
      <c r="AN133" s="7">
        <v>2927</v>
      </c>
      <c r="AO133" s="7">
        <v>1092</v>
      </c>
      <c r="AP133" s="7">
        <v>1046</v>
      </c>
      <c r="AQ133" s="7">
        <v>3697</v>
      </c>
      <c r="AR133" s="7">
        <v>1153</v>
      </c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</row>
    <row r="134" spans="1:81">
      <c r="A134" s="1" t="s">
        <v>1185</v>
      </c>
      <c r="B134" s="1" t="s">
        <v>742</v>
      </c>
      <c r="C134" s="1" t="s">
        <v>743</v>
      </c>
      <c r="D134" s="1" t="str">
        <f>HYPERLINK("http://eros.fiehnlab.ucdavis.edu:8080/binbase-compound/bin/show/213388?db=rtx5","213388")</f>
        <v>213388</v>
      </c>
      <c r="E134" s="1" t="s">
        <v>744</v>
      </c>
      <c r="F134" s="1" t="str">
        <f>HYPERLINK("http://www.genome.ad.jp/dbget-bin/www_bget?compound+C00233","C00233")</f>
        <v>C00233</v>
      </c>
      <c r="G134" s="1" t="str">
        <f>HYPERLINK("http://pubchem.ncbi.nlm.nih.gov/summary/summary.cgi?cid=70","70")</f>
        <v>70</v>
      </c>
      <c r="H134" s="1"/>
      <c r="I134" s="7">
        <v>303</v>
      </c>
      <c r="J134" s="7">
        <v>141</v>
      </c>
      <c r="K134" s="7">
        <v>546</v>
      </c>
      <c r="L134" s="7">
        <v>290</v>
      </c>
      <c r="M134" s="7">
        <v>733</v>
      </c>
      <c r="N134" s="7">
        <v>143</v>
      </c>
      <c r="O134" s="7">
        <v>1152</v>
      </c>
      <c r="P134" s="7">
        <v>1429</v>
      </c>
      <c r="Q134" s="7">
        <v>622</v>
      </c>
      <c r="R134" s="7">
        <v>3229</v>
      </c>
      <c r="S134" s="7">
        <v>1157</v>
      </c>
      <c r="T134" s="7">
        <v>1088</v>
      </c>
      <c r="U134" s="7">
        <v>993</v>
      </c>
      <c r="V134" s="7">
        <v>222</v>
      </c>
      <c r="W134" s="7">
        <v>200</v>
      </c>
      <c r="X134" s="7">
        <v>251</v>
      </c>
      <c r="Y134" s="7">
        <v>2130</v>
      </c>
      <c r="Z134" s="7">
        <v>956</v>
      </c>
      <c r="AA134" s="7">
        <v>105</v>
      </c>
      <c r="AB134" s="7">
        <v>378</v>
      </c>
      <c r="AC134" s="7">
        <v>415</v>
      </c>
      <c r="AD134" s="7">
        <v>440</v>
      </c>
      <c r="AE134" s="7">
        <v>283</v>
      </c>
      <c r="AF134" s="7">
        <v>2897</v>
      </c>
      <c r="AG134" s="7">
        <v>1009</v>
      </c>
      <c r="AH134" s="7">
        <v>432</v>
      </c>
      <c r="AI134" s="7">
        <v>464</v>
      </c>
      <c r="AJ134" s="7">
        <v>845</v>
      </c>
      <c r="AK134" s="7">
        <v>414</v>
      </c>
      <c r="AL134" s="7">
        <v>212</v>
      </c>
      <c r="AM134" s="7">
        <v>503</v>
      </c>
      <c r="AN134" s="7">
        <v>166</v>
      </c>
      <c r="AO134" s="7">
        <v>355</v>
      </c>
      <c r="AP134" s="7">
        <v>511</v>
      </c>
      <c r="AQ134" s="7">
        <v>281</v>
      </c>
      <c r="AR134" s="7">
        <v>322</v>
      </c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</row>
    <row r="135" spans="1:81">
      <c r="A135" s="1" t="s">
        <v>745</v>
      </c>
      <c r="B135" s="1" t="s">
        <v>746</v>
      </c>
      <c r="C135" s="1" t="s">
        <v>222</v>
      </c>
      <c r="D135" s="1" t="str">
        <f>HYPERLINK("http://eros.fiehnlab.ucdavis.edu:8080/binbase-compound/bin/show/214409?db=rtx5","214409")</f>
        <v>214409</v>
      </c>
      <c r="E135" s="1" t="s">
        <v>747</v>
      </c>
      <c r="F135" s="1" t="str">
        <f>HYPERLINK("http://www.genome.ad.jp/dbget-bin/www_bget?compound+C02630","C02630")</f>
        <v>C02630</v>
      </c>
      <c r="G135" s="1" t="str">
        <f>HYPERLINK("http://pubchem.ncbi.nlm.nih.gov/summary/summary.cgi?cid=43","43")</f>
        <v>43</v>
      </c>
      <c r="H135" s="1"/>
      <c r="I135" s="7">
        <v>5828</v>
      </c>
      <c r="J135" s="7">
        <v>6044</v>
      </c>
      <c r="K135" s="7">
        <v>4744</v>
      </c>
      <c r="L135" s="7">
        <v>6412</v>
      </c>
      <c r="M135" s="7">
        <v>6487</v>
      </c>
      <c r="N135" s="7">
        <v>5416</v>
      </c>
      <c r="O135" s="7">
        <v>12881</v>
      </c>
      <c r="P135" s="7">
        <v>7435</v>
      </c>
      <c r="Q135" s="7">
        <v>2468</v>
      </c>
      <c r="R135" s="7">
        <v>8011</v>
      </c>
      <c r="S135" s="7">
        <v>10318</v>
      </c>
      <c r="T135" s="7">
        <v>4629</v>
      </c>
      <c r="U135" s="7">
        <v>3064</v>
      </c>
      <c r="V135" s="7">
        <v>7157</v>
      </c>
      <c r="W135" s="7">
        <v>2419</v>
      </c>
      <c r="X135" s="7">
        <v>2977</v>
      </c>
      <c r="Y135" s="7">
        <v>3066</v>
      </c>
      <c r="Z135" s="7">
        <v>2162</v>
      </c>
      <c r="AA135" s="7">
        <v>4145</v>
      </c>
      <c r="AB135" s="7">
        <v>3888</v>
      </c>
      <c r="AC135" s="7">
        <v>3901</v>
      </c>
      <c r="AD135" s="7">
        <v>3311</v>
      </c>
      <c r="AE135" s="7">
        <v>9208</v>
      </c>
      <c r="AF135" s="7">
        <v>4070</v>
      </c>
      <c r="AG135" s="7">
        <v>7327</v>
      </c>
      <c r="AH135" s="7">
        <v>6025</v>
      </c>
      <c r="AI135" s="7">
        <v>3371</v>
      </c>
      <c r="AJ135" s="7">
        <v>6446</v>
      </c>
      <c r="AK135" s="7">
        <v>8438</v>
      </c>
      <c r="AL135" s="7">
        <v>4761</v>
      </c>
      <c r="AM135" s="7">
        <v>5373</v>
      </c>
      <c r="AN135" s="7">
        <v>4066</v>
      </c>
      <c r="AO135" s="7">
        <v>6700</v>
      </c>
      <c r="AP135" s="7">
        <v>8642</v>
      </c>
      <c r="AQ135" s="7">
        <v>3970</v>
      </c>
      <c r="AR135" s="7">
        <v>4863</v>
      </c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</row>
    <row r="136" spans="1:81">
      <c r="A136" s="1" t="s">
        <v>748</v>
      </c>
      <c r="B136" s="1" t="s">
        <v>749</v>
      </c>
      <c r="C136" s="1" t="s">
        <v>643</v>
      </c>
      <c r="D136" s="1" t="str">
        <f>HYPERLINK("http://eros.fiehnlab.ucdavis.edu:8080/binbase-compound/bin/show/213131?db=rtx5","213131")</f>
        <v>213131</v>
      </c>
      <c r="E136" s="1" t="s">
        <v>750</v>
      </c>
      <c r="F136" s="1" t="str">
        <f>HYPERLINK("http://www.genome.ad.jp/dbget-bin/www_bget?compound+C00956","C00956")</f>
        <v>C00956</v>
      </c>
      <c r="G136" s="1" t="str">
        <f>HYPERLINK("http://pubchem.ncbi.nlm.nih.gov/summary/summary.cgi?cid=469","469")</f>
        <v>469</v>
      </c>
      <c r="H136" s="1"/>
      <c r="I136" s="7">
        <v>518</v>
      </c>
      <c r="J136" s="7">
        <v>256</v>
      </c>
      <c r="K136" s="7">
        <v>513</v>
      </c>
      <c r="L136" s="7">
        <v>1136</v>
      </c>
      <c r="M136" s="7">
        <v>150</v>
      </c>
      <c r="N136" s="7">
        <v>583</v>
      </c>
      <c r="O136" s="7">
        <v>191</v>
      </c>
      <c r="P136" s="7">
        <v>361</v>
      </c>
      <c r="Q136" s="7">
        <v>315</v>
      </c>
      <c r="R136" s="7">
        <v>1038</v>
      </c>
      <c r="S136" s="7">
        <v>1676</v>
      </c>
      <c r="T136" s="7">
        <v>1120</v>
      </c>
      <c r="U136" s="7">
        <v>350</v>
      </c>
      <c r="V136" s="7">
        <v>148</v>
      </c>
      <c r="W136" s="7">
        <v>439</v>
      </c>
      <c r="X136" s="7">
        <v>971</v>
      </c>
      <c r="Y136" s="7">
        <v>526</v>
      </c>
      <c r="Z136" s="7">
        <v>495</v>
      </c>
      <c r="AA136" s="7">
        <v>279</v>
      </c>
      <c r="AB136" s="7">
        <v>528</v>
      </c>
      <c r="AC136" s="7">
        <v>431</v>
      </c>
      <c r="AD136" s="7">
        <v>1105</v>
      </c>
      <c r="AE136" s="7">
        <v>1256</v>
      </c>
      <c r="AF136" s="7">
        <v>1192</v>
      </c>
      <c r="AG136" s="7">
        <v>762</v>
      </c>
      <c r="AH136" s="7">
        <v>792</v>
      </c>
      <c r="AI136" s="7">
        <v>489</v>
      </c>
      <c r="AJ136" s="7">
        <v>1623</v>
      </c>
      <c r="AK136" s="7">
        <v>1434</v>
      </c>
      <c r="AL136" s="7">
        <v>696</v>
      </c>
      <c r="AM136" s="7">
        <v>955</v>
      </c>
      <c r="AN136" s="7">
        <v>393</v>
      </c>
      <c r="AO136" s="7">
        <v>522</v>
      </c>
      <c r="AP136" s="7">
        <v>2009</v>
      </c>
      <c r="AQ136" s="7">
        <v>1274</v>
      </c>
      <c r="AR136" s="7">
        <v>852</v>
      </c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</row>
    <row r="137" spans="1:81">
      <c r="A137" s="1" t="s">
        <v>1150</v>
      </c>
      <c r="B137" s="1" t="s">
        <v>1151</v>
      </c>
      <c r="C137" s="1" t="s">
        <v>1152</v>
      </c>
      <c r="D137" s="1" t="str">
        <f>HYPERLINK("http://eros.fiehnlab.ucdavis.edu:8080/binbase-compound/bin/show/202835?db=rtx5","202835")</f>
        <v>202835</v>
      </c>
      <c r="E137" s="1" t="s">
        <v>1153</v>
      </c>
      <c r="F137" s="1" t="str">
        <f>HYPERLINK("http://www.genome.ad.jp/dbget-bin/www_bget?compound+D01947","D01947")</f>
        <v>D01947</v>
      </c>
      <c r="G137" s="1" t="str">
        <f>HYPERLINK("http://pubchem.ncbi.nlm.nih.gov/summary/summary.cgi?cid=24699","24699")</f>
        <v>24699</v>
      </c>
      <c r="H137" s="1"/>
      <c r="I137" s="7">
        <v>1114</v>
      </c>
      <c r="J137" s="7">
        <v>96</v>
      </c>
      <c r="K137" s="7">
        <v>1203</v>
      </c>
      <c r="L137" s="7">
        <v>355</v>
      </c>
      <c r="M137" s="7">
        <v>278</v>
      </c>
      <c r="N137" s="7">
        <v>135</v>
      </c>
      <c r="O137" s="7">
        <v>272</v>
      </c>
      <c r="P137" s="7">
        <v>778</v>
      </c>
      <c r="Q137" s="7">
        <v>1417</v>
      </c>
      <c r="R137" s="7">
        <v>274</v>
      </c>
      <c r="S137" s="7">
        <v>236</v>
      </c>
      <c r="T137" s="7">
        <v>145</v>
      </c>
      <c r="U137" s="7">
        <v>2651</v>
      </c>
      <c r="V137" s="7">
        <v>421</v>
      </c>
      <c r="W137" s="7">
        <v>150</v>
      </c>
      <c r="X137" s="7">
        <v>384</v>
      </c>
      <c r="Y137" s="7">
        <v>676</v>
      </c>
      <c r="Z137" s="7">
        <v>160</v>
      </c>
      <c r="AA137" s="7">
        <v>380</v>
      </c>
      <c r="AB137" s="7">
        <v>125</v>
      </c>
      <c r="AC137" s="7">
        <v>679</v>
      </c>
      <c r="AD137" s="7">
        <v>362</v>
      </c>
      <c r="AE137" s="7">
        <v>220</v>
      </c>
      <c r="AF137" s="7">
        <v>413</v>
      </c>
      <c r="AG137" s="7">
        <v>317</v>
      </c>
      <c r="AH137" s="7">
        <v>382</v>
      </c>
      <c r="AI137" s="7">
        <v>167</v>
      </c>
      <c r="AJ137" s="7">
        <v>567</v>
      </c>
      <c r="AK137" s="7">
        <v>643</v>
      </c>
      <c r="AL137" s="7">
        <v>121</v>
      </c>
      <c r="AM137" s="7">
        <v>675</v>
      </c>
      <c r="AN137" s="7">
        <v>155</v>
      </c>
      <c r="AO137" s="7">
        <v>529</v>
      </c>
      <c r="AP137" s="7">
        <v>495</v>
      </c>
      <c r="AQ137" s="7">
        <v>101</v>
      </c>
      <c r="AR137" s="7">
        <v>263</v>
      </c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</row>
    <row r="138" spans="1:81">
      <c r="A138" s="1" t="s">
        <v>1154</v>
      </c>
      <c r="B138" s="1" t="s">
        <v>1155</v>
      </c>
      <c r="C138" s="1" t="s">
        <v>363</v>
      </c>
      <c r="D138" s="1" t="str">
        <f>HYPERLINK("http://eros.fiehnlab.ucdavis.edu:8080/binbase-compound/bin/show/213408?db=rtx5","213408")</f>
        <v>213408</v>
      </c>
      <c r="E138" s="1" t="s">
        <v>1156</v>
      </c>
      <c r="F138" s="1" t="str">
        <f>HYPERLINK("http://www.genome.ad.jp/dbget-bin/www_bget?compound+C00823","C00823")</f>
        <v>C00823</v>
      </c>
      <c r="G138" s="1" t="str">
        <f>HYPERLINK("http://pubchem.ncbi.nlm.nih.gov/summary/summary.cgi?cid=2682","2682")</f>
        <v>2682</v>
      </c>
      <c r="H138" s="1"/>
      <c r="I138" s="7">
        <v>244</v>
      </c>
      <c r="J138" s="7">
        <v>187</v>
      </c>
      <c r="K138" s="7">
        <v>466</v>
      </c>
      <c r="L138" s="7">
        <v>787</v>
      </c>
      <c r="M138" s="7">
        <v>339</v>
      </c>
      <c r="N138" s="7">
        <v>216</v>
      </c>
      <c r="O138" s="7">
        <v>489</v>
      </c>
      <c r="P138" s="7">
        <v>326</v>
      </c>
      <c r="Q138" s="7">
        <v>168</v>
      </c>
      <c r="R138" s="7">
        <v>765</v>
      </c>
      <c r="S138" s="7">
        <v>510</v>
      </c>
      <c r="T138" s="7">
        <v>353</v>
      </c>
      <c r="U138" s="7">
        <v>346</v>
      </c>
      <c r="V138" s="7">
        <v>314</v>
      </c>
      <c r="W138" s="7">
        <v>302</v>
      </c>
      <c r="X138" s="7">
        <v>614</v>
      </c>
      <c r="Y138" s="7">
        <v>760</v>
      </c>
      <c r="Z138" s="7">
        <v>145</v>
      </c>
      <c r="AA138" s="7">
        <v>484</v>
      </c>
      <c r="AB138" s="7">
        <v>758</v>
      </c>
      <c r="AC138" s="7">
        <v>726</v>
      </c>
      <c r="AD138" s="7">
        <v>563</v>
      </c>
      <c r="AE138" s="7">
        <v>501</v>
      </c>
      <c r="AF138" s="7">
        <v>558</v>
      </c>
      <c r="AG138" s="7">
        <v>415</v>
      </c>
      <c r="AH138" s="7">
        <v>511</v>
      </c>
      <c r="AI138" s="7">
        <v>190</v>
      </c>
      <c r="AJ138" s="7">
        <v>649</v>
      </c>
      <c r="AK138" s="7">
        <v>1115</v>
      </c>
      <c r="AL138" s="7">
        <v>130</v>
      </c>
      <c r="AM138" s="7">
        <v>655</v>
      </c>
      <c r="AN138" s="7">
        <v>233</v>
      </c>
      <c r="AO138" s="7">
        <v>723</v>
      </c>
      <c r="AP138" s="7">
        <v>779</v>
      </c>
      <c r="AQ138" s="7">
        <v>151</v>
      </c>
      <c r="AR138" s="7">
        <v>580</v>
      </c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</row>
    <row r="139" spans="1:81">
      <c r="A139" s="1" t="s">
        <v>1057</v>
      </c>
      <c r="B139" s="1" t="s">
        <v>1058</v>
      </c>
      <c r="C139" s="1" t="s">
        <v>258</v>
      </c>
      <c r="D139" s="1" t="str">
        <f>HYPERLINK("http://eros.fiehnlab.ucdavis.edu:8080/binbase-compound/bin/show/214201?db=rtx5","214201")</f>
        <v>214201</v>
      </c>
      <c r="E139" s="1" t="s">
        <v>1059</v>
      </c>
      <c r="F139" s="1" t="str">
        <f>HYPERLINK("http://www.genome.ad.jp/dbget-bin/www_bget?compound+C01796","C01796")</f>
        <v>C01796</v>
      </c>
      <c r="G139" s="1" t="str">
        <f>HYPERLINK("http://pubchem.ncbi.nlm.nih.gov/summary/summary.cgi?cid=94176","94176")</f>
        <v>94176</v>
      </c>
      <c r="H139" s="1"/>
      <c r="I139" s="7">
        <v>164</v>
      </c>
      <c r="J139" s="7">
        <v>149</v>
      </c>
      <c r="K139" s="7">
        <v>264</v>
      </c>
      <c r="L139" s="7">
        <v>307</v>
      </c>
      <c r="M139" s="7">
        <v>132</v>
      </c>
      <c r="N139" s="7">
        <v>49</v>
      </c>
      <c r="O139" s="7">
        <v>193</v>
      </c>
      <c r="P139" s="7">
        <v>363</v>
      </c>
      <c r="Q139" s="7">
        <v>193</v>
      </c>
      <c r="R139" s="7">
        <v>322</v>
      </c>
      <c r="S139" s="7">
        <v>78</v>
      </c>
      <c r="T139" s="7">
        <v>104</v>
      </c>
      <c r="U139" s="7">
        <v>194</v>
      </c>
      <c r="V139" s="7">
        <v>211</v>
      </c>
      <c r="W139" s="7">
        <v>229</v>
      </c>
      <c r="X139" s="7">
        <v>309</v>
      </c>
      <c r="Y139" s="7">
        <v>348</v>
      </c>
      <c r="Z139" s="7">
        <v>67</v>
      </c>
      <c r="AA139" s="7">
        <v>108</v>
      </c>
      <c r="AB139" s="7">
        <v>295</v>
      </c>
      <c r="AC139" s="7">
        <v>364</v>
      </c>
      <c r="AD139" s="7">
        <v>324</v>
      </c>
      <c r="AE139" s="7">
        <v>357</v>
      </c>
      <c r="AF139" s="7">
        <v>359</v>
      </c>
      <c r="AG139" s="7">
        <v>297</v>
      </c>
      <c r="AH139" s="7">
        <v>368</v>
      </c>
      <c r="AI139" s="7">
        <v>149</v>
      </c>
      <c r="AJ139" s="7">
        <v>418</v>
      </c>
      <c r="AK139" s="7">
        <v>331</v>
      </c>
      <c r="AL139" s="7">
        <v>135</v>
      </c>
      <c r="AM139" s="7">
        <v>382</v>
      </c>
      <c r="AN139" s="7">
        <v>98</v>
      </c>
      <c r="AO139" s="7">
        <v>366</v>
      </c>
      <c r="AP139" s="7">
        <v>352</v>
      </c>
      <c r="AQ139" s="7">
        <v>111</v>
      </c>
      <c r="AR139" s="7">
        <v>327</v>
      </c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</row>
    <row r="140" spans="1:81">
      <c r="A140" s="1" t="s">
        <v>602</v>
      </c>
      <c r="B140" s="1" t="s">
        <v>603</v>
      </c>
      <c r="C140" s="1" t="s">
        <v>604</v>
      </c>
      <c r="D140" s="1" t="str">
        <f>HYPERLINK("http://eros.fiehnlab.ucdavis.edu:8080/binbase-compound/bin/show/408490?db=rtx5","408490")</f>
        <v>408490</v>
      </c>
      <c r="E140" s="1" t="s">
        <v>605</v>
      </c>
      <c r="F140" s="1" t="s">
        <v>0</v>
      </c>
      <c r="G140" s="1" t="s">
        <v>0</v>
      </c>
      <c r="H140" s="1"/>
      <c r="I140" s="7">
        <v>964</v>
      </c>
      <c r="J140" s="7">
        <v>505</v>
      </c>
      <c r="K140" s="7">
        <v>1796</v>
      </c>
      <c r="L140" s="7">
        <v>2434</v>
      </c>
      <c r="M140" s="7">
        <v>1066</v>
      </c>
      <c r="N140" s="7">
        <v>730</v>
      </c>
      <c r="O140" s="7">
        <v>1118</v>
      </c>
      <c r="P140" s="7">
        <v>2172</v>
      </c>
      <c r="Q140" s="7">
        <v>895</v>
      </c>
      <c r="R140" s="7">
        <v>1896</v>
      </c>
      <c r="S140" s="7">
        <v>1272</v>
      </c>
      <c r="T140" s="7">
        <v>856</v>
      </c>
      <c r="U140" s="7">
        <v>1233</v>
      </c>
      <c r="V140" s="7">
        <v>1247</v>
      </c>
      <c r="W140" s="7">
        <v>1130</v>
      </c>
      <c r="X140" s="7">
        <v>1726</v>
      </c>
      <c r="Y140" s="7">
        <v>2308</v>
      </c>
      <c r="Z140" s="7">
        <v>702</v>
      </c>
      <c r="AA140" s="7">
        <v>1154</v>
      </c>
      <c r="AB140" s="7">
        <v>2161</v>
      </c>
      <c r="AC140" s="7">
        <v>3055</v>
      </c>
      <c r="AD140" s="7">
        <v>1912</v>
      </c>
      <c r="AE140" s="7">
        <v>1947</v>
      </c>
      <c r="AF140" s="7">
        <v>2658</v>
      </c>
      <c r="AG140" s="7">
        <v>1714</v>
      </c>
      <c r="AH140" s="7">
        <v>2445</v>
      </c>
      <c r="AI140" s="7">
        <v>799</v>
      </c>
      <c r="AJ140" s="7">
        <v>2351</v>
      </c>
      <c r="AK140" s="7">
        <v>3215</v>
      </c>
      <c r="AL140" s="7">
        <v>814</v>
      </c>
      <c r="AM140" s="7">
        <v>2158</v>
      </c>
      <c r="AN140" s="7">
        <v>769</v>
      </c>
      <c r="AO140" s="7">
        <v>2710</v>
      </c>
      <c r="AP140" s="7">
        <v>2418</v>
      </c>
      <c r="AQ140" s="7">
        <v>637</v>
      </c>
      <c r="AR140" s="7">
        <v>1829</v>
      </c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</row>
    <row r="141" spans="1:81">
      <c r="A141" s="1" t="s">
        <v>626</v>
      </c>
      <c r="B141" s="1" t="s">
        <v>627</v>
      </c>
      <c r="C141" s="1" t="s">
        <v>95</v>
      </c>
      <c r="D141" s="1" t="str">
        <f>HYPERLINK("http://eros.fiehnlab.ucdavis.edu:8080/binbase-compound/bin/show/382318?db=rtx5","382318")</f>
        <v>382318</v>
      </c>
      <c r="E141" s="1" t="s">
        <v>628</v>
      </c>
      <c r="F141" s="1" t="s">
        <v>0</v>
      </c>
      <c r="G141" s="1" t="s">
        <v>0</v>
      </c>
      <c r="H141" s="1"/>
      <c r="I141" s="7">
        <v>3943</v>
      </c>
      <c r="J141" s="7">
        <v>2374</v>
      </c>
      <c r="K141" s="7">
        <v>9863</v>
      </c>
      <c r="L141" s="7">
        <v>13842</v>
      </c>
      <c r="M141" s="7">
        <v>4439</v>
      </c>
      <c r="N141" s="7">
        <v>4211</v>
      </c>
      <c r="O141" s="7">
        <v>5184</v>
      </c>
      <c r="P141" s="7">
        <v>10190</v>
      </c>
      <c r="Q141" s="7">
        <v>5150</v>
      </c>
      <c r="R141" s="7">
        <v>11381</v>
      </c>
      <c r="S141" s="7">
        <v>6300</v>
      </c>
      <c r="T141" s="7">
        <v>4263</v>
      </c>
      <c r="U141" s="7">
        <v>6548</v>
      </c>
      <c r="V141" s="7">
        <v>6335</v>
      </c>
      <c r="W141" s="7">
        <v>4630</v>
      </c>
      <c r="X141" s="7">
        <v>7976</v>
      </c>
      <c r="Y141" s="7">
        <v>12920</v>
      </c>
      <c r="Z141" s="7">
        <v>2926</v>
      </c>
      <c r="AA141" s="7">
        <v>5761</v>
      </c>
      <c r="AB141" s="7">
        <v>11755</v>
      </c>
      <c r="AC141" s="7">
        <v>12657</v>
      </c>
      <c r="AD141" s="7">
        <v>9976</v>
      </c>
      <c r="AE141" s="7">
        <v>9379</v>
      </c>
      <c r="AF141" s="7">
        <v>10395</v>
      </c>
      <c r="AG141" s="7">
        <v>8661</v>
      </c>
      <c r="AH141" s="7">
        <v>14093</v>
      </c>
      <c r="AI141" s="7">
        <v>4922</v>
      </c>
      <c r="AJ141" s="7">
        <v>12114</v>
      </c>
      <c r="AK141" s="7">
        <v>16052</v>
      </c>
      <c r="AL141" s="7">
        <v>3092</v>
      </c>
      <c r="AM141" s="7">
        <v>11443</v>
      </c>
      <c r="AN141" s="7">
        <v>3280</v>
      </c>
      <c r="AO141" s="7">
        <v>14662</v>
      </c>
      <c r="AP141" s="7">
        <v>13658</v>
      </c>
      <c r="AQ141" s="7">
        <v>2610</v>
      </c>
      <c r="AR141" s="7">
        <v>10746</v>
      </c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</row>
    <row r="142" spans="1:81">
      <c r="A142" s="1" t="s">
        <v>639</v>
      </c>
      <c r="B142" s="1" t="s">
        <v>640</v>
      </c>
      <c r="C142" s="1" t="s">
        <v>641</v>
      </c>
      <c r="D142" s="1" t="str">
        <f>HYPERLINK("http://eros.fiehnlab.ucdavis.edu:8080/binbase-compound/bin/show/369638?db=rtx5","369638")</f>
        <v>369638</v>
      </c>
      <c r="E142" s="1" t="s">
        <v>642</v>
      </c>
      <c r="F142" s="1" t="s">
        <v>0</v>
      </c>
      <c r="G142" s="1" t="s">
        <v>0</v>
      </c>
      <c r="H142" s="1"/>
      <c r="I142" s="7">
        <v>5344</v>
      </c>
      <c r="J142" s="7">
        <v>1844</v>
      </c>
      <c r="K142" s="7">
        <v>7205</v>
      </c>
      <c r="L142" s="7">
        <v>13356</v>
      </c>
      <c r="M142" s="7">
        <v>7073</v>
      </c>
      <c r="N142" s="7">
        <v>2670</v>
      </c>
      <c r="O142" s="7">
        <v>1124</v>
      </c>
      <c r="P142" s="7">
        <v>6073</v>
      </c>
      <c r="Q142" s="7">
        <v>4087</v>
      </c>
      <c r="R142" s="7">
        <v>7368</v>
      </c>
      <c r="S142" s="7">
        <v>7016</v>
      </c>
      <c r="T142" s="7">
        <v>5414</v>
      </c>
      <c r="U142" s="7">
        <v>2402</v>
      </c>
      <c r="V142" s="7">
        <v>5051</v>
      </c>
      <c r="W142" s="7">
        <v>3373</v>
      </c>
      <c r="X142" s="7">
        <v>9041</v>
      </c>
      <c r="Y142" s="7">
        <v>4655</v>
      </c>
      <c r="Z142" s="7">
        <v>3850</v>
      </c>
      <c r="AA142" s="7">
        <v>3709</v>
      </c>
      <c r="AB142" s="7">
        <v>9149</v>
      </c>
      <c r="AC142" s="7">
        <v>11158</v>
      </c>
      <c r="AD142" s="7">
        <v>12145</v>
      </c>
      <c r="AE142" s="7">
        <v>11690</v>
      </c>
      <c r="AF142" s="7">
        <v>10785</v>
      </c>
      <c r="AG142" s="7">
        <v>9305</v>
      </c>
      <c r="AH142" s="7">
        <v>14122</v>
      </c>
      <c r="AI142" s="7">
        <v>4703</v>
      </c>
      <c r="AJ142" s="7">
        <v>9722</v>
      </c>
      <c r="AK142" s="7">
        <v>11103</v>
      </c>
      <c r="AL142" s="7">
        <v>3956</v>
      </c>
      <c r="AM142" s="7">
        <v>8403</v>
      </c>
      <c r="AN142" s="7">
        <v>3893</v>
      </c>
      <c r="AO142" s="7">
        <v>9872</v>
      </c>
      <c r="AP142" s="7">
        <v>9388</v>
      </c>
      <c r="AQ142" s="7">
        <v>2211</v>
      </c>
      <c r="AR142" s="7">
        <v>6467</v>
      </c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</row>
    <row r="143" spans="1:81">
      <c r="A143" s="1" t="s">
        <v>663</v>
      </c>
      <c r="B143" s="1" t="s">
        <v>664</v>
      </c>
      <c r="C143" s="1" t="s">
        <v>167</v>
      </c>
      <c r="D143" s="1" t="str">
        <f>HYPERLINK("http://eros.fiehnlab.ucdavis.edu:8080/binbase-compound/bin/show/359697?db=rtx5","359697")</f>
        <v>359697</v>
      </c>
      <c r="E143" s="1" t="s">
        <v>665</v>
      </c>
      <c r="F143" s="1" t="s">
        <v>0</v>
      </c>
      <c r="G143" s="1" t="s">
        <v>0</v>
      </c>
      <c r="H143" s="1"/>
      <c r="I143" s="7">
        <v>6405</v>
      </c>
      <c r="J143" s="7">
        <v>19735</v>
      </c>
      <c r="K143" s="7">
        <v>5664</v>
      </c>
      <c r="L143" s="7">
        <v>4862</v>
      </c>
      <c r="M143" s="7">
        <v>10752</v>
      </c>
      <c r="N143" s="7">
        <v>13222</v>
      </c>
      <c r="O143" s="7">
        <v>11195</v>
      </c>
      <c r="P143" s="7">
        <v>7813</v>
      </c>
      <c r="Q143" s="7">
        <v>12678</v>
      </c>
      <c r="R143" s="7">
        <v>4238</v>
      </c>
      <c r="S143" s="7">
        <v>9670</v>
      </c>
      <c r="T143" s="7">
        <v>9897</v>
      </c>
      <c r="U143" s="7">
        <v>3526</v>
      </c>
      <c r="V143" s="7">
        <v>9885</v>
      </c>
      <c r="W143" s="7">
        <v>16219</v>
      </c>
      <c r="X143" s="7">
        <v>6867</v>
      </c>
      <c r="Y143" s="7">
        <v>4139</v>
      </c>
      <c r="Z143" s="7">
        <v>15843</v>
      </c>
      <c r="AA143" s="7">
        <v>13840</v>
      </c>
      <c r="AB143" s="7">
        <v>4133</v>
      </c>
      <c r="AC143" s="7">
        <v>4221</v>
      </c>
      <c r="AD143" s="7">
        <v>7662</v>
      </c>
      <c r="AE143" s="7">
        <v>5931</v>
      </c>
      <c r="AF143" s="7">
        <v>5706</v>
      </c>
      <c r="AG143" s="7">
        <v>6724</v>
      </c>
      <c r="AH143" s="7">
        <v>4601</v>
      </c>
      <c r="AI143" s="7">
        <v>11238</v>
      </c>
      <c r="AJ143" s="7">
        <v>3776</v>
      </c>
      <c r="AK143" s="7">
        <v>3711</v>
      </c>
      <c r="AL143" s="7">
        <v>17867</v>
      </c>
      <c r="AM143" s="7">
        <v>5132</v>
      </c>
      <c r="AN143" s="7">
        <v>15924</v>
      </c>
      <c r="AO143" s="7">
        <v>4134</v>
      </c>
      <c r="AP143" s="7">
        <v>4576</v>
      </c>
      <c r="AQ143" s="7">
        <v>20796</v>
      </c>
      <c r="AR143" s="7">
        <v>4502</v>
      </c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</row>
    <row r="144" spans="1:81">
      <c r="A144" s="1" t="s">
        <v>672</v>
      </c>
      <c r="B144" s="1" t="s">
        <v>673</v>
      </c>
      <c r="C144" s="1" t="s">
        <v>167</v>
      </c>
      <c r="D144" s="1" t="str">
        <f>HYPERLINK("http://eros.fiehnlab.ucdavis.edu:8080/binbase-compound/bin/show/359513?db=rtx5","359513")</f>
        <v>359513</v>
      </c>
      <c r="E144" s="1" t="s">
        <v>674</v>
      </c>
      <c r="F144" s="1" t="s">
        <v>0</v>
      </c>
      <c r="G144" s="1" t="s">
        <v>0</v>
      </c>
      <c r="H144" s="1"/>
      <c r="I144" s="7">
        <v>7224</v>
      </c>
      <c r="J144" s="7">
        <v>24888</v>
      </c>
      <c r="K144" s="7">
        <v>6204</v>
      </c>
      <c r="L144" s="7">
        <v>5719</v>
      </c>
      <c r="M144" s="7">
        <v>11886</v>
      </c>
      <c r="N144" s="7">
        <v>15799</v>
      </c>
      <c r="O144" s="7">
        <v>12460</v>
      </c>
      <c r="P144" s="7">
        <v>7989</v>
      </c>
      <c r="Q144" s="7">
        <v>13794</v>
      </c>
      <c r="R144" s="7">
        <v>4500</v>
      </c>
      <c r="S144" s="7">
        <v>11573</v>
      </c>
      <c r="T144" s="7">
        <v>12285</v>
      </c>
      <c r="U144" s="7">
        <v>3641</v>
      </c>
      <c r="V144" s="7">
        <v>11985</v>
      </c>
      <c r="W144" s="7">
        <v>17897</v>
      </c>
      <c r="X144" s="7">
        <v>8619</v>
      </c>
      <c r="Y144" s="7">
        <v>3457</v>
      </c>
      <c r="Z144" s="7">
        <v>19047</v>
      </c>
      <c r="AA144" s="7">
        <v>17706</v>
      </c>
      <c r="AB144" s="7">
        <v>6288</v>
      </c>
      <c r="AC144" s="7">
        <v>5462</v>
      </c>
      <c r="AD144" s="7">
        <v>8626</v>
      </c>
      <c r="AE144" s="7">
        <v>10395</v>
      </c>
      <c r="AF144" s="7">
        <v>8079</v>
      </c>
      <c r="AG144" s="7">
        <v>9756</v>
      </c>
      <c r="AH144" s="7">
        <v>6221</v>
      </c>
      <c r="AI144" s="7">
        <v>13670</v>
      </c>
      <c r="AJ144" s="7">
        <v>5312</v>
      </c>
      <c r="AK144" s="7">
        <v>6009</v>
      </c>
      <c r="AL144" s="7">
        <v>23214</v>
      </c>
      <c r="AM144" s="7">
        <v>6095</v>
      </c>
      <c r="AN144" s="7">
        <v>19829</v>
      </c>
      <c r="AO144" s="7">
        <v>5184</v>
      </c>
      <c r="AP144" s="7">
        <v>5048</v>
      </c>
      <c r="AQ144" s="7">
        <v>24129</v>
      </c>
      <c r="AR144" s="7">
        <v>5823</v>
      </c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</row>
    <row r="145" spans="1:81">
      <c r="A145" s="1" t="s">
        <v>689</v>
      </c>
      <c r="B145" s="1" t="s">
        <v>690</v>
      </c>
      <c r="C145" s="1" t="s">
        <v>580</v>
      </c>
      <c r="D145" s="1" t="str">
        <f>HYPERLINK("http://eros.fiehnlab.ucdavis.edu:8080/binbase-compound/bin/show/354038?db=rtx5","354038")</f>
        <v>354038</v>
      </c>
      <c r="E145" s="1" t="s">
        <v>691</v>
      </c>
      <c r="F145" s="1" t="s">
        <v>0</v>
      </c>
      <c r="G145" s="1" t="s">
        <v>0</v>
      </c>
      <c r="H145" s="1"/>
      <c r="I145" s="7">
        <v>1186</v>
      </c>
      <c r="J145" s="7">
        <v>617</v>
      </c>
      <c r="K145" s="7">
        <v>2423</v>
      </c>
      <c r="L145" s="7">
        <v>2799</v>
      </c>
      <c r="M145" s="7">
        <v>1295</v>
      </c>
      <c r="N145" s="7">
        <v>1057</v>
      </c>
      <c r="O145" s="7">
        <v>1593</v>
      </c>
      <c r="P145" s="7">
        <v>2470</v>
      </c>
      <c r="Q145" s="7">
        <v>1033</v>
      </c>
      <c r="R145" s="7">
        <v>3087</v>
      </c>
      <c r="S145" s="7">
        <v>1502</v>
      </c>
      <c r="T145" s="7">
        <v>1090</v>
      </c>
      <c r="U145" s="7">
        <v>1516</v>
      </c>
      <c r="V145" s="7">
        <v>1739</v>
      </c>
      <c r="W145" s="7">
        <v>1143</v>
      </c>
      <c r="X145" s="7">
        <v>2201</v>
      </c>
      <c r="Y145" s="7">
        <v>3357</v>
      </c>
      <c r="Z145" s="7">
        <v>861</v>
      </c>
      <c r="AA145" s="7">
        <v>1315</v>
      </c>
      <c r="AB145" s="7">
        <v>3159</v>
      </c>
      <c r="AC145" s="7">
        <v>3049</v>
      </c>
      <c r="AD145" s="7">
        <v>2555</v>
      </c>
      <c r="AE145" s="7">
        <v>2572</v>
      </c>
      <c r="AF145" s="7">
        <v>3010</v>
      </c>
      <c r="AG145" s="7">
        <v>2458</v>
      </c>
      <c r="AH145" s="7">
        <v>3217</v>
      </c>
      <c r="AI145" s="7">
        <v>1144</v>
      </c>
      <c r="AJ145" s="7">
        <v>3371</v>
      </c>
      <c r="AK145" s="7">
        <v>3823</v>
      </c>
      <c r="AL145" s="7">
        <v>886</v>
      </c>
      <c r="AM145" s="7">
        <v>3042</v>
      </c>
      <c r="AN145" s="7">
        <v>882</v>
      </c>
      <c r="AO145" s="7">
        <v>3920</v>
      </c>
      <c r="AP145" s="7">
        <v>3379</v>
      </c>
      <c r="AQ145" s="7">
        <v>741</v>
      </c>
      <c r="AR145" s="7">
        <v>2633</v>
      </c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</row>
    <row r="146" spans="1:81">
      <c r="A146" s="1" t="s">
        <v>791</v>
      </c>
      <c r="B146" s="1" t="s">
        <v>792</v>
      </c>
      <c r="C146" s="1" t="s">
        <v>793</v>
      </c>
      <c r="D146" s="1" t="str">
        <f>HYPERLINK("http://eros.fiehnlab.ucdavis.edu:8080/binbase-compound/bin/show/272849?db=rtx5","272849")</f>
        <v>272849</v>
      </c>
      <c r="E146" s="1" t="s">
        <v>794</v>
      </c>
      <c r="F146" s="1" t="s">
        <v>0</v>
      </c>
      <c r="G146" s="1" t="s">
        <v>0</v>
      </c>
      <c r="H146" s="1"/>
      <c r="I146" s="7">
        <v>41976</v>
      </c>
      <c r="J146" s="7">
        <v>23365</v>
      </c>
      <c r="K146" s="7">
        <v>97477</v>
      </c>
      <c r="L146" s="7">
        <v>136649</v>
      </c>
      <c r="M146" s="7">
        <v>48919</v>
      </c>
      <c r="N146" s="7">
        <v>46672</v>
      </c>
      <c r="O146" s="7">
        <v>60655</v>
      </c>
      <c r="P146" s="7">
        <v>111708</v>
      </c>
      <c r="Q146" s="7">
        <v>52361</v>
      </c>
      <c r="R146" s="7">
        <v>128841</v>
      </c>
      <c r="S146" s="7">
        <v>64843</v>
      </c>
      <c r="T146" s="7">
        <v>43900</v>
      </c>
      <c r="U146" s="7">
        <v>61500</v>
      </c>
      <c r="V146" s="7">
        <v>68124</v>
      </c>
      <c r="W146" s="7">
        <v>47710</v>
      </c>
      <c r="X146" s="7">
        <v>88428</v>
      </c>
      <c r="Y146" s="7">
        <v>131724</v>
      </c>
      <c r="Z146" s="7">
        <v>31446</v>
      </c>
      <c r="AA146" s="7">
        <v>54767</v>
      </c>
      <c r="AB146" s="7">
        <v>121476</v>
      </c>
      <c r="AC146" s="7">
        <v>139034</v>
      </c>
      <c r="AD146" s="7">
        <v>110935</v>
      </c>
      <c r="AE146" s="7">
        <v>100846</v>
      </c>
      <c r="AF146" s="7">
        <v>118749</v>
      </c>
      <c r="AG146" s="7">
        <v>97888</v>
      </c>
      <c r="AH146" s="7">
        <v>140405</v>
      </c>
      <c r="AI146" s="7">
        <v>46499</v>
      </c>
      <c r="AJ146" s="7">
        <v>137851</v>
      </c>
      <c r="AK146" s="7">
        <v>156899</v>
      </c>
      <c r="AL146" s="7">
        <v>32928</v>
      </c>
      <c r="AM146" s="7">
        <v>123580</v>
      </c>
      <c r="AN146" s="7">
        <v>32590</v>
      </c>
      <c r="AO146" s="7">
        <v>154366</v>
      </c>
      <c r="AP146" s="7">
        <v>146594</v>
      </c>
      <c r="AQ146" s="7">
        <v>26903</v>
      </c>
      <c r="AR146" s="7">
        <v>110791</v>
      </c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</row>
    <row r="147" spans="1:81">
      <c r="A147" s="1" t="s">
        <v>798</v>
      </c>
      <c r="B147" s="1" t="s">
        <v>799</v>
      </c>
      <c r="C147" s="1" t="s">
        <v>433</v>
      </c>
      <c r="D147" s="1" t="str">
        <f>HYPERLINK("http://eros.fiehnlab.ucdavis.edu:8080/binbase-compound/bin/show/270066?db=rtx5","270066")</f>
        <v>270066</v>
      </c>
      <c r="E147" s="1" t="s">
        <v>800</v>
      </c>
      <c r="F147" s="1" t="s">
        <v>0</v>
      </c>
      <c r="G147" s="1" t="s">
        <v>0</v>
      </c>
      <c r="H147" s="1"/>
      <c r="I147" s="7">
        <v>16857</v>
      </c>
      <c r="J147" s="7">
        <v>9326</v>
      </c>
      <c r="K147" s="7">
        <v>38928</v>
      </c>
      <c r="L147" s="7">
        <v>53539</v>
      </c>
      <c r="M147" s="7">
        <v>19186</v>
      </c>
      <c r="N147" s="7">
        <v>16944</v>
      </c>
      <c r="O147" s="7">
        <v>21570</v>
      </c>
      <c r="P147" s="7">
        <v>42430</v>
      </c>
      <c r="Q147" s="7">
        <v>18550</v>
      </c>
      <c r="R147" s="7">
        <v>46533</v>
      </c>
      <c r="S147" s="7">
        <v>25249</v>
      </c>
      <c r="T147" s="7">
        <v>16166</v>
      </c>
      <c r="U147" s="7">
        <v>25328</v>
      </c>
      <c r="V147" s="7">
        <v>25661</v>
      </c>
      <c r="W147" s="7">
        <v>19276</v>
      </c>
      <c r="X147" s="7">
        <v>33224</v>
      </c>
      <c r="Y147" s="7">
        <v>55050</v>
      </c>
      <c r="Z147" s="7">
        <v>12460</v>
      </c>
      <c r="AA147" s="7">
        <v>22851</v>
      </c>
      <c r="AB147" s="7">
        <v>49163</v>
      </c>
      <c r="AC147" s="7">
        <v>53805</v>
      </c>
      <c r="AD147" s="7">
        <v>41903</v>
      </c>
      <c r="AE147" s="7">
        <v>39392</v>
      </c>
      <c r="AF147" s="7">
        <v>47346</v>
      </c>
      <c r="AG147" s="7">
        <v>37125</v>
      </c>
      <c r="AH147" s="7">
        <v>59683</v>
      </c>
      <c r="AI147" s="7">
        <v>18270</v>
      </c>
      <c r="AJ147" s="7">
        <v>52154</v>
      </c>
      <c r="AK147" s="7">
        <v>65368</v>
      </c>
      <c r="AL147" s="7">
        <v>12877</v>
      </c>
      <c r="AM147" s="7">
        <v>47189</v>
      </c>
      <c r="AN147" s="7">
        <v>13395</v>
      </c>
      <c r="AO147" s="7">
        <v>60775</v>
      </c>
      <c r="AP147" s="7">
        <v>54465</v>
      </c>
      <c r="AQ147" s="7">
        <v>10456</v>
      </c>
      <c r="AR147" s="7">
        <v>43100</v>
      </c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</row>
    <row r="148" spans="1:81">
      <c r="A148" s="1" t="s">
        <v>808</v>
      </c>
      <c r="B148" s="1" t="s">
        <v>809</v>
      </c>
      <c r="C148" s="1" t="s">
        <v>167</v>
      </c>
      <c r="D148" s="1" t="str">
        <f>HYPERLINK("http://eros.fiehnlab.ucdavis.edu:8080/binbase-compound/bin/show/269294?db=rtx5","269294")</f>
        <v>269294</v>
      </c>
      <c r="E148" s="1" t="s">
        <v>810</v>
      </c>
      <c r="F148" s="1" t="s">
        <v>0</v>
      </c>
      <c r="G148" s="1" t="s">
        <v>0</v>
      </c>
      <c r="H148" s="1"/>
      <c r="I148" s="7">
        <v>2527</v>
      </c>
      <c r="J148" s="7">
        <v>8273</v>
      </c>
      <c r="K148" s="7">
        <v>2106</v>
      </c>
      <c r="L148" s="7">
        <v>1717</v>
      </c>
      <c r="M148" s="7">
        <v>4041</v>
      </c>
      <c r="N148" s="7">
        <v>5104</v>
      </c>
      <c r="O148" s="7">
        <v>4303</v>
      </c>
      <c r="P148" s="7">
        <v>2984</v>
      </c>
      <c r="Q148" s="7">
        <v>4634</v>
      </c>
      <c r="R148" s="7">
        <v>1832</v>
      </c>
      <c r="S148" s="7">
        <v>3856</v>
      </c>
      <c r="T148" s="7">
        <v>4042</v>
      </c>
      <c r="U148" s="7">
        <v>1438</v>
      </c>
      <c r="V148" s="7">
        <v>4464</v>
      </c>
      <c r="W148" s="7">
        <v>6340</v>
      </c>
      <c r="X148" s="7">
        <v>2813</v>
      </c>
      <c r="Y148" s="7">
        <v>1628</v>
      </c>
      <c r="Z148" s="7">
        <v>6457</v>
      </c>
      <c r="AA148" s="7">
        <v>5477</v>
      </c>
      <c r="AB148" s="7">
        <v>1571</v>
      </c>
      <c r="AC148" s="7">
        <v>1774</v>
      </c>
      <c r="AD148" s="7">
        <v>2393</v>
      </c>
      <c r="AE148" s="7">
        <v>2122</v>
      </c>
      <c r="AF148" s="7">
        <v>1844</v>
      </c>
      <c r="AG148" s="7">
        <v>2507</v>
      </c>
      <c r="AH148" s="7">
        <v>1503</v>
      </c>
      <c r="AI148" s="7">
        <v>4466</v>
      </c>
      <c r="AJ148" s="7">
        <v>1468</v>
      </c>
      <c r="AK148" s="7">
        <v>1489</v>
      </c>
      <c r="AL148" s="7">
        <v>7025</v>
      </c>
      <c r="AM148" s="7">
        <v>2135</v>
      </c>
      <c r="AN148" s="7">
        <v>6526</v>
      </c>
      <c r="AO148" s="7">
        <v>1639</v>
      </c>
      <c r="AP148" s="7">
        <v>1749</v>
      </c>
      <c r="AQ148" s="7">
        <v>8467</v>
      </c>
      <c r="AR148" s="7">
        <v>1700</v>
      </c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</row>
    <row r="149" spans="1:81">
      <c r="A149" s="1" t="s">
        <v>817</v>
      </c>
      <c r="B149" s="1" t="s">
        <v>818</v>
      </c>
      <c r="C149" s="1" t="s">
        <v>819</v>
      </c>
      <c r="D149" s="1" t="str">
        <f>HYPERLINK("http://eros.fiehnlab.ucdavis.edu:8080/binbase-compound/bin/show/268585?db=rtx5","268585")</f>
        <v>268585</v>
      </c>
      <c r="E149" s="1" t="s">
        <v>820</v>
      </c>
      <c r="F149" s="1" t="s">
        <v>0</v>
      </c>
      <c r="G149" s="1" t="s">
        <v>0</v>
      </c>
      <c r="H149" s="1"/>
      <c r="I149" s="7">
        <v>26375</v>
      </c>
      <c r="J149" s="7">
        <v>15824</v>
      </c>
      <c r="K149" s="7">
        <v>72026</v>
      </c>
      <c r="L149" s="7">
        <v>114518</v>
      </c>
      <c r="M149" s="7">
        <v>29698</v>
      </c>
      <c r="N149" s="7">
        <v>32394</v>
      </c>
      <c r="O149" s="7">
        <v>35882</v>
      </c>
      <c r="P149" s="7">
        <v>77884</v>
      </c>
      <c r="Q149" s="7">
        <v>42389</v>
      </c>
      <c r="R149" s="7">
        <v>86870</v>
      </c>
      <c r="S149" s="7">
        <v>42758</v>
      </c>
      <c r="T149" s="7">
        <v>27600</v>
      </c>
      <c r="U149" s="7">
        <v>45060</v>
      </c>
      <c r="V149" s="7">
        <v>45811</v>
      </c>
      <c r="W149" s="7">
        <v>33275</v>
      </c>
      <c r="X149" s="7">
        <v>55082</v>
      </c>
      <c r="Y149" s="7">
        <v>86620</v>
      </c>
      <c r="Z149" s="7">
        <v>19632</v>
      </c>
      <c r="AA149" s="7">
        <v>41560</v>
      </c>
      <c r="AB149" s="7">
        <v>81774</v>
      </c>
      <c r="AC149" s="7">
        <v>85622</v>
      </c>
      <c r="AD149" s="7">
        <v>68431</v>
      </c>
      <c r="AE149" s="7">
        <v>65698</v>
      </c>
      <c r="AF149" s="7">
        <v>75954</v>
      </c>
      <c r="AG149" s="7">
        <v>64394</v>
      </c>
      <c r="AH149" s="7">
        <v>107692</v>
      </c>
      <c r="AI149" s="7">
        <v>36068</v>
      </c>
      <c r="AJ149" s="7">
        <v>82209</v>
      </c>
      <c r="AK149" s="7">
        <v>123928</v>
      </c>
      <c r="AL149" s="7">
        <v>19804</v>
      </c>
      <c r="AM149" s="7">
        <v>80546</v>
      </c>
      <c r="AN149" s="7">
        <v>20680</v>
      </c>
      <c r="AO149" s="7">
        <v>111206</v>
      </c>
      <c r="AP149" s="7">
        <v>96892</v>
      </c>
      <c r="AQ149" s="7">
        <v>17154</v>
      </c>
      <c r="AR149" s="7">
        <v>80883</v>
      </c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</row>
    <row r="150" spans="1:81">
      <c r="A150" s="1" t="s">
        <v>827</v>
      </c>
      <c r="B150" s="1" t="s">
        <v>828</v>
      </c>
      <c r="C150" s="1" t="s">
        <v>829</v>
      </c>
      <c r="D150" s="1" t="str">
        <f>HYPERLINK("http://eros.fiehnlab.ucdavis.edu:8080/binbase-compound/bin/show/268313?db=rtx5","268313")</f>
        <v>268313</v>
      </c>
      <c r="E150" s="1" t="s">
        <v>830</v>
      </c>
      <c r="F150" s="1" t="s">
        <v>0</v>
      </c>
      <c r="G150" s="1" t="s">
        <v>0</v>
      </c>
      <c r="H150" s="1"/>
      <c r="I150" s="7">
        <v>9379</v>
      </c>
      <c r="J150" s="7">
        <v>5486</v>
      </c>
      <c r="K150" s="7">
        <v>20753</v>
      </c>
      <c r="L150" s="7">
        <v>26100</v>
      </c>
      <c r="M150" s="7">
        <v>10573</v>
      </c>
      <c r="N150" s="7">
        <v>9203</v>
      </c>
      <c r="O150" s="7">
        <v>11966</v>
      </c>
      <c r="P150" s="7">
        <v>22638</v>
      </c>
      <c r="Q150" s="7">
        <v>11124</v>
      </c>
      <c r="R150" s="7">
        <v>25569</v>
      </c>
      <c r="S150" s="7">
        <v>13443</v>
      </c>
      <c r="T150" s="7">
        <v>9199</v>
      </c>
      <c r="U150" s="7">
        <v>13487</v>
      </c>
      <c r="V150" s="7">
        <v>13995</v>
      </c>
      <c r="W150" s="7">
        <v>10453</v>
      </c>
      <c r="X150" s="7">
        <v>18115</v>
      </c>
      <c r="Y150" s="7">
        <v>27064</v>
      </c>
      <c r="Z150" s="7">
        <v>7150</v>
      </c>
      <c r="AA150" s="7">
        <v>12006</v>
      </c>
      <c r="AB150" s="7">
        <v>25089</v>
      </c>
      <c r="AC150" s="7">
        <v>27716</v>
      </c>
      <c r="AD150" s="7">
        <v>21715</v>
      </c>
      <c r="AE150" s="7">
        <v>20084</v>
      </c>
      <c r="AF150" s="7">
        <v>24108</v>
      </c>
      <c r="AG150" s="7">
        <v>20889</v>
      </c>
      <c r="AH150" s="7">
        <v>28450</v>
      </c>
      <c r="AI150" s="7">
        <v>10394</v>
      </c>
      <c r="AJ150" s="7">
        <v>26952</v>
      </c>
      <c r="AK150" s="7">
        <v>33955</v>
      </c>
      <c r="AL150" s="7">
        <v>7483</v>
      </c>
      <c r="AM150" s="7">
        <v>23435</v>
      </c>
      <c r="AN150" s="7">
        <v>7701</v>
      </c>
      <c r="AO150" s="7">
        <v>33817</v>
      </c>
      <c r="AP150" s="7">
        <v>28168</v>
      </c>
      <c r="AQ150" s="7">
        <v>6300</v>
      </c>
      <c r="AR150" s="7">
        <v>22437</v>
      </c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</row>
    <row r="151" spans="1:81">
      <c r="A151" s="1" t="s">
        <v>834</v>
      </c>
      <c r="B151" s="1" t="s">
        <v>835</v>
      </c>
      <c r="C151" s="1" t="s">
        <v>167</v>
      </c>
      <c r="D151" s="1" t="str">
        <f>HYPERLINK("http://eros.fiehnlab.ucdavis.edu:8080/binbase-compound/bin/show/267904?db=rtx5","267904")</f>
        <v>267904</v>
      </c>
      <c r="E151" s="1" t="s">
        <v>836</v>
      </c>
      <c r="F151" s="1" t="s">
        <v>0</v>
      </c>
      <c r="G151" s="1" t="s">
        <v>0</v>
      </c>
      <c r="H151" s="1"/>
      <c r="I151" s="7">
        <v>3472</v>
      </c>
      <c r="J151" s="7">
        <v>9469</v>
      </c>
      <c r="K151" s="7">
        <v>3666</v>
      </c>
      <c r="L151" s="7">
        <v>3976</v>
      </c>
      <c r="M151" s="7">
        <v>5024</v>
      </c>
      <c r="N151" s="7">
        <v>7405</v>
      </c>
      <c r="O151" s="7">
        <v>6305</v>
      </c>
      <c r="P151" s="7">
        <v>2821</v>
      </c>
      <c r="Q151" s="7">
        <v>8143</v>
      </c>
      <c r="R151" s="7">
        <v>1622</v>
      </c>
      <c r="S151" s="7">
        <v>4905</v>
      </c>
      <c r="T151" s="7">
        <v>7065</v>
      </c>
      <c r="U151" s="7">
        <v>1354</v>
      </c>
      <c r="V151" s="7">
        <v>5102</v>
      </c>
      <c r="W151" s="7">
        <v>10418</v>
      </c>
      <c r="X151" s="7">
        <v>3833</v>
      </c>
      <c r="Y151" s="7">
        <v>1348</v>
      </c>
      <c r="Z151" s="7">
        <v>7628</v>
      </c>
      <c r="AA151" s="7">
        <v>6791</v>
      </c>
      <c r="AB151" s="7">
        <v>2591</v>
      </c>
      <c r="AC151" s="7">
        <v>4457</v>
      </c>
      <c r="AD151" s="7">
        <v>6180</v>
      </c>
      <c r="AE151" s="7">
        <v>3901</v>
      </c>
      <c r="AF151" s="7">
        <v>3982</v>
      </c>
      <c r="AG151" s="7">
        <v>3700</v>
      </c>
      <c r="AH151" s="7">
        <v>3851</v>
      </c>
      <c r="AI151" s="7">
        <v>5078</v>
      </c>
      <c r="AJ151" s="7">
        <v>3071</v>
      </c>
      <c r="AK151" s="7">
        <v>2408</v>
      </c>
      <c r="AL151" s="7">
        <v>8433</v>
      </c>
      <c r="AM151" s="7">
        <v>3773</v>
      </c>
      <c r="AN151" s="7">
        <v>6904</v>
      </c>
      <c r="AO151" s="7">
        <v>3269</v>
      </c>
      <c r="AP151" s="7">
        <v>2952</v>
      </c>
      <c r="AQ151" s="7">
        <v>9434</v>
      </c>
      <c r="AR151" s="7">
        <v>3104</v>
      </c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</row>
    <row r="152" spans="1:81">
      <c r="A152" s="1" t="s">
        <v>840</v>
      </c>
      <c r="B152" s="1" t="s">
        <v>841</v>
      </c>
      <c r="C152" s="1" t="s">
        <v>167</v>
      </c>
      <c r="D152" s="1" t="str">
        <f>HYPERLINK("http://eros.fiehnlab.ucdavis.edu:8080/binbase-compound/bin/show/267692?db=rtx5","267692")</f>
        <v>267692</v>
      </c>
      <c r="E152" s="1" t="s">
        <v>842</v>
      </c>
      <c r="F152" s="1" t="s">
        <v>0</v>
      </c>
      <c r="G152" s="1" t="s">
        <v>0</v>
      </c>
      <c r="H152" s="1"/>
      <c r="I152" s="7">
        <v>5352</v>
      </c>
      <c r="J152" s="7">
        <v>10372</v>
      </c>
      <c r="K152" s="7">
        <v>4863</v>
      </c>
      <c r="L152" s="7">
        <v>7774</v>
      </c>
      <c r="M152" s="7">
        <v>7226</v>
      </c>
      <c r="N152" s="7">
        <v>7755</v>
      </c>
      <c r="O152" s="7">
        <v>6026</v>
      </c>
      <c r="P152" s="7">
        <v>4496</v>
      </c>
      <c r="Q152" s="7">
        <v>8045</v>
      </c>
      <c r="R152" s="7">
        <v>3658</v>
      </c>
      <c r="S152" s="7">
        <v>6090</v>
      </c>
      <c r="T152" s="7">
        <v>10907</v>
      </c>
      <c r="U152" s="7">
        <v>3288</v>
      </c>
      <c r="V152" s="7">
        <v>5906</v>
      </c>
      <c r="W152" s="7">
        <v>8994</v>
      </c>
      <c r="X152" s="7">
        <v>5656</v>
      </c>
      <c r="Y152" s="7">
        <v>2106</v>
      </c>
      <c r="Z152" s="7">
        <v>8297</v>
      </c>
      <c r="AA152" s="7">
        <v>7447</v>
      </c>
      <c r="AB152" s="7">
        <v>5787</v>
      </c>
      <c r="AC152" s="7">
        <v>9157</v>
      </c>
      <c r="AD152" s="7">
        <v>18659</v>
      </c>
      <c r="AE152" s="7">
        <v>7502</v>
      </c>
      <c r="AF152" s="7">
        <v>7315</v>
      </c>
      <c r="AG152" s="7">
        <v>6828</v>
      </c>
      <c r="AH152" s="7">
        <v>11010</v>
      </c>
      <c r="AI152" s="7">
        <v>6652</v>
      </c>
      <c r="AJ152" s="7">
        <v>8204</v>
      </c>
      <c r="AK152" s="7">
        <v>7245</v>
      </c>
      <c r="AL152" s="7">
        <v>9923</v>
      </c>
      <c r="AM152" s="7">
        <v>5631</v>
      </c>
      <c r="AN152" s="7">
        <v>8041</v>
      </c>
      <c r="AO152" s="7">
        <v>5251</v>
      </c>
      <c r="AP152" s="7">
        <v>1938</v>
      </c>
      <c r="AQ152" s="7">
        <v>10214</v>
      </c>
      <c r="AR152" s="7">
        <v>4618</v>
      </c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</row>
    <row r="153" spans="1:81">
      <c r="A153" s="1" t="s">
        <v>843</v>
      </c>
      <c r="B153" s="1" t="s">
        <v>844</v>
      </c>
      <c r="C153" s="1" t="s">
        <v>845</v>
      </c>
      <c r="D153" s="1" t="str">
        <f>HYPERLINK("http://eros.fiehnlab.ucdavis.edu:8080/binbase-compound/bin/show/242417?db=rtx5","242417")</f>
        <v>242417</v>
      </c>
      <c r="E153" s="1" t="s">
        <v>846</v>
      </c>
      <c r="F153" s="1" t="s">
        <v>0</v>
      </c>
      <c r="G153" s="1" t="s">
        <v>0</v>
      </c>
      <c r="H153" s="1"/>
      <c r="I153" s="7">
        <v>2636</v>
      </c>
      <c r="J153" s="7">
        <v>1624</v>
      </c>
      <c r="K153" s="7">
        <v>5980</v>
      </c>
      <c r="L153" s="7">
        <v>7319</v>
      </c>
      <c r="M153" s="7">
        <v>3072</v>
      </c>
      <c r="N153" s="7">
        <v>2896</v>
      </c>
      <c r="O153" s="7">
        <v>3452</v>
      </c>
      <c r="P153" s="7">
        <v>5714</v>
      </c>
      <c r="Q153" s="7">
        <v>3120</v>
      </c>
      <c r="R153" s="7">
        <v>6984</v>
      </c>
      <c r="S153" s="7">
        <v>4131</v>
      </c>
      <c r="T153" s="7">
        <v>2822</v>
      </c>
      <c r="U153" s="7">
        <v>3889</v>
      </c>
      <c r="V153" s="7">
        <v>4264</v>
      </c>
      <c r="W153" s="7">
        <v>2983</v>
      </c>
      <c r="X153" s="7">
        <v>4917</v>
      </c>
      <c r="Y153" s="7">
        <v>8027</v>
      </c>
      <c r="Z153" s="7">
        <v>2147</v>
      </c>
      <c r="AA153" s="7">
        <v>3408</v>
      </c>
      <c r="AB153" s="7">
        <v>7564</v>
      </c>
      <c r="AC153" s="7">
        <v>7714</v>
      </c>
      <c r="AD153" s="7">
        <v>5930</v>
      </c>
      <c r="AE153" s="7">
        <v>5785</v>
      </c>
      <c r="AF153" s="7">
        <v>7118</v>
      </c>
      <c r="AG153" s="7">
        <v>6041</v>
      </c>
      <c r="AH153" s="7">
        <v>8048</v>
      </c>
      <c r="AI153" s="7">
        <v>3168</v>
      </c>
      <c r="AJ153" s="7">
        <v>7610</v>
      </c>
      <c r="AK153" s="7">
        <v>10015</v>
      </c>
      <c r="AL153" s="7">
        <v>2190</v>
      </c>
      <c r="AM153" s="7">
        <v>7438</v>
      </c>
      <c r="AN153" s="7">
        <v>2231</v>
      </c>
      <c r="AO153" s="7">
        <v>9320</v>
      </c>
      <c r="AP153" s="7">
        <v>7877</v>
      </c>
      <c r="AQ153" s="7">
        <v>726</v>
      </c>
      <c r="AR153" s="7">
        <v>7107</v>
      </c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</row>
    <row r="154" spans="1:81">
      <c r="A154" s="1" t="s">
        <v>861</v>
      </c>
      <c r="B154" s="1" t="s">
        <v>862</v>
      </c>
      <c r="C154" s="1" t="s">
        <v>502</v>
      </c>
      <c r="D154" s="1" t="str">
        <f>HYPERLINK("http://eros.fiehnlab.ucdavis.edu:8080/binbase-compound/bin/show/241090?db=rtx5","241090")</f>
        <v>241090</v>
      </c>
      <c r="E154" s="1" t="s">
        <v>863</v>
      </c>
      <c r="F154" s="1" t="s">
        <v>0</v>
      </c>
      <c r="G154" s="1" t="s">
        <v>0</v>
      </c>
      <c r="H154" s="1"/>
      <c r="I154" s="7">
        <v>538</v>
      </c>
      <c r="J154" s="7">
        <v>221</v>
      </c>
      <c r="K154" s="7">
        <v>535</v>
      </c>
      <c r="L154" s="7">
        <v>547</v>
      </c>
      <c r="M154" s="7">
        <v>224</v>
      </c>
      <c r="N154" s="7">
        <v>262</v>
      </c>
      <c r="O154" s="7">
        <v>361</v>
      </c>
      <c r="P154" s="7">
        <v>1031</v>
      </c>
      <c r="Q154" s="7">
        <v>594</v>
      </c>
      <c r="R154" s="7">
        <v>604</v>
      </c>
      <c r="S154" s="7">
        <v>836</v>
      </c>
      <c r="T154" s="7">
        <v>778</v>
      </c>
      <c r="U154" s="7">
        <v>541</v>
      </c>
      <c r="V154" s="7">
        <v>260</v>
      </c>
      <c r="W154" s="7">
        <v>334</v>
      </c>
      <c r="X154" s="7">
        <v>858</v>
      </c>
      <c r="Y154" s="7">
        <v>844</v>
      </c>
      <c r="Z154" s="7">
        <v>221</v>
      </c>
      <c r="AA154" s="7">
        <v>352</v>
      </c>
      <c r="AB154" s="7">
        <v>769</v>
      </c>
      <c r="AC154" s="7">
        <v>1013</v>
      </c>
      <c r="AD154" s="7">
        <v>903</v>
      </c>
      <c r="AE154" s="7">
        <v>1630</v>
      </c>
      <c r="AF154" s="7">
        <v>1087</v>
      </c>
      <c r="AG154" s="7">
        <v>959</v>
      </c>
      <c r="AH154" s="7">
        <v>762</v>
      </c>
      <c r="AI154" s="7">
        <v>109</v>
      </c>
      <c r="AJ154" s="7">
        <v>776</v>
      </c>
      <c r="AK154" s="7">
        <v>1522</v>
      </c>
      <c r="AL154" s="7">
        <v>546</v>
      </c>
      <c r="AM154" s="7">
        <v>1293</v>
      </c>
      <c r="AN154" s="7">
        <v>521</v>
      </c>
      <c r="AO154" s="7">
        <v>897</v>
      </c>
      <c r="AP154" s="7">
        <v>1299</v>
      </c>
      <c r="AQ154" s="7">
        <v>301</v>
      </c>
      <c r="AR154" s="7">
        <v>645</v>
      </c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</row>
    <row r="155" spans="1:81">
      <c r="A155" s="1" t="s">
        <v>904</v>
      </c>
      <c r="B155" s="1" t="s">
        <v>905</v>
      </c>
      <c r="C155" s="1" t="s">
        <v>906</v>
      </c>
      <c r="D155" s="1" t="str">
        <f>HYPERLINK("http://eros.fiehnlab.ucdavis.edu:8080/binbase-compound/bin/show/237731?db=rtx5","237731")</f>
        <v>237731</v>
      </c>
      <c r="E155" s="1" t="s">
        <v>907</v>
      </c>
      <c r="F155" s="1" t="s">
        <v>0</v>
      </c>
      <c r="G155" s="1" t="s">
        <v>0</v>
      </c>
      <c r="H155" s="1"/>
      <c r="I155" s="7">
        <v>4079</v>
      </c>
      <c r="J155" s="7">
        <v>1432</v>
      </c>
      <c r="K155" s="7">
        <v>6461</v>
      </c>
      <c r="L155" s="7">
        <v>10688</v>
      </c>
      <c r="M155" s="7">
        <v>2723</v>
      </c>
      <c r="N155" s="7">
        <v>2580</v>
      </c>
      <c r="O155" s="7">
        <v>2479</v>
      </c>
      <c r="P155" s="7">
        <v>3084</v>
      </c>
      <c r="Q155" s="7">
        <v>1333</v>
      </c>
      <c r="R155" s="7">
        <v>4754</v>
      </c>
      <c r="S155" s="7">
        <v>2293</v>
      </c>
      <c r="T155" s="7">
        <v>1704</v>
      </c>
      <c r="U155" s="7">
        <v>1425</v>
      </c>
      <c r="V155" s="7">
        <v>2503</v>
      </c>
      <c r="W155" s="7">
        <v>1482</v>
      </c>
      <c r="X155" s="7">
        <v>2091</v>
      </c>
      <c r="Y155" s="7">
        <v>1272</v>
      </c>
      <c r="Z155" s="7">
        <v>3630</v>
      </c>
      <c r="AA155" s="7">
        <v>1456</v>
      </c>
      <c r="AB155" s="7">
        <v>3994</v>
      </c>
      <c r="AC155" s="7">
        <v>5167</v>
      </c>
      <c r="AD155" s="7">
        <v>7021</v>
      </c>
      <c r="AE155" s="7">
        <v>3962</v>
      </c>
      <c r="AF155" s="7">
        <v>6017</v>
      </c>
      <c r="AG155" s="7">
        <v>3392</v>
      </c>
      <c r="AH155" s="7">
        <v>11451</v>
      </c>
      <c r="AI155" s="7">
        <v>1985</v>
      </c>
      <c r="AJ155" s="7">
        <v>7517</v>
      </c>
      <c r="AK155" s="7">
        <v>5852</v>
      </c>
      <c r="AL155" s="7">
        <v>1201</v>
      </c>
      <c r="AM155" s="7">
        <v>1010</v>
      </c>
      <c r="AN155" s="7">
        <v>2047</v>
      </c>
      <c r="AO155" s="7">
        <v>3661</v>
      </c>
      <c r="AP155" s="7">
        <v>4530</v>
      </c>
      <c r="AQ155" s="7">
        <v>659</v>
      </c>
      <c r="AR155" s="7">
        <v>2305</v>
      </c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</row>
    <row r="156" spans="1:81">
      <c r="A156" s="1" t="s">
        <v>1013</v>
      </c>
      <c r="B156" s="1" t="s">
        <v>1014</v>
      </c>
      <c r="C156" s="1" t="s">
        <v>167</v>
      </c>
      <c r="D156" s="1" t="str">
        <f>HYPERLINK("http://eros.fiehnlab.ucdavis.edu:8080/binbase-compound/bin/show/223566?db=rtx5","223566")</f>
        <v>223566</v>
      </c>
      <c r="E156" s="1" t="s">
        <v>1015</v>
      </c>
      <c r="F156" s="1" t="s">
        <v>0</v>
      </c>
      <c r="G156" s="1" t="s">
        <v>0</v>
      </c>
      <c r="H156" s="1"/>
      <c r="I156" s="7">
        <v>2299</v>
      </c>
      <c r="J156" s="7">
        <v>5263</v>
      </c>
      <c r="K156" s="7">
        <v>2326</v>
      </c>
      <c r="L156" s="7">
        <v>1994</v>
      </c>
      <c r="M156" s="7">
        <v>2648</v>
      </c>
      <c r="N156" s="7">
        <v>2959</v>
      </c>
      <c r="O156" s="7">
        <v>2721</v>
      </c>
      <c r="P156" s="7">
        <v>1960</v>
      </c>
      <c r="Q156" s="7">
        <v>2067</v>
      </c>
      <c r="R156" s="7">
        <v>2709</v>
      </c>
      <c r="S156" s="7">
        <v>2734</v>
      </c>
      <c r="T156" s="7">
        <v>3381</v>
      </c>
      <c r="U156" s="7">
        <v>832</v>
      </c>
      <c r="V156" s="7">
        <v>3183</v>
      </c>
      <c r="W156" s="7">
        <v>4250</v>
      </c>
      <c r="X156" s="7">
        <v>2855</v>
      </c>
      <c r="Y156" s="7">
        <v>1804</v>
      </c>
      <c r="Z156" s="7">
        <v>4802</v>
      </c>
      <c r="AA156" s="7">
        <v>3561</v>
      </c>
      <c r="AB156" s="7">
        <v>2440</v>
      </c>
      <c r="AC156" s="7">
        <v>2669</v>
      </c>
      <c r="AD156" s="7">
        <v>2010</v>
      </c>
      <c r="AE156" s="7">
        <v>2537</v>
      </c>
      <c r="AF156" s="7">
        <v>1884</v>
      </c>
      <c r="AG156" s="7">
        <v>3430</v>
      </c>
      <c r="AH156" s="7">
        <v>2136</v>
      </c>
      <c r="AI156" s="7">
        <v>2611</v>
      </c>
      <c r="AJ156" s="7">
        <v>1578</v>
      </c>
      <c r="AK156" s="7">
        <v>2291</v>
      </c>
      <c r="AL156" s="7">
        <v>6107</v>
      </c>
      <c r="AM156" s="7">
        <v>1819</v>
      </c>
      <c r="AN156" s="7">
        <v>4858</v>
      </c>
      <c r="AO156" s="7">
        <v>2080</v>
      </c>
      <c r="AP156" s="7">
        <v>1888</v>
      </c>
      <c r="AQ156" s="7">
        <v>6126</v>
      </c>
      <c r="AR156" s="7">
        <v>1695</v>
      </c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</row>
    <row r="157" spans="1:81">
      <c r="A157" s="1" t="s">
        <v>1054</v>
      </c>
      <c r="B157" s="1" t="s">
        <v>1055</v>
      </c>
      <c r="C157" s="1" t="s">
        <v>1028</v>
      </c>
      <c r="D157" s="1" t="str">
        <f>HYPERLINK("http://eros.fiehnlab.ucdavis.edu:8080/binbase-compound/bin/show/216428?db=rtx5","216428")</f>
        <v>216428</v>
      </c>
      <c r="E157" s="1" t="s">
        <v>1056</v>
      </c>
      <c r="F157" s="1" t="s">
        <v>0</v>
      </c>
      <c r="G157" s="1" t="s">
        <v>0</v>
      </c>
      <c r="H157" s="1"/>
      <c r="I157" s="7">
        <v>3048</v>
      </c>
      <c r="J157" s="7">
        <v>3266</v>
      </c>
      <c r="K157" s="7">
        <v>6845</v>
      </c>
      <c r="L157" s="7">
        <v>7881</v>
      </c>
      <c r="M157" s="7">
        <v>777</v>
      </c>
      <c r="N157" s="7">
        <v>3706</v>
      </c>
      <c r="O157" s="7">
        <v>1557</v>
      </c>
      <c r="P157" s="7">
        <v>8776</v>
      </c>
      <c r="Q157" s="7">
        <v>3110</v>
      </c>
      <c r="R157" s="7">
        <v>13912</v>
      </c>
      <c r="S157" s="7">
        <v>6782</v>
      </c>
      <c r="T157" s="7">
        <v>4300</v>
      </c>
      <c r="U157" s="7">
        <v>4138</v>
      </c>
      <c r="V157" s="7">
        <v>4491</v>
      </c>
      <c r="W157" s="7">
        <v>4584</v>
      </c>
      <c r="X157" s="7">
        <v>11731</v>
      </c>
      <c r="Y157" s="7">
        <v>11156</v>
      </c>
      <c r="Z157" s="7">
        <v>4285</v>
      </c>
      <c r="AA157" s="7">
        <v>11174</v>
      </c>
      <c r="AB157" s="7">
        <v>18646</v>
      </c>
      <c r="AC157" s="7">
        <v>9262</v>
      </c>
      <c r="AD157" s="7">
        <v>9424</v>
      </c>
      <c r="AE157" s="7">
        <v>10233</v>
      </c>
      <c r="AF157" s="7">
        <v>8958</v>
      </c>
      <c r="AG157" s="7">
        <v>11421</v>
      </c>
      <c r="AH157" s="7">
        <v>9434</v>
      </c>
      <c r="AI157" s="7">
        <v>2287</v>
      </c>
      <c r="AJ157" s="7">
        <v>14726</v>
      </c>
      <c r="AK157" s="7">
        <v>14025</v>
      </c>
      <c r="AL157" s="7">
        <v>3180</v>
      </c>
      <c r="AM157" s="7">
        <v>7436</v>
      </c>
      <c r="AN157" s="7">
        <v>2582</v>
      </c>
      <c r="AO157" s="7">
        <v>12077</v>
      </c>
      <c r="AP157" s="7">
        <v>10363</v>
      </c>
      <c r="AQ157" s="7">
        <v>3376</v>
      </c>
      <c r="AR157" s="7">
        <v>8860</v>
      </c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</row>
    <row r="158" spans="1:81">
      <c r="A158" s="1" t="s">
        <v>1086</v>
      </c>
      <c r="B158" s="1" t="s">
        <v>1087</v>
      </c>
      <c r="C158" s="1" t="s">
        <v>1088</v>
      </c>
      <c r="D158" s="1" t="str">
        <f>HYPERLINK("http://eros.fiehnlab.ucdavis.edu:8080/binbase-compound/bin/show/212022?db=rtx5","212022")</f>
        <v>212022</v>
      </c>
      <c r="E158" s="1" t="s">
        <v>1089</v>
      </c>
      <c r="F158" s="1" t="s">
        <v>0</v>
      </c>
      <c r="G158" s="1" t="s">
        <v>0</v>
      </c>
      <c r="H158" s="1"/>
      <c r="I158" s="7">
        <v>65010</v>
      </c>
      <c r="J158" s="7">
        <v>20606</v>
      </c>
      <c r="K158" s="7">
        <v>49276</v>
      </c>
      <c r="L158" s="7">
        <v>46606</v>
      </c>
      <c r="M158" s="7">
        <v>58349</v>
      </c>
      <c r="N158" s="7">
        <v>24060</v>
      </c>
      <c r="O158" s="7">
        <v>54764</v>
      </c>
      <c r="P158" s="7">
        <v>54090</v>
      </c>
      <c r="Q158" s="7">
        <v>39756</v>
      </c>
      <c r="R158" s="7">
        <v>39865</v>
      </c>
      <c r="S158" s="7">
        <v>57882</v>
      </c>
      <c r="T158" s="7">
        <v>20643</v>
      </c>
      <c r="U158" s="7">
        <v>123059</v>
      </c>
      <c r="V158" s="7">
        <v>67137</v>
      </c>
      <c r="W158" s="7">
        <v>24508</v>
      </c>
      <c r="X158" s="7">
        <v>55685</v>
      </c>
      <c r="Y158" s="7">
        <v>32105</v>
      </c>
      <c r="Z158" s="7">
        <v>14610</v>
      </c>
      <c r="AA158" s="7">
        <v>22551</v>
      </c>
      <c r="AB158" s="7">
        <v>11714</v>
      </c>
      <c r="AC158" s="7">
        <v>16190</v>
      </c>
      <c r="AD158" s="7">
        <v>8255</v>
      </c>
      <c r="AE158" s="7">
        <v>47603</v>
      </c>
      <c r="AF158" s="7">
        <v>10197</v>
      </c>
      <c r="AG158" s="7">
        <v>33160</v>
      </c>
      <c r="AH158" s="7">
        <v>17698</v>
      </c>
      <c r="AI158" s="7">
        <v>17264</v>
      </c>
      <c r="AJ158" s="7">
        <v>21303</v>
      </c>
      <c r="AK158" s="7">
        <v>31692</v>
      </c>
      <c r="AL158" s="7">
        <v>5337</v>
      </c>
      <c r="AM158" s="7">
        <v>37610</v>
      </c>
      <c r="AN158" s="7">
        <v>8151</v>
      </c>
      <c r="AO158" s="7">
        <v>20662</v>
      </c>
      <c r="AP158" s="7">
        <v>22830</v>
      </c>
      <c r="AQ158" s="7">
        <v>11582</v>
      </c>
      <c r="AR158" s="7">
        <v>9296</v>
      </c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</row>
    <row r="159" spans="1:81">
      <c r="A159" s="1" t="s">
        <v>1096</v>
      </c>
      <c r="B159" s="1" t="s">
        <v>1097</v>
      </c>
      <c r="C159" s="1" t="s">
        <v>190</v>
      </c>
      <c r="D159" s="1" t="str">
        <f>HYPERLINK("http://eros.fiehnlab.ucdavis.edu:8080/binbase-compound/bin/show/207223?db=rtx5","207223")</f>
        <v>207223</v>
      </c>
      <c r="E159" s="1" t="s">
        <v>1098</v>
      </c>
      <c r="F159" s="1" t="s">
        <v>0</v>
      </c>
      <c r="G159" s="1" t="s">
        <v>0</v>
      </c>
      <c r="H159" s="1"/>
      <c r="I159" s="7">
        <v>1462</v>
      </c>
      <c r="J159" s="7">
        <v>1058</v>
      </c>
      <c r="K159" s="7">
        <v>2688</v>
      </c>
      <c r="L159" s="7">
        <v>2700</v>
      </c>
      <c r="M159" s="7">
        <v>1578</v>
      </c>
      <c r="N159" s="7">
        <v>1524</v>
      </c>
      <c r="O159" s="7">
        <v>244</v>
      </c>
      <c r="P159" s="7">
        <v>2514</v>
      </c>
      <c r="Q159" s="7">
        <v>1398</v>
      </c>
      <c r="R159" s="7">
        <v>3877</v>
      </c>
      <c r="S159" s="7">
        <v>2044</v>
      </c>
      <c r="T159" s="7">
        <v>1454</v>
      </c>
      <c r="U159" s="7">
        <v>1623</v>
      </c>
      <c r="V159" s="7">
        <v>2268</v>
      </c>
      <c r="W159" s="7">
        <v>1326</v>
      </c>
      <c r="X159" s="7">
        <v>1863</v>
      </c>
      <c r="Y159" s="7">
        <v>3746</v>
      </c>
      <c r="Z159" s="7">
        <v>1360</v>
      </c>
      <c r="AA159" s="7">
        <v>1912</v>
      </c>
      <c r="AB159" s="7">
        <v>3784</v>
      </c>
      <c r="AC159" s="7">
        <v>2913</v>
      </c>
      <c r="AD159" s="7">
        <v>2697</v>
      </c>
      <c r="AE159" s="7">
        <v>2311</v>
      </c>
      <c r="AF159" s="7">
        <v>2530</v>
      </c>
      <c r="AG159" s="7">
        <v>3157</v>
      </c>
      <c r="AH159" s="7">
        <v>3700</v>
      </c>
      <c r="AI159" s="7">
        <v>1857</v>
      </c>
      <c r="AJ159" s="7">
        <v>3547</v>
      </c>
      <c r="AK159" s="7">
        <v>4485</v>
      </c>
      <c r="AL159" s="7">
        <v>1098</v>
      </c>
      <c r="AM159" s="7">
        <v>3391</v>
      </c>
      <c r="AN159" s="7">
        <v>1367</v>
      </c>
      <c r="AO159" s="7">
        <v>3911</v>
      </c>
      <c r="AP159" s="7">
        <v>3838</v>
      </c>
      <c r="AQ159" s="7">
        <v>1035</v>
      </c>
      <c r="AR159" s="7">
        <v>3478</v>
      </c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</row>
    <row r="160" spans="1:81">
      <c r="A160" s="1" t="s">
        <v>929</v>
      </c>
      <c r="B160" s="1" t="s">
        <v>930</v>
      </c>
      <c r="C160" s="1" t="s">
        <v>731</v>
      </c>
      <c r="D160" s="1" t="str">
        <f>HYPERLINK("http://eros.fiehnlab.ucdavis.edu:8080/binbase-compound/bin/show/235965?db=rtx5","235965")</f>
        <v>235965</v>
      </c>
      <c r="E160" s="1" t="s">
        <v>931</v>
      </c>
      <c r="F160" s="1" t="s">
        <v>0</v>
      </c>
      <c r="G160" s="1" t="s">
        <v>0</v>
      </c>
      <c r="H160" s="1"/>
      <c r="I160" s="7">
        <v>600222</v>
      </c>
      <c r="J160" s="7">
        <v>212038</v>
      </c>
      <c r="K160" s="7">
        <v>518496</v>
      </c>
      <c r="L160" s="7">
        <v>960663</v>
      </c>
      <c r="M160" s="7">
        <v>229907</v>
      </c>
      <c r="N160" s="7">
        <v>359555</v>
      </c>
      <c r="O160" s="7">
        <v>182152</v>
      </c>
      <c r="P160" s="7">
        <v>859942</v>
      </c>
      <c r="Q160" s="7">
        <v>562572</v>
      </c>
      <c r="R160" s="7">
        <v>376764</v>
      </c>
      <c r="S160" s="7">
        <v>558164</v>
      </c>
      <c r="T160" s="7">
        <v>699233</v>
      </c>
      <c r="U160" s="7">
        <v>640182</v>
      </c>
      <c r="V160" s="7">
        <v>249854</v>
      </c>
      <c r="W160" s="7">
        <v>348058</v>
      </c>
      <c r="X160" s="7">
        <v>1260122</v>
      </c>
      <c r="Y160" s="7">
        <v>1457725</v>
      </c>
      <c r="Z160" s="7">
        <v>182961</v>
      </c>
      <c r="AA160" s="7">
        <v>466759</v>
      </c>
      <c r="AB160" s="7">
        <v>615186</v>
      </c>
      <c r="AC160" s="7">
        <v>3670</v>
      </c>
      <c r="AD160" s="7">
        <v>2656</v>
      </c>
      <c r="AE160" s="7">
        <v>856444</v>
      </c>
      <c r="AF160" s="7">
        <v>3059</v>
      </c>
      <c r="AG160" s="7">
        <v>993397</v>
      </c>
      <c r="AH160" s="7">
        <v>1758</v>
      </c>
      <c r="AI160" s="7">
        <v>258575</v>
      </c>
      <c r="AJ160" s="7">
        <v>2896</v>
      </c>
      <c r="AK160" s="7">
        <v>2393243</v>
      </c>
      <c r="AL160" s="7">
        <v>549068</v>
      </c>
      <c r="AM160" s="7">
        <v>595505</v>
      </c>
      <c r="AN160" s="7">
        <v>459474</v>
      </c>
      <c r="AO160" s="7">
        <v>4968</v>
      </c>
      <c r="AP160" s="7">
        <v>2279</v>
      </c>
      <c r="AQ160" s="7">
        <v>288736</v>
      </c>
      <c r="AR160" s="7">
        <v>328366</v>
      </c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</row>
    <row r="161" spans="1:81">
      <c r="A161" s="1" t="s">
        <v>1114</v>
      </c>
      <c r="B161" s="1" t="s">
        <v>1115</v>
      </c>
      <c r="C161" s="1" t="s">
        <v>769</v>
      </c>
      <c r="D161" s="1" t="str">
        <f>HYPERLINK("http://eros.fiehnlab.ucdavis.edu:8080/binbase-compound/bin/show/202687?db=rtx5","202687")</f>
        <v>202687</v>
      </c>
      <c r="E161" s="1" t="s">
        <v>1116</v>
      </c>
      <c r="F161" s="1" t="s">
        <v>0</v>
      </c>
      <c r="G161" s="1" t="s">
        <v>0</v>
      </c>
      <c r="H161" s="1"/>
      <c r="I161" s="7">
        <v>936</v>
      </c>
      <c r="J161" s="7">
        <v>785</v>
      </c>
      <c r="K161" s="7">
        <v>1225</v>
      </c>
      <c r="L161" s="7">
        <v>3491</v>
      </c>
      <c r="M161" s="7">
        <v>1558</v>
      </c>
      <c r="N161" s="7">
        <v>1525</v>
      </c>
      <c r="O161" s="7">
        <v>610</v>
      </c>
      <c r="P161" s="7">
        <v>1716</v>
      </c>
      <c r="Q161" s="7">
        <v>682</v>
      </c>
      <c r="R161" s="7">
        <v>5554</v>
      </c>
      <c r="S161" s="7">
        <v>5087</v>
      </c>
      <c r="T161" s="7">
        <v>18920</v>
      </c>
      <c r="U161" s="7">
        <v>288</v>
      </c>
      <c r="V161" s="7">
        <v>676</v>
      </c>
      <c r="W161" s="7">
        <v>605</v>
      </c>
      <c r="X161" s="7">
        <v>6759</v>
      </c>
      <c r="Y161" s="7">
        <v>9544</v>
      </c>
      <c r="Z161" s="7">
        <v>2165</v>
      </c>
      <c r="AA161" s="7">
        <v>13870</v>
      </c>
      <c r="AB161" s="7">
        <v>33505</v>
      </c>
      <c r="AC161" s="7">
        <v>77988</v>
      </c>
      <c r="AD161" s="7">
        <v>2332</v>
      </c>
      <c r="AE161" s="7">
        <v>2105</v>
      </c>
      <c r="AF161" s="7">
        <v>2092</v>
      </c>
      <c r="AG161" s="7">
        <v>3366</v>
      </c>
      <c r="AH161" s="7">
        <v>3995</v>
      </c>
      <c r="AI161" s="7">
        <v>796</v>
      </c>
      <c r="AJ161" s="7">
        <v>14991</v>
      </c>
      <c r="AK161" s="7">
        <v>18427</v>
      </c>
      <c r="AL161" s="7">
        <v>5904</v>
      </c>
      <c r="AM161" s="7">
        <v>14071</v>
      </c>
      <c r="AN161" s="7">
        <v>5032</v>
      </c>
      <c r="AO161" s="7">
        <v>14993</v>
      </c>
      <c r="AP161" s="7">
        <v>53623</v>
      </c>
      <c r="AQ161" s="7">
        <v>11215</v>
      </c>
      <c r="AR161" s="7">
        <v>45869</v>
      </c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</row>
    <row r="162" spans="1:81">
      <c r="A162" s="1" t="s">
        <v>912</v>
      </c>
      <c r="B162" s="1" t="s">
        <v>913</v>
      </c>
      <c r="C162" s="1" t="s">
        <v>389</v>
      </c>
      <c r="D162" s="1" t="str">
        <f>HYPERLINK("http://eros.fiehnlab.ucdavis.edu:8080/binbase-compound/bin/show/237154?db=rtx5","237154")</f>
        <v>237154</v>
      </c>
      <c r="E162" s="1" t="s">
        <v>914</v>
      </c>
      <c r="F162" s="1" t="s">
        <v>0</v>
      </c>
      <c r="G162" s="1" t="s">
        <v>0</v>
      </c>
      <c r="H162" s="1"/>
      <c r="I162" s="7">
        <v>351</v>
      </c>
      <c r="J162" s="7">
        <v>399</v>
      </c>
      <c r="K162" s="7">
        <v>183</v>
      </c>
      <c r="L162" s="7">
        <v>251</v>
      </c>
      <c r="M162" s="7">
        <v>202</v>
      </c>
      <c r="N162" s="7">
        <v>178</v>
      </c>
      <c r="O162" s="7">
        <v>228</v>
      </c>
      <c r="P162" s="7">
        <v>241</v>
      </c>
      <c r="Q162" s="7">
        <v>229</v>
      </c>
      <c r="R162" s="7">
        <v>375</v>
      </c>
      <c r="S162" s="7">
        <v>570</v>
      </c>
      <c r="T162" s="7">
        <v>895</v>
      </c>
      <c r="U162" s="7">
        <v>400</v>
      </c>
      <c r="V162" s="7">
        <v>471</v>
      </c>
      <c r="W162" s="7">
        <v>142</v>
      </c>
      <c r="X162" s="7">
        <v>300</v>
      </c>
      <c r="Y162" s="7">
        <v>1253</v>
      </c>
      <c r="Z162" s="7">
        <v>3435</v>
      </c>
      <c r="AA162" s="7">
        <v>1999</v>
      </c>
      <c r="AB162" s="7">
        <v>291</v>
      </c>
      <c r="AC162" s="7">
        <v>2902</v>
      </c>
      <c r="AD162" s="7">
        <v>309</v>
      </c>
      <c r="AE162" s="7">
        <v>423</v>
      </c>
      <c r="AF162" s="7">
        <v>19722</v>
      </c>
      <c r="AG162" s="7">
        <v>8157</v>
      </c>
      <c r="AH162" s="7">
        <v>18848</v>
      </c>
      <c r="AI162" s="7">
        <v>722</v>
      </c>
      <c r="AJ162" s="7">
        <v>789</v>
      </c>
      <c r="AK162" s="7">
        <v>10789</v>
      </c>
      <c r="AL162" s="7">
        <v>289</v>
      </c>
      <c r="AM162" s="7">
        <v>390</v>
      </c>
      <c r="AN162" s="7">
        <v>916</v>
      </c>
      <c r="AO162" s="7">
        <v>561</v>
      </c>
      <c r="AP162" s="7">
        <v>27643</v>
      </c>
      <c r="AQ162" s="7">
        <v>1415</v>
      </c>
      <c r="AR162" s="7">
        <v>258</v>
      </c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</row>
    <row r="163" spans="1:81">
      <c r="A163" s="1" t="s">
        <v>1019</v>
      </c>
      <c r="B163" s="1" t="s">
        <v>1020</v>
      </c>
      <c r="C163" s="1" t="s">
        <v>98</v>
      </c>
      <c r="D163" s="1" t="str">
        <f>HYPERLINK("http://eros.fiehnlab.ucdavis.edu:8080/binbase-compound/bin/show/222169?db=rtx5","222169")</f>
        <v>222169</v>
      </c>
      <c r="E163" s="1" t="s">
        <v>1021</v>
      </c>
      <c r="F163" s="1" t="s">
        <v>0</v>
      </c>
      <c r="G163" s="1" t="s">
        <v>0</v>
      </c>
      <c r="H163" s="1"/>
      <c r="I163" s="7">
        <v>1446</v>
      </c>
      <c r="J163" s="7">
        <v>207</v>
      </c>
      <c r="K163" s="7">
        <v>869</v>
      </c>
      <c r="L163" s="7">
        <v>3790</v>
      </c>
      <c r="M163" s="7">
        <v>260</v>
      </c>
      <c r="N163" s="7">
        <v>194</v>
      </c>
      <c r="O163" s="7">
        <v>607</v>
      </c>
      <c r="P163" s="7">
        <v>838</v>
      </c>
      <c r="Q163" s="7">
        <v>1465</v>
      </c>
      <c r="R163" s="7">
        <v>12160</v>
      </c>
      <c r="S163" s="7">
        <v>2801</v>
      </c>
      <c r="T163" s="7">
        <v>1596</v>
      </c>
      <c r="U163" s="7">
        <v>355</v>
      </c>
      <c r="V163" s="7">
        <v>957</v>
      </c>
      <c r="W163" s="7">
        <v>621</v>
      </c>
      <c r="X163" s="7">
        <v>2579</v>
      </c>
      <c r="Y163" s="7">
        <v>20529</v>
      </c>
      <c r="Z163" s="7">
        <v>2670</v>
      </c>
      <c r="AA163" s="7">
        <v>3521</v>
      </c>
      <c r="AB163" s="7">
        <v>1777</v>
      </c>
      <c r="AC163" s="7">
        <v>51125</v>
      </c>
      <c r="AD163" s="7">
        <v>1317</v>
      </c>
      <c r="AE163" s="7">
        <v>4363</v>
      </c>
      <c r="AF163" s="7">
        <v>79459</v>
      </c>
      <c r="AG163" s="7">
        <v>14263</v>
      </c>
      <c r="AH163" s="7">
        <v>49419</v>
      </c>
      <c r="AI163" s="7">
        <v>539</v>
      </c>
      <c r="AJ163" s="7">
        <v>22366</v>
      </c>
      <c r="AK163" s="7">
        <v>27844</v>
      </c>
      <c r="AL163" s="7">
        <v>423</v>
      </c>
      <c r="AM163" s="7">
        <v>766</v>
      </c>
      <c r="AN163" s="7">
        <v>666</v>
      </c>
      <c r="AO163" s="7">
        <v>9489</v>
      </c>
      <c r="AP163" s="7">
        <v>45095</v>
      </c>
      <c r="AQ163" s="7">
        <v>1523</v>
      </c>
      <c r="AR163" s="7">
        <v>1385</v>
      </c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</row>
    <row r="164" spans="1:81">
      <c r="A164" s="1" t="s">
        <v>1157</v>
      </c>
      <c r="B164" s="1" t="s">
        <v>1158</v>
      </c>
      <c r="C164" s="1" t="s">
        <v>1069</v>
      </c>
      <c r="D164" s="1" t="str">
        <f>HYPERLINK("http://eros.fiehnlab.ucdavis.edu:8080/binbase-compound/bin/show/199942?db=rtx5","199942")</f>
        <v>199942</v>
      </c>
      <c r="E164" s="1" t="s">
        <v>1159</v>
      </c>
      <c r="F164" s="1" t="s">
        <v>0</v>
      </c>
      <c r="G164" s="1" t="s">
        <v>0</v>
      </c>
      <c r="H164" s="1"/>
      <c r="I164" s="7">
        <v>5397</v>
      </c>
      <c r="J164" s="7">
        <v>8698</v>
      </c>
      <c r="K164" s="7">
        <v>1332</v>
      </c>
      <c r="L164" s="7">
        <v>3483</v>
      </c>
      <c r="M164" s="7">
        <v>11601</v>
      </c>
      <c r="N164" s="7">
        <v>6476</v>
      </c>
      <c r="O164" s="7">
        <v>7052</v>
      </c>
      <c r="P164" s="7">
        <v>16434</v>
      </c>
      <c r="Q164" s="7">
        <v>23696</v>
      </c>
      <c r="R164" s="7">
        <v>10066</v>
      </c>
      <c r="S164" s="7">
        <v>16730</v>
      </c>
      <c r="T164" s="7">
        <v>11519</v>
      </c>
      <c r="U164" s="7">
        <v>2349</v>
      </c>
      <c r="V164" s="7">
        <v>3846</v>
      </c>
      <c r="W164" s="7">
        <v>7900</v>
      </c>
      <c r="X164" s="7">
        <v>3864</v>
      </c>
      <c r="Y164" s="7">
        <v>2357</v>
      </c>
      <c r="Z164" s="7">
        <v>13855</v>
      </c>
      <c r="AA164" s="7">
        <v>8131</v>
      </c>
      <c r="AB164" s="7">
        <v>1719</v>
      </c>
      <c r="AC164" s="7">
        <v>1836</v>
      </c>
      <c r="AD164" s="7">
        <v>1256</v>
      </c>
      <c r="AE164" s="7">
        <v>3491</v>
      </c>
      <c r="AF164" s="7">
        <v>1561</v>
      </c>
      <c r="AG164" s="7">
        <v>10984</v>
      </c>
      <c r="AH164" s="7">
        <v>3251</v>
      </c>
      <c r="AI164" s="7">
        <v>15543</v>
      </c>
      <c r="AJ164" s="7">
        <v>2047</v>
      </c>
      <c r="AK164" s="7">
        <v>3027</v>
      </c>
      <c r="AL164" s="7">
        <v>10453</v>
      </c>
      <c r="AM164" s="7">
        <v>1642</v>
      </c>
      <c r="AN164" s="7">
        <v>7958</v>
      </c>
      <c r="AO164" s="7">
        <v>2033</v>
      </c>
      <c r="AP164" s="7">
        <v>3438</v>
      </c>
      <c r="AQ164" s="7">
        <v>13455</v>
      </c>
      <c r="AR164" s="7">
        <v>3870</v>
      </c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</row>
    <row r="165" spans="1:81">
      <c r="A165" s="1" t="s">
        <v>1060</v>
      </c>
      <c r="B165" s="1" t="s">
        <v>1061</v>
      </c>
      <c r="C165" s="1" t="s">
        <v>561</v>
      </c>
      <c r="D165" s="1" t="str">
        <f>HYPERLINK("http://eros.fiehnlab.ucdavis.edu:8080/binbase-compound/bin/show/214152?db=rtx5","214152")</f>
        <v>214152</v>
      </c>
      <c r="E165" s="1" t="s">
        <v>1062</v>
      </c>
      <c r="F165" s="1" t="s">
        <v>0</v>
      </c>
      <c r="G165" s="1" t="s">
        <v>0</v>
      </c>
      <c r="H165" s="1"/>
      <c r="I165" s="7">
        <v>1315</v>
      </c>
      <c r="J165" s="7">
        <v>4639</v>
      </c>
      <c r="K165" s="7">
        <v>484</v>
      </c>
      <c r="L165" s="7">
        <v>492</v>
      </c>
      <c r="M165" s="7">
        <v>1664</v>
      </c>
      <c r="N165" s="7">
        <v>808</v>
      </c>
      <c r="O165" s="7">
        <v>812</v>
      </c>
      <c r="P165" s="7">
        <v>253</v>
      </c>
      <c r="Q165" s="7">
        <v>2990</v>
      </c>
      <c r="R165" s="7">
        <v>681</v>
      </c>
      <c r="S165" s="7">
        <v>2361</v>
      </c>
      <c r="T165" s="7">
        <v>1309</v>
      </c>
      <c r="U165" s="7">
        <v>489</v>
      </c>
      <c r="V165" s="7">
        <v>3369</v>
      </c>
      <c r="W165" s="7">
        <v>5023</v>
      </c>
      <c r="X165" s="7">
        <v>411</v>
      </c>
      <c r="Y165" s="7">
        <v>270</v>
      </c>
      <c r="Z165" s="7">
        <v>1824</v>
      </c>
      <c r="AA165" s="7">
        <v>151</v>
      </c>
      <c r="AB165" s="7">
        <v>341</v>
      </c>
      <c r="AC165" s="7">
        <v>300</v>
      </c>
      <c r="AD165" s="7">
        <v>398</v>
      </c>
      <c r="AE165" s="7">
        <v>2142</v>
      </c>
      <c r="AF165" s="7">
        <v>1061</v>
      </c>
      <c r="AG165" s="7">
        <v>764</v>
      </c>
      <c r="AH165" s="7">
        <v>1247</v>
      </c>
      <c r="AI165" s="7">
        <v>1572</v>
      </c>
      <c r="AJ165" s="7">
        <v>929</v>
      </c>
      <c r="AK165" s="7">
        <v>393</v>
      </c>
      <c r="AL165" s="7">
        <v>2318</v>
      </c>
      <c r="AM165" s="7">
        <v>300</v>
      </c>
      <c r="AN165" s="7">
        <v>2863</v>
      </c>
      <c r="AO165" s="7">
        <v>471</v>
      </c>
      <c r="AP165" s="7">
        <v>774</v>
      </c>
      <c r="AQ165" s="7">
        <v>5996</v>
      </c>
      <c r="AR165" s="7">
        <v>510</v>
      </c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</row>
    <row r="166" spans="1:81">
      <c r="A166" s="1" t="s">
        <v>1077</v>
      </c>
      <c r="B166" s="1" t="s">
        <v>1078</v>
      </c>
      <c r="C166" s="1" t="s">
        <v>117</v>
      </c>
      <c r="D166" s="1" t="str">
        <f>HYPERLINK("http://eros.fiehnlab.ucdavis.edu:8080/binbase-compound/bin/show/213185?db=rtx5","213185")</f>
        <v>213185</v>
      </c>
      <c r="E166" s="1" t="s">
        <v>1079</v>
      </c>
      <c r="F166" s="1" t="s">
        <v>0</v>
      </c>
      <c r="G166" s="1" t="s">
        <v>0</v>
      </c>
      <c r="H166" s="1"/>
      <c r="I166" s="7">
        <v>512</v>
      </c>
      <c r="J166" s="7">
        <v>2606</v>
      </c>
      <c r="K166" s="7">
        <v>606</v>
      </c>
      <c r="L166" s="7">
        <v>717</v>
      </c>
      <c r="M166" s="7">
        <v>1440</v>
      </c>
      <c r="N166" s="7">
        <v>1201</v>
      </c>
      <c r="O166" s="7">
        <v>615</v>
      </c>
      <c r="P166" s="7">
        <v>782</v>
      </c>
      <c r="Q166" s="7">
        <v>2734</v>
      </c>
      <c r="R166" s="7">
        <v>458</v>
      </c>
      <c r="S166" s="7">
        <v>2272</v>
      </c>
      <c r="T166" s="7">
        <v>1202</v>
      </c>
      <c r="U166" s="7">
        <v>331</v>
      </c>
      <c r="V166" s="7">
        <v>750</v>
      </c>
      <c r="W166" s="7">
        <v>3654</v>
      </c>
      <c r="X166" s="7">
        <v>2772</v>
      </c>
      <c r="Y166" s="7">
        <v>506</v>
      </c>
      <c r="Z166" s="7">
        <v>2135</v>
      </c>
      <c r="AA166" s="7">
        <v>994</v>
      </c>
      <c r="AB166" s="7">
        <v>441</v>
      </c>
      <c r="AC166" s="7">
        <v>644</v>
      </c>
      <c r="AD166" s="7">
        <v>604</v>
      </c>
      <c r="AE166" s="7">
        <v>478</v>
      </c>
      <c r="AF166" s="7">
        <v>621</v>
      </c>
      <c r="AG166" s="7">
        <v>309</v>
      </c>
      <c r="AH166" s="7">
        <v>697</v>
      </c>
      <c r="AI166" s="7">
        <v>409</v>
      </c>
      <c r="AJ166" s="7">
        <v>498</v>
      </c>
      <c r="AK166" s="7">
        <v>436</v>
      </c>
      <c r="AL166" s="7">
        <v>4656</v>
      </c>
      <c r="AM166" s="7">
        <v>710</v>
      </c>
      <c r="AN166" s="7">
        <v>2128</v>
      </c>
      <c r="AO166" s="7">
        <v>498</v>
      </c>
      <c r="AP166" s="7">
        <v>416</v>
      </c>
      <c r="AQ166" s="7">
        <v>3580</v>
      </c>
      <c r="AR166" s="7">
        <v>396</v>
      </c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</row>
    <row r="167" spans="1:81">
      <c r="A167" s="1" t="s">
        <v>854</v>
      </c>
      <c r="B167" s="1" t="s">
        <v>855</v>
      </c>
      <c r="C167" s="1" t="s">
        <v>117</v>
      </c>
      <c r="D167" s="1" t="str">
        <f>HYPERLINK("http://eros.fiehnlab.ucdavis.edu:8080/binbase-compound/bin/show/241658?db=rtx5","241658")</f>
        <v>241658</v>
      </c>
      <c r="E167" s="1" t="s">
        <v>856</v>
      </c>
      <c r="F167" s="1" t="s">
        <v>0</v>
      </c>
      <c r="G167" s="1" t="s">
        <v>0</v>
      </c>
      <c r="H167" s="1"/>
      <c r="I167" s="7">
        <v>719</v>
      </c>
      <c r="J167" s="7">
        <v>3267</v>
      </c>
      <c r="K167" s="7">
        <v>507</v>
      </c>
      <c r="L167" s="7">
        <v>464</v>
      </c>
      <c r="M167" s="7">
        <v>1787</v>
      </c>
      <c r="N167" s="7">
        <v>885</v>
      </c>
      <c r="O167" s="7">
        <v>1234</v>
      </c>
      <c r="P167" s="7">
        <v>341</v>
      </c>
      <c r="Q167" s="7">
        <v>854</v>
      </c>
      <c r="R167" s="7">
        <v>398</v>
      </c>
      <c r="S167" s="7">
        <v>821</v>
      </c>
      <c r="T167" s="7">
        <v>547</v>
      </c>
      <c r="U167" s="7">
        <v>376</v>
      </c>
      <c r="V167" s="7">
        <v>2603</v>
      </c>
      <c r="W167" s="7">
        <v>2246</v>
      </c>
      <c r="X167" s="7">
        <v>681</v>
      </c>
      <c r="Y167" s="7">
        <v>473</v>
      </c>
      <c r="Z167" s="7">
        <v>2252</v>
      </c>
      <c r="AA167" s="7">
        <v>1600</v>
      </c>
      <c r="AB167" s="7">
        <v>621</v>
      </c>
      <c r="AC167" s="7">
        <v>295</v>
      </c>
      <c r="AD167" s="7">
        <v>358</v>
      </c>
      <c r="AE167" s="7">
        <v>786</v>
      </c>
      <c r="AF167" s="7">
        <v>474</v>
      </c>
      <c r="AG167" s="7">
        <v>511</v>
      </c>
      <c r="AH167" s="7">
        <v>513</v>
      </c>
      <c r="AI167" s="7">
        <v>1591</v>
      </c>
      <c r="AJ167" s="7">
        <v>371</v>
      </c>
      <c r="AK167" s="7">
        <v>441</v>
      </c>
      <c r="AL167" s="7">
        <v>1746</v>
      </c>
      <c r="AM167" s="7">
        <v>464</v>
      </c>
      <c r="AN167" s="7">
        <v>3462</v>
      </c>
      <c r="AO167" s="7">
        <v>325</v>
      </c>
      <c r="AP167" s="7">
        <v>655</v>
      </c>
      <c r="AQ167" s="7">
        <v>3437</v>
      </c>
      <c r="AR167" s="7">
        <v>598</v>
      </c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</row>
    <row r="168" spans="1:81">
      <c r="A168" s="1" t="s">
        <v>569</v>
      </c>
      <c r="B168" s="1" t="s">
        <v>570</v>
      </c>
      <c r="C168" s="1" t="s">
        <v>190</v>
      </c>
      <c r="D168" s="1" t="str">
        <f>HYPERLINK("http://eros.fiehnlab.ucdavis.edu:8080/binbase-compound/bin/show/408856?db=rtx5","408856")</f>
        <v>408856</v>
      </c>
      <c r="E168" s="1" t="s">
        <v>571</v>
      </c>
      <c r="F168" s="1" t="s">
        <v>0</v>
      </c>
      <c r="G168" s="1" t="s">
        <v>0</v>
      </c>
      <c r="H168" s="1"/>
      <c r="I168" s="7">
        <v>607</v>
      </c>
      <c r="J168" s="7">
        <v>2185</v>
      </c>
      <c r="K168" s="7">
        <v>324</v>
      </c>
      <c r="L168" s="7">
        <v>497</v>
      </c>
      <c r="M168" s="7">
        <v>1210</v>
      </c>
      <c r="N168" s="7">
        <v>1124</v>
      </c>
      <c r="O168" s="7">
        <v>1060</v>
      </c>
      <c r="P168" s="7">
        <v>624</v>
      </c>
      <c r="Q168" s="7">
        <v>768</v>
      </c>
      <c r="R168" s="7">
        <v>400</v>
      </c>
      <c r="S168" s="7">
        <v>803</v>
      </c>
      <c r="T168" s="7">
        <v>197</v>
      </c>
      <c r="U168" s="7">
        <v>343</v>
      </c>
      <c r="V168" s="7">
        <v>1200</v>
      </c>
      <c r="W168" s="7">
        <v>1281</v>
      </c>
      <c r="X168" s="7">
        <v>427</v>
      </c>
      <c r="Y168" s="7">
        <v>440</v>
      </c>
      <c r="Z168" s="7">
        <v>1304</v>
      </c>
      <c r="AA168" s="7">
        <v>899</v>
      </c>
      <c r="AB168" s="7">
        <v>397</v>
      </c>
      <c r="AC168" s="7">
        <v>464</v>
      </c>
      <c r="AD168" s="7">
        <v>353</v>
      </c>
      <c r="AE168" s="7">
        <v>295</v>
      </c>
      <c r="AF168" s="7">
        <v>474</v>
      </c>
      <c r="AG168" s="7">
        <v>624</v>
      </c>
      <c r="AH168" s="7">
        <v>378</v>
      </c>
      <c r="AI168" s="7">
        <v>1165</v>
      </c>
      <c r="AJ168" s="7">
        <v>390</v>
      </c>
      <c r="AK168" s="7">
        <v>424</v>
      </c>
      <c r="AL168" s="7">
        <v>1615</v>
      </c>
      <c r="AM168" s="7">
        <v>322</v>
      </c>
      <c r="AN168" s="7">
        <v>1790</v>
      </c>
      <c r="AO168" s="7">
        <v>529</v>
      </c>
      <c r="AP168" s="7">
        <v>580</v>
      </c>
      <c r="AQ168" s="7">
        <v>2006</v>
      </c>
      <c r="AR168" s="7">
        <v>273</v>
      </c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</row>
    <row r="169" spans="1:81">
      <c r="A169" s="1" t="s">
        <v>978</v>
      </c>
      <c r="B169" s="1" t="s">
        <v>979</v>
      </c>
      <c r="C169" s="1" t="s">
        <v>89</v>
      </c>
      <c r="D169" s="1" t="str">
        <f>HYPERLINK("http://eros.fiehnlab.ucdavis.edu:8080/binbase-compound/bin/show/228311?db=rtx5","228311")</f>
        <v>228311</v>
      </c>
      <c r="E169" s="1" t="s">
        <v>980</v>
      </c>
      <c r="F169" s="1" t="s">
        <v>0</v>
      </c>
      <c r="G169" s="1" t="s">
        <v>0</v>
      </c>
      <c r="H169" s="1"/>
      <c r="I169" s="7">
        <v>21799</v>
      </c>
      <c r="J169" s="7">
        <v>11333</v>
      </c>
      <c r="K169" s="7">
        <v>10862</v>
      </c>
      <c r="L169" s="7">
        <v>11713</v>
      </c>
      <c r="M169" s="7">
        <v>4964</v>
      </c>
      <c r="N169" s="7">
        <v>12723</v>
      </c>
      <c r="O169" s="7">
        <v>7409</v>
      </c>
      <c r="P169" s="7">
        <v>314</v>
      </c>
      <c r="Q169" s="7">
        <v>20686</v>
      </c>
      <c r="R169" s="7">
        <v>5680</v>
      </c>
      <c r="S169" s="7">
        <v>5409</v>
      </c>
      <c r="T169" s="7">
        <v>11670</v>
      </c>
      <c r="U169" s="7">
        <v>7423</v>
      </c>
      <c r="V169" s="7">
        <v>9058</v>
      </c>
      <c r="W169" s="7">
        <v>19588</v>
      </c>
      <c r="X169" s="7">
        <v>14008</v>
      </c>
      <c r="Y169" s="7">
        <v>13303</v>
      </c>
      <c r="Z169" s="7">
        <v>23829</v>
      </c>
      <c r="AA169" s="7">
        <v>162136</v>
      </c>
      <c r="AB169" s="7">
        <v>5338</v>
      </c>
      <c r="AC169" s="7">
        <v>16949</v>
      </c>
      <c r="AD169" s="7">
        <v>14846</v>
      </c>
      <c r="AE169" s="7">
        <v>2770</v>
      </c>
      <c r="AF169" s="7">
        <v>7678</v>
      </c>
      <c r="AG169" s="7">
        <v>6878</v>
      </c>
      <c r="AH169" s="7">
        <v>20066</v>
      </c>
      <c r="AI169" s="7">
        <v>7030</v>
      </c>
      <c r="AJ169" s="7">
        <v>10368</v>
      </c>
      <c r="AK169" s="7">
        <v>11010</v>
      </c>
      <c r="AL169" s="7">
        <v>17428</v>
      </c>
      <c r="AM169" s="7">
        <v>2332</v>
      </c>
      <c r="AN169" s="7">
        <v>13006</v>
      </c>
      <c r="AO169" s="7">
        <v>8254</v>
      </c>
      <c r="AP169" s="7">
        <v>8338</v>
      </c>
      <c r="AQ169" s="7">
        <v>23417</v>
      </c>
      <c r="AR169" s="7">
        <v>2823</v>
      </c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</row>
    <row r="170" spans="1:81">
      <c r="A170" s="1" t="s">
        <v>566</v>
      </c>
      <c r="B170" s="1" t="s">
        <v>567</v>
      </c>
      <c r="C170" s="1" t="s">
        <v>190</v>
      </c>
      <c r="D170" s="1" t="str">
        <f>HYPERLINK("http://eros.fiehnlab.ucdavis.edu:8080/binbase-compound/bin/show/408892?db=rtx5","408892")</f>
        <v>408892</v>
      </c>
      <c r="E170" s="1" t="s">
        <v>568</v>
      </c>
      <c r="F170" s="1" t="s">
        <v>0</v>
      </c>
      <c r="G170" s="1" t="s">
        <v>0</v>
      </c>
      <c r="H170" s="1"/>
      <c r="I170" s="7">
        <v>3859</v>
      </c>
      <c r="J170" s="7">
        <v>9106</v>
      </c>
      <c r="K170" s="7">
        <v>3330</v>
      </c>
      <c r="L170" s="7">
        <v>1972</v>
      </c>
      <c r="M170" s="7">
        <v>5862</v>
      </c>
      <c r="N170" s="7">
        <v>4733</v>
      </c>
      <c r="O170" s="7">
        <v>8864</v>
      </c>
      <c r="P170" s="7">
        <v>3795</v>
      </c>
      <c r="Q170" s="7">
        <v>5292</v>
      </c>
      <c r="R170" s="7">
        <v>2855</v>
      </c>
      <c r="S170" s="7">
        <v>2720</v>
      </c>
      <c r="T170" s="7">
        <v>1676</v>
      </c>
      <c r="U170" s="7">
        <v>1876</v>
      </c>
      <c r="V170" s="7">
        <v>5455</v>
      </c>
      <c r="W170" s="7">
        <v>6294</v>
      </c>
      <c r="X170" s="7">
        <v>1319</v>
      </c>
      <c r="Y170" s="7">
        <v>1956</v>
      </c>
      <c r="Z170" s="7">
        <v>8357</v>
      </c>
      <c r="AA170" s="7">
        <v>4962</v>
      </c>
      <c r="AB170" s="7">
        <v>1960</v>
      </c>
      <c r="AC170" s="7">
        <v>2054</v>
      </c>
      <c r="AD170" s="7">
        <v>1505</v>
      </c>
      <c r="AE170" s="7">
        <v>1204</v>
      </c>
      <c r="AF170" s="7">
        <v>2157</v>
      </c>
      <c r="AG170" s="7">
        <v>2792</v>
      </c>
      <c r="AH170" s="7">
        <v>1631</v>
      </c>
      <c r="AI170" s="7">
        <v>4999</v>
      </c>
      <c r="AJ170" s="7">
        <v>1368</v>
      </c>
      <c r="AK170" s="7">
        <v>1193</v>
      </c>
      <c r="AL170" s="7">
        <v>8044</v>
      </c>
      <c r="AM170" s="7">
        <v>1784</v>
      </c>
      <c r="AN170" s="7">
        <v>7624</v>
      </c>
      <c r="AO170" s="7">
        <v>2075</v>
      </c>
      <c r="AP170" s="7">
        <v>1763</v>
      </c>
      <c r="AQ170" s="7">
        <v>11048</v>
      </c>
      <c r="AR170" s="7">
        <v>1388</v>
      </c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</row>
    <row r="171" spans="1:81">
      <c r="A171" s="1" t="s">
        <v>870</v>
      </c>
      <c r="B171" s="1" t="s">
        <v>871</v>
      </c>
      <c r="C171" s="1" t="s">
        <v>116</v>
      </c>
      <c r="D171" s="1" t="str">
        <f>HYPERLINK("http://eros.fiehnlab.ucdavis.edu:8080/binbase-compound/bin/show/241049?db=rtx5","241049")</f>
        <v>241049</v>
      </c>
      <c r="E171" s="1" t="s">
        <v>872</v>
      </c>
      <c r="F171" s="1" t="s">
        <v>0</v>
      </c>
      <c r="G171" s="1" t="s">
        <v>0</v>
      </c>
      <c r="H171" s="1"/>
      <c r="I171" s="7">
        <v>7160</v>
      </c>
      <c r="J171" s="7">
        <v>22882</v>
      </c>
      <c r="K171" s="7">
        <v>5447</v>
      </c>
      <c r="L171" s="7">
        <v>4082</v>
      </c>
      <c r="M171" s="7">
        <v>11695</v>
      </c>
      <c r="N171" s="7">
        <v>12975</v>
      </c>
      <c r="O171" s="7">
        <v>9830</v>
      </c>
      <c r="P171" s="7">
        <v>5710</v>
      </c>
      <c r="Q171" s="7">
        <v>13294</v>
      </c>
      <c r="R171" s="7">
        <v>4219</v>
      </c>
      <c r="S171" s="7">
        <v>10804</v>
      </c>
      <c r="T171" s="7">
        <v>11730</v>
      </c>
      <c r="U171" s="7">
        <v>3555</v>
      </c>
      <c r="V171" s="7">
        <v>11625</v>
      </c>
      <c r="W171" s="7">
        <v>18173</v>
      </c>
      <c r="X171" s="7">
        <v>7356</v>
      </c>
      <c r="Y171" s="7">
        <v>3914</v>
      </c>
      <c r="Z171" s="7">
        <v>17333</v>
      </c>
      <c r="AA171" s="7">
        <v>15083</v>
      </c>
      <c r="AB171" s="7">
        <v>4786</v>
      </c>
      <c r="AC171" s="7">
        <v>4299</v>
      </c>
      <c r="AD171" s="7">
        <v>4197</v>
      </c>
      <c r="AE171" s="7">
        <v>4720</v>
      </c>
      <c r="AF171" s="7">
        <v>4042</v>
      </c>
      <c r="AG171" s="7">
        <v>7160</v>
      </c>
      <c r="AH171" s="7">
        <v>3582</v>
      </c>
      <c r="AI171" s="7">
        <v>11046</v>
      </c>
      <c r="AJ171" s="7">
        <v>3702</v>
      </c>
      <c r="AK171" s="7">
        <v>3296</v>
      </c>
      <c r="AL171" s="7">
        <v>19683</v>
      </c>
      <c r="AM171" s="7">
        <v>5180</v>
      </c>
      <c r="AN171" s="7">
        <v>18166</v>
      </c>
      <c r="AO171" s="7">
        <v>3939</v>
      </c>
      <c r="AP171" s="7">
        <v>5224</v>
      </c>
      <c r="AQ171" s="7">
        <v>22024</v>
      </c>
      <c r="AR171" s="7">
        <v>5818</v>
      </c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</row>
    <row r="172" spans="1:81">
      <c r="A172" s="1" t="s">
        <v>955</v>
      </c>
      <c r="B172" s="1" t="s">
        <v>956</v>
      </c>
      <c r="C172" s="1" t="s">
        <v>957</v>
      </c>
      <c r="D172" s="1" t="str">
        <f>HYPERLINK("http://eros.fiehnlab.ucdavis.edu:8080/binbase-compound/bin/show/231850?db=rtx5","231850")</f>
        <v>231850</v>
      </c>
      <c r="E172" s="1" t="s">
        <v>958</v>
      </c>
      <c r="F172" s="1" t="s">
        <v>0</v>
      </c>
      <c r="G172" s="1" t="s">
        <v>0</v>
      </c>
      <c r="H172" s="1"/>
      <c r="I172" s="7">
        <v>179</v>
      </c>
      <c r="J172" s="7">
        <v>83</v>
      </c>
      <c r="K172" s="7">
        <v>307</v>
      </c>
      <c r="L172" s="7">
        <v>543</v>
      </c>
      <c r="M172" s="7">
        <v>111</v>
      </c>
      <c r="N172" s="7">
        <v>76</v>
      </c>
      <c r="O172" s="7">
        <v>148</v>
      </c>
      <c r="P172" s="7">
        <v>244</v>
      </c>
      <c r="Q172" s="7">
        <v>258</v>
      </c>
      <c r="R172" s="7">
        <v>1339</v>
      </c>
      <c r="S172" s="7">
        <v>347</v>
      </c>
      <c r="T172" s="7">
        <v>207</v>
      </c>
      <c r="U172" s="7">
        <v>152</v>
      </c>
      <c r="V172" s="7">
        <v>210</v>
      </c>
      <c r="W172" s="7">
        <v>137</v>
      </c>
      <c r="X172" s="7">
        <v>343</v>
      </c>
      <c r="Y172" s="7">
        <v>2327</v>
      </c>
      <c r="Z172" s="7">
        <v>235</v>
      </c>
      <c r="AA172" s="7">
        <v>454</v>
      </c>
      <c r="AB172" s="7">
        <v>416</v>
      </c>
      <c r="AC172" s="7">
        <v>4434</v>
      </c>
      <c r="AD172" s="7">
        <v>416</v>
      </c>
      <c r="AE172" s="7">
        <v>429</v>
      </c>
      <c r="AF172" s="7">
        <v>9828</v>
      </c>
      <c r="AG172" s="7">
        <v>2283</v>
      </c>
      <c r="AH172" s="7">
        <v>5464</v>
      </c>
      <c r="AI172" s="7">
        <v>133</v>
      </c>
      <c r="AJ172" s="7">
        <v>2075</v>
      </c>
      <c r="AK172" s="7">
        <v>3034</v>
      </c>
      <c r="AL172" s="7">
        <v>108</v>
      </c>
      <c r="AM172" s="7">
        <v>324</v>
      </c>
      <c r="AN172" s="7">
        <v>121</v>
      </c>
      <c r="AO172" s="7">
        <v>1032</v>
      </c>
      <c r="AP172" s="7">
        <v>6480</v>
      </c>
      <c r="AQ172" s="7">
        <v>157</v>
      </c>
      <c r="AR172" s="7">
        <v>377</v>
      </c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</row>
    <row r="173" spans="1:81">
      <c r="A173" s="1" t="s">
        <v>1022</v>
      </c>
      <c r="B173" s="1" t="s">
        <v>1023</v>
      </c>
      <c r="C173" s="1" t="s">
        <v>1024</v>
      </c>
      <c r="D173" s="1" t="str">
        <f>HYPERLINK("http://eros.fiehnlab.ucdavis.edu:8080/binbase-compound/bin/show/222065?db=rtx5","222065")</f>
        <v>222065</v>
      </c>
      <c r="E173" s="1" t="s">
        <v>1025</v>
      </c>
      <c r="F173" s="1" t="s">
        <v>0</v>
      </c>
      <c r="G173" s="1" t="s">
        <v>0</v>
      </c>
      <c r="H173" s="1"/>
      <c r="I173" s="7">
        <v>333</v>
      </c>
      <c r="J173" s="7">
        <v>312</v>
      </c>
      <c r="K173" s="7">
        <v>602</v>
      </c>
      <c r="L173" s="7">
        <v>617</v>
      </c>
      <c r="M173" s="7">
        <v>380</v>
      </c>
      <c r="N173" s="7">
        <v>297</v>
      </c>
      <c r="O173" s="7">
        <v>337</v>
      </c>
      <c r="P173" s="7">
        <v>512</v>
      </c>
      <c r="Q173" s="7">
        <v>304</v>
      </c>
      <c r="R173" s="7">
        <v>1112</v>
      </c>
      <c r="S173" s="7">
        <v>1382</v>
      </c>
      <c r="T173" s="7">
        <v>2346</v>
      </c>
      <c r="U173" s="7">
        <v>214</v>
      </c>
      <c r="V173" s="7">
        <v>196</v>
      </c>
      <c r="W173" s="7">
        <v>235</v>
      </c>
      <c r="X173" s="7">
        <v>1479</v>
      </c>
      <c r="Y173" s="7">
        <v>2521</v>
      </c>
      <c r="Z173" s="7">
        <v>710</v>
      </c>
      <c r="AA173" s="7">
        <v>5001</v>
      </c>
      <c r="AB173" s="7">
        <v>10724</v>
      </c>
      <c r="AC173" s="7">
        <v>11789</v>
      </c>
      <c r="AD173" s="7">
        <v>503</v>
      </c>
      <c r="AE173" s="7">
        <v>665</v>
      </c>
      <c r="AF173" s="7">
        <v>667</v>
      </c>
      <c r="AG173" s="7">
        <v>1070</v>
      </c>
      <c r="AH173" s="7">
        <v>816</v>
      </c>
      <c r="AI173" s="7">
        <v>344</v>
      </c>
      <c r="AJ173" s="7">
        <v>3931</v>
      </c>
      <c r="AK173" s="7">
        <v>4637</v>
      </c>
      <c r="AL173" s="7">
        <v>1597</v>
      </c>
      <c r="AM173" s="7">
        <v>3701</v>
      </c>
      <c r="AN173" s="7">
        <v>1626</v>
      </c>
      <c r="AO173" s="7">
        <v>4586</v>
      </c>
      <c r="AP173" s="7">
        <v>16396</v>
      </c>
      <c r="AQ173" s="7">
        <v>4023</v>
      </c>
      <c r="AR173" s="7">
        <v>14253</v>
      </c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</row>
    <row r="174" spans="1:81">
      <c r="A174" s="1" t="s">
        <v>879</v>
      </c>
      <c r="B174" s="1" t="s">
        <v>880</v>
      </c>
      <c r="C174" s="1" t="s">
        <v>117</v>
      </c>
      <c r="D174" s="1" t="str">
        <f>HYPERLINK("http://eros.fiehnlab.ucdavis.edu:8080/binbase-compound/bin/show/241028?db=rtx5","241028")</f>
        <v>241028</v>
      </c>
      <c r="E174" s="1" t="s">
        <v>881</v>
      </c>
      <c r="F174" s="1" t="s">
        <v>0</v>
      </c>
      <c r="G174" s="1" t="s">
        <v>0</v>
      </c>
      <c r="H174" s="1"/>
      <c r="I174" s="7">
        <v>2295</v>
      </c>
      <c r="J174" s="7">
        <v>4247</v>
      </c>
      <c r="K174" s="7">
        <v>826</v>
      </c>
      <c r="L174" s="7">
        <v>2158</v>
      </c>
      <c r="M174" s="7">
        <v>3112</v>
      </c>
      <c r="N174" s="7">
        <v>2167</v>
      </c>
      <c r="O174" s="7">
        <v>2146</v>
      </c>
      <c r="P174" s="7">
        <v>1689</v>
      </c>
      <c r="Q174" s="7">
        <v>2365</v>
      </c>
      <c r="R174" s="7">
        <v>1242</v>
      </c>
      <c r="S174" s="7">
        <v>3865</v>
      </c>
      <c r="T174" s="7">
        <v>3674</v>
      </c>
      <c r="U174" s="7">
        <v>783</v>
      </c>
      <c r="V174" s="7">
        <v>2953</v>
      </c>
      <c r="W174" s="7">
        <v>2835</v>
      </c>
      <c r="X174" s="7">
        <v>1812</v>
      </c>
      <c r="Y174" s="7">
        <v>2198</v>
      </c>
      <c r="Z174" s="7">
        <v>2308</v>
      </c>
      <c r="AA174" s="7">
        <v>2272</v>
      </c>
      <c r="AB174" s="7">
        <v>1365</v>
      </c>
      <c r="AC174" s="7">
        <v>429</v>
      </c>
      <c r="AD174" s="7">
        <v>787</v>
      </c>
      <c r="AE174" s="7">
        <v>3328</v>
      </c>
      <c r="AF174" s="7">
        <v>1305</v>
      </c>
      <c r="AG174" s="7">
        <v>3475</v>
      </c>
      <c r="AH174" s="7">
        <v>681</v>
      </c>
      <c r="AI174" s="7">
        <v>3436</v>
      </c>
      <c r="AJ174" s="7">
        <v>683</v>
      </c>
      <c r="AK174" s="7">
        <v>1631</v>
      </c>
      <c r="AL174" s="7">
        <v>4943</v>
      </c>
      <c r="AM174" s="7">
        <v>1008</v>
      </c>
      <c r="AN174" s="7">
        <v>4587</v>
      </c>
      <c r="AO174" s="7">
        <v>1053</v>
      </c>
      <c r="AP174" s="7">
        <v>861</v>
      </c>
      <c r="AQ174" s="7">
        <v>3117</v>
      </c>
      <c r="AR174" s="7">
        <v>905</v>
      </c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</row>
    <row r="175" spans="1:81">
      <c r="A175" s="1" t="s">
        <v>599</v>
      </c>
      <c r="B175" s="1" t="s">
        <v>600</v>
      </c>
      <c r="C175" s="1" t="s">
        <v>190</v>
      </c>
      <c r="D175" s="1" t="str">
        <f>HYPERLINK("http://eros.fiehnlab.ucdavis.edu:8080/binbase-compound/bin/show/408504?db=rtx5","408504")</f>
        <v>408504</v>
      </c>
      <c r="E175" s="1" t="s">
        <v>601</v>
      </c>
      <c r="F175" s="1" t="s">
        <v>0</v>
      </c>
      <c r="G175" s="1" t="s">
        <v>0</v>
      </c>
      <c r="H175" s="1"/>
      <c r="I175" s="7">
        <v>2120</v>
      </c>
      <c r="J175" s="7">
        <v>5018</v>
      </c>
      <c r="K175" s="7">
        <v>1522</v>
      </c>
      <c r="L175" s="7">
        <v>619</v>
      </c>
      <c r="M175" s="7">
        <v>3329</v>
      </c>
      <c r="N175" s="7">
        <v>2910</v>
      </c>
      <c r="O175" s="7">
        <v>4025</v>
      </c>
      <c r="P175" s="7">
        <v>1282</v>
      </c>
      <c r="Q175" s="7">
        <v>3021</v>
      </c>
      <c r="R175" s="7">
        <v>1424</v>
      </c>
      <c r="S175" s="7">
        <v>1965</v>
      </c>
      <c r="T175" s="7">
        <v>1006</v>
      </c>
      <c r="U175" s="7">
        <v>637</v>
      </c>
      <c r="V175" s="7">
        <v>3879</v>
      </c>
      <c r="W175" s="7">
        <v>4820</v>
      </c>
      <c r="X175" s="7">
        <v>843</v>
      </c>
      <c r="Y175" s="7">
        <v>510</v>
      </c>
      <c r="Z175" s="7">
        <v>3552</v>
      </c>
      <c r="AA175" s="7">
        <v>2930</v>
      </c>
      <c r="AB175" s="7">
        <v>594</v>
      </c>
      <c r="AC175" s="7">
        <v>675</v>
      </c>
      <c r="AD175" s="7">
        <v>382</v>
      </c>
      <c r="AE175" s="7">
        <v>490</v>
      </c>
      <c r="AF175" s="7">
        <v>1057</v>
      </c>
      <c r="AG175" s="7">
        <v>1222</v>
      </c>
      <c r="AH175" s="7">
        <v>562</v>
      </c>
      <c r="AI175" s="7">
        <v>2793</v>
      </c>
      <c r="AJ175" s="7">
        <v>491</v>
      </c>
      <c r="AK175" s="7">
        <v>703</v>
      </c>
      <c r="AL175" s="7">
        <v>4058</v>
      </c>
      <c r="AM175" s="7">
        <v>454</v>
      </c>
      <c r="AN175" s="7">
        <v>4370</v>
      </c>
      <c r="AO175" s="7">
        <v>684</v>
      </c>
      <c r="AP175" s="7">
        <v>760</v>
      </c>
      <c r="AQ175" s="7">
        <v>5759</v>
      </c>
      <c r="AR175" s="7">
        <v>518</v>
      </c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</row>
    <row r="176" spans="1:81">
      <c r="A176" s="1" t="s">
        <v>578</v>
      </c>
      <c r="B176" s="1" t="s">
        <v>579</v>
      </c>
      <c r="C176" s="1" t="s">
        <v>580</v>
      </c>
      <c r="D176" s="1" t="str">
        <f>HYPERLINK("http://eros.fiehnlab.ucdavis.edu:8080/binbase-compound/bin/show/408797?db=rtx5","408797")</f>
        <v>408797</v>
      </c>
      <c r="E176" s="1" t="s">
        <v>581</v>
      </c>
      <c r="F176" s="1" t="s">
        <v>0</v>
      </c>
      <c r="G176" s="1" t="s">
        <v>0</v>
      </c>
      <c r="H176" s="1"/>
      <c r="I176" s="7">
        <v>1109</v>
      </c>
      <c r="J176" s="7">
        <v>3898</v>
      </c>
      <c r="K176" s="7">
        <v>3665</v>
      </c>
      <c r="L176" s="7">
        <v>837</v>
      </c>
      <c r="M176" s="7">
        <v>235</v>
      </c>
      <c r="N176" s="7">
        <v>4011</v>
      </c>
      <c r="O176" s="7">
        <v>1874</v>
      </c>
      <c r="P176" s="7">
        <v>212</v>
      </c>
      <c r="Q176" s="7">
        <v>254</v>
      </c>
      <c r="R176" s="7">
        <v>245</v>
      </c>
      <c r="S176" s="7">
        <v>238</v>
      </c>
      <c r="T176" s="7">
        <v>189</v>
      </c>
      <c r="U176" s="7">
        <v>332</v>
      </c>
      <c r="V176" s="7">
        <v>1911</v>
      </c>
      <c r="W176" s="7">
        <v>3214</v>
      </c>
      <c r="X176" s="7">
        <v>1036</v>
      </c>
      <c r="Y176" s="7">
        <v>537</v>
      </c>
      <c r="Z176" s="7">
        <v>197</v>
      </c>
      <c r="AA176" s="7">
        <v>558</v>
      </c>
      <c r="AB176" s="7">
        <v>1376</v>
      </c>
      <c r="AC176" s="7">
        <v>999</v>
      </c>
      <c r="AD176" s="7">
        <v>2071</v>
      </c>
      <c r="AE176" s="7">
        <v>363</v>
      </c>
      <c r="AF176" s="7">
        <v>1875</v>
      </c>
      <c r="AG176" s="7">
        <v>330</v>
      </c>
      <c r="AH176" s="7">
        <v>782</v>
      </c>
      <c r="AI176" s="7">
        <v>408</v>
      </c>
      <c r="AJ176" s="7">
        <v>1131</v>
      </c>
      <c r="AK176" s="7">
        <v>636</v>
      </c>
      <c r="AL176" s="7">
        <v>2270</v>
      </c>
      <c r="AM176" s="7">
        <v>1926</v>
      </c>
      <c r="AN176" s="7">
        <v>1310</v>
      </c>
      <c r="AO176" s="7">
        <v>1692</v>
      </c>
      <c r="AP176" s="7">
        <v>1509</v>
      </c>
      <c r="AQ176" s="7">
        <v>1626</v>
      </c>
      <c r="AR176" s="7">
        <v>1041</v>
      </c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</row>
    <row r="177" spans="1:81">
      <c r="A177" s="1" t="s">
        <v>657</v>
      </c>
      <c r="B177" s="1" t="s">
        <v>658</v>
      </c>
      <c r="C177" s="1" t="s">
        <v>254</v>
      </c>
      <c r="D177" s="1" t="str">
        <f>HYPERLINK("http://eros.fiehnlab.ucdavis.edu:8080/binbase-compound/bin/show/362010?db=rtx5","362010")</f>
        <v>362010</v>
      </c>
      <c r="E177" s="1" t="s">
        <v>659</v>
      </c>
      <c r="F177" s="1" t="s">
        <v>0</v>
      </c>
      <c r="G177" s="1" t="s">
        <v>0</v>
      </c>
      <c r="H177" s="1"/>
      <c r="I177" s="7">
        <v>1498</v>
      </c>
      <c r="J177" s="7">
        <v>9279</v>
      </c>
      <c r="K177" s="7">
        <v>2200</v>
      </c>
      <c r="L177" s="7">
        <v>1035</v>
      </c>
      <c r="M177" s="7">
        <v>4923</v>
      </c>
      <c r="N177" s="7">
        <v>2971</v>
      </c>
      <c r="O177" s="7">
        <v>5500</v>
      </c>
      <c r="P177" s="7">
        <v>3103</v>
      </c>
      <c r="Q177" s="7">
        <v>1622</v>
      </c>
      <c r="R177" s="7">
        <v>1698</v>
      </c>
      <c r="S177" s="7">
        <v>614</v>
      </c>
      <c r="T177" s="7">
        <v>309</v>
      </c>
      <c r="U177" s="7">
        <v>1449</v>
      </c>
      <c r="V177" s="7">
        <v>5304</v>
      </c>
      <c r="W177" s="7">
        <v>7003</v>
      </c>
      <c r="X177" s="7">
        <v>503</v>
      </c>
      <c r="Y177" s="7">
        <v>905</v>
      </c>
      <c r="Z177" s="7">
        <v>3466</v>
      </c>
      <c r="AA177" s="7">
        <v>3234</v>
      </c>
      <c r="AB177" s="7">
        <v>734</v>
      </c>
      <c r="AC177" s="7">
        <v>995</v>
      </c>
      <c r="AD177" s="7">
        <v>1116</v>
      </c>
      <c r="AE177" s="7">
        <v>501</v>
      </c>
      <c r="AF177" s="7">
        <v>1479</v>
      </c>
      <c r="AG177" s="7">
        <v>812</v>
      </c>
      <c r="AH177" s="7">
        <v>1004</v>
      </c>
      <c r="AI177" s="7">
        <v>2359</v>
      </c>
      <c r="AJ177" s="7">
        <v>1289</v>
      </c>
      <c r="AK177" s="7">
        <v>745</v>
      </c>
      <c r="AL177" s="7">
        <v>3076</v>
      </c>
      <c r="AM177" s="7">
        <v>1191</v>
      </c>
      <c r="AN177" s="7">
        <v>6470</v>
      </c>
      <c r="AO177" s="7">
        <v>1356</v>
      </c>
      <c r="AP177" s="7">
        <v>1288</v>
      </c>
      <c r="AQ177" s="7">
        <v>9508</v>
      </c>
      <c r="AR177" s="7">
        <v>520</v>
      </c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</row>
    <row r="178" spans="1:81">
      <c r="A178" s="1" t="s">
        <v>898</v>
      </c>
      <c r="B178" s="1" t="s">
        <v>899</v>
      </c>
      <c r="C178" s="1" t="s">
        <v>167</v>
      </c>
      <c r="D178" s="1" t="str">
        <f>HYPERLINK("http://eros.fiehnlab.ucdavis.edu:8080/binbase-compound/bin/show/238384?db=rtx5","238384")</f>
        <v>238384</v>
      </c>
      <c r="E178" s="1" t="s">
        <v>900</v>
      </c>
      <c r="F178" s="1" t="s">
        <v>0</v>
      </c>
      <c r="G178" s="1" t="s">
        <v>0</v>
      </c>
      <c r="H178" s="1"/>
      <c r="I178" s="7">
        <v>4151</v>
      </c>
      <c r="J178" s="7">
        <v>11753</v>
      </c>
      <c r="K178" s="7">
        <v>2905</v>
      </c>
      <c r="L178" s="7">
        <v>2665</v>
      </c>
      <c r="M178" s="7">
        <v>6678</v>
      </c>
      <c r="N178" s="7">
        <v>6522</v>
      </c>
      <c r="O178" s="7">
        <v>5607</v>
      </c>
      <c r="P178" s="7">
        <v>3177</v>
      </c>
      <c r="Q178" s="7">
        <v>6411</v>
      </c>
      <c r="R178" s="7">
        <v>2272</v>
      </c>
      <c r="S178" s="7">
        <v>5580</v>
      </c>
      <c r="T178" s="7">
        <v>6307</v>
      </c>
      <c r="U178" s="7">
        <v>1951</v>
      </c>
      <c r="V178" s="7">
        <v>6979</v>
      </c>
      <c r="W178" s="7">
        <v>9080</v>
      </c>
      <c r="X178" s="7">
        <v>4856</v>
      </c>
      <c r="Y178" s="7">
        <v>2656</v>
      </c>
      <c r="Z178" s="7">
        <v>10007</v>
      </c>
      <c r="AA178" s="7">
        <v>7193</v>
      </c>
      <c r="AB178" s="7">
        <v>2467</v>
      </c>
      <c r="AC178" s="7">
        <v>3109</v>
      </c>
      <c r="AD178" s="7">
        <v>2003</v>
      </c>
      <c r="AE178" s="7">
        <v>3010</v>
      </c>
      <c r="AF178" s="7">
        <v>2555</v>
      </c>
      <c r="AG178" s="7">
        <v>3895</v>
      </c>
      <c r="AH178" s="7">
        <v>2156</v>
      </c>
      <c r="AI178" s="7">
        <v>5632</v>
      </c>
      <c r="AJ178" s="7">
        <v>1304</v>
      </c>
      <c r="AK178" s="7">
        <v>1958</v>
      </c>
      <c r="AL178" s="7">
        <v>12082</v>
      </c>
      <c r="AM178" s="7">
        <v>2213</v>
      </c>
      <c r="AN178" s="7">
        <v>9682</v>
      </c>
      <c r="AO178" s="7">
        <v>2346</v>
      </c>
      <c r="AP178" s="7">
        <v>2596</v>
      </c>
      <c r="AQ178" s="7">
        <v>13868</v>
      </c>
      <c r="AR178" s="7">
        <v>2355</v>
      </c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</row>
    <row r="179" spans="1:81">
      <c r="A179" s="1" t="s">
        <v>669</v>
      </c>
      <c r="B179" s="1" t="s">
        <v>670</v>
      </c>
      <c r="C179" s="1" t="s">
        <v>167</v>
      </c>
      <c r="D179" s="1" t="str">
        <f>HYPERLINK("http://eros.fiehnlab.ucdavis.edu:8080/binbase-compound/bin/show/359567?db=rtx5","359567")</f>
        <v>359567</v>
      </c>
      <c r="E179" s="1" t="s">
        <v>671</v>
      </c>
      <c r="F179" s="1" t="s">
        <v>0</v>
      </c>
      <c r="G179" s="1" t="s">
        <v>0</v>
      </c>
      <c r="H179" s="1"/>
      <c r="I179" s="7">
        <v>787</v>
      </c>
      <c r="J179" s="7">
        <v>2055</v>
      </c>
      <c r="K179" s="7">
        <v>785</v>
      </c>
      <c r="L179" s="7">
        <v>824</v>
      </c>
      <c r="M179" s="7">
        <v>1088</v>
      </c>
      <c r="N179" s="7">
        <v>1456</v>
      </c>
      <c r="O179" s="7">
        <v>1098</v>
      </c>
      <c r="P179" s="7">
        <v>843</v>
      </c>
      <c r="Q179" s="7">
        <v>1690</v>
      </c>
      <c r="R179" s="7">
        <v>569</v>
      </c>
      <c r="S179" s="7">
        <v>1037</v>
      </c>
      <c r="T179" s="7">
        <v>1175</v>
      </c>
      <c r="U179" s="7">
        <v>397</v>
      </c>
      <c r="V179" s="7">
        <v>1118</v>
      </c>
      <c r="W179" s="7">
        <v>2087</v>
      </c>
      <c r="X179" s="7">
        <v>1002</v>
      </c>
      <c r="Y179" s="7">
        <v>547</v>
      </c>
      <c r="Z179" s="7">
        <v>1770</v>
      </c>
      <c r="AA179" s="7">
        <v>1449</v>
      </c>
      <c r="AB179" s="7">
        <v>613</v>
      </c>
      <c r="AC179" s="7">
        <v>735</v>
      </c>
      <c r="AD179" s="7">
        <v>1053</v>
      </c>
      <c r="AE179" s="7">
        <v>455</v>
      </c>
      <c r="AF179" s="7">
        <v>678</v>
      </c>
      <c r="AG179" s="7">
        <v>506</v>
      </c>
      <c r="AH179" s="7">
        <v>525</v>
      </c>
      <c r="AI179" s="7">
        <v>1017</v>
      </c>
      <c r="AJ179" s="7">
        <v>556</v>
      </c>
      <c r="AK179" s="7">
        <v>612</v>
      </c>
      <c r="AL179" s="7">
        <v>1794</v>
      </c>
      <c r="AM179" s="7">
        <v>686</v>
      </c>
      <c r="AN179" s="7">
        <v>1668</v>
      </c>
      <c r="AO179" s="7">
        <v>721</v>
      </c>
      <c r="AP179" s="7">
        <v>696</v>
      </c>
      <c r="AQ179" s="7">
        <v>2122</v>
      </c>
      <c r="AR179" s="7">
        <v>744</v>
      </c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</row>
    <row r="180" spans="1:81">
      <c r="A180" s="1" t="s">
        <v>847</v>
      </c>
      <c r="B180" s="1" t="s">
        <v>848</v>
      </c>
      <c r="C180" s="1" t="s">
        <v>116</v>
      </c>
      <c r="D180" s="1" t="str">
        <f>HYPERLINK("http://eros.fiehnlab.ucdavis.edu:8080/binbase-compound/bin/show/241668?db=rtx5","241668")</f>
        <v>241668</v>
      </c>
      <c r="E180" s="1" t="s">
        <v>849</v>
      </c>
      <c r="F180" s="1" t="s">
        <v>0</v>
      </c>
      <c r="G180" s="1" t="s">
        <v>0</v>
      </c>
      <c r="H180" s="1"/>
      <c r="I180" s="7">
        <v>1978</v>
      </c>
      <c r="J180" s="7">
        <v>5745</v>
      </c>
      <c r="K180" s="7">
        <v>1338</v>
      </c>
      <c r="L180" s="7">
        <v>1205</v>
      </c>
      <c r="M180" s="7">
        <v>2831</v>
      </c>
      <c r="N180" s="7">
        <v>3402</v>
      </c>
      <c r="O180" s="7">
        <v>2769</v>
      </c>
      <c r="P180" s="7">
        <v>1463</v>
      </c>
      <c r="Q180" s="7">
        <v>3472</v>
      </c>
      <c r="R180" s="7">
        <v>1244</v>
      </c>
      <c r="S180" s="7">
        <v>2665</v>
      </c>
      <c r="T180" s="7">
        <v>2826</v>
      </c>
      <c r="U180" s="7">
        <v>1037</v>
      </c>
      <c r="V180" s="7">
        <v>2812</v>
      </c>
      <c r="W180" s="7">
        <v>4383</v>
      </c>
      <c r="X180" s="7">
        <v>2000</v>
      </c>
      <c r="Y180" s="7">
        <v>1296</v>
      </c>
      <c r="Z180" s="7">
        <v>4136</v>
      </c>
      <c r="AA180" s="7">
        <v>3978</v>
      </c>
      <c r="AB180" s="7">
        <v>1467</v>
      </c>
      <c r="AC180" s="7">
        <v>1406</v>
      </c>
      <c r="AD180" s="7">
        <v>1360</v>
      </c>
      <c r="AE180" s="7">
        <v>1512</v>
      </c>
      <c r="AF180" s="7">
        <v>1361</v>
      </c>
      <c r="AG180" s="7">
        <v>1763</v>
      </c>
      <c r="AH180" s="7">
        <v>1144</v>
      </c>
      <c r="AI180" s="7">
        <v>3086</v>
      </c>
      <c r="AJ180" s="7">
        <v>1084</v>
      </c>
      <c r="AK180" s="7">
        <v>1231</v>
      </c>
      <c r="AL180" s="7">
        <v>4973</v>
      </c>
      <c r="AM180" s="7">
        <v>1585</v>
      </c>
      <c r="AN180" s="7">
        <v>4845</v>
      </c>
      <c r="AO180" s="7">
        <v>1354</v>
      </c>
      <c r="AP180" s="7">
        <v>1795</v>
      </c>
      <c r="AQ180" s="7">
        <v>5696</v>
      </c>
      <c r="AR180" s="7">
        <v>1792</v>
      </c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</row>
    <row r="181" spans="1:81">
      <c r="A181" s="1" t="s">
        <v>540</v>
      </c>
      <c r="B181" s="1" t="s">
        <v>541</v>
      </c>
      <c r="C181" s="1" t="s">
        <v>167</v>
      </c>
      <c r="D181" s="1" t="str">
        <f>HYPERLINK("http://eros.fiehnlab.ucdavis.edu:8080/binbase-compound/bin/show/409263?db=rtx5","409263")</f>
        <v>409263</v>
      </c>
      <c r="E181" s="1" t="s">
        <v>542</v>
      </c>
      <c r="F181" s="1" t="s">
        <v>0</v>
      </c>
      <c r="G181" s="1" t="s">
        <v>0</v>
      </c>
      <c r="H181" s="1"/>
      <c r="I181" s="7">
        <v>565</v>
      </c>
      <c r="J181" s="7">
        <v>1393</v>
      </c>
      <c r="K181" s="7">
        <v>591</v>
      </c>
      <c r="L181" s="7">
        <v>593</v>
      </c>
      <c r="M181" s="7">
        <v>760</v>
      </c>
      <c r="N181" s="7">
        <v>1002</v>
      </c>
      <c r="O181" s="7">
        <v>981</v>
      </c>
      <c r="P181" s="7">
        <v>507</v>
      </c>
      <c r="Q181" s="7">
        <v>1263</v>
      </c>
      <c r="R181" s="7">
        <v>392</v>
      </c>
      <c r="S181" s="7">
        <v>779</v>
      </c>
      <c r="T181" s="7">
        <v>675</v>
      </c>
      <c r="U181" s="7">
        <v>282</v>
      </c>
      <c r="V181" s="7">
        <v>771</v>
      </c>
      <c r="W181" s="7">
        <v>1712</v>
      </c>
      <c r="X181" s="7">
        <v>773</v>
      </c>
      <c r="Y181" s="7">
        <v>348</v>
      </c>
      <c r="Z181" s="7">
        <v>1023</v>
      </c>
      <c r="AA181" s="7">
        <v>902</v>
      </c>
      <c r="AB181" s="7">
        <v>540</v>
      </c>
      <c r="AC181" s="7">
        <v>520</v>
      </c>
      <c r="AD181" s="7">
        <v>593</v>
      </c>
      <c r="AE181" s="7">
        <v>649</v>
      </c>
      <c r="AF181" s="7">
        <v>480</v>
      </c>
      <c r="AG181" s="7">
        <v>571</v>
      </c>
      <c r="AH181" s="7">
        <v>503</v>
      </c>
      <c r="AI181" s="7">
        <v>617</v>
      </c>
      <c r="AJ181" s="7">
        <v>474</v>
      </c>
      <c r="AK181" s="7">
        <v>450</v>
      </c>
      <c r="AL181" s="7">
        <v>1366</v>
      </c>
      <c r="AM181" s="7">
        <v>727</v>
      </c>
      <c r="AN181" s="7">
        <v>1183</v>
      </c>
      <c r="AO181" s="7">
        <v>475</v>
      </c>
      <c r="AP181" s="7">
        <v>584</v>
      </c>
      <c r="AQ181" s="7">
        <v>1418</v>
      </c>
      <c r="AR181" s="7">
        <v>637</v>
      </c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</row>
    <row r="182" spans="1:81">
      <c r="A182" s="1" t="s">
        <v>572</v>
      </c>
      <c r="B182" s="1" t="s">
        <v>573</v>
      </c>
      <c r="C182" s="1" t="s">
        <v>190</v>
      </c>
      <c r="D182" s="1" t="str">
        <f>HYPERLINK("http://eros.fiehnlab.ucdavis.edu:8080/binbase-compound/bin/show/408849?db=rtx5","408849")</f>
        <v>408849</v>
      </c>
      <c r="E182" s="1" t="s">
        <v>574</v>
      </c>
      <c r="F182" s="1" t="s">
        <v>0</v>
      </c>
      <c r="G182" s="1" t="s">
        <v>0</v>
      </c>
      <c r="H182" s="1"/>
      <c r="I182" s="7">
        <v>1644</v>
      </c>
      <c r="J182" s="7">
        <v>4582</v>
      </c>
      <c r="K182" s="7">
        <v>1933</v>
      </c>
      <c r="L182" s="7">
        <v>994</v>
      </c>
      <c r="M182" s="7">
        <v>3145</v>
      </c>
      <c r="N182" s="7">
        <v>2417</v>
      </c>
      <c r="O182" s="7">
        <v>4413</v>
      </c>
      <c r="P182" s="7">
        <v>2221</v>
      </c>
      <c r="Q182" s="7">
        <v>2877</v>
      </c>
      <c r="R182" s="7">
        <v>1525</v>
      </c>
      <c r="S182" s="7">
        <v>1010</v>
      </c>
      <c r="T182" s="7">
        <v>1088</v>
      </c>
      <c r="U182" s="7">
        <v>1162</v>
      </c>
      <c r="V182" s="7">
        <v>3027</v>
      </c>
      <c r="W182" s="7">
        <v>3600</v>
      </c>
      <c r="X182" s="7">
        <v>767</v>
      </c>
      <c r="Y182" s="7">
        <v>1192</v>
      </c>
      <c r="Z182" s="7">
        <v>4270</v>
      </c>
      <c r="AA182" s="7">
        <v>2872</v>
      </c>
      <c r="AB182" s="7">
        <v>1608</v>
      </c>
      <c r="AC182" s="7">
        <v>744</v>
      </c>
      <c r="AD182" s="7">
        <v>977</v>
      </c>
      <c r="AE182" s="7">
        <v>486</v>
      </c>
      <c r="AF182" s="7">
        <v>1219</v>
      </c>
      <c r="AG182" s="7">
        <v>1579</v>
      </c>
      <c r="AH182" s="7">
        <v>1239</v>
      </c>
      <c r="AI182" s="7">
        <v>2606</v>
      </c>
      <c r="AJ182" s="7">
        <v>623</v>
      </c>
      <c r="AK182" s="7">
        <v>776</v>
      </c>
      <c r="AL182" s="7">
        <v>3629</v>
      </c>
      <c r="AM182" s="7">
        <v>1135</v>
      </c>
      <c r="AN182" s="7">
        <v>3831</v>
      </c>
      <c r="AO182" s="7">
        <v>1201</v>
      </c>
      <c r="AP182" s="7">
        <v>991</v>
      </c>
      <c r="AQ182" s="7">
        <v>5501</v>
      </c>
      <c r="AR182" s="7">
        <v>955</v>
      </c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</row>
    <row r="183" spans="1:81">
      <c r="A183" s="1" t="s">
        <v>724</v>
      </c>
      <c r="B183" s="1" t="s">
        <v>725</v>
      </c>
      <c r="C183" s="1" t="s">
        <v>726</v>
      </c>
      <c r="D183" s="1" t="str">
        <f>HYPERLINK("http://eros.fiehnlab.ucdavis.edu:8080/binbase-compound/bin/show/308208?db=rtx5","308208")</f>
        <v>308208</v>
      </c>
      <c r="E183" s="1" t="s">
        <v>727</v>
      </c>
      <c r="F183" s="1" t="s">
        <v>0</v>
      </c>
      <c r="G183" s="1" t="s">
        <v>0</v>
      </c>
      <c r="H183" s="1"/>
      <c r="I183" s="7">
        <v>248</v>
      </c>
      <c r="J183" s="7">
        <v>1136</v>
      </c>
      <c r="K183" s="7">
        <v>429</v>
      </c>
      <c r="L183" s="7">
        <v>360</v>
      </c>
      <c r="M183" s="7">
        <v>434</v>
      </c>
      <c r="N183" s="7">
        <v>693</v>
      </c>
      <c r="O183" s="7">
        <v>517</v>
      </c>
      <c r="P183" s="7">
        <v>470</v>
      </c>
      <c r="Q183" s="7">
        <v>648</v>
      </c>
      <c r="R183" s="7">
        <v>441</v>
      </c>
      <c r="S183" s="7">
        <v>465</v>
      </c>
      <c r="T183" s="7">
        <v>512</v>
      </c>
      <c r="U183" s="7">
        <v>263</v>
      </c>
      <c r="V183" s="7">
        <v>537</v>
      </c>
      <c r="W183" s="7">
        <v>759</v>
      </c>
      <c r="X183" s="7">
        <v>412</v>
      </c>
      <c r="Y183" s="7">
        <v>399</v>
      </c>
      <c r="Z183" s="7">
        <v>846</v>
      </c>
      <c r="AA183" s="7">
        <v>640</v>
      </c>
      <c r="AB183" s="7">
        <v>451</v>
      </c>
      <c r="AC183" s="7">
        <v>417</v>
      </c>
      <c r="AD183" s="7">
        <v>369</v>
      </c>
      <c r="AE183" s="7">
        <v>399</v>
      </c>
      <c r="AF183" s="7">
        <v>422</v>
      </c>
      <c r="AG183" s="7">
        <v>423</v>
      </c>
      <c r="AH183" s="7">
        <v>362</v>
      </c>
      <c r="AI183" s="7">
        <v>605</v>
      </c>
      <c r="AJ183" s="7">
        <v>379</v>
      </c>
      <c r="AK183" s="7">
        <v>407</v>
      </c>
      <c r="AL183" s="7">
        <v>822</v>
      </c>
      <c r="AM183" s="7">
        <v>427</v>
      </c>
      <c r="AN183" s="7">
        <v>835</v>
      </c>
      <c r="AO183" s="7">
        <v>408</v>
      </c>
      <c r="AP183" s="7">
        <v>477</v>
      </c>
      <c r="AQ183" s="7">
        <v>1125</v>
      </c>
      <c r="AR183" s="7">
        <v>443</v>
      </c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</row>
    <row r="184" spans="1:81">
      <c r="A184" s="1" t="s">
        <v>1130</v>
      </c>
      <c r="B184" s="1" t="s">
        <v>1131</v>
      </c>
      <c r="C184" s="1" t="s">
        <v>625</v>
      </c>
      <c r="D184" s="1" t="str">
        <f>HYPERLINK("http://eros.fiehnlab.ucdavis.edu:8080/binbase-compound/bin/show/201005?db=rtx5","201005")</f>
        <v>201005</v>
      </c>
      <c r="E184" s="1" t="s">
        <v>1132</v>
      </c>
      <c r="F184" s="1" t="s">
        <v>0</v>
      </c>
      <c r="G184" s="1" t="s">
        <v>0</v>
      </c>
      <c r="H184" s="1"/>
      <c r="I184" s="7">
        <v>162</v>
      </c>
      <c r="J184" s="7">
        <v>439</v>
      </c>
      <c r="K184" s="7">
        <v>181</v>
      </c>
      <c r="L184" s="7">
        <v>185</v>
      </c>
      <c r="M184" s="7">
        <v>581</v>
      </c>
      <c r="N184" s="7">
        <v>289</v>
      </c>
      <c r="O184" s="7">
        <v>755</v>
      </c>
      <c r="P184" s="7">
        <v>268</v>
      </c>
      <c r="Q184" s="7">
        <v>233</v>
      </c>
      <c r="R184" s="7">
        <v>320</v>
      </c>
      <c r="S184" s="7">
        <v>263</v>
      </c>
      <c r="T184" s="7">
        <v>153</v>
      </c>
      <c r="U184" s="7">
        <v>185</v>
      </c>
      <c r="V184" s="7">
        <v>437</v>
      </c>
      <c r="W184" s="7">
        <v>365</v>
      </c>
      <c r="X184" s="7">
        <v>193</v>
      </c>
      <c r="Y184" s="7">
        <v>246</v>
      </c>
      <c r="Z184" s="7">
        <v>619</v>
      </c>
      <c r="AA184" s="7">
        <v>575</v>
      </c>
      <c r="AB184" s="7">
        <v>310</v>
      </c>
      <c r="AC184" s="7">
        <v>231</v>
      </c>
      <c r="AD184" s="7">
        <v>217</v>
      </c>
      <c r="AE184" s="7">
        <v>206</v>
      </c>
      <c r="AF184" s="7">
        <v>260</v>
      </c>
      <c r="AG184" s="7">
        <v>420</v>
      </c>
      <c r="AH184" s="7">
        <v>325</v>
      </c>
      <c r="AI184" s="7">
        <v>767</v>
      </c>
      <c r="AJ184" s="7">
        <v>241</v>
      </c>
      <c r="AK184" s="7">
        <v>305</v>
      </c>
      <c r="AL184" s="7">
        <v>329</v>
      </c>
      <c r="AM184" s="7">
        <v>341</v>
      </c>
      <c r="AN184" s="7">
        <v>496</v>
      </c>
      <c r="AO184" s="7">
        <v>267</v>
      </c>
      <c r="AP184" s="7">
        <v>342</v>
      </c>
      <c r="AQ184" s="7">
        <v>796</v>
      </c>
      <c r="AR184" s="7">
        <v>238</v>
      </c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</row>
    <row r="185" spans="1:81">
      <c r="A185" s="1" t="s">
        <v>711</v>
      </c>
      <c r="B185" s="1" t="s">
        <v>712</v>
      </c>
      <c r="C185" s="1" t="s">
        <v>167</v>
      </c>
      <c r="D185" s="1" t="str">
        <f>HYPERLINK("http://eros.fiehnlab.ucdavis.edu:8080/binbase-compound/bin/show/312139?db=rtx5","312139")</f>
        <v>312139</v>
      </c>
      <c r="E185" s="1" t="s">
        <v>713</v>
      </c>
      <c r="F185" s="1" t="s">
        <v>0</v>
      </c>
      <c r="G185" s="1" t="s">
        <v>0</v>
      </c>
      <c r="H185" s="1"/>
      <c r="I185" s="7">
        <v>1397</v>
      </c>
      <c r="J185" s="7">
        <v>4069</v>
      </c>
      <c r="K185" s="7">
        <v>1053</v>
      </c>
      <c r="L185" s="7">
        <v>1173</v>
      </c>
      <c r="M185" s="7">
        <v>2027</v>
      </c>
      <c r="N185" s="7">
        <v>2674</v>
      </c>
      <c r="O185" s="7">
        <v>2116</v>
      </c>
      <c r="P185" s="7">
        <v>1540</v>
      </c>
      <c r="Q185" s="7">
        <v>2298</v>
      </c>
      <c r="R185" s="7">
        <v>712</v>
      </c>
      <c r="S185" s="7">
        <v>1909</v>
      </c>
      <c r="T185" s="7">
        <v>1972</v>
      </c>
      <c r="U185" s="7">
        <v>687</v>
      </c>
      <c r="V185" s="7">
        <v>2035</v>
      </c>
      <c r="W185" s="7">
        <v>3305</v>
      </c>
      <c r="X185" s="7">
        <v>1337</v>
      </c>
      <c r="Y185" s="7">
        <v>707</v>
      </c>
      <c r="Z185" s="7">
        <v>3170</v>
      </c>
      <c r="AA185" s="7">
        <v>3062</v>
      </c>
      <c r="AB185" s="7">
        <v>1145</v>
      </c>
      <c r="AC185" s="7">
        <v>1190</v>
      </c>
      <c r="AD185" s="7">
        <v>1520</v>
      </c>
      <c r="AE185" s="7">
        <v>942</v>
      </c>
      <c r="AF185" s="7">
        <v>1055</v>
      </c>
      <c r="AG185" s="7">
        <v>1567</v>
      </c>
      <c r="AH185" s="7">
        <v>1002</v>
      </c>
      <c r="AI185" s="7">
        <v>1942</v>
      </c>
      <c r="AJ185" s="7">
        <v>946</v>
      </c>
      <c r="AK185" s="7">
        <v>1098</v>
      </c>
      <c r="AL185" s="7">
        <v>3771</v>
      </c>
      <c r="AM185" s="7">
        <v>1336</v>
      </c>
      <c r="AN185" s="7">
        <v>3223</v>
      </c>
      <c r="AO185" s="7">
        <v>795</v>
      </c>
      <c r="AP185" s="7">
        <v>863</v>
      </c>
      <c r="AQ185" s="7">
        <v>4366</v>
      </c>
      <c r="AR185" s="7">
        <v>929</v>
      </c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</row>
    <row r="186" spans="1:81">
      <c r="A186" s="1" t="s">
        <v>666</v>
      </c>
      <c r="B186" s="1" t="s">
        <v>667</v>
      </c>
      <c r="C186" s="1" t="s">
        <v>117</v>
      </c>
      <c r="D186" s="1" t="str">
        <f>HYPERLINK("http://eros.fiehnlab.ucdavis.edu:8080/binbase-compound/bin/show/359687?db=rtx5","359687")</f>
        <v>359687</v>
      </c>
      <c r="E186" s="1" t="s">
        <v>668</v>
      </c>
      <c r="F186" s="1" t="s">
        <v>0</v>
      </c>
      <c r="G186" s="1" t="s">
        <v>0</v>
      </c>
      <c r="H186" s="1"/>
      <c r="I186" s="7">
        <v>808</v>
      </c>
      <c r="J186" s="7">
        <v>1560</v>
      </c>
      <c r="K186" s="7">
        <v>636</v>
      </c>
      <c r="L186" s="7">
        <v>591</v>
      </c>
      <c r="M186" s="7">
        <v>1095</v>
      </c>
      <c r="N186" s="7">
        <v>664</v>
      </c>
      <c r="O186" s="7">
        <v>698</v>
      </c>
      <c r="P186" s="7">
        <v>649</v>
      </c>
      <c r="Q186" s="7">
        <v>942</v>
      </c>
      <c r="R186" s="7">
        <v>421</v>
      </c>
      <c r="S186" s="7">
        <v>982</v>
      </c>
      <c r="T186" s="7">
        <v>1073</v>
      </c>
      <c r="U186" s="7">
        <v>355</v>
      </c>
      <c r="V186" s="7">
        <v>1096</v>
      </c>
      <c r="W186" s="7">
        <v>1359</v>
      </c>
      <c r="X186" s="7">
        <v>978</v>
      </c>
      <c r="Y186" s="7">
        <v>608</v>
      </c>
      <c r="Z186" s="7">
        <v>1701</v>
      </c>
      <c r="AA186" s="7">
        <v>1003</v>
      </c>
      <c r="AB186" s="7">
        <v>921</v>
      </c>
      <c r="AC186" s="7">
        <v>682</v>
      </c>
      <c r="AD186" s="7">
        <v>490</v>
      </c>
      <c r="AE186" s="7">
        <v>1175</v>
      </c>
      <c r="AF186" s="7">
        <v>606</v>
      </c>
      <c r="AG186" s="7">
        <v>962</v>
      </c>
      <c r="AH186" s="7">
        <v>598</v>
      </c>
      <c r="AI186" s="7">
        <v>637</v>
      </c>
      <c r="AJ186" s="7">
        <v>623</v>
      </c>
      <c r="AK186" s="7">
        <v>917</v>
      </c>
      <c r="AL186" s="7">
        <v>2202</v>
      </c>
      <c r="AM186" s="7">
        <v>641</v>
      </c>
      <c r="AN186" s="7">
        <v>1742</v>
      </c>
      <c r="AO186" s="7">
        <v>696</v>
      </c>
      <c r="AP186" s="7">
        <v>600</v>
      </c>
      <c r="AQ186" s="7">
        <v>1922</v>
      </c>
      <c r="AR186" s="7">
        <v>583</v>
      </c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</row>
    <row r="187" spans="1:81">
      <c r="A187" s="1" t="s">
        <v>728</v>
      </c>
      <c r="B187" s="1" t="s">
        <v>729</v>
      </c>
      <c r="C187" s="1" t="s">
        <v>155</v>
      </c>
      <c r="D187" s="1" t="str">
        <f>HYPERLINK("http://eros.fiehnlab.ucdavis.edu:8080/binbase-compound/bin/show/308198?db=rtx5","308198")</f>
        <v>308198</v>
      </c>
      <c r="E187" s="1" t="s">
        <v>730</v>
      </c>
      <c r="F187" s="1" t="s">
        <v>0</v>
      </c>
      <c r="G187" s="1" t="s">
        <v>0</v>
      </c>
      <c r="H187" s="1"/>
      <c r="I187" s="7">
        <v>313</v>
      </c>
      <c r="J187" s="7">
        <v>1181</v>
      </c>
      <c r="K187" s="7">
        <v>400</v>
      </c>
      <c r="L187" s="7">
        <v>358</v>
      </c>
      <c r="M187" s="7">
        <v>680</v>
      </c>
      <c r="N187" s="7">
        <v>598</v>
      </c>
      <c r="O187" s="7">
        <v>571</v>
      </c>
      <c r="P187" s="7">
        <v>356</v>
      </c>
      <c r="Q187" s="7">
        <v>321</v>
      </c>
      <c r="R187" s="7">
        <v>475</v>
      </c>
      <c r="S187" s="7">
        <v>424</v>
      </c>
      <c r="T187" s="7">
        <v>397</v>
      </c>
      <c r="U187" s="7">
        <v>281</v>
      </c>
      <c r="V187" s="7">
        <v>564</v>
      </c>
      <c r="W187" s="7">
        <v>770</v>
      </c>
      <c r="X187" s="7">
        <v>492</v>
      </c>
      <c r="Y187" s="7">
        <v>449</v>
      </c>
      <c r="Z187" s="7">
        <v>849</v>
      </c>
      <c r="AA187" s="7">
        <v>428</v>
      </c>
      <c r="AB187" s="7">
        <v>411</v>
      </c>
      <c r="AC187" s="7">
        <v>362</v>
      </c>
      <c r="AD187" s="7">
        <v>358</v>
      </c>
      <c r="AE187" s="7">
        <v>387</v>
      </c>
      <c r="AF187" s="7">
        <v>466</v>
      </c>
      <c r="AG187" s="7">
        <v>518</v>
      </c>
      <c r="AH187" s="7">
        <v>309</v>
      </c>
      <c r="AI187" s="7">
        <v>473</v>
      </c>
      <c r="AJ187" s="7">
        <v>494</v>
      </c>
      <c r="AK187" s="7">
        <v>374</v>
      </c>
      <c r="AL187" s="7">
        <v>1265</v>
      </c>
      <c r="AM187" s="7">
        <v>448</v>
      </c>
      <c r="AN187" s="7">
        <v>816</v>
      </c>
      <c r="AO187" s="7">
        <v>362</v>
      </c>
      <c r="AP187" s="7">
        <v>541</v>
      </c>
      <c r="AQ187" s="7">
        <v>1464</v>
      </c>
      <c r="AR187" s="7">
        <v>419</v>
      </c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</row>
    <row r="188" spans="1:81">
      <c r="A188" s="1" t="s">
        <v>864</v>
      </c>
      <c r="B188" s="1" t="s">
        <v>865</v>
      </c>
      <c r="C188" s="1" t="s">
        <v>852</v>
      </c>
      <c r="D188" s="1" t="str">
        <f>HYPERLINK("http://eros.fiehnlab.ucdavis.edu:8080/binbase-compound/bin/show/241064?db=rtx5","241064")</f>
        <v>241064</v>
      </c>
      <c r="E188" s="1" t="s">
        <v>866</v>
      </c>
      <c r="F188" s="1" t="s">
        <v>0</v>
      </c>
      <c r="G188" s="1" t="s">
        <v>0</v>
      </c>
      <c r="H188" s="1"/>
      <c r="I188" s="7">
        <v>813</v>
      </c>
      <c r="J188" s="7">
        <v>2801</v>
      </c>
      <c r="K188" s="7">
        <v>698</v>
      </c>
      <c r="L188" s="7">
        <v>466</v>
      </c>
      <c r="M188" s="7">
        <v>1205</v>
      </c>
      <c r="N188" s="7">
        <v>1550</v>
      </c>
      <c r="O188" s="7">
        <v>1301</v>
      </c>
      <c r="P188" s="7">
        <v>916</v>
      </c>
      <c r="Q188" s="7">
        <v>1547</v>
      </c>
      <c r="R188" s="7">
        <v>404</v>
      </c>
      <c r="S188" s="7">
        <v>1353</v>
      </c>
      <c r="T188" s="7">
        <v>1473</v>
      </c>
      <c r="U188" s="7">
        <v>479</v>
      </c>
      <c r="V188" s="7">
        <v>1322</v>
      </c>
      <c r="W188" s="7">
        <v>1935</v>
      </c>
      <c r="X188" s="7">
        <v>804</v>
      </c>
      <c r="Y188" s="7">
        <v>563</v>
      </c>
      <c r="Z188" s="7">
        <v>2064</v>
      </c>
      <c r="AA188" s="7">
        <v>1776</v>
      </c>
      <c r="AB188" s="7">
        <v>731</v>
      </c>
      <c r="AC188" s="7">
        <v>664</v>
      </c>
      <c r="AD188" s="7">
        <v>555</v>
      </c>
      <c r="AE188" s="7">
        <v>568</v>
      </c>
      <c r="AF188" s="7">
        <v>602</v>
      </c>
      <c r="AG188" s="7">
        <v>802</v>
      </c>
      <c r="AH188" s="7">
        <v>653</v>
      </c>
      <c r="AI188" s="7">
        <v>1434</v>
      </c>
      <c r="AJ188" s="7">
        <v>666</v>
      </c>
      <c r="AK188" s="7">
        <v>769</v>
      </c>
      <c r="AL188" s="7">
        <v>2151</v>
      </c>
      <c r="AM188" s="7">
        <v>998</v>
      </c>
      <c r="AN188" s="7">
        <v>2044</v>
      </c>
      <c r="AO188" s="7">
        <v>795</v>
      </c>
      <c r="AP188" s="7">
        <v>895</v>
      </c>
      <c r="AQ188" s="7">
        <v>2675</v>
      </c>
      <c r="AR188" s="7">
        <v>749</v>
      </c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</row>
    <row r="189" spans="1:81">
      <c r="A189" s="1" t="s">
        <v>546</v>
      </c>
      <c r="B189" s="1" t="s">
        <v>547</v>
      </c>
      <c r="C189" s="1" t="s">
        <v>167</v>
      </c>
      <c r="D189" s="1" t="str">
        <f>HYPERLINK("http://eros.fiehnlab.ucdavis.edu:8080/binbase-compound/bin/show/409131?db=rtx5","409131")</f>
        <v>409131</v>
      </c>
      <c r="E189" s="1" t="s">
        <v>548</v>
      </c>
      <c r="F189" s="1" t="s">
        <v>0</v>
      </c>
      <c r="G189" s="1" t="s">
        <v>0</v>
      </c>
      <c r="H189" s="1"/>
      <c r="I189" s="7">
        <v>707</v>
      </c>
      <c r="J189" s="7">
        <v>2941</v>
      </c>
      <c r="K189" s="7">
        <v>674</v>
      </c>
      <c r="L189" s="7">
        <v>504</v>
      </c>
      <c r="M189" s="7">
        <v>1349</v>
      </c>
      <c r="N189" s="7">
        <v>1450</v>
      </c>
      <c r="O189" s="7">
        <v>1238</v>
      </c>
      <c r="P189" s="7">
        <v>527</v>
      </c>
      <c r="Q189" s="7">
        <v>2135</v>
      </c>
      <c r="R189" s="7">
        <v>598</v>
      </c>
      <c r="S189" s="7">
        <v>1397</v>
      </c>
      <c r="T189" s="7">
        <v>1812</v>
      </c>
      <c r="U189" s="7">
        <v>500</v>
      </c>
      <c r="V189" s="7">
        <v>1450</v>
      </c>
      <c r="W189" s="7">
        <v>2352</v>
      </c>
      <c r="X189" s="7">
        <v>939</v>
      </c>
      <c r="Y189" s="7">
        <v>893</v>
      </c>
      <c r="Z189" s="7">
        <v>1990</v>
      </c>
      <c r="AA189" s="7">
        <v>2079</v>
      </c>
      <c r="AB189" s="7">
        <v>881</v>
      </c>
      <c r="AC189" s="7">
        <v>737</v>
      </c>
      <c r="AD189" s="7">
        <v>528</v>
      </c>
      <c r="AE189" s="7">
        <v>556</v>
      </c>
      <c r="AF189" s="7">
        <v>787</v>
      </c>
      <c r="AG189" s="7">
        <v>1147</v>
      </c>
      <c r="AH189" s="7">
        <v>378</v>
      </c>
      <c r="AI189" s="7">
        <v>1543</v>
      </c>
      <c r="AJ189" s="7">
        <v>942</v>
      </c>
      <c r="AK189" s="7">
        <v>1110</v>
      </c>
      <c r="AL189" s="7">
        <v>2150</v>
      </c>
      <c r="AM189" s="7">
        <v>944</v>
      </c>
      <c r="AN189" s="7">
        <v>1950</v>
      </c>
      <c r="AO189" s="7">
        <v>1013</v>
      </c>
      <c r="AP189" s="7">
        <v>1137</v>
      </c>
      <c r="AQ189" s="7">
        <v>2349</v>
      </c>
      <c r="AR189" s="7">
        <v>481</v>
      </c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</row>
    <row r="190" spans="1:81">
      <c r="A190" s="1" t="s">
        <v>563</v>
      </c>
      <c r="B190" s="1" t="s">
        <v>564</v>
      </c>
      <c r="C190" s="1" t="s">
        <v>120</v>
      </c>
      <c r="D190" s="1" t="str">
        <f>HYPERLINK("http://eros.fiehnlab.ucdavis.edu:8080/binbase-compound/bin/show/408911?db=rtx5","408911")</f>
        <v>408911</v>
      </c>
      <c r="E190" s="1" t="s">
        <v>565</v>
      </c>
      <c r="F190" s="1" t="s">
        <v>0</v>
      </c>
      <c r="G190" s="1" t="s">
        <v>0</v>
      </c>
      <c r="H190" s="1"/>
      <c r="I190" s="7">
        <v>320</v>
      </c>
      <c r="J190" s="7">
        <v>849</v>
      </c>
      <c r="K190" s="7">
        <v>324</v>
      </c>
      <c r="L190" s="7">
        <v>366</v>
      </c>
      <c r="M190" s="7">
        <v>453</v>
      </c>
      <c r="N190" s="7">
        <v>643</v>
      </c>
      <c r="O190" s="7">
        <v>444</v>
      </c>
      <c r="P190" s="7">
        <v>227</v>
      </c>
      <c r="Q190" s="7">
        <v>577</v>
      </c>
      <c r="R190" s="7">
        <v>316</v>
      </c>
      <c r="S190" s="7">
        <v>428</v>
      </c>
      <c r="T190" s="7">
        <v>401</v>
      </c>
      <c r="U190" s="7">
        <v>158</v>
      </c>
      <c r="V190" s="7">
        <v>573</v>
      </c>
      <c r="W190" s="7">
        <v>811</v>
      </c>
      <c r="X190" s="7">
        <v>400</v>
      </c>
      <c r="Y190" s="7">
        <v>297</v>
      </c>
      <c r="Z190" s="7">
        <v>577</v>
      </c>
      <c r="AA190" s="7">
        <v>534</v>
      </c>
      <c r="AB190" s="7">
        <v>351</v>
      </c>
      <c r="AC190" s="7">
        <v>422</v>
      </c>
      <c r="AD190" s="7">
        <v>315</v>
      </c>
      <c r="AE190" s="7">
        <v>314</v>
      </c>
      <c r="AF190" s="7">
        <v>292</v>
      </c>
      <c r="AG190" s="7">
        <v>468</v>
      </c>
      <c r="AH190" s="7">
        <v>356</v>
      </c>
      <c r="AI190" s="7">
        <v>338</v>
      </c>
      <c r="AJ190" s="7">
        <v>321</v>
      </c>
      <c r="AK190" s="7">
        <v>391</v>
      </c>
      <c r="AL190" s="7">
        <v>775</v>
      </c>
      <c r="AM190" s="7">
        <v>386</v>
      </c>
      <c r="AN190" s="7">
        <v>627</v>
      </c>
      <c r="AO190" s="7">
        <v>371</v>
      </c>
      <c r="AP190" s="7">
        <v>486</v>
      </c>
      <c r="AQ190" s="7">
        <v>835</v>
      </c>
      <c r="AR190" s="7">
        <v>439</v>
      </c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</row>
    <row r="191" spans="1:81">
      <c r="A191" s="1" t="s">
        <v>519</v>
      </c>
      <c r="B191" s="1" t="s">
        <v>520</v>
      </c>
      <c r="C191" s="1" t="s">
        <v>521</v>
      </c>
      <c r="D191" s="1" t="str">
        <f>HYPERLINK("http://eros.fiehnlab.ucdavis.edu:8080/binbase-compound/bin/show/409621?db=rtx5","409621")</f>
        <v>409621</v>
      </c>
      <c r="E191" s="1" t="s">
        <v>522</v>
      </c>
      <c r="F191" s="1" t="s">
        <v>0</v>
      </c>
      <c r="G191" s="1" t="s">
        <v>0</v>
      </c>
      <c r="H191" s="1"/>
      <c r="I191" s="7">
        <v>675</v>
      </c>
      <c r="J191" s="7">
        <v>940</v>
      </c>
      <c r="K191" s="7">
        <v>394</v>
      </c>
      <c r="L191" s="7">
        <v>416</v>
      </c>
      <c r="M191" s="7">
        <v>586</v>
      </c>
      <c r="N191" s="7">
        <v>506</v>
      </c>
      <c r="O191" s="7">
        <v>472</v>
      </c>
      <c r="P191" s="7">
        <v>502</v>
      </c>
      <c r="Q191" s="7">
        <v>920</v>
      </c>
      <c r="R191" s="7">
        <v>477</v>
      </c>
      <c r="S191" s="7">
        <v>397</v>
      </c>
      <c r="T191" s="7">
        <v>607</v>
      </c>
      <c r="U191" s="7">
        <v>398</v>
      </c>
      <c r="V191" s="7">
        <v>867</v>
      </c>
      <c r="W191" s="7">
        <v>995</v>
      </c>
      <c r="X191" s="7">
        <v>407</v>
      </c>
      <c r="Y191" s="7">
        <v>414</v>
      </c>
      <c r="Z191" s="7">
        <v>932</v>
      </c>
      <c r="AA191" s="7">
        <v>283</v>
      </c>
      <c r="AB191" s="7">
        <v>407</v>
      </c>
      <c r="AC191" s="7">
        <v>515</v>
      </c>
      <c r="AD191" s="7">
        <v>460</v>
      </c>
      <c r="AE191" s="7">
        <v>365</v>
      </c>
      <c r="AF191" s="7">
        <v>407</v>
      </c>
      <c r="AG191" s="7">
        <v>417</v>
      </c>
      <c r="AH191" s="7">
        <v>568</v>
      </c>
      <c r="AI191" s="7">
        <v>384</v>
      </c>
      <c r="AJ191" s="7">
        <v>590</v>
      </c>
      <c r="AK191" s="7">
        <v>469</v>
      </c>
      <c r="AL191" s="7">
        <v>814</v>
      </c>
      <c r="AM191" s="7">
        <v>388</v>
      </c>
      <c r="AN191" s="7">
        <v>647</v>
      </c>
      <c r="AO191" s="7">
        <v>478</v>
      </c>
      <c r="AP191" s="7">
        <v>527</v>
      </c>
      <c r="AQ191" s="7">
        <v>1537</v>
      </c>
      <c r="AR191" s="7">
        <v>478</v>
      </c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</row>
    <row r="192" spans="1:81">
      <c r="A192" s="1" t="s">
        <v>882</v>
      </c>
      <c r="B192" s="1" t="s">
        <v>883</v>
      </c>
      <c r="C192" s="1" t="s">
        <v>117</v>
      </c>
      <c r="D192" s="1" t="str">
        <f>HYPERLINK("http://eros.fiehnlab.ucdavis.edu:8080/binbase-compound/bin/show/240551?db=rtx5","240551")</f>
        <v>240551</v>
      </c>
      <c r="E192" s="1" t="s">
        <v>884</v>
      </c>
      <c r="F192" s="1" t="s">
        <v>0</v>
      </c>
      <c r="G192" s="1" t="s">
        <v>0</v>
      </c>
      <c r="H192" s="1"/>
      <c r="I192" s="7">
        <v>644</v>
      </c>
      <c r="J192" s="7">
        <v>1539</v>
      </c>
      <c r="K192" s="7">
        <v>554</v>
      </c>
      <c r="L192" s="7">
        <v>534</v>
      </c>
      <c r="M192" s="7">
        <v>749</v>
      </c>
      <c r="N192" s="7">
        <v>882</v>
      </c>
      <c r="O192" s="7">
        <v>618</v>
      </c>
      <c r="P192" s="7">
        <v>480</v>
      </c>
      <c r="Q192" s="7">
        <v>763</v>
      </c>
      <c r="R192" s="7">
        <v>590</v>
      </c>
      <c r="S192" s="7">
        <v>588</v>
      </c>
      <c r="T192" s="7">
        <v>653</v>
      </c>
      <c r="U192" s="7">
        <v>343</v>
      </c>
      <c r="V192" s="7">
        <v>788</v>
      </c>
      <c r="W192" s="7">
        <v>1035</v>
      </c>
      <c r="X192" s="7">
        <v>683</v>
      </c>
      <c r="Y192" s="7">
        <v>483</v>
      </c>
      <c r="Z192" s="7">
        <v>1062</v>
      </c>
      <c r="AA192" s="7">
        <v>977</v>
      </c>
      <c r="AB192" s="7">
        <v>549</v>
      </c>
      <c r="AC192" s="7">
        <v>582</v>
      </c>
      <c r="AD192" s="7">
        <v>456</v>
      </c>
      <c r="AE192" s="7">
        <v>501</v>
      </c>
      <c r="AF192" s="7">
        <v>531</v>
      </c>
      <c r="AG192" s="7">
        <v>426</v>
      </c>
      <c r="AH192" s="7">
        <v>440</v>
      </c>
      <c r="AI192" s="7">
        <v>738</v>
      </c>
      <c r="AJ192" s="7">
        <v>390</v>
      </c>
      <c r="AK192" s="7">
        <v>626</v>
      </c>
      <c r="AL192" s="7">
        <v>1300</v>
      </c>
      <c r="AM192" s="7">
        <v>548</v>
      </c>
      <c r="AN192" s="7">
        <v>1137</v>
      </c>
      <c r="AO192" s="7">
        <v>531</v>
      </c>
      <c r="AP192" s="7">
        <v>621</v>
      </c>
      <c r="AQ192" s="7">
        <v>1549</v>
      </c>
      <c r="AR192" s="7">
        <v>617</v>
      </c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</row>
    <row r="193" spans="1:81">
      <c r="A193" s="1" t="s">
        <v>1080</v>
      </c>
      <c r="B193" s="1" t="s">
        <v>1081</v>
      </c>
      <c r="C193" s="1" t="s">
        <v>89</v>
      </c>
      <c r="D193" s="1" t="str">
        <f>HYPERLINK("http://eros.fiehnlab.ucdavis.edu:8080/binbase-compound/bin/show/212274?db=rtx5","212274")</f>
        <v>212274</v>
      </c>
      <c r="E193" s="1" t="s">
        <v>1082</v>
      </c>
      <c r="F193" s="1" t="s">
        <v>0</v>
      </c>
      <c r="G193" s="1" t="s">
        <v>0</v>
      </c>
      <c r="H193" s="1"/>
      <c r="I193" s="7">
        <v>11064</v>
      </c>
      <c r="J193" s="7">
        <v>6109</v>
      </c>
      <c r="K193" s="7">
        <v>6779</v>
      </c>
      <c r="L193" s="7">
        <v>7857</v>
      </c>
      <c r="M193" s="7">
        <v>2453</v>
      </c>
      <c r="N193" s="7">
        <v>6800</v>
      </c>
      <c r="O193" s="7">
        <v>6316</v>
      </c>
      <c r="P193" s="7">
        <v>1875</v>
      </c>
      <c r="Q193" s="7">
        <v>10390</v>
      </c>
      <c r="R193" s="7">
        <v>4252</v>
      </c>
      <c r="S193" s="7">
        <v>3453</v>
      </c>
      <c r="T193" s="7">
        <v>6852</v>
      </c>
      <c r="U193" s="7">
        <v>4461</v>
      </c>
      <c r="V193" s="7">
        <v>5809</v>
      </c>
      <c r="W193" s="7">
        <v>10646</v>
      </c>
      <c r="X193" s="7">
        <v>8494</v>
      </c>
      <c r="Y193" s="7">
        <v>8356</v>
      </c>
      <c r="Z193" s="7">
        <v>13897</v>
      </c>
      <c r="AA193" s="7">
        <v>83469</v>
      </c>
      <c r="AB193" s="7">
        <v>3636</v>
      </c>
      <c r="AC193" s="7">
        <v>12481</v>
      </c>
      <c r="AD193" s="7">
        <v>9800</v>
      </c>
      <c r="AE193" s="7">
        <v>2012</v>
      </c>
      <c r="AF193" s="7">
        <v>4550</v>
      </c>
      <c r="AG193" s="7">
        <v>5481</v>
      </c>
      <c r="AH193" s="7">
        <v>14229</v>
      </c>
      <c r="AI193" s="7">
        <v>3702</v>
      </c>
      <c r="AJ193" s="7">
        <v>6814</v>
      </c>
      <c r="AK193" s="7">
        <v>7564</v>
      </c>
      <c r="AL193" s="7">
        <v>10050</v>
      </c>
      <c r="AM193" s="7">
        <v>1720</v>
      </c>
      <c r="AN193" s="7">
        <v>8396</v>
      </c>
      <c r="AO193" s="7">
        <v>5455</v>
      </c>
      <c r="AP193" s="7">
        <v>6213</v>
      </c>
      <c r="AQ193" s="7">
        <v>13044</v>
      </c>
      <c r="AR193" s="7">
        <v>1643</v>
      </c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</row>
    <row r="194" spans="1:81">
      <c r="A194" s="1" t="s">
        <v>876</v>
      </c>
      <c r="B194" s="1" t="s">
        <v>877</v>
      </c>
      <c r="C194" s="1" t="s">
        <v>117</v>
      </c>
      <c r="D194" s="1" t="str">
        <f>HYPERLINK("http://eros.fiehnlab.ucdavis.edu:8080/binbase-compound/bin/show/241037?db=rtx5","241037")</f>
        <v>241037</v>
      </c>
      <c r="E194" s="1" t="s">
        <v>878</v>
      </c>
      <c r="F194" s="1" t="s">
        <v>0</v>
      </c>
      <c r="G194" s="1" t="s">
        <v>0</v>
      </c>
      <c r="H194" s="1"/>
      <c r="I194" s="7">
        <v>390</v>
      </c>
      <c r="J194" s="7">
        <v>1618</v>
      </c>
      <c r="K194" s="7">
        <v>261</v>
      </c>
      <c r="L194" s="7">
        <v>201</v>
      </c>
      <c r="M194" s="7">
        <v>779</v>
      </c>
      <c r="N194" s="7">
        <v>751</v>
      </c>
      <c r="O194" s="7">
        <v>428</v>
      </c>
      <c r="P194" s="7">
        <v>222</v>
      </c>
      <c r="Q194" s="7">
        <v>421</v>
      </c>
      <c r="R194" s="7">
        <v>394</v>
      </c>
      <c r="S194" s="7">
        <v>485</v>
      </c>
      <c r="T194" s="7">
        <v>725</v>
      </c>
      <c r="U194" s="7">
        <v>185</v>
      </c>
      <c r="V194" s="7">
        <v>771</v>
      </c>
      <c r="W194" s="7">
        <v>556</v>
      </c>
      <c r="X194" s="7">
        <v>396</v>
      </c>
      <c r="Y194" s="7">
        <v>414</v>
      </c>
      <c r="Z194" s="7">
        <v>1396</v>
      </c>
      <c r="AA194" s="7">
        <v>1074</v>
      </c>
      <c r="AB194" s="7">
        <v>736</v>
      </c>
      <c r="AC194" s="7">
        <v>699</v>
      </c>
      <c r="AD194" s="7">
        <v>255</v>
      </c>
      <c r="AE194" s="7">
        <v>547</v>
      </c>
      <c r="AF194" s="7">
        <v>1030</v>
      </c>
      <c r="AG194" s="7">
        <v>938</v>
      </c>
      <c r="AH194" s="7">
        <v>927</v>
      </c>
      <c r="AI194" s="7">
        <v>910</v>
      </c>
      <c r="AJ194" s="7">
        <v>610</v>
      </c>
      <c r="AK194" s="7">
        <v>943</v>
      </c>
      <c r="AL194" s="7">
        <v>1126</v>
      </c>
      <c r="AM194" s="7">
        <v>261</v>
      </c>
      <c r="AN194" s="7">
        <v>1211</v>
      </c>
      <c r="AO194" s="7">
        <v>427</v>
      </c>
      <c r="AP194" s="7">
        <v>642</v>
      </c>
      <c r="AQ194" s="7">
        <v>1273</v>
      </c>
      <c r="AR194" s="7">
        <v>401</v>
      </c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</row>
    <row r="195" spans="1:81">
      <c r="A195" s="1" t="s">
        <v>660</v>
      </c>
      <c r="B195" s="1" t="s">
        <v>661</v>
      </c>
      <c r="C195" s="1" t="s">
        <v>167</v>
      </c>
      <c r="D195" s="1" t="str">
        <f>HYPERLINK("http://eros.fiehnlab.ucdavis.edu:8080/binbase-compound/bin/show/359713?db=rtx5","359713")</f>
        <v>359713</v>
      </c>
      <c r="E195" s="1" t="s">
        <v>662</v>
      </c>
      <c r="F195" s="1" t="s">
        <v>0</v>
      </c>
      <c r="G195" s="1" t="s">
        <v>0</v>
      </c>
      <c r="H195" s="1"/>
      <c r="I195" s="7">
        <v>4532</v>
      </c>
      <c r="J195" s="7">
        <v>9994</v>
      </c>
      <c r="K195" s="7">
        <v>3429</v>
      </c>
      <c r="L195" s="7">
        <v>3609</v>
      </c>
      <c r="M195" s="7">
        <v>5762</v>
      </c>
      <c r="N195" s="7">
        <v>7611</v>
      </c>
      <c r="O195" s="7">
        <v>7182</v>
      </c>
      <c r="P195" s="7">
        <v>5410</v>
      </c>
      <c r="Q195" s="7">
        <v>6566</v>
      </c>
      <c r="R195" s="7">
        <v>2890</v>
      </c>
      <c r="S195" s="7">
        <v>6058</v>
      </c>
      <c r="T195" s="7">
        <v>6417</v>
      </c>
      <c r="U195" s="7">
        <v>2297</v>
      </c>
      <c r="V195" s="7">
        <v>6191</v>
      </c>
      <c r="W195" s="7">
        <v>8780</v>
      </c>
      <c r="X195" s="7">
        <v>4155</v>
      </c>
      <c r="Y195" s="7">
        <v>2404</v>
      </c>
      <c r="Z195" s="7">
        <v>10138</v>
      </c>
      <c r="AA195" s="7">
        <v>7271</v>
      </c>
      <c r="AB195" s="7">
        <v>2516</v>
      </c>
      <c r="AC195" s="7">
        <v>3491</v>
      </c>
      <c r="AD195" s="7">
        <v>5549</v>
      </c>
      <c r="AE195" s="7">
        <v>3962</v>
      </c>
      <c r="AF195" s="7">
        <v>3329</v>
      </c>
      <c r="AG195" s="7">
        <v>4353</v>
      </c>
      <c r="AH195" s="7">
        <v>3188</v>
      </c>
      <c r="AI195" s="7">
        <v>6592</v>
      </c>
      <c r="AJ195" s="7">
        <v>2224</v>
      </c>
      <c r="AK195" s="7">
        <v>2472</v>
      </c>
      <c r="AL195" s="7">
        <v>9308</v>
      </c>
      <c r="AM195" s="7">
        <v>3541</v>
      </c>
      <c r="AN195" s="7">
        <v>8882</v>
      </c>
      <c r="AO195" s="7">
        <v>3325</v>
      </c>
      <c r="AP195" s="7">
        <v>3171</v>
      </c>
      <c r="AQ195" s="7">
        <v>11840</v>
      </c>
      <c r="AR195" s="7">
        <v>3364</v>
      </c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</row>
    <row r="196" spans="1:81">
      <c r="A196" s="1" t="s">
        <v>654</v>
      </c>
      <c r="B196" s="1" t="s">
        <v>655</v>
      </c>
      <c r="C196" s="1" t="s">
        <v>98</v>
      </c>
      <c r="D196" s="1" t="str">
        <f>HYPERLINK("http://eros.fiehnlab.ucdavis.edu:8080/binbase-compound/bin/show/362036?db=rtx5","362036")</f>
        <v>362036</v>
      </c>
      <c r="E196" s="1" t="s">
        <v>656</v>
      </c>
      <c r="F196" s="1" t="s">
        <v>0</v>
      </c>
      <c r="G196" s="1" t="s">
        <v>0</v>
      </c>
      <c r="H196" s="1"/>
      <c r="I196" s="7">
        <v>402</v>
      </c>
      <c r="J196" s="7">
        <v>680</v>
      </c>
      <c r="K196" s="7">
        <v>316</v>
      </c>
      <c r="L196" s="7">
        <v>371</v>
      </c>
      <c r="M196" s="7">
        <v>415</v>
      </c>
      <c r="N196" s="7">
        <v>279</v>
      </c>
      <c r="O196" s="7">
        <v>381</v>
      </c>
      <c r="P196" s="7">
        <v>324</v>
      </c>
      <c r="Q196" s="7">
        <v>272</v>
      </c>
      <c r="R196" s="7">
        <v>361</v>
      </c>
      <c r="S196" s="7">
        <v>347</v>
      </c>
      <c r="T196" s="7">
        <v>382</v>
      </c>
      <c r="U196" s="7">
        <v>211</v>
      </c>
      <c r="V196" s="7">
        <v>563</v>
      </c>
      <c r="W196" s="7">
        <v>646</v>
      </c>
      <c r="X196" s="7">
        <v>496</v>
      </c>
      <c r="Y196" s="7">
        <v>514</v>
      </c>
      <c r="Z196" s="7">
        <v>692</v>
      </c>
      <c r="AA196" s="7">
        <v>267</v>
      </c>
      <c r="AB196" s="7">
        <v>395</v>
      </c>
      <c r="AC196" s="7">
        <v>362</v>
      </c>
      <c r="AD196" s="7">
        <v>362</v>
      </c>
      <c r="AE196" s="7">
        <v>368</v>
      </c>
      <c r="AF196" s="7">
        <v>392</v>
      </c>
      <c r="AG196" s="7">
        <v>446</v>
      </c>
      <c r="AH196" s="7">
        <v>307</v>
      </c>
      <c r="AI196" s="7">
        <v>330</v>
      </c>
      <c r="AJ196" s="7">
        <v>345</v>
      </c>
      <c r="AK196" s="7">
        <v>422</v>
      </c>
      <c r="AL196" s="7">
        <v>877</v>
      </c>
      <c r="AM196" s="7">
        <v>384</v>
      </c>
      <c r="AN196" s="7">
        <v>585</v>
      </c>
      <c r="AO196" s="7">
        <v>396</v>
      </c>
      <c r="AP196" s="7">
        <v>349</v>
      </c>
      <c r="AQ196" s="7">
        <v>957</v>
      </c>
      <c r="AR196" s="7">
        <v>387</v>
      </c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</row>
    <row r="197" spans="1:81">
      <c r="A197" s="1" t="s">
        <v>523</v>
      </c>
      <c r="B197" s="1" t="s">
        <v>524</v>
      </c>
      <c r="C197" s="1" t="s">
        <v>525</v>
      </c>
      <c r="D197" s="1" t="str">
        <f>HYPERLINK("http://eros.fiehnlab.ucdavis.edu:8080/binbase-compound/bin/show/409620?db=rtx5","409620")</f>
        <v>409620</v>
      </c>
      <c r="E197" s="1" t="s">
        <v>526</v>
      </c>
      <c r="F197" s="1" t="s">
        <v>0</v>
      </c>
      <c r="G197" s="1" t="s">
        <v>0</v>
      </c>
      <c r="H197" s="1"/>
      <c r="I197" s="7">
        <v>467</v>
      </c>
      <c r="J197" s="7">
        <v>1102</v>
      </c>
      <c r="K197" s="7">
        <v>441</v>
      </c>
      <c r="L197" s="7">
        <v>434</v>
      </c>
      <c r="M197" s="7">
        <v>549</v>
      </c>
      <c r="N197" s="7">
        <v>677</v>
      </c>
      <c r="O197" s="7">
        <v>505</v>
      </c>
      <c r="P197" s="7">
        <v>515</v>
      </c>
      <c r="Q197" s="7">
        <v>753</v>
      </c>
      <c r="R197" s="7">
        <v>530</v>
      </c>
      <c r="S197" s="7">
        <v>502</v>
      </c>
      <c r="T197" s="7">
        <v>640</v>
      </c>
      <c r="U197" s="7">
        <v>1051</v>
      </c>
      <c r="V197" s="7">
        <v>548</v>
      </c>
      <c r="W197" s="7">
        <v>839</v>
      </c>
      <c r="X197" s="7">
        <v>553</v>
      </c>
      <c r="Y197" s="7">
        <v>446</v>
      </c>
      <c r="Z197" s="7">
        <v>881</v>
      </c>
      <c r="AA197" s="7">
        <v>746</v>
      </c>
      <c r="AB197" s="7">
        <v>536</v>
      </c>
      <c r="AC197" s="7">
        <v>415</v>
      </c>
      <c r="AD197" s="7">
        <v>384</v>
      </c>
      <c r="AE197" s="7">
        <v>408</v>
      </c>
      <c r="AF197" s="7">
        <v>388</v>
      </c>
      <c r="AG197" s="7">
        <v>581</v>
      </c>
      <c r="AH197" s="7">
        <v>410</v>
      </c>
      <c r="AI197" s="7">
        <v>559</v>
      </c>
      <c r="AJ197" s="7">
        <v>425</v>
      </c>
      <c r="AK197" s="7">
        <v>453</v>
      </c>
      <c r="AL197" s="7">
        <v>1027</v>
      </c>
      <c r="AM197" s="7">
        <v>618</v>
      </c>
      <c r="AN197" s="7">
        <v>906</v>
      </c>
      <c r="AO197" s="7">
        <v>529</v>
      </c>
      <c r="AP197" s="7">
        <v>571</v>
      </c>
      <c r="AQ197" s="7">
        <v>1169</v>
      </c>
      <c r="AR197" s="7">
        <v>563</v>
      </c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</row>
    <row r="198" spans="1:81">
      <c r="A198" s="1" t="s">
        <v>527</v>
      </c>
      <c r="B198" s="1" t="s">
        <v>528</v>
      </c>
      <c r="C198" s="1" t="s">
        <v>98</v>
      </c>
      <c r="D198" s="1" t="str">
        <f>HYPERLINK("http://eros.fiehnlab.ucdavis.edu:8080/binbase-compound/bin/show/409597?db=rtx5","409597")</f>
        <v>409597</v>
      </c>
      <c r="E198" s="1" t="s">
        <v>529</v>
      </c>
      <c r="F198" s="1" t="s">
        <v>0</v>
      </c>
      <c r="G198" s="1" t="s">
        <v>0</v>
      </c>
      <c r="H198" s="1"/>
      <c r="I198" s="7">
        <v>264</v>
      </c>
      <c r="J198" s="7">
        <v>1863</v>
      </c>
      <c r="K198" s="7">
        <v>515</v>
      </c>
      <c r="L198" s="7">
        <v>270</v>
      </c>
      <c r="M198" s="7">
        <v>913</v>
      </c>
      <c r="N198" s="7">
        <v>740</v>
      </c>
      <c r="O198" s="7">
        <v>811</v>
      </c>
      <c r="P198" s="7">
        <v>604</v>
      </c>
      <c r="Q198" s="7">
        <v>540</v>
      </c>
      <c r="R198" s="7">
        <v>406</v>
      </c>
      <c r="S198" s="7">
        <v>603</v>
      </c>
      <c r="T198" s="7">
        <v>131</v>
      </c>
      <c r="U198" s="7">
        <v>368</v>
      </c>
      <c r="V198" s="7">
        <v>1295</v>
      </c>
      <c r="W198" s="7">
        <v>1954</v>
      </c>
      <c r="X198" s="7">
        <v>643</v>
      </c>
      <c r="Y198" s="7">
        <v>457</v>
      </c>
      <c r="Z198" s="7">
        <v>1261</v>
      </c>
      <c r="AA198" s="7">
        <v>957</v>
      </c>
      <c r="AB198" s="7">
        <v>368</v>
      </c>
      <c r="AC198" s="7">
        <v>371</v>
      </c>
      <c r="AD198" s="7">
        <v>253</v>
      </c>
      <c r="AE198" s="7">
        <v>254</v>
      </c>
      <c r="AF198" s="7">
        <v>350</v>
      </c>
      <c r="AG198" s="7">
        <v>444</v>
      </c>
      <c r="AH198" s="7">
        <v>388</v>
      </c>
      <c r="AI198" s="7">
        <v>943</v>
      </c>
      <c r="AJ198" s="7">
        <v>332</v>
      </c>
      <c r="AK198" s="7">
        <v>391</v>
      </c>
      <c r="AL198" s="7">
        <v>1307</v>
      </c>
      <c r="AM198" s="7">
        <v>384</v>
      </c>
      <c r="AN198" s="7">
        <v>1878</v>
      </c>
      <c r="AO198" s="7">
        <v>410</v>
      </c>
      <c r="AP198" s="7">
        <v>425</v>
      </c>
      <c r="AQ198" s="7">
        <v>2502</v>
      </c>
      <c r="AR198" s="7">
        <v>305</v>
      </c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</row>
    <row r="199" spans="1:81">
      <c r="A199" s="1" t="s">
        <v>850</v>
      </c>
      <c r="B199" s="1" t="s">
        <v>851</v>
      </c>
      <c r="C199" s="1" t="s">
        <v>852</v>
      </c>
      <c r="D199" s="1" t="str">
        <f>HYPERLINK("http://eros.fiehnlab.ucdavis.edu:8080/binbase-compound/bin/show/241661?db=rtx5","241661")</f>
        <v>241661</v>
      </c>
      <c r="E199" s="1" t="s">
        <v>853</v>
      </c>
      <c r="F199" s="1" t="s">
        <v>0</v>
      </c>
      <c r="G199" s="1" t="s">
        <v>0</v>
      </c>
      <c r="H199" s="1"/>
      <c r="I199" s="7">
        <v>133</v>
      </c>
      <c r="J199" s="7">
        <v>688</v>
      </c>
      <c r="K199" s="7">
        <v>283</v>
      </c>
      <c r="L199" s="7">
        <v>288</v>
      </c>
      <c r="M199" s="7">
        <v>418</v>
      </c>
      <c r="N199" s="7">
        <v>354</v>
      </c>
      <c r="O199" s="7">
        <v>275</v>
      </c>
      <c r="P199" s="7">
        <v>320</v>
      </c>
      <c r="Q199" s="7">
        <v>404</v>
      </c>
      <c r="R199" s="7">
        <v>353</v>
      </c>
      <c r="S199" s="7">
        <v>236</v>
      </c>
      <c r="T199" s="7">
        <v>340</v>
      </c>
      <c r="U199" s="7">
        <v>204</v>
      </c>
      <c r="V199" s="7">
        <v>267</v>
      </c>
      <c r="W199" s="7">
        <v>402</v>
      </c>
      <c r="X199" s="7">
        <v>337</v>
      </c>
      <c r="Y199" s="7">
        <v>334</v>
      </c>
      <c r="Z199" s="7">
        <v>503</v>
      </c>
      <c r="AA199" s="7">
        <v>345</v>
      </c>
      <c r="AB199" s="7">
        <v>293</v>
      </c>
      <c r="AC199" s="7">
        <v>238</v>
      </c>
      <c r="AD199" s="7">
        <v>304</v>
      </c>
      <c r="AE199" s="7">
        <v>357</v>
      </c>
      <c r="AF199" s="7">
        <v>283</v>
      </c>
      <c r="AG199" s="7">
        <v>355</v>
      </c>
      <c r="AH199" s="7">
        <v>307</v>
      </c>
      <c r="AI199" s="7">
        <v>301</v>
      </c>
      <c r="AJ199" s="7">
        <v>450</v>
      </c>
      <c r="AK199" s="7">
        <v>310</v>
      </c>
      <c r="AL199" s="7">
        <v>582</v>
      </c>
      <c r="AM199" s="7">
        <v>294</v>
      </c>
      <c r="AN199" s="7">
        <v>532</v>
      </c>
      <c r="AO199" s="7">
        <v>315</v>
      </c>
      <c r="AP199" s="7">
        <v>347</v>
      </c>
      <c r="AQ199" s="7">
        <v>685</v>
      </c>
      <c r="AR199" s="7">
        <v>310</v>
      </c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</row>
    <row r="200" spans="1:81">
      <c r="A200" s="1" t="s">
        <v>998</v>
      </c>
      <c r="B200" s="1" t="s">
        <v>999</v>
      </c>
      <c r="C200" s="1" t="s">
        <v>256</v>
      </c>
      <c r="D200" s="1" t="str">
        <f>HYPERLINK("http://eros.fiehnlab.ucdavis.edu:8080/binbase-compound/bin/show/225863?db=rtx5","225863")</f>
        <v>225863</v>
      </c>
      <c r="E200" s="1" t="s">
        <v>1000</v>
      </c>
      <c r="F200" s="1" t="s">
        <v>0</v>
      </c>
      <c r="G200" s="1" t="s">
        <v>0</v>
      </c>
      <c r="H200" s="1"/>
      <c r="I200" s="7">
        <v>6114</v>
      </c>
      <c r="J200" s="7">
        <v>4073</v>
      </c>
      <c r="K200" s="7">
        <v>11303</v>
      </c>
      <c r="L200" s="7">
        <v>10089</v>
      </c>
      <c r="M200" s="7">
        <v>4930</v>
      </c>
      <c r="N200" s="7">
        <v>5026</v>
      </c>
      <c r="O200" s="7">
        <v>3722</v>
      </c>
      <c r="P200" s="7">
        <v>5465</v>
      </c>
      <c r="Q200" s="7">
        <v>5042</v>
      </c>
      <c r="R200" s="7">
        <v>11461</v>
      </c>
      <c r="S200" s="7">
        <v>6631</v>
      </c>
      <c r="T200" s="7">
        <v>7952</v>
      </c>
      <c r="U200" s="7">
        <v>4964</v>
      </c>
      <c r="V200" s="7">
        <v>3538</v>
      </c>
      <c r="W200" s="7">
        <v>6456</v>
      </c>
      <c r="X200" s="7">
        <v>3497</v>
      </c>
      <c r="Y200" s="7">
        <v>3605</v>
      </c>
      <c r="Z200" s="7">
        <v>6457</v>
      </c>
      <c r="AA200" s="7">
        <v>200</v>
      </c>
      <c r="AB200" s="7">
        <v>6916</v>
      </c>
      <c r="AC200" s="7">
        <v>8653</v>
      </c>
      <c r="AD200" s="7">
        <v>9845</v>
      </c>
      <c r="AE200" s="7">
        <v>4814</v>
      </c>
      <c r="AF200" s="7">
        <v>7267</v>
      </c>
      <c r="AG200" s="7">
        <v>5750</v>
      </c>
      <c r="AH200" s="7">
        <v>10285</v>
      </c>
      <c r="AI200" s="7">
        <v>3835</v>
      </c>
      <c r="AJ200" s="7">
        <v>6342</v>
      </c>
      <c r="AK200" s="7">
        <v>4737</v>
      </c>
      <c r="AL200" s="7">
        <v>4285</v>
      </c>
      <c r="AM200" s="7">
        <v>8066</v>
      </c>
      <c r="AN200" s="7">
        <v>4454</v>
      </c>
      <c r="AO200" s="7">
        <v>7611</v>
      </c>
      <c r="AP200" s="7">
        <v>7840</v>
      </c>
      <c r="AQ200" s="7">
        <v>3518</v>
      </c>
      <c r="AR200" s="7">
        <v>11004</v>
      </c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</row>
    <row r="201" spans="1:81">
      <c r="A201" s="1" t="s">
        <v>1063</v>
      </c>
      <c r="B201" s="1" t="s">
        <v>1064</v>
      </c>
      <c r="C201" s="1" t="s">
        <v>190</v>
      </c>
      <c r="D201" s="1" t="str">
        <f>HYPERLINK("http://eros.fiehnlab.ucdavis.edu:8080/binbase-compound/bin/show/214151?db=rtx5","214151")</f>
        <v>214151</v>
      </c>
      <c r="E201" s="1" t="s">
        <v>1065</v>
      </c>
      <c r="F201" s="1" t="s">
        <v>0</v>
      </c>
      <c r="G201" s="1" t="s">
        <v>0</v>
      </c>
      <c r="H201" s="1"/>
      <c r="I201" s="7">
        <v>1235</v>
      </c>
      <c r="J201" s="7">
        <v>1106</v>
      </c>
      <c r="K201" s="7">
        <v>646</v>
      </c>
      <c r="L201" s="7">
        <v>1874</v>
      </c>
      <c r="M201" s="7">
        <v>2149</v>
      </c>
      <c r="N201" s="7">
        <v>1062</v>
      </c>
      <c r="O201" s="7">
        <v>1192</v>
      </c>
      <c r="P201" s="7">
        <v>1258</v>
      </c>
      <c r="Q201" s="7">
        <v>1542</v>
      </c>
      <c r="R201" s="7">
        <v>900</v>
      </c>
      <c r="S201" s="7">
        <v>2149</v>
      </c>
      <c r="T201" s="7">
        <v>1606</v>
      </c>
      <c r="U201" s="7">
        <v>496</v>
      </c>
      <c r="V201" s="7">
        <v>2347</v>
      </c>
      <c r="W201" s="7">
        <v>1352</v>
      </c>
      <c r="X201" s="7">
        <v>1546</v>
      </c>
      <c r="Y201" s="7">
        <v>506</v>
      </c>
      <c r="Z201" s="7">
        <v>1418</v>
      </c>
      <c r="AA201" s="7">
        <v>314</v>
      </c>
      <c r="AB201" s="7">
        <v>1216</v>
      </c>
      <c r="AC201" s="7">
        <v>633</v>
      </c>
      <c r="AD201" s="7">
        <v>429</v>
      </c>
      <c r="AE201" s="7">
        <v>2963</v>
      </c>
      <c r="AF201" s="7">
        <v>837</v>
      </c>
      <c r="AG201" s="7">
        <v>1066</v>
      </c>
      <c r="AH201" s="7">
        <v>723</v>
      </c>
      <c r="AI201" s="7">
        <v>1932</v>
      </c>
      <c r="AJ201" s="7">
        <v>1267</v>
      </c>
      <c r="AK201" s="7">
        <v>1086</v>
      </c>
      <c r="AL201" s="7">
        <v>1362</v>
      </c>
      <c r="AM201" s="7">
        <v>1347</v>
      </c>
      <c r="AN201" s="7">
        <v>2467</v>
      </c>
      <c r="AO201" s="7">
        <v>510</v>
      </c>
      <c r="AP201" s="7">
        <v>1098</v>
      </c>
      <c r="AQ201" s="7">
        <v>1210</v>
      </c>
      <c r="AR201" s="7">
        <v>2221</v>
      </c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</row>
    <row r="202" spans="1:81">
      <c r="A202" s="1" t="s">
        <v>867</v>
      </c>
      <c r="B202" s="1" t="s">
        <v>868</v>
      </c>
      <c r="C202" s="1" t="s">
        <v>190</v>
      </c>
      <c r="D202" s="1" t="str">
        <f>HYPERLINK("http://eros.fiehnlab.ucdavis.edu:8080/binbase-compound/bin/show/241059?db=rtx5","241059")</f>
        <v>241059</v>
      </c>
      <c r="E202" s="1" t="s">
        <v>869</v>
      </c>
      <c r="F202" s="1" t="s">
        <v>0</v>
      </c>
      <c r="G202" s="1" t="s">
        <v>0</v>
      </c>
      <c r="H202" s="1"/>
      <c r="I202" s="7">
        <v>987</v>
      </c>
      <c r="J202" s="7">
        <v>1412</v>
      </c>
      <c r="K202" s="7">
        <v>1119</v>
      </c>
      <c r="L202" s="7">
        <v>979</v>
      </c>
      <c r="M202" s="7">
        <v>1182</v>
      </c>
      <c r="N202" s="7">
        <v>1007</v>
      </c>
      <c r="O202" s="7">
        <v>2499</v>
      </c>
      <c r="P202" s="7">
        <v>1601</v>
      </c>
      <c r="Q202" s="7">
        <v>899</v>
      </c>
      <c r="R202" s="7">
        <v>1242</v>
      </c>
      <c r="S202" s="7">
        <v>681</v>
      </c>
      <c r="T202" s="7">
        <v>570</v>
      </c>
      <c r="U202" s="7">
        <v>567</v>
      </c>
      <c r="V202" s="7">
        <v>1370</v>
      </c>
      <c r="W202" s="7">
        <v>1197</v>
      </c>
      <c r="X202" s="7">
        <v>523</v>
      </c>
      <c r="Y202" s="7">
        <v>772</v>
      </c>
      <c r="Z202" s="7">
        <v>1271</v>
      </c>
      <c r="AA202" s="7">
        <v>955</v>
      </c>
      <c r="AB202" s="7">
        <v>738</v>
      </c>
      <c r="AC202" s="7">
        <v>975</v>
      </c>
      <c r="AD202" s="7">
        <v>1773</v>
      </c>
      <c r="AE202" s="7">
        <v>526</v>
      </c>
      <c r="AF202" s="7">
        <v>1122</v>
      </c>
      <c r="AG202" s="7">
        <v>900</v>
      </c>
      <c r="AH202" s="7">
        <v>1129</v>
      </c>
      <c r="AI202" s="7">
        <v>1013</v>
      </c>
      <c r="AJ202" s="7">
        <v>916</v>
      </c>
      <c r="AK202" s="7">
        <v>865</v>
      </c>
      <c r="AL202" s="7">
        <v>945</v>
      </c>
      <c r="AM202" s="7">
        <v>751</v>
      </c>
      <c r="AN202" s="7">
        <v>1147</v>
      </c>
      <c r="AO202" s="7">
        <v>872</v>
      </c>
      <c r="AP202" s="7">
        <v>952</v>
      </c>
      <c r="AQ202" s="7">
        <v>1636</v>
      </c>
      <c r="AR202" s="7">
        <v>637</v>
      </c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</row>
    <row r="203" spans="1:81">
      <c r="A203" s="1" t="s">
        <v>761</v>
      </c>
      <c r="B203" s="1" t="s">
        <v>762</v>
      </c>
      <c r="C203" s="1" t="s">
        <v>763</v>
      </c>
      <c r="D203" s="1" t="str">
        <f>HYPERLINK("http://eros.fiehnlab.ucdavis.edu:8080/binbase-compound/bin/show/289052?db=rtx5","289052")</f>
        <v>289052</v>
      </c>
      <c r="E203" s="1" t="s">
        <v>764</v>
      </c>
      <c r="F203" s="1" t="s">
        <v>0</v>
      </c>
      <c r="G203" s="1" t="s">
        <v>0</v>
      </c>
      <c r="H203" s="1"/>
      <c r="I203" s="7">
        <v>543</v>
      </c>
      <c r="J203" s="7">
        <v>563</v>
      </c>
      <c r="K203" s="7">
        <v>292</v>
      </c>
      <c r="L203" s="7">
        <v>517</v>
      </c>
      <c r="M203" s="7">
        <v>423</v>
      </c>
      <c r="N203" s="7">
        <v>432</v>
      </c>
      <c r="O203" s="7">
        <v>560</v>
      </c>
      <c r="P203" s="7">
        <v>266</v>
      </c>
      <c r="Q203" s="7">
        <v>277</v>
      </c>
      <c r="R203" s="7">
        <v>369</v>
      </c>
      <c r="S203" s="7">
        <v>281</v>
      </c>
      <c r="T203" s="7">
        <v>191</v>
      </c>
      <c r="U203" s="7">
        <v>1246</v>
      </c>
      <c r="V203" s="7">
        <v>419</v>
      </c>
      <c r="W203" s="7">
        <v>553</v>
      </c>
      <c r="X203" s="7">
        <v>567</v>
      </c>
      <c r="Y203" s="7">
        <v>469</v>
      </c>
      <c r="Z203" s="7">
        <v>817</v>
      </c>
      <c r="AA203" s="7">
        <v>1590</v>
      </c>
      <c r="AB203" s="7">
        <v>706</v>
      </c>
      <c r="AC203" s="7">
        <v>435</v>
      </c>
      <c r="AD203" s="7">
        <v>423</v>
      </c>
      <c r="AE203" s="7">
        <v>298</v>
      </c>
      <c r="AF203" s="7">
        <v>350</v>
      </c>
      <c r="AG203" s="7">
        <v>358</v>
      </c>
      <c r="AH203" s="7">
        <v>390</v>
      </c>
      <c r="AI203" s="7">
        <v>296</v>
      </c>
      <c r="AJ203" s="7">
        <v>345</v>
      </c>
      <c r="AK203" s="7">
        <v>379</v>
      </c>
      <c r="AL203" s="7">
        <v>602</v>
      </c>
      <c r="AM203" s="7">
        <v>372</v>
      </c>
      <c r="AN203" s="7">
        <v>1224</v>
      </c>
      <c r="AO203" s="7">
        <v>684</v>
      </c>
      <c r="AP203" s="7">
        <v>331</v>
      </c>
      <c r="AQ203" s="7">
        <v>1377</v>
      </c>
      <c r="AR203" s="7">
        <v>374</v>
      </c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</row>
    <row r="204" spans="1:81">
      <c r="A204" s="1" t="s">
        <v>988</v>
      </c>
      <c r="B204" s="1" t="s">
        <v>989</v>
      </c>
      <c r="C204" s="1" t="s">
        <v>273</v>
      </c>
      <c r="D204" s="1" t="str">
        <f>HYPERLINK("http://eros.fiehnlab.ucdavis.edu:8080/binbase-compound/bin/show/226912?db=rtx5","226912")</f>
        <v>226912</v>
      </c>
      <c r="E204" s="1" t="s">
        <v>990</v>
      </c>
      <c r="F204" s="1" t="s">
        <v>0</v>
      </c>
      <c r="G204" s="1" t="s">
        <v>0</v>
      </c>
      <c r="H204" s="1"/>
      <c r="I204" s="7">
        <v>556</v>
      </c>
      <c r="J204" s="7">
        <v>1592</v>
      </c>
      <c r="K204" s="7">
        <v>3088</v>
      </c>
      <c r="L204" s="7">
        <v>852</v>
      </c>
      <c r="M204" s="7">
        <v>190</v>
      </c>
      <c r="N204" s="7">
        <v>1121</v>
      </c>
      <c r="O204" s="7">
        <v>559</v>
      </c>
      <c r="P204" s="7">
        <v>276</v>
      </c>
      <c r="Q204" s="7">
        <v>221</v>
      </c>
      <c r="R204" s="7">
        <v>394</v>
      </c>
      <c r="S204" s="7">
        <v>280</v>
      </c>
      <c r="T204" s="7">
        <v>160</v>
      </c>
      <c r="U204" s="7">
        <v>236</v>
      </c>
      <c r="V204" s="7">
        <v>2331</v>
      </c>
      <c r="W204" s="7">
        <v>1838</v>
      </c>
      <c r="X204" s="7">
        <v>986</v>
      </c>
      <c r="Y204" s="7">
        <v>528</v>
      </c>
      <c r="Z204" s="7">
        <v>200</v>
      </c>
      <c r="AA204" s="7">
        <v>897</v>
      </c>
      <c r="AB204" s="7">
        <v>2820</v>
      </c>
      <c r="AC204" s="7">
        <v>4354</v>
      </c>
      <c r="AD204" s="7">
        <v>12288</v>
      </c>
      <c r="AE204" s="7">
        <v>828</v>
      </c>
      <c r="AF204" s="7">
        <v>4139</v>
      </c>
      <c r="AG204" s="7">
        <v>355</v>
      </c>
      <c r="AH204" s="7">
        <v>1293</v>
      </c>
      <c r="AI204" s="7">
        <v>257</v>
      </c>
      <c r="AJ204" s="7">
        <v>1056</v>
      </c>
      <c r="AK204" s="7">
        <v>826</v>
      </c>
      <c r="AL204" s="7">
        <v>609</v>
      </c>
      <c r="AM204" s="7">
        <v>834</v>
      </c>
      <c r="AN204" s="7">
        <v>353</v>
      </c>
      <c r="AO204" s="7">
        <v>9693</v>
      </c>
      <c r="AP204" s="7">
        <v>1546</v>
      </c>
      <c r="AQ204" s="7">
        <v>263</v>
      </c>
      <c r="AR204" s="7">
        <v>860</v>
      </c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</row>
    <row r="205" spans="1:81">
      <c r="A205" s="1" t="s">
        <v>714</v>
      </c>
      <c r="B205" s="1" t="s">
        <v>715</v>
      </c>
      <c r="C205" s="1" t="s">
        <v>716</v>
      </c>
      <c r="D205" s="1" t="str">
        <f>HYPERLINK("http://eros.fiehnlab.ucdavis.edu:8080/binbase-compound/bin/show/310006?db=rtx5","310006")</f>
        <v>310006</v>
      </c>
      <c r="E205" s="1" t="s">
        <v>717</v>
      </c>
      <c r="F205" s="1" t="s">
        <v>0</v>
      </c>
      <c r="G205" s="1" t="s">
        <v>0</v>
      </c>
      <c r="H205" s="1"/>
      <c r="I205" s="7">
        <v>615</v>
      </c>
      <c r="J205" s="7">
        <v>973</v>
      </c>
      <c r="K205" s="7">
        <v>581</v>
      </c>
      <c r="L205" s="7">
        <v>556</v>
      </c>
      <c r="M205" s="7">
        <v>615</v>
      </c>
      <c r="N205" s="7">
        <v>692</v>
      </c>
      <c r="O205" s="7">
        <v>724</v>
      </c>
      <c r="P205" s="7">
        <v>871</v>
      </c>
      <c r="Q205" s="7">
        <v>600</v>
      </c>
      <c r="R205" s="7">
        <v>784</v>
      </c>
      <c r="S205" s="7">
        <v>1055</v>
      </c>
      <c r="T205" s="7">
        <v>559</v>
      </c>
      <c r="U205" s="7">
        <v>969</v>
      </c>
      <c r="V205" s="7">
        <v>535</v>
      </c>
      <c r="W205" s="7">
        <v>620</v>
      </c>
      <c r="X205" s="7">
        <v>572</v>
      </c>
      <c r="Y205" s="7">
        <v>412</v>
      </c>
      <c r="Z205" s="7">
        <v>680</v>
      </c>
      <c r="AA205" s="7">
        <v>515</v>
      </c>
      <c r="AB205" s="7">
        <v>345</v>
      </c>
      <c r="AC205" s="7">
        <v>400</v>
      </c>
      <c r="AD205" s="7">
        <v>593</v>
      </c>
      <c r="AE205" s="7">
        <v>475</v>
      </c>
      <c r="AF205" s="7">
        <v>432</v>
      </c>
      <c r="AG205" s="7">
        <v>618</v>
      </c>
      <c r="AH205" s="7">
        <v>424</v>
      </c>
      <c r="AI205" s="7">
        <v>583</v>
      </c>
      <c r="AJ205" s="7">
        <v>463</v>
      </c>
      <c r="AK205" s="7">
        <v>562</v>
      </c>
      <c r="AL205" s="7">
        <v>705</v>
      </c>
      <c r="AM205" s="7">
        <v>663</v>
      </c>
      <c r="AN205" s="7">
        <v>784</v>
      </c>
      <c r="AO205" s="7">
        <v>522</v>
      </c>
      <c r="AP205" s="7">
        <v>683</v>
      </c>
      <c r="AQ205" s="7">
        <v>909</v>
      </c>
      <c r="AR205" s="7">
        <v>565</v>
      </c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</row>
    <row r="206" spans="1:81">
      <c r="A206" s="1" t="s">
        <v>811</v>
      </c>
      <c r="B206" s="1" t="s">
        <v>812</v>
      </c>
      <c r="C206" s="1" t="s">
        <v>254</v>
      </c>
      <c r="D206" s="1" t="str">
        <f>HYPERLINK("http://eros.fiehnlab.ucdavis.edu:8080/binbase-compound/bin/show/269272?db=rtx5","269272")</f>
        <v>269272</v>
      </c>
      <c r="E206" s="1" t="s">
        <v>813</v>
      </c>
      <c r="F206" s="1" t="s">
        <v>0</v>
      </c>
      <c r="G206" s="1" t="s">
        <v>0</v>
      </c>
      <c r="H206" s="1"/>
      <c r="I206" s="7">
        <v>935</v>
      </c>
      <c r="J206" s="7">
        <v>1474</v>
      </c>
      <c r="K206" s="7">
        <v>1370</v>
      </c>
      <c r="L206" s="7">
        <v>832</v>
      </c>
      <c r="M206" s="7">
        <v>1962</v>
      </c>
      <c r="N206" s="7">
        <v>1603</v>
      </c>
      <c r="O206" s="7">
        <v>3485</v>
      </c>
      <c r="P206" s="7">
        <v>2993</v>
      </c>
      <c r="Q206" s="7">
        <v>420</v>
      </c>
      <c r="R206" s="7">
        <v>1483</v>
      </c>
      <c r="S206" s="7">
        <v>581</v>
      </c>
      <c r="T206" s="7">
        <v>222</v>
      </c>
      <c r="U206" s="7">
        <v>1620</v>
      </c>
      <c r="V206" s="7">
        <v>3035</v>
      </c>
      <c r="W206" s="7">
        <v>1542</v>
      </c>
      <c r="X206" s="7">
        <v>399</v>
      </c>
      <c r="Y206" s="7">
        <v>989</v>
      </c>
      <c r="Z206" s="7">
        <v>1400</v>
      </c>
      <c r="AA206" s="7">
        <v>1179</v>
      </c>
      <c r="AB206" s="7">
        <v>628</v>
      </c>
      <c r="AC206" s="7">
        <v>853</v>
      </c>
      <c r="AD206" s="7">
        <v>939</v>
      </c>
      <c r="AE206" s="7">
        <v>402</v>
      </c>
      <c r="AF206" s="7">
        <v>1202</v>
      </c>
      <c r="AG206" s="7">
        <v>590</v>
      </c>
      <c r="AH206" s="7">
        <v>940</v>
      </c>
      <c r="AI206" s="7">
        <v>544</v>
      </c>
      <c r="AJ206" s="7">
        <v>1293</v>
      </c>
      <c r="AK206" s="7">
        <v>569</v>
      </c>
      <c r="AL206" s="7">
        <v>498</v>
      </c>
      <c r="AM206" s="7">
        <v>1020</v>
      </c>
      <c r="AN206" s="7">
        <v>911</v>
      </c>
      <c r="AO206" s="7">
        <v>858</v>
      </c>
      <c r="AP206" s="7">
        <v>1409</v>
      </c>
      <c r="AQ206" s="7">
        <v>3880</v>
      </c>
      <c r="AR206" s="7">
        <v>518</v>
      </c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</row>
    <row r="207" spans="1:81">
      <c r="A207" s="1" t="s">
        <v>945</v>
      </c>
      <c r="B207" s="1" t="s">
        <v>946</v>
      </c>
      <c r="C207" s="1" t="s">
        <v>947</v>
      </c>
      <c r="D207" s="1" t="str">
        <f>HYPERLINK("http://eros.fiehnlab.ucdavis.edu:8080/binbase-compound/bin/show/233298?db=rtx5","233298")</f>
        <v>233298</v>
      </c>
      <c r="E207" s="1" t="s">
        <v>948</v>
      </c>
      <c r="F207" s="1" t="s">
        <v>0</v>
      </c>
      <c r="G207" s="1" t="s">
        <v>0</v>
      </c>
      <c r="H207" s="1"/>
      <c r="I207" s="7">
        <v>2007</v>
      </c>
      <c r="J207" s="7">
        <v>1505</v>
      </c>
      <c r="K207" s="7">
        <v>515</v>
      </c>
      <c r="L207" s="7">
        <v>477</v>
      </c>
      <c r="M207" s="7">
        <v>2028</v>
      </c>
      <c r="N207" s="7">
        <v>725</v>
      </c>
      <c r="O207" s="7">
        <v>839</v>
      </c>
      <c r="P207" s="7">
        <v>478</v>
      </c>
      <c r="Q207" s="7">
        <v>1637</v>
      </c>
      <c r="R207" s="7">
        <v>592</v>
      </c>
      <c r="S207" s="7">
        <v>2019</v>
      </c>
      <c r="T207" s="7">
        <v>1689</v>
      </c>
      <c r="U207" s="7">
        <v>566</v>
      </c>
      <c r="V207" s="7">
        <v>2096</v>
      </c>
      <c r="W207" s="7">
        <v>1891</v>
      </c>
      <c r="X207" s="7">
        <v>1081</v>
      </c>
      <c r="Y207" s="7">
        <v>659</v>
      </c>
      <c r="Z207" s="7">
        <v>1559</v>
      </c>
      <c r="AA207" s="7">
        <v>234</v>
      </c>
      <c r="AB207" s="7">
        <v>1124</v>
      </c>
      <c r="AC207" s="7">
        <v>460</v>
      </c>
      <c r="AD207" s="7">
        <v>268</v>
      </c>
      <c r="AE207" s="7">
        <v>2029</v>
      </c>
      <c r="AF207" s="7">
        <v>552</v>
      </c>
      <c r="AG207" s="7">
        <v>1619</v>
      </c>
      <c r="AH207" s="7">
        <v>956</v>
      </c>
      <c r="AI207" s="7">
        <v>1433</v>
      </c>
      <c r="AJ207" s="7">
        <v>1190</v>
      </c>
      <c r="AK207" s="7">
        <v>1305</v>
      </c>
      <c r="AL207" s="7">
        <v>2558</v>
      </c>
      <c r="AM207" s="7">
        <v>914</v>
      </c>
      <c r="AN207" s="7">
        <v>2027</v>
      </c>
      <c r="AO207" s="7">
        <v>594</v>
      </c>
      <c r="AP207" s="7">
        <v>852</v>
      </c>
      <c r="AQ207" s="7">
        <v>2046</v>
      </c>
      <c r="AR207" s="7">
        <v>873</v>
      </c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</row>
    <row r="208" spans="1:81">
      <c r="A208" s="1" t="s">
        <v>1048</v>
      </c>
      <c r="B208" s="1" t="s">
        <v>1049</v>
      </c>
      <c r="C208" s="1" t="s">
        <v>1028</v>
      </c>
      <c r="D208" s="1" t="str">
        <f>HYPERLINK("http://eros.fiehnlab.ucdavis.edu:8080/binbase-compound/bin/show/217893?db=rtx5","217893")</f>
        <v>217893</v>
      </c>
      <c r="E208" s="1" t="s">
        <v>1050</v>
      </c>
      <c r="F208" s="1" t="s">
        <v>0</v>
      </c>
      <c r="G208" s="1" t="s">
        <v>0</v>
      </c>
      <c r="H208" s="1"/>
      <c r="I208" s="7">
        <v>174</v>
      </c>
      <c r="J208" s="7">
        <v>143</v>
      </c>
      <c r="K208" s="7">
        <v>643</v>
      </c>
      <c r="L208" s="7">
        <v>564</v>
      </c>
      <c r="M208" s="7">
        <v>113</v>
      </c>
      <c r="N208" s="7">
        <v>211</v>
      </c>
      <c r="O208" s="7">
        <v>111</v>
      </c>
      <c r="P208" s="7">
        <v>788</v>
      </c>
      <c r="Q208" s="7">
        <v>287</v>
      </c>
      <c r="R208" s="7">
        <v>1223</v>
      </c>
      <c r="S208" s="7">
        <v>526</v>
      </c>
      <c r="T208" s="7">
        <v>305</v>
      </c>
      <c r="U208" s="7">
        <v>296</v>
      </c>
      <c r="V208" s="7">
        <v>340</v>
      </c>
      <c r="W208" s="7">
        <v>324</v>
      </c>
      <c r="X208" s="7">
        <v>1416</v>
      </c>
      <c r="Y208" s="7">
        <v>745</v>
      </c>
      <c r="Z208" s="7">
        <v>778</v>
      </c>
      <c r="AA208" s="7">
        <v>2622</v>
      </c>
      <c r="AB208" s="7">
        <v>3289</v>
      </c>
      <c r="AC208" s="7">
        <v>520</v>
      </c>
      <c r="AD208" s="7">
        <v>385</v>
      </c>
      <c r="AE208" s="7">
        <v>520</v>
      </c>
      <c r="AF208" s="7">
        <v>579</v>
      </c>
      <c r="AG208" s="7">
        <v>849</v>
      </c>
      <c r="AH208" s="7">
        <v>946</v>
      </c>
      <c r="AI208" s="7">
        <v>122</v>
      </c>
      <c r="AJ208" s="7">
        <v>2149</v>
      </c>
      <c r="AK208" s="7">
        <v>626</v>
      </c>
      <c r="AL208" s="7">
        <v>264</v>
      </c>
      <c r="AM208" s="7">
        <v>877</v>
      </c>
      <c r="AN208" s="7">
        <v>201</v>
      </c>
      <c r="AO208" s="7">
        <v>767</v>
      </c>
      <c r="AP208" s="7">
        <v>774</v>
      </c>
      <c r="AQ208" s="7">
        <v>257</v>
      </c>
      <c r="AR208" s="7">
        <v>516</v>
      </c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</row>
    <row r="209" spans="1:81">
      <c r="A209" s="1" t="s">
        <v>1093</v>
      </c>
      <c r="B209" s="1" t="s">
        <v>1094</v>
      </c>
      <c r="C209" s="1" t="s">
        <v>167</v>
      </c>
      <c r="D209" s="1" t="str">
        <f>HYPERLINK("http://eros.fiehnlab.ucdavis.edu:8080/binbase-compound/bin/show/207729?db=rtx5","207729")</f>
        <v>207729</v>
      </c>
      <c r="E209" s="1" t="s">
        <v>1095</v>
      </c>
      <c r="F209" s="1" t="s">
        <v>0</v>
      </c>
      <c r="G209" s="1" t="s">
        <v>0</v>
      </c>
      <c r="H209" s="1"/>
      <c r="I209" s="7">
        <v>8024</v>
      </c>
      <c r="J209" s="7">
        <v>20774</v>
      </c>
      <c r="K209" s="7">
        <v>5536</v>
      </c>
      <c r="L209" s="7">
        <v>5616</v>
      </c>
      <c r="M209" s="7">
        <v>10669</v>
      </c>
      <c r="N209" s="7">
        <v>14573</v>
      </c>
      <c r="O209" s="7">
        <v>12403</v>
      </c>
      <c r="P209" s="7">
        <v>9519</v>
      </c>
      <c r="Q209" s="7">
        <v>12556</v>
      </c>
      <c r="R209" s="7">
        <v>4785</v>
      </c>
      <c r="S209" s="7">
        <v>11290</v>
      </c>
      <c r="T209" s="7">
        <v>10450</v>
      </c>
      <c r="U209" s="7">
        <v>4067</v>
      </c>
      <c r="V209" s="7">
        <v>12519</v>
      </c>
      <c r="W209" s="7">
        <v>17627</v>
      </c>
      <c r="X209" s="7">
        <v>8255</v>
      </c>
      <c r="Y209" s="7">
        <v>4447</v>
      </c>
      <c r="Z209" s="7">
        <v>18339</v>
      </c>
      <c r="AA209" s="7">
        <v>14455</v>
      </c>
      <c r="AB209" s="7">
        <v>5602</v>
      </c>
      <c r="AC209" s="7">
        <v>5249</v>
      </c>
      <c r="AD209" s="7">
        <v>6587</v>
      </c>
      <c r="AE209" s="7">
        <v>5998</v>
      </c>
      <c r="AF209" s="7">
        <v>4567</v>
      </c>
      <c r="AG209" s="7">
        <v>7613</v>
      </c>
      <c r="AH209" s="7">
        <v>4112</v>
      </c>
      <c r="AI209" s="7">
        <v>11372</v>
      </c>
      <c r="AJ209" s="7">
        <v>3539</v>
      </c>
      <c r="AK209" s="7">
        <v>3925</v>
      </c>
      <c r="AL209" s="7">
        <v>19934</v>
      </c>
      <c r="AM209" s="7">
        <v>6660</v>
      </c>
      <c r="AN209" s="7">
        <v>17961</v>
      </c>
      <c r="AO209" s="7">
        <v>5367</v>
      </c>
      <c r="AP209" s="7">
        <v>4528</v>
      </c>
      <c r="AQ209" s="7">
        <v>25850</v>
      </c>
      <c r="AR209" s="7">
        <v>5915</v>
      </c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</row>
    <row r="210" spans="1:81">
      <c r="A210" s="1" t="s">
        <v>589</v>
      </c>
      <c r="B210" s="1" t="s">
        <v>590</v>
      </c>
      <c r="C210" s="1" t="s">
        <v>93</v>
      </c>
      <c r="D210" s="1" t="str">
        <f>HYPERLINK("http://eros.fiehnlab.ucdavis.edu:8080/binbase-compound/bin/show/408756?db=rtx5","408756")</f>
        <v>408756</v>
      </c>
      <c r="E210" s="1" t="s">
        <v>591</v>
      </c>
      <c r="F210" s="1" t="s">
        <v>0</v>
      </c>
      <c r="G210" s="1" t="s">
        <v>0</v>
      </c>
      <c r="H210" s="1"/>
      <c r="I210" s="7">
        <v>2050</v>
      </c>
      <c r="J210" s="7">
        <v>446</v>
      </c>
      <c r="K210" s="7">
        <v>1246</v>
      </c>
      <c r="L210" s="7">
        <v>2689</v>
      </c>
      <c r="M210" s="7">
        <v>1411</v>
      </c>
      <c r="N210" s="7">
        <v>713</v>
      </c>
      <c r="O210" s="7">
        <v>841</v>
      </c>
      <c r="P210" s="7">
        <v>4730</v>
      </c>
      <c r="Q210" s="7">
        <v>4563</v>
      </c>
      <c r="R210" s="7">
        <v>3495</v>
      </c>
      <c r="S210" s="7">
        <v>1639</v>
      </c>
      <c r="T210" s="7">
        <v>2549</v>
      </c>
      <c r="U210" s="7">
        <v>1860</v>
      </c>
      <c r="V210" s="7">
        <v>321</v>
      </c>
      <c r="W210" s="7">
        <v>986</v>
      </c>
      <c r="X210" s="7">
        <v>624</v>
      </c>
      <c r="Y210" s="7">
        <v>2251</v>
      </c>
      <c r="Z210" s="7">
        <v>1110</v>
      </c>
      <c r="AA210" s="7">
        <v>944</v>
      </c>
      <c r="AB210" s="7">
        <v>2199</v>
      </c>
      <c r="AC210" s="7">
        <v>1905</v>
      </c>
      <c r="AD210" s="7">
        <v>10837</v>
      </c>
      <c r="AE210" s="7">
        <v>5052</v>
      </c>
      <c r="AF210" s="7">
        <v>5282</v>
      </c>
      <c r="AG210" s="7">
        <v>5074</v>
      </c>
      <c r="AH210" s="7">
        <v>6355</v>
      </c>
      <c r="AI210" s="7">
        <v>548</v>
      </c>
      <c r="AJ210" s="7">
        <v>9189</v>
      </c>
      <c r="AK210" s="7">
        <v>7764</v>
      </c>
      <c r="AL210" s="7">
        <v>1735</v>
      </c>
      <c r="AM210" s="7">
        <v>5660</v>
      </c>
      <c r="AN210" s="7">
        <v>523</v>
      </c>
      <c r="AO210" s="7">
        <v>4908</v>
      </c>
      <c r="AP210" s="7">
        <v>11898</v>
      </c>
      <c r="AQ210" s="7">
        <v>1807</v>
      </c>
      <c r="AR210" s="7">
        <v>2025</v>
      </c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</row>
    <row r="211" spans="1:81">
      <c r="A211" s="1" t="s">
        <v>959</v>
      </c>
      <c r="B211" s="1" t="s">
        <v>960</v>
      </c>
      <c r="C211" s="1" t="s">
        <v>155</v>
      </c>
      <c r="D211" s="1" t="str">
        <f>HYPERLINK("http://eros.fiehnlab.ucdavis.edu:8080/binbase-compound/bin/show/231802?db=rtx5","231802")</f>
        <v>231802</v>
      </c>
      <c r="E211" s="1" t="s">
        <v>961</v>
      </c>
      <c r="F211" s="1" t="s">
        <v>0</v>
      </c>
      <c r="G211" s="1" t="s">
        <v>0</v>
      </c>
      <c r="H211" s="1"/>
      <c r="I211" s="7">
        <v>1124</v>
      </c>
      <c r="J211" s="7">
        <v>3554</v>
      </c>
      <c r="K211" s="7">
        <v>826</v>
      </c>
      <c r="L211" s="7">
        <v>970</v>
      </c>
      <c r="M211" s="7">
        <v>1656</v>
      </c>
      <c r="N211" s="7">
        <v>2245</v>
      </c>
      <c r="O211" s="7">
        <v>1557</v>
      </c>
      <c r="P211" s="7">
        <v>785</v>
      </c>
      <c r="Q211" s="7">
        <v>1942</v>
      </c>
      <c r="R211" s="7">
        <v>941</v>
      </c>
      <c r="S211" s="7">
        <v>1785</v>
      </c>
      <c r="T211" s="7">
        <v>1838</v>
      </c>
      <c r="U211" s="7">
        <v>618</v>
      </c>
      <c r="V211" s="7">
        <v>1677</v>
      </c>
      <c r="W211" s="7">
        <v>2580</v>
      </c>
      <c r="X211" s="7">
        <v>1447</v>
      </c>
      <c r="Y211" s="7">
        <v>1043</v>
      </c>
      <c r="Z211" s="7">
        <v>2597</v>
      </c>
      <c r="AA211" s="7">
        <v>2331</v>
      </c>
      <c r="AB211" s="7">
        <v>1076</v>
      </c>
      <c r="AC211" s="7">
        <v>833</v>
      </c>
      <c r="AD211" s="7">
        <v>823</v>
      </c>
      <c r="AE211" s="7">
        <v>1035</v>
      </c>
      <c r="AF211" s="7">
        <v>1122</v>
      </c>
      <c r="AG211" s="7">
        <v>1146</v>
      </c>
      <c r="AH211" s="7">
        <v>790</v>
      </c>
      <c r="AI211" s="7">
        <v>2013</v>
      </c>
      <c r="AJ211" s="7">
        <v>888</v>
      </c>
      <c r="AK211" s="7">
        <v>915</v>
      </c>
      <c r="AL211" s="7">
        <v>2785</v>
      </c>
      <c r="AM211" s="7">
        <v>1224</v>
      </c>
      <c r="AN211" s="7">
        <v>2831</v>
      </c>
      <c r="AO211" s="7">
        <v>916</v>
      </c>
      <c r="AP211" s="7">
        <v>1356</v>
      </c>
      <c r="AQ211" s="7">
        <v>3722</v>
      </c>
      <c r="AR211" s="7">
        <v>1200</v>
      </c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</row>
    <row r="212" spans="1:81">
      <c r="A212" s="1" t="s">
        <v>575</v>
      </c>
      <c r="B212" s="1" t="s">
        <v>576</v>
      </c>
      <c r="C212" s="1" t="s">
        <v>190</v>
      </c>
      <c r="D212" s="1" t="str">
        <f>HYPERLINK("http://eros.fiehnlab.ucdavis.edu:8080/binbase-compound/bin/show/408836?db=rtx5","408836")</f>
        <v>408836</v>
      </c>
      <c r="E212" s="1" t="s">
        <v>577</v>
      </c>
      <c r="F212" s="1" t="s">
        <v>0</v>
      </c>
      <c r="G212" s="1" t="s">
        <v>0</v>
      </c>
      <c r="H212" s="1"/>
      <c r="I212" s="7">
        <v>1849</v>
      </c>
      <c r="J212" s="7">
        <v>2484</v>
      </c>
      <c r="K212" s="7">
        <v>1371</v>
      </c>
      <c r="L212" s="7">
        <v>1247</v>
      </c>
      <c r="M212" s="7">
        <v>1498</v>
      </c>
      <c r="N212" s="7">
        <v>1796</v>
      </c>
      <c r="O212" s="7">
        <v>2562</v>
      </c>
      <c r="P212" s="7">
        <v>1667</v>
      </c>
      <c r="Q212" s="7">
        <v>2293</v>
      </c>
      <c r="R212" s="7">
        <v>1145</v>
      </c>
      <c r="S212" s="7">
        <v>2006</v>
      </c>
      <c r="T212" s="7">
        <v>2128</v>
      </c>
      <c r="U212" s="7">
        <v>665</v>
      </c>
      <c r="V212" s="7">
        <v>1697</v>
      </c>
      <c r="W212" s="7">
        <v>1983</v>
      </c>
      <c r="X212" s="7">
        <v>1439</v>
      </c>
      <c r="Y212" s="7">
        <v>776</v>
      </c>
      <c r="Z212" s="7">
        <v>2485</v>
      </c>
      <c r="AA212" s="7">
        <v>1382</v>
      </c>
      <c r="AB212" s="7">
        <v>1396</v>
      </c>
      <c r="AC212" s="7">
        <v>1454</v>
      </c>
      <c r="AD212" s="7">
        <v>1321</v>
      </c>
      <c r="AE212" s="7">
        <v>1346</v>
      </c>
      <c r="AF212" s="7">
        <v>1124</v>
      </c>
      <c r="AG212" s="7">
        <v>1696</v>
      </c>
      <c r="AH212" s="7">
        <v>1065</v>
      </c>
      <c r="AI212" s="7">
        <v>1856</v>
      </c>
      <c r="AJ212" s="7">
        <v>711</v>
      </c>
      <c r="AK212" s="7">
        <v>1315</v>
      </c>
      <c r="AL212" s="7">
        <v>2558</v>
      </c>
      <c r="AM212" s="7">
        <v>1197</v>
      </c>
      <c r="AN212" s="7">
        <v>2231</v>
      </c>
      <c r="AO212" s="7">
        <v>1475</v>
      </c>
      <c r="AP212" s="7">
        <v>1226</v>
      </c>
      <c r="AQ212" s="7">
        <v>2592</v>
      </c>
      <c r="AR212" s="7">
        <v>1294</v>
      </c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</row>
    <row r="213" spans="1:81">
      <c r="A213" s="1" t="s">
        <v>1051</v>
      </c>
      <c r="B213" s="1" t="s">
        <v>1052</v>
      </c>
      <c r="C213" s="1" t="s">
        <v>135</v>
      </c>
      <c r="D213" s="1" t="str">
        <f>HYPERLINK("http://eros.fiehnlab.ucdavis.edu:8080/binbase-compound/bin/show/216860?db=rtx5","216860")</f>
        <v>216860</v>
      </c>
      <c r="E213" s="1" t="s">
        <v>1053</v>
      </c>
      <c r="F213" s="1" t="s">
        <v>0</v>
      </c>
      <c r="G213" s="1" t="s">
        <v>0</v>
      </c>
      <c r="H213" s="1"/>
      <c r="I213" s="7">
        <v>1737</v>
      </c>
      <c r="J213" s="7">
        <v>4701</v>
      </c>
      <c r="K213" s="7">
        <v>3470</v>
      </c>
      <c r="L213" s="7">
        <v>2406</v>
      </c>
      <c r="M213" s="7">
        <v>664</v>
      </c>
      <c r="N213" s="7">
        <v>4132</v>
      </c>
      <c r="O213" s="7">
        <v>844</v>
      </c>
      <c r="P213" s="7">
        <v>753</v>
      </c>
      <c r="Q213" s="7">
        <v>1199</v>
      </c>
      <c r="R213" s="7">
        <v>1580</v>
      </c>
      <c r="S213" s="7">
        <v>1921</v>
      </c>
      <c r="T213" s="7">
        <v>2273</v>
      </c>
      <c r="U213" s="7">
        <v>684</v>
      </c>
      <c r="V213" s="7">
        <v>3409</v>
      </c>
      <c r="W213" s="7">
        <v>4577</v>
      </c>
      <c r="X213" s="7">
        <v>3377</v>
      </c>
      <c r="Y213" s="7">
        <v>1143</v>
      </c>
      <c r="Z213" s="7">
        <v>946</v>
      </c>
      <c r="AA213" s="7">
        <v>1687</v>
      </c>
      <c r="AB213" s="7">
        <v>4858</v>
      </c>
      <c r="AC213" s="7">
        <v>11393</v>
      </c>
      <c r="AD213" s="7">
        <v>14710</v>
      </c>
      <c r="AE213" s="7">
        <v>2307</v>
      </c>
      <c r="AF213" s="7">
        <v>7930</v>
      </c>
      <c r="AG213" s="7">
        <v>1163</v>
      </c>
      <c r="AH213" s="7">
        <v>3298</v>
      </c>
      <c r="AI213" s="7">
        <v>952</v>
      </c>
      <c r="AJ213" s="7">
        <v>4105</v>
      </c>
      <c r="AK213" s="7">
        <v>2091</v>
      </c>
      <c r="AL213" s="7">
        <v>2732</v>
      </c>
      <c r="AM213" s="7">
        <v>1622</v>
      </c>
      <c r="AN213" s="7">
        <v>1274</v>
      </c>
      <c r="AO213" s="7">
        <v>16523</v>
      </c>
      <c r="AP213" s="7">
        <v>3505</v>
      </c>
      <c r="AQ213" s="7">
        <v>1356</v>
      </c>
      <c r="AR213" s="7">
        <v>2719</v>
      </c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</row>
    <row r="214" spans="1:81">
      <c r="A214" s="1" t="s">
        <v>932</v>
      </c>
      <c r="B214" s="1" t="s">
        <v>933</v>
      </c>
      <c r="C214" s="1" t="s">
        <v>117</v>
      </c>
      <c r="D214" s="1" t="str">
        <f>HYPERLINK("http://eros.fiehnlab.ucdavis.edu:8080/binbase-compound/bin/show/235449?db=rtx5","235449")</f>
        <v>235449</v>
      </c>
      <c r="E214" s="1" t="s">
        <v>934</v>
      </c>
      <c r="F214" s="1" t="s">
        <v>0</v>
      </c>
      <c r="G214" s="1" t="s">
        <v>0</v>
      </c>
      <c r="H214" s="1"/>
      <c r="I214" s="7">
        <v>4924</v>
      </c>
      <c r="J214" s="7">
        <v>8995</v>
      </c>
      <c r="K214" s="7">
        <v>5210</v>
      </c>
      <c r="L214" s="7">
        <v>5538</v>
      </c>
      <c r="M214" s="7">
        <v>6313</v>
      </c>
      <c r="N214" s="7">
        <v>6715</v>
      </c>
      <c r="O214" s="7">
        <v>6101</v>
      </c>
      <c r="P214" s="7">
        <v>4201</v>
      </c>
      <c r="Q214" s="7">
        <v>8771</v>
      </c>
      <c r="R214" s="7">
        <v>2814</v>
      </c>
      <c r="S214" s="7">
        <v>4951</v>
      </c>
      <c r="T214" s="7">
        <v>5061</v>
      </c>
      <c r="U214" s="7">
        <v>2716</v>
      </c>
      <c r="V214" s="7">
        <v>5944</v>
      </c>
      <c r="W214" s="7">
        <v>11082</v>
      </c>
      <c r="X214" s="7">
        <v>5227</v>
      </c>
      <c r="Y214" s="7">
        <v>2800</v>
      </c>
      <c r="Z214" s="7">
        <v>7222</v>
      </c>
      <c r="AA214" s="7">
        <v>6877</v>
      </c>
      <c r="AB214" s="7">
        <v>5729</v>
      </c>
      <c r="AC214" s="7">
        <v>5658</v>
      </c>
      <c r="AD214" s="7">
        <v>8284</v>
      </c>
      <c r="AE214" s="7">
        <v>6356</v>
      </c>
      <c r="AF214" s="7">
        <v>5635</v>
      </c>
      <c r="AG214" s="7">
        <v>4964</v>
      </c>
      <c r="AH214" s="7">
        <v>5852</v>
      </c>
      <c r="AI214" s="7">
        <v>5236</v>
      </c>
      <c r="AJ214" s="7">
        <v>5189</v>
      </c>
      <c r="AK214" s="7">
        <v>4839</v>
      </c>
      <c r="AL214" s="7">
        <v>9159</v>
      </c>
      <c r="AM214" s="7">
        <v>4888</v>
      </c>
      <c r="AN214" s="7">
        <v>7532</v>
      </c>
      <c r="AO214" s="7">
        <v>3767</v>
      </c>
      <c r="AP214" s="7">
        <v>3865</v>
      </c>
      <c r="AQ214" s="7">
        <v>9523</v>
      </c>
      <c r="AR214" s="7">
        <v>4844</v>
      </c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</row>
    <row r="215" spans="1:81">
      <c r="A215" s="1" t="s">
        <v>824</v>
      </c>
      <c r="B215" s="1" t="s">
        <v>825</v>
      </c>
      <c r="C215" s="1" t="s">
        <v>682</v>
      </c>
      <c r="D215" s="1" t="str">
        <f>HYPERLINK("http://eros.fiehnlab.ucdavis.edu:8080/binbase-compound/bin/show/268399?db=rtx5","268399")</f>
        <v>268399</v>
      </c>
      <c r="E215" s="1" t="s">
        <v>826</v>
      </c>
      <c r="F215" s="1" t="s">
        <v>0</v>
      </c>
      <c r="G215" s="1" t="s">
        <v>0</v>
      </c>
      <c r="H215" s="1"/>
      <c r="I215" s="7">
        <v>541</v>
      </c>
      <c r="J215" s="7">
        <v>535</v>
      </c>
      <c r="K215" s="7">
        <v>459</v>
      </c>
      <c r="L215" s="7">
        <v>615</v>
      </c>
      <c r="M215" s="7">
        <v>295</v>
      </c>
      <c r="N215" s="7">
        <v>482</v>
      </c>
      <c r="O215" s="7">
        <v>1040</v>
      </c>
      <c r="P215" s="7">
        <v>271</v>
      </c>
      <c r="Q215" s="7">
        <v>631</v>
      </c>
      <c r="R215" s="7">
        <v>404</v>
      </c>
      <c r="S215" s="7">
        <v>625</v>
      </c>
      <c r="T215" s="7">
        <v>365</v>
      </c>
      <c r="U215" s="7">
        <v>226</v>
      </c>
      <c r="V215" s="7">
        <v>540</v>
      </c>
      <c r="W215" s="7">
        <v>504</v>
      </c>
      <c r="X215" s="7">
        <v>418</v>
      </c>
      <c r="Y215" s="7">
        <v>383</v>
      </c>
      <c r="Z215" s="7">
        <v>343</v>
      </c>
      <c r="AA215" s="7">
        <v>1006</v>
      </c>
      <c r="AB215" s="7">
        <v>370</v>
      </c>
      <c r="AC215" s="7">
        <v>371</v>
      </c>
      <c r="AD215" s="7">
        <v>402</v>
      </c>
      <c r="AE215" s="7">
        <v>489</v>
      </c>
      <c r="AF215" s="7">
        <v>436</v>
      </c>
      <c r="AG215" s="7">
        <v>426</v>
      </c>
      <c r="AH215" s="7">
        <v>487</v>
      </c>
      <c r="AI215" s="7">
        <v>643</v>
      </c>
      <c r="AJ215" s="7">
        <v>522</v>
      </c>
      <c r="AK215" s="7">
        <v>645</v>
      </c>
      <c r="AL215" s="7">
        <v>418</v>
      </c>
      <c r="AM215" s="7">
        <v>565</v>
      </c>
      <c r="AN215" s="7">
        <v>479</v>
      </c>
      <c r="AO215" s="7">
        <v>422</v>
      </c>
      <c r="AP215" s="7">
        <v>539</v>
      </c>
      <c r="AQ215" s="7">
        <v>409</v>
      </c>
      <c r="AR215" s="7">
        <v>553</v>
      </c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</row>
    <row r="216" spans="1:81">
      <c r="A216" s="1" t="s">
        <v>1147</v>
      </c>
      <c r="B216" s="1" t="s">
        <v>1148</v>
      </c>
      <c r="C216" s="1" t="s">
        <v>594</v>
      </c>
      <c r="D216" s="1" t="str">
        <f>HYPERLINK("http://eros.fiehnlab.ucdavis.edu:8080/binbase-compound/bin/show/200471?db=rtx5","200471")</f>
        <v>200471</v>
      </c>
      <c r="E216" s="1" t="s">
        <v>1149</v>
      </c>
      <c r="F216" s="1" t="s">
        <v>0</v>
      </c>
      <c r="G216" s="1" t="s">
        <v>0</v>
      </c>
      <c r="H216" s="1"/>
      <c r="I216" s="7">
        <v>958</v>
      </c>
      <c r="J216" s="7">
        <v>507</v>
      </c>
      <c r="K216" s="7">
        <v>6559</v>
      </c>
      <c r="L216" s="7">
        <v>6052</v>
      </c>
      <c r="M216" s="7">
        <v>512</v>
      </c>
      <c r="N216" s="7">
        <v>1623</v>
      </c>
      <c r="O216" s="7">
        <v>912</v>
      </c>
      <c r="P216" s="7">
        <v>3133</v>
      </c>
      <c r="Q216" s="7">
        <v>659</v>
      </c>
      <c r="R216" s="7">
        <v>12014</v>
      </c>
      <c r="S216" s="7">
        <v>673</v>
      </c>
      <c r="T216" s="7">
        <v>2128</v>
      </c>
      <c r="U216" s="7">
        <v>6098</v>
      </c>
      <c r="V216" s="7">
        <v>1511</v>
      </c>
      <c r="W216" s="7">
        <v>643</v>
      </c>
      <c r="X216" s="7">
        <v>852</v>
      </c>
      <c r="Y216" s="7">
        <v>9909</v>
      </c>
      <c r="Z216" s="7">
        <v>1089</v>
      </c>
      <c r="AA216" s="7">
        <v>1117</v>
      </c>
      <c r="AB216" s="7">
        <v>3545</v>
      </c>
      <c r="AC216" s="7">
        <v>6353</v>
      </c>
      <c r="AD216" s="7">
        <v>2835</v>
      </c>
      <c r="AE216" s="7">
        <v>1766</v>
      </c>
      <c r="AF216" s="7">
        <v>4984</v>
      </c>
      <c r="AG216" s="7">
        <v>3066</v>
      </c>
      <c r="AH216" s="7">
        <v>4560</v>
      </c>
      <c r="AI216" s="7">
        <v>834</v>
      </c>
      <c r="AJ216" s="7">
        <v>5608</v>
      </c>
      <c r="AK216" s="7">
        <v>3060</v>
      </c>
      <c r="AL216" s="7">
        <v>483</v>
      </c>
      <c r="AM216" s="7">
        <v>2624</v>
      </c>
      <c r="AN216" s="7">
        <v>1357</v>
      </c>
      <c r="AO216" s="7">
        <v>7776</v>
      </c>
      <c r="AP216" s="7">
        <v>8105</v>
      </c>
      <c r="AQ216" s="7">
        <v>752</v>
      </c>
      <c r="AR216" s="7">
        <v>1519</v>
      </c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</row>
    <row r="217" spans="1:81">
      <c r="A217" s="1" t="s">
        <v>892</v>
      </c>
      <c r="B217" s="1" t="s">
        <v>893</v>
      </c>
      <c r="C217" s="1" t="s">
        <v>111</v>
      </c>
      <c r="D217" s="1" t="str">
        <f>HYPERLINK("http://eros.fiehnlab.ucdavis.edu:8080/binbase-compound/bin/show/239305?db=rtx5","239305")</f>
        <v>239305</v>
      </c>
      <c r="E217" s="1" t="s">
        <v>894</v>
      </c>
      <c r="F217" s="1" t="s">
        <v>0</v>
      </c>
      <c r="G217" s="1" t="s">
        <v>0</v>
      </c>
      <c r="H217" s="1"/>
      <c r="I217" s="7">
        <v>275</v>
      </c>
      <c r="J217" s="7">
        <v>1435</v>
      </c>
      <c r="K217" s="7">
        <v>529</v>
      </c>
      <c r="L217" s="7">
        <v>658</v>
      </c>
      <c r="M217" s="7">
        <v>418</v>
      </c>
      <c r="N217" s="7">
        <v>778</v>
      </c>
      <c r="O217" s="7">
        <v>579</v>
      </c>
      <c r="P217" s="7">
        <v>638</v>
      </c>
      <c r="Q217" s="7">
        <v>479</v>
      </c>
      <c r="R217" s="7">
        <v>625</v>
      </c>
      <c r="S217" s="7">
        <v>460</v>
      </c>
      <c r="T217" s="7">
        <v>546</v>
      </c>
      <c r="U217" s="7">
        <v>399</v>
      </c>
      <c r="V217" s="7">
        <v>614</v>
      </c>
      <c r="W217" s="7">
        <v>589</v>
      </c>
      <c r="X217" s="7">
        <v>324</v>
      </c>
      <c r="Y217" s="7">
        <v>602</v>
      </c>
      <c r="Z217" s="7">
        <v>853</v>
      </c>
      <c r="AA217" s="7">
        <v>627</v>
      </c>
      <c r="AB217" s="7">
        <v>698</v>
      </c>
      <c r="AC217" s="7">
        <v>759</v>
      </c>
      <c r="AD217" s="7">
        <v>174</v>
      </c>
      <c r="AE217" s="7">
        <v>882</v>
      </c>
      <c r="AF217" s="7">
        <v>579</v>
      </c>
      <c r="AG217" s="7">
        <v>743</v>
      </c>
      <c r="AH217" s="7">
        <v>687</v>
      </c>
      <c r="AI217" s="7">
        <v>714</v>
      </c>
      <c r="AJ217" s="7">
        <v>114</v>
      </c>
      <c r="AK217" s="7">
        <v>741</v>
      </c>
      <c r="AL217" s="7">
        <v>825</v>
      </c>
      <c r="AM217" s="7">
        <v>774</v>
      </c>
      <c r="AN217" s="7">
        <v>1006</v>
      </c>
      <c r="AO217" s="7">
        <v>661</v>
      </c>
      <c r="AP217" s="7">
        <v>822</v>
      </c>
      <c r="AQ217" s="7">
        <v>1124</v>
      </c>
      <c r="AR217" s="7">
        <v>302</v>
      </c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</row>
    <row r="218" spans="1:81">
      <c r="A218" s="1" t="s">
        <v>885</v>
      </c>
      <c r="B218" s="1" t="s">
        <v>886</v>
      </c>
      <c r="C218" s="1" t="s">
        <v>111</v>
      </c>
      <c r="D218" s="1" t="str">
        <f>HYPERLINK("http://eros.fiehnlab.ucdavis.edu:8080/binbase-compound/bin/show/239375?db=rtx5","239375")</f>
        <v>239375</v>
      </c>
      <c r="E218" s="1" t="s">
        <v>887</v>
      </c>
      <c r="F218" s="1" t="s">
        <v>0</v>
      </c>
      <c r="G218" s="1" t="s">
        <v>0</v>
      </c>
      <c r="H218" s="1"/>
      <c r="I218" s="7">
        <v>354</v>
      </c>
      <c r="J218" s="7">
        <v>1827</v>
      </c>
      <c r="K218" s="7">
        <v>484</v>
      </c>
      <c r="L218" s="7">
        <v>438</v>
      </c>
      <c r="M218" s="7">
        <v>578</v>
      </c>
      <c r="N218" s="7">
        <v>617</v>
      </c>
      <c r="O218" s="7">
        <v>535</v>
      </c>
      <c r="P218" s="7">
        <v>587</v>
      </c>
      <c r="Q218" s="7">
        <v>677</v>
      </c>
      <c r="R218" s="7">
        <v>499</v>
      </c>
      <c r="S218" s="7">
        <v>775</v>
      </c>
      <c r="T218" s="7">
        <v>615</v>
      </c>
      <c r="U218" s="7">
        <v>319</v>
      </c>
      <c r="V218" s="7">
        <v>511</v>
      </c>
      <c r="W218" s="7">
        <v>746</v>
      </c>
      <c r="X218" s="7">
        <v>591</v>
      </c>
      <c r="Y218" s="7">
        <v>410</v>
      </c>
      <c r="Z218" s="7">
        <v>1205</v>
      </c>
      <c r="AA218" s="7">
        <v>864</v>
      </c>
      <c r="AB218" s="7">
        <v>561</v>
      </c>
      <c r="AC218" s="7">
        <v>622</v>
      </c>
      <c r="AD218" s="7">
        <v>498</v>
      </c>
      <c r="AE218" s="7">
        <v>452</v>
      </c>
      <c r="AF218" s="7">
        <v>512</v>
      </c>
      <c r="AG218" s="7">
        <v>688</v>
      </c>
      <c r="AH218" s="7">
        <v>455</v>
      </c>
      <c r="AI218" s="7">
        <v>606</v>
      </c>
      <c r="AJ218" s="7">
        <v>450</v>
      </c>
      <c r="AK218" s="7">
        <v>467</v>
      </c>
      <c r="AL218" s="7">
        <v>1332</v>
      </c>
      <c r="AM218" s="7">
        <v>499</v>
      </c>
      <c r="AN218" s="7">
        <v>1367</v>
      </c>
      <c r="AO218" s="7">
        <v>464</v>
      </c>
      <c r="AP218" s="7">
        <v>605</v>
      </c>
      <c r="AQ218" s="7">
        <v>1586</v>
      </c>
      <c r="AR218" s="7">
        <v>650</v>
      </c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</row>
    <row r="219" spans="1:81">
      <c r="A219" s="1" t="s">
        <v>751</v>
      </c>
      <c r="B219" s="1" t="s">
        <v>752</v>
      </c>
      <c r="C219" s="1" t="s">
        <v>385</v>
      </c>
      <c r="D219" s="1" t="str">
        <f>HYPERLINK("http://eros.fiehnlab.ucdavis.edu:8080/binbase-compound/bin/show/299421?db=rtx5","299421")</f>
        <v>299421</v>
      </c>
      <c r="E219" s="1" t="s">
        <v>753</v>
      </c>
      <c r="F219" s="1" t="s">
        <v>0</v>
      </c>
      <c r="G219" s="1" t="s">
        <v>0</v>
      </c>
      <c r="H219" s="1"/>
      <c r="I219" s="7">
        <v>1194</v>
      </c>
      <c r="J219" s="7">
        <v>683</v>
      </c>
      <c r="K219" s="7">
        <v>429</v>
      </c>
      <c r="L219" s="7">
        <v>726</v>
      </c>
      <c r="M219" s="7">
        <v>224</v>
      </c>
      <c r="N219" s="7">
        <v>186</v>
      </c>
      <c r="O219" s="7">
        <v>553</v>
      </c>
      <c r="P219" s="7">
        <v>638</v>
      </c>
      <c r="Q219" s="7">
        <v>571</v>
      </c>
      <c r="R219" s="7">
        <v>1063</v>
      </c>
      <c r="S219" s="7">
        <v>505</v>
      </c>
      <c r="T219" s="7">
        <v>1815</v>
      </c>
      <c r="U219" s="7">
        <v>1897</v>
      </c>
      <c r="V219" s="7">
        <v>282</v>
      </c>
      <c r="W219" s="7">
        <v>477</v>
      </c>
      <c r="X219" s="7">
        <v>509</v>
      </c>
      <c r="Y219" s="7">
        <v>1106</v>
      </c>
      <c r="Z219" s="7">
        <v>240</v>
      </c>
      <c r="AA219" s="7">
        <v>1131</v>
      </c>
      <c r="AB219" s="7">
        <v>1012</v>
      </c>
      <c r="AC219" s="7">
        <v>833</v>
      </c>
      <c r="AD219" s="7">
        <v>621</v>
      </c>
      <c r="AE219" s="7">
        <v>2075</v>
      </c>
      <c r="AF219" s="7">
        <v>669</v>
      </c>
      <c r="AG219" s="7">
        <v>2586</v>
      </c>
      <c r="AH219" s="7">
        <v>626</v>
      </c>
      <c r="AI219" s="7">
        <v>479</v>
      </c>
      <c r="AJ219" s="7">
        <v>759</v>
      </c>
      <c r="AK219" s="7">
        <v>2603</v>
      </c>
      <c r="AL219" s="7">
        <v>697</v>
      </c>
      <c r="AM219" s="7">
        <v>1427</v>
      </c>
      <c r="AN219" s="7">
        <v>382</v>
      </c>
      <c r="AO219" s="7">
        <v>661</v>
      </c>
      <c r="AP219" s="7">
        <v>694</v>
      </c>
      <c r="AQ219" s="7">
        <v>398</v>
      </c>
      <c r="AR219" s="7">
        <v>1173</v>
      </c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</row>
    <row r="220" spans="1:81">
      <c r="A220" s="1" t="s">
        <v>801</v>
      </c>
      <c r="B220" s="1" t="s">
        <v>802</v>
      </c>
      <c r="C220" s="1" t="s">
        <v>803</v>
      </c>
      <c r="D220" s="1" t="str">
        <f>HYPERLINK("http://eros.fiehnlab.ucdavis.edu:8080/binbase-compound/bin/show/269927?db=rtx5","269927")</f>
        <v>269927</v>
      </c>
      <c r="E220" s="1" t="s">
        <v>804</v>
      </c>
      <c r="F220" s="1" t="s">
        <v>0</v>
      </c>
      <c r="G220" s="1" t="s">
        <v>0</v>
      </c>
      <c r="H220" s="1"/>
      <c r="I220" s="7">
        <v>361</v>
      </c>
      <c r="J220" s="7">
        <v>46</v>
      </c>
      <c r="K220" s="7">
        <v>205</v>
      </c>
      <c r="L220" s="7">
        <v>94</v>
      </c>
      <c r="M220" s="7">
        <v>134</v>
      </c>
      <c r="N220" s="7">
        <v>104</v>
      </c>
      <c r="O220" s="7">
        <v>432</v>
      </c>
      <c r="P220" s="7">
        <v>175</v>
      </c>
      <c r="Q220" s="7">
        <v>297</v>
      </c>
      <c r="R220" s="7">
        <v>192</v>
      </c>
      <c r="S220" s="7">
        <v>138</v>
      </c>
      <c r="T220" s="7">
        <v>91</v>
      </c>
      <c r="U220" s="7">
        <v>1113</v>
      </c>
      <c r="V220" s="7">
        <v>107</v>
      </c>
      <c r="W220" s="7">
        <v>52</v>
      </c>
      <c r="X220" s="7">
        <v>213</v>
      </c>
      <c r="Y220" s="7">
        <v>260</v>
      </c>
      <c r="Z220" s="7">
        <v>61</v>
      </c>
      <c r="AA220" s="7">
        <v>96</v>
      </c>
      <c r="AB220" s="7">
        <v>291</v>
      </c>
      <c r="AC220" s="7">
        <v>282</v>
      </c>
      <c r="AD220" s="7">
        <v>154</v>
      </c>
      <c r="AE220" s="7">
        <v>167</v>
      </c>
      <c r="AF220" s="7">
        <v>241</v>
      </c>
      <c r="AG220" s="7">
        <v>155</v>
      </c>
      <c r="AH220" s="7">
        <v>186</v>
      </c>
      <c r="AI220" s="7">
        <v>92</v>
      </c>
      <c r="AJ220" s="7">
        <v>231</v>
      </c>
      <c r="AK220" s="7">
        <v>236</v>
      </c>
      <c r="AL220" s="7">
        <v>67</v>
      </c>
      <c r="AM220" s="7">
        <v>281</v>
      </c>
      <c r="AN220" s="7">
        <v>53</v>
      </c>
      <c r="AO220" s="7">
        <v>236</v>
      </c>
      <c r="AP220" s="7">
        <v>274</v>
      </c>
      <c r="AQ220" s="7">
        <v>46</v>
      </c>
      <c r="AR220" s="7">
        <v>240</v>
      </c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</row>
    <row r="221" spans="1:81">
      <c r="A221" s="1" t="s">
        <v>1030</v>
      </c>
      <c r="B221" s="1" t="s">
        <v>1031</v>
      </c>
      <c r="C221" s="1" t="s">
        <v>98</v>
      </c>
      <c r="D221" s="1" t="str">
        <f>HYPERLINK("http://eros.fiehnlab.ucdavis.edu:8080/binbase-compound/bin/show/219520?db=rtx5","219520")</f>
        <v>219520</v>
      </c>
      <c r="E221" s="1" t="s">
        <v>1032</v>
      </c>
      <c r="F221" s="1" t="s">
        <v>0</v>
      </c>
      <c r="G221" s="1" t="s">
        <v>0</v>
      </c>
      <c r="H221" s="1"/>
      <c r="I221" s="7">
        <v>1208</v>
      </c>
      <c r="J221" s="7">
        <v>1716</v>
      </c>
      <c r="K221" s="7">
        <v>1286</v>
      </c>
      <c r="L221" s="7">
        <v>1305</v>
      </c>
      <c r="M221" s="7">
        <v>1291</v>
      </c>
      <c r="N221" s="7">
        <v>1236</v>
      </c>
      <c r="O221" s="7">
        <v>811</v>
      </c>
      <c r="P221" s="7">
        <v>1107</v>
      </c>
      <c r="Q221" s="7">
        <v>656</v>
      </c>
      <c r="R221" s="7">
        <v>631</v>
      </c>
      <c r="S221" s="7">
        <v>943</v>
      </c>
      <c r="T221" s="7">
        <v>626</v>
      </c>
      <c r="U221" s="7">
        <v>529</v>
      </c>
      <c r="V221" s="7">
        <v>1092</v>
      </c>
      <c r="W221" s="7">
        <v>1150</v>
      </c>
      <c r="X221" s="7">
        <v>990</v>
      </c>
      <c r="Y221" s="7">
        <v>1546</v>
      </c>
      <c r="Z221" s="7">
        <v>640</v>
      </c>
      <c r="AA221" s="7">
        <v>1020</v>
      </c>
      <c r="AB221" s="7">
        <v>1849</v>
      </c>
      <c r="AC221" s="7">
        <v>1734</v>
      </c>
      <c r="AD221" s="7">
        <v>876</v>
      </c>
      <c r="AE221" s="7">
        <v>2054</v>
      </c>
      <c r="AF221" s="7">
        <v>1343</v>
      </c>
      <c r="AG221" s="7">
        <v>1317</v>
      </c>
      <c r="AH221" s="7">
        <v>1220</v>
      </c>
      <c r="AI221" s="7">
        <v>1311</v>
      </c>
      <c r="AJ221" s="7">
        <v>1287</v>
      </c>
      <c r="AK221" s="7">
        <v>969</v>
      </c>
      <c r="AL221" s="7">
        <v>892</v>
      </c>
      <c r="AM221" s="7">
        <v>1236</v>
      </c>
      <c r="AN221" s="7">
        <v>922</v>
      </c>
      <c r="AO221" s="7">
        <v>1289</v>
      </c>
      <c r="AP221" s="7">
        <v>1009</v>
      </c>
      <c r="AQ221" s="7">
        <v>1264</v>
      </c>
      <c r="AR221" s="7">
        <v>1054</v>
      </c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</row>
    <row r="222" spans="1:81">
      <c r="A222" s="1" t="s">
        <v>908</v>
      </c>
      <c r="B222" s="1" t="s">
        <v>909</v>
      </c>
      <c r="C222" s="1" t="s">
        <v>910</v>
      </c>
      <c r="D222" s="1" t="str">
        <f>HYPERLINK("http://eros.fiehnlab.ucdavis.edu:8080/binbase-compound/bin/show/237174?db=rtx5","237174")</f>
        <v>237174</v>
      </c>
      <c r="E222" s="1" t="s">
        <v>911</v>
      </c>
      <c r="F222" s="1" t="s">
        <v>0</v>
      </c>
      <c r="G222" s="1" t="s">
        <v>0</v>
      </c>
      <c r="H222" s="1"/>
      <c r="I222" s="7">
        <v>167</v>
      </c>
      <c r="J222" s="7">
        <v>231</v>
      </c>
      <c r="K222" s="7">
        <v>170</v>
      </c>
      <c r="L222" s="7">
        <v>301</v>
      </c>
      <c r="M222" s="7">
        <v>125</v>
      </c>
      <c r="N222" s="7">
        <v>376</v>
      </c>
      <c r="O222" s="7">
        <v>192</v>
      </c>
      <c r="P222" s="7">
        <v>195</v>
      </c>
      <c r="Q222" s="7">
        <v>162</v>
      </c>
      <c r="R222" s="7">
        <v>276</v>
      </c>
      <c r="S222" s="7">
        <v>170</v>
      </c>
      <c r="T222" s="7">
        <v>681</v>
      </c>
      <c r="U222" s="7">
        <v>236</v>
      </c>
      <c r="V222" s="7">
        <v>142</v>
      </c>
      <c r="W222" s="7">
        <v>162</v>
      </c>
      <c r="X222" s="7">
        <v>242</v>
      </c>
      <c r="Y222" s="7">
        <v>385</v>
      </c>
      <c r="Z222" s="7">
        <v>97</v>
      </c>
      <c r="AA222" s="7">
        <v>433</v>
      </c>
      <c r="AB222" s="7">
        <v>551</v>
      </c>
      <c r="AC222" s="7">
        <v>582</v>
      </c>
      <c r="AD222" s="7">
        <v>568</v>
      </c>
      <c r="AE222" s="7">
        <v>607</v>
      </c>
      <c r="AF222" s="7">
        <v>545</v>
      </c>
      <c r="AG222" s="7">
        <v>682</v>
      </c>
      <c r="AH222" s="7">
        <v>483</v>
      </c>
      <c r="AI222" s="7">
        <v>191</v>
      </c>
      <c r="AJ222" s="7">
        <v>425</v>
      </c>
      <c r="AK222" s="7">
        <v>1010</v>
      </c>
      <c r="AL222" s="7">
        <v>238</v>
      </c>
      <c r="AM222" s="7">
        <v>651</v>
      </c>
      <c r="AN222" s="7">
        <v>174</v>
      </c>
      <c r="AO222" s="7">
        <v>441</v>
      </c>
      <c r="AP222" s="7">
        <v>610</v>
      </c>
      <c r="AQ222" s="7">
        <v>170</v>
      </c>
      <c r="AR222" s="7">
        <v>270</v>
      </c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</row>
    <row r="223" spans="1:81">
      <c r="A223" s="1" t="s">
        <v>915</v>
      </c>
      <c r="B223" s="1" t="s">
        <v>916</v>
      </c>
      <c r="C223" s="1" t="s">
        <v>917</v>
      </c>
      <c r="D223" s="1" t="str">
        <f>HYPERLINK("http://eros.fiehnlab.ucdavis.edu:8080/binbase-compound/bin/show/237138?db=rtx5","237138")</f>
        <v>237138</v>
      </c>
      <c r="E223" s="1" t="s">
        <v>918</v>
      </c>
      <c r="F223" s="1" t="s">
        <v>0</v>
      </c>
      <c r="G223" s="1" t="s">
        <v>0</v>
      </c>
      <c r="H223" s="1"/>
      <c r="I223" s="7">
        <v>982</v>
      </c>
      <c r="J223" s="7">
        <v>825</v>
      </c>
      <c r="K223" s="7">
        <v>487</v>
      </c>
      <c r="L223" s="7">
        <v>867</v>
      </c>
      <c r="M223" s="7">
        <v>234</v>
      </c>
      <c r="N223" s="7">
        <v>1291</v>
      </c>
      <c r="O223" s="7">
        <v>860</v>
      </c>
      <c r="P223" s="7">
        <v>683</v>
      </c>
      <c r="Q223" s="7">
        <v>554</v>
      </c>
      <c r="R223" s="7">
        <v>1054</v>
      </c>
      <c r="S223" s="7">
        <v>629</v>
      </c>
      <c r="T223" s="7">
        <v>3119</v>
      </c>
      <c r="U223" s="7">
        <v>1730</v>
      </c>
      <c r="V223" s="7">
        <v>321</v>
      </c>
      <c r="W223" s="7">
        <v>369</v>
      </c>
      <c r="X223" s="7">
        <v>535</v>
      </c>
      <c r="Y223" s="7">
        <v>940</v>
      </c>
      <c r="Z223" s="7">
        <v>178</v>
      </c>
      <c r="AA223" s="7">
        <v>1604</v>
      </c>
      <c r="AB223" s="7">
        <v>1924</v>
      </c>
      <c r="AC223" s="7">
        <v>615</v>
      </c>
      <c r="AD223" s="7">
        <v>628</v>
      </c>
      <c r="AE223" s="7">
        <v>3358</v>
      </c>
      <c r="AF223" s="7">
        <v>986</v>
      </c>
      <c r="AG223" s="7">
        <v>4103</v>
      </c>
      <c r="AH223" s="7">
        <v>845</v>
      </c>
      <c r="AI223" s="7">
        <v>931</v>
      </c>
      <c r="AJ223" s="7">
        <v>815</v>
      </c>
      <c r="AK223" s="7">
        <v>4492</v>
      </c>
      <c r="AL223" s="7">
        <v>853</v>
      </c>
      <c r="AM223" s="7">
        <v>2429</v>
      </c>
      <c r="AN223" s="7">
        <v>886</v>
      </c>
      <c r="AO223" s="7">
        <v>719</v>
      </c>
      <c r="AP223" s="7">
        <v>1057</v>
      </c>
      <c r="AQ223" s="7">
        <v>833</v>
      </c>
      <c r="AR223" s="7">
        <v>1787</v>
      </c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</row>
    <row r="224" spans="1:81">
      <c r="A224" s="1" t="s">
        <v>648</v>
      </c>
      <c r="B224" s="1" t="s">
        <v>649</v>
      </c>
      <c r="C224" s="1" t="s">
        <v>294</v>
      </c>
      <c r="D224" s="1" t="str">
        <f>HYPERLINK("http://eros.fiehnlab.ucdavis.edu:8080/binbase-compound/bin/show/367905?db=rtx5","367905")</f>
        <v>367905</v>
      </c>
      <c r="E224" s="1" t="s">
        <v>650</v>
      </c>
      <c r="F224" s="1" t="s">
        <v>0</v>
      </c>
      <c r="G224" s="1" t="s">
        <v>0</v>
      </c>
      <c r="H224" s="1"/>
      <c r="I224" s="7">
        <v>30197</v>
      </c>
      <c r="J224" s="7">
        <v>77841</v>
      </c>
      <c r="K224" s="7">
        <v>23042</v>
      </c>
      <c r="L224" s="7">
        <v>15814</v>
      </c>
      <c r="M224" s="7">
        <v>41553</v>
      </c>
      <c r="N224" s="7">
        <v>57039</v>
      </c>
      <c r="O224" s="7">
        <v>48677</v>
      </c>
      <c r="P224" s="7">
        <v>17681</v>
      </c>
      <c r="Q224" s="7">
        <v>39219</v>
      </c>
      <c r="R224" s="7">
        <v>23176</v>
      </c>
      <c r="S224" s="7">
        <v>42427</v>
      </c>
      <c r="T224" s="7">
        <v>54352</v>
      </c>
      <c r="U224" s="7">
        <v>11058</v>
      </c>
      <c r="V224" s="7">
        <v>44241</v>
      </c>
      <c r="W224" s="7">
        <v>47528</v>
      </c>
      <c r="X224" s="7">
        <v>25623</v>
      </c>
      <c r="Y224" s="7">
        <v>9901</v>
      </c>
      <c r="Z224" s="7">
        <v>56665</v>
      </c>
      <c r="AA224" s="7">
        <v>35708</v>
      </c>
      <c r="AB224" s="7">
        <v>15040</v>
      </c>
      <c r="AC224" s="7">
        <v>9666</v>
      </c>
      <c r="AD224" s="7">
        <v>19758</v>
      </c>
      <c r="AE224" s="7">
        <v>14926</v>
      </c>
      <c r="AF224" s="7">
        <v>17609</v>
      </c>
      <c r="AG224" s="7">
        <v>28966</v>
      </c>
      <c r="AH224" s="7">
        <v>14576</v>
      </c>
      <c r="AI224" s="7">
        <v>52457</v>
      </c>
      <c r="AJ224" s="7">
        <v>12588</v>
      </c>
      <c r="AK224" s="7">
        <v>16424</v>
      </c>
      <c r="AL224" s="7">
        <v>53452</v>
      </c>
      <c r="AM224" s="7">
        <v>14736</v>
      </c>
      <c r="AN224" s="7">
        <v>48017</v>
      </c>
      <c r="AO224" s="7">
        <v>11782</v>
      </c>
      <c r="AP224" s="7">
        <v>16606</v>
      </c>
      <c r="AQ224" s="7">
        <v>55953</v>
      </c>
      <c r="AR224" s="7">
        <v>19095</v>
      </c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</row>
    <row r="225" spans="1:81">
      <c r="A225" s="1" t="s">
        <v>1045</v>
      </c>
      <c r="B225" s="1" t="s">
        <v>1046</v>
      </c>
      <c r="C225" s="1" t="s">
        <v>117</v>
      </c>
      <c r="D225" s="1" t="str">
        <f>HYPERLINK("http://eros.fiehnlab.ucdavis.edu:8080/binbase-compound/bin/show/218505?db=rtx5","218505")</f>
        <v>218505</v>
      </c>
      <c r="E225" s="1" t="s">
        <v>1047</v>
      </c>
      <c r="F225" s="1" t="s">
        <v>0</v>
      </c>
      <c r="G225" s="1" t="s">
        <v>0</v>
      </c>
      <c r="H225" s="1"/>
      <c r="I225" s="7">
        <v>1285</v>
      </c>
      <c r="J225" s="7">
        <v>760</v>
      </c>
      <c r="K225" s="7">
        <v>1457</v>
      </c>
      <c r="L225" s="7">
        <v>1196</v>
      </c>
      <c r="M225" s="7">
        <v>410</v>
      </c>
      <c r="N225" s="7">
        <v>704</v>
      </c>
      <c r="O225" s="7">
        <v>199</v>
      </c>
      <c r="P225" s="7">
        <v>449</v>
      </c>
      <c r="Q225" s="7">
        <v>1335</v>
      </c>
      <c r="R225" s="7">
        <v>1073</v>
      </c>
      <c r="S225" s="7">
        <v>2458</v>
      </c>
      <c r="T225" s="7">
        <v>6337</v>
      </c>
      <c r="U225" s="7">
        <v>1157</v>
      </c>
      <c r="V225" s="7">
        <v>422</v>
      </c>
      <c r="W225" s="7">
        <v>873</v>
      </c>
      <c r="X225" s="7">
        <v>1290</v>
      </c>
      <c r="Y225" s="7">
        <v>1495</v>
      </c>
      <c r="Z225" s="7">
        <v>1270</v>
      </c>
      <c r="AA225" s="7">
        <v>1217</v>
      </c>
      <c r="AB225" s="7">
        <v>1660</v>
      </c>
      <c r="AC225" s="7">
        <v>955</v>
      </c>
      <c r="AD225" s="7">
        <v>2431</v>
      </c>
      <c r="AE225" s="7">
        <v>2818</v>
      </c>
      <c r="AF225" s="7">
        <v>4764</v>
      </c>
      <c r="AG225" s="7">
        <v>2369</v>
      </c>
      <c r="AH225" s="7">
        <v>3421</v>
      </c>
      <c r="AI225" s="7">
        <v>1014</v>
      </c>
      <c r="AJ225" s="7">
        <v>2674</v>
      </c>
      <c r="AK225" s="7">
        <v>3420</v>
      </c>
      <c r="AL225" s="7">
        <v>1643</v>
      </c>
      <c r="AM225" s="7">
        <v>1909</v>
      </c>
      <c r="AN225" s="7">
        <v>1136</v>
      </c>
      <c r="AO225" s="7">
        <v>1602</v>
      </c>
      <c r="AP225" s="7">
        <v>2808</v>
      </c>
      <c r="AQ225" s="7">
        <v>1359</v>
      </c>
      <c r="AR225" s="7">
        <v>1557</v>
      </c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</row>
    <row r="226" spans="1:81">
      <c r="A226" s="1" t="s">
        <v>873</v>
      </c>
      <c r="B226" s="1" t="s">
        <v>874</v>
      </c>
      <c r="C226" s="1" t="s">
        <v>190</v>
      </c>
      <c r="D226" s="1" t="str">
        <f>HYPERLINK("http://eros.fiehnlab.ucdavis.edu:8080/binbase-compound/bin/show/241041?db=rtx5","241041")</f>
        <v>241041</v>
      </c>
      <c r="E226" s="1" t="s">
        <v>875</v>
      </c>
      <c r="F226" s="1" t="s">
        <v>0</v>
      </c>
      <c r="G226" s="1" t="s">
        <v>0</v>
      </c>
      <c r="H226" s="1"/>
      <c r="I226" s="7">
        <v>913</v>
      </c>
      <c r="J226" s="7">
        <v>1380</v>
      </c>
      <c r="K226" s="7">
        <v>857</v>
      </c>
      <c r="L226" s="7">
        <v>567</v>
      </c>
      <c r="M226" s="7">
        <v>1039</v>
      </c>
      <c r="N226" s="7">
        <v>866</v>
      </c>
      <c r="O226" s="7">
        <v>1918</v>
      </c>
      <c r="P226" s="7">
        <v>688</v>
      </c>
      <c r="Q226" s="7">
        <v>1043</v>
      </c>
      <c r="R226" s="7">
        <v>1052</v>
      </c>
      <c r="S226" s="7">
        <v>603</v>
      </c>
      <c r="T226" s="7">
        <v>838</v>
      </c>
      <c r="U226" s="7">
        <v>399</v>
      </c>
      <c r="V226" s="7">
        <v>1154</v>
      </c>
      <c r="W226" s="7">
        <v>1197</v>
      </c>
      <c r="X226" s="7">
        <v>595</v>
      </c>
      <c r="Y226" s="7">
        <v>489</v>
      </c>
      <c r="Z226" s="7">
        <v>1258</v>
      </c>
      <c r="AA226" s="7">
        <v>731</v>
      </c>
      <c r="AB226" s="7">
        <v>634</v>
      </c>
      <c r="AC226" s="7">
        <v>557</v>
      </c>
      <c r="AD226" s="7">
        <v>774</v>
      </c>
      <c r="AE226" s="7">
        <v>465</v>
      </c>
      <c r="AF226" s="7">
        <v>692</v>
      </c>
      <c r="AG226" s="7">
        <v>514</v>
      </c>
      <c r="AH226" s="7">
        <v>665</v>
      </c>
      <c r="AI226" s="7">
        <v>935</v>
      </c>
      <c r="AJ226" s="7">
        <v>545</v>
      </c>
      <c r="AK226" s="7">
        <v>453</v>
      </c>
      <c r="AL226" s="7">
        <v>1082</v>
      </c>
      <c r="AM226" s="7">
        <v>690</v>
      </c>
      <c r="AN226" s="7">
        <v>1166</v>
      </c>
      <c r="AO226" s="7">
        <v>619</v>
      </c>
      <c r="AP226" s="7">
        <v>594</v>
      </c>
      <c r="AQ226" s="7">
        <v>1442</v>
      </c>
      <c r="AR226" s="7">
        <v>533</v>
      </c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</row>
    <row r="227" spans="1:81">
      <c r="A227" s="1" t="s">
        <v>632</v>
      </c>
      <c r="B227" s="1" t="s">
        <v>633</v>
      </c>
      <c r="C227" s="1" t="s">
        <v>389</v>
      </c>
      <c r="D227" s="1" t="str">
        <f>HYPERLINK("http://eros.fiehnlab.ucdavis.edu:8080/binbase-compound/bin/show/373725?db=rtx5","373725")</f>
        <v>373725</v>
      </c>
      <c r="E227" s="1" t="s">
        <v>634</v>
      </c>
      <c r="F227" s="1" t="s">
        <v>0</v>
      </c>
      <c r="G227" s="1" t="s">
        <v>0</v>
      </c>
      <c r="H227" s="1"/>
      <c r="I227" s="7">
        <v>1417</v>
      </c>
      <c r="J227" s="7">
        <v>1309</v>
      </c>
      <c r="K227" s="7">
        <v>2483</v>
      </c>
      <c r="L227" s="7">
        <v>3633</v>
      </c>
      <c r="M227" s="7">
        <v>2993</v>
      </c>
      <c r="N227" s="7">
        <v>1190</v>
      </c>
      <c r="O227" s="7">
        <v>564</v>
      </c>
      <c r="P227" s="7">
        <v>2443</v>
      </c>
      <c r="Q227" s="7">
        <v>4879</v>
      </c>
      <c r="R227" s="7">
        <v>2084</v>
      </c>
      <c r="S227" s="7">
        <v>5089</v>
      </c>
      <c r="T227" s="7">
        <v>4770</v>
      </c>
      <c r="U227" s="7">
        <v>4549</v>
      </c>
      <c r="V227" s="7">
        <v>1832</v>
      </c>
      <c r="W227" s="7">
        <v>2015</v>
      </c>
      <c r="X227" s="7">
        <v>3533</v>
      </c>
      <c r="Y227" s="7">
        <v>4188</v>
      </c>
      <c r="Z227" s="7">
        <v>660</v>
      </c>
      <c r="AA227" s="7">
        <v>3846</v>
      </c>
      <c r="AB227" s="7">
        <v>7105</v>
      </c>
      <c r="AC227" s="7">
        <v>7809</v>
      </c>
      <c r="AD227" s="7">
        <v>10294</v>
      </c>
      <c r="AE227" s="7">
        <v>5653</v>
      </c>
      <c r="AF227" s="7">
        <v>10730</v>
      </c>
      <c r="AG227" s="7">
        <v>8341</v>
      </c>
      <c r="AH227" s="7">
        <v>13707</v>
      </c>
      <c r="AI227" s="7">
        <v>1556</v>
      </c>
      <c r="AJ227" s="7">
        <v>9554</v>
      </c>
      <c r="AK227" s="7">
        <v>8529</v>
      </c>
      <c r="AL227" s="7">
        <v>2142</v>
      </c>
      <c r="AM227" s="7">
        <v>5943</v>
      </c>
      <c r="AN227" s="7">
        <v>1891</v>
      </c>
      <c r="AO227" s="7">
        <v>7570</v>
      </c>
      <c r="AP227" s="7">
        <v>7436</v>
      </c>
      <c r="AQ227" s="7">
        <v>1700</v>
      </c>
      <c r="AR227" s="7">
        <v>4683</v>
      </c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</row>
    <row r="228" spans="1:81">
      <c r="A228" s="1" t="s">
        <v>556</v>
      </c>
      <c r="B228" s="1" t="s">
        <v>557</v>
      </c>
      <c r="C228" s="1" t="s">
        <v>389</v>
      </c>
      <c r="D228" s="1" t="str">
        <f>HYPERLINK("http://eros.fiehnlab.ucdavis.edu:8080/binbase-compound/bin/show/409045?db=rtx5","409045")</f>
        <v>409045</v>
      </c>
      <c r="E228" s="1" t="s">
        <v>558</v>
      </c>
      <c r="F228" s="1" t="s">
        <v>0</v>
      </c>
      <c r="G228" s="1" t="s">
        <v>0</v>
      </c>
      <c r="H228" s="1"/>
      <c r="I228" s="7">
        <v>1214</v>
      </c>
      <c r="J228" s="7">
        <v>1091</v>
      </c>
      <c r="K228" s="7">
        <v>1998</v>
      </c>
      <c r="L228" s="7">
        <v>2768</v>
      </c>
      <c r="M228" s="7">
        <v>2186</v>
      </c>
      <c r="N228" s="7">
        <v>968</v>
      </c>
      <c r="O228" s="7">
        <v>650</v>
      </c>
      <c r="P228" s="7">
        <v>1819</v>
      </c>
      <c r="Q228" s="7">
        <v>4069</v>
      </c>
      <c r="R228" s="7">
        <v>1529</v>
      </c>
      <c r="S228" s="7">
        <v>3735</v>
      </c>
      <c r="T228" s="7">
        <v>4149</v>
      </c>
      <c r="U228" s="7">
        <v>3798</v>
      </c>
      <c r="V228" s="7">
        <v>1534</v>
      </c>
      <c r="W228" s="7">
        <v>1831</v>
      </c>
      <c r="X228" s="7">
        <v>3344</v>
      </c>
      <c r="Y228" s="7">
        <v>4057</v>
      </c>
      <c r="Z228" s="7">
        <v>745</v>
      </c>
      <c r="AA228" s="7">
        <v>4760</v>
      </c>
      <c r="AB228" s="7">
        <v>4979</v>
      </c>
      <c r="AC228" s="7">
        <v>5649</v>
      </c>
      <c r="AD228" s="7">
        <v>6701</v>
      </c>
      <c r="AE228" s="7">
        <v>4728</v>
      </c>
      <c r="AF228" s="7">
        <v>7835</v>
      </c>
      <c r="AG228" s="7">
        <v>6211</v>
      </c>
      <c r="AH228" s="7">
        <v>11127</v>
      </c>
      <c r="AI228" s="7">
        <v>1204</v>
      </c>
      <c r="AJ228" s="7">
        <v>6927</v>
      </c>
      <c r="AK228" s="7">
        <v>7571</v>
      </c>
      <c r="AL228" s="7">
        <v>1761</v>
      </c>
      <c r="AM228" s="7">
        <v>4133</v>
      </c>
      <c r="AN228" s="7">
        <v>1608</v>
      </c>
      <c r="AO228" s="7">
        <v>5870</v>
      </c>
      <c r="AP228" s="7">
        <v>5071</v>
      </c>
      <c r="AQ228" s="7">
        <v>1503</v>
      </c>
      <c r="AR228" s="7">
        <v>3119</v>
      </c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</row>
    <row r="229" spans="1:81">
      <c r="A229" s="1" t="s">
        <v>1010</v>
      </c>
      <c r="B229" s="1" t="s">
        <v>1011</v>
      </c>
      <c r="C229" s="1" t="s">
        <v>890</v>
      </c>
      <c r="D229" s="1" t="str">
        <f>HYPERLINK("http://eros.fiehnlab.ucdavis.edu:8080/binbase-compound/bin/show/223675?db=rtx5","223675")</f>
        <v>223675</v>
      </c>
      <c r="E229" s="1" t="s">
        <v>1012</v>
      </c>
      <c r="F229" s="1" t="s">
        <v>0</v>
      </c>
      <c r="G229" s="1" t="s">
        <v>0</v>
      </c>
      <c r="H229" s="1"/>
      <c r="I229" s="7">
        <v>492</v>
      </c>
      <c r="J229" s="7">
        <v>1516</v>
      </c>
      <c r="K229" s="7">
        <v>1072</v>
      </c>
      <c r="L229" s="7">
        <v>1277</v>
      </c>
      <c r="M229" s="7">
        <v>803</v>
      </c>
      <c r="N229" s="7">
        <v>1513</v>
      </c>
      <c r="O229" s="7">
        <v>1082</v>
      </c>
      <c r="P229" s="7">
        <v>887</v>
      </c>
      <c r="Q229" s="7">
        <v>1586</v>
      </c>
      <c r="R229" s="7">
        <v>838</v>
      </c>
      <c r="S229" s="7">
        <v>930</v>
      </c>
      <c r="T229" s="7">
        <v>1261</v>
      </c>
      <c r="U229" s="7">
        <v>552</v>
      </c>
      <c r="V229" s="7">
        <v>797</v>
      </c>
      <c r="W229" s="7">
        <v>1069</v>
      </c>
      <c r="X229" s="7">
        <v>871</v>
      </c>
      <c r="Y229" s="7">
        <v>787</v>
      </c>
      <c r="Z229" s="7">
        <v>1106</v>
      </c>
      <c r="AA229" s="7">
        <v>1077</v>
      </c>
      <c r="AB229" s="7">
        <v>1106</v>
      </c>
      <c r="AC229" s="7">
        <v>1044</v>
      </c>
      <c r="AD229" s="7">
        <v>1304</v>
      </c>
      <c r="AE229" s="7">
        <v>1084</v>
      </c>
      <c r="AF229" s="7">
        <v>986</v>
      </c>
      <c r="AG229" s="7">
        <v>1278</v>
      </c>
      <c r="AH229" s="7">
        <v>990</v>
      </c>
      <c r="AI229" s="7">
        <v>1007</v>
      </c>
      <c r="AJ229" s="7">
        <v>972</v>
      </c>
      <c r="AK229" s="7">
        <v>1124</v>
      </c>
      <c r="AL229" s="7">
        <v>1391</v>
      </c>
      <c r="AM229" s="7">
        <v>1094</v>
      </c>
      <c r="AN229" s="7">
        <v>1008</v>
      </c>
      <c r="AO229" s="7">
        <v>763</v>
      </c>
      <c r="AP229" s="7">
        <v>925</v>
      </c>
      <c r="AQ229" s="7">
        <v>1203</v>
      </c>
      <c r="AR229" s="7">
        <v>1091</v>
      </c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</row>
    <row r="230" spans="1:81">
      <c r="A230" s="1" t="s">
        <v>965</v>
      </c>
      <c r="B230" s="1" t="s">
        <v>966</v>
      </c>
      <c r="C230" s="1" t="s">
        <v>967</v>
      </c>
      <c r="D230" s="1" t="str">
        <f>HYPERLINK("http://eros.fiehnlab.ucdavis.edu:8080/binbase-compound/bin/show/231260?db=rtx5","231260")</f>
        <v>231260</v>
      </c>
      <c r="E230" s="1" t="s">
        <v>968</v>
      </c>
      <c r="F230" s="1" t="s">
        <v>0</v>
      </c>
      <c r="G230" s="1" t="s">
        <v>0</v>
      </c>
      <c r="H230" s="1"/>
      <c r="I230" s="7">
        <v>149</v>
      </c>
      <c r="J230" s="7">
        <v>200</v>
      </c>
      <c r="K230" s="7">
        <v>351</v>
      </c>
      <c r="L230" s="7">
        <v>1656</v>
      </c>
      <c r="M230" s="7">
        <v>205</v>
      </c>
      <c r="N230" s="7">
        <v>177</v>
      </c>
      <c r="O230" s="7">
        <v>278</v>
      </c>
      <c r="P230" s="7">
        <v>319</v>
      </c>
      <c r="Q230" s="7">
        <v>312</v>
      </c>
      <c r="R230" s="7">
        <v>351</v>
      </c>
      <c r="S230" s="7">
        <v>328</v>
      </c>
      <c r="T230" s="7">
        <v>493</v>
      </c>
      <c r="U230" s="7">
        <v>360</v>
      </c>
      <c r="V230" s="7">
        <v>263</v>
      </c>
      <c r="W230" s="7">
        <v>298</v>
      </c>
      <c r="X230" s="7">
        <v>737</v>
      </c>
      <c r="Y230" s="7">
        <v>524</v>
      </c>
      <c r="Z230" s="7">
        <v>241</v>
      </c>
      <c r="AA230" s="7">
        <v>248</v>
      </c>
      <c r="AB230" s="7">
        <v>1103</v>
      </c>
      <c r="AC230" s="7">
        <v>673</v>
      </c>
      <c r="AD230" s="7">
        <v>351</v>
      </c>
      <c r="AE230" s="7">
        <v>609</v>
      </c>
      <c r="AF230" s="7">
        <v>499</v>
      </c>
      <c r="AG230" s="7">
        <v>512</v>
      </c>
      <c r="AH230" s="7">
        <v>499</v>
      </c>
      <c r="AI230" s="7">
        <v>171</v>
      </c>
      <c r="AJ230" s="7">
        <v>526</v>
      </c>
      <c r="AK230" s="7">
        <v>786</v>
      </c>
      <c r="AL230" s="7">
        <v>591</v>
      </c>
      <c r="AM230" s="7">
        <v>460</v>
      </c>
      <c r="AN230" s="7">
        <v>388</v>
      </c>
      <c r="AO230" s="7">
        <v>508</v>
      </c>
      <c r="AP230" s="7">
        <v>806</v>
      </c>
      <c r="AQ230" s="7">
        <v>216</v>
      </c>
      <c r="AR230" s="7">
        <v>392</v>
      </c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</row>
    <row r="231" spans="1:81">
      <c r="A231" s="1" t="s">
        <v>949</v>
      </c>
      <c r="B231" s="1" t="s">
        <v>950</v>
      </c>
      <c r="C231" s="1" t="s">
        <v>437</v>
      </c>
      <c r="D231" s="1" t="str">
        <f>HYPERLINK("http://eros.fiehnlab.ucdavis.edu:8080/binbase-compound/bin/show/232087?db=rtx5","232087")</f>
        <v>232087</v>
      </c>
      <c r="E231" s="1" t="s">
        <v>951</v>
      </c>
      <c r="F231" s="1" t="s">
        <v>0</v>
      </c>
      <c r="G231" s="1" t="s">
        <v>0</v>
      </c>
      <c r="H231" s="1"/>
      <c r="I231" s="7">
        <v>1118</v>
      </c>
      <c r="J231" s="7">
        <v>2138</v>
      </c>
      <c r="K231" s="7">
        <v>15683</v>
      </c>
      <c r="L231" s="7">
        <v>9285</v>
      </c>
      <c r="M231" s="7">
        <v>317</v>
      </c>
      <c r="N231" s="7">
        <v>964</v>
      </c>
      <c r="O231" s="7">
        <v>1101</v>
      </c>
      <c r="P231" s="7">
        <v>3086</v>
      </c>
      <c r="Q231" s="7">
        <v>2002</v>
      </c>
      <c r="R231" s="7">
        <v>7918</v>
      </c>
      <c r="S231" s="7">
        <v>2701</v>
      </c>
      <c r="T231" s="7">
        <v>1873</v>
      </c>
      <c r="U231" s="7">
        <v>3007</v>
      </c>
      <c r="V231" s="7">
        <v>1622</v>
      </c>
      <c r="W231" s="7">
        <v>1399</v>
      </c>
      <c r="X231" s="7">
        <v>2097</v>
      </c>
      <c r="Y231" s="7">
        <v>3392</v>
      </c>
      <c r="Z231" s="7">
        <v>829</v>
      </c>
      <c r="AA231" s="7">
        <v>1514</v>
      </c>
      <c r="AB231" s="7">
        <v>9750</v>
      </c>
      <c r="AC231" s="7">
        <v>19110</v>
      </c>
      <c r="AD231" s="7">
        <v>44720</v>
      </c>
      <c r="AE231" s="7">
        <v>6157</v>
      </c>
      <c r="AF231" s="7">
        <v>57761</v>
      </c>
      <c r="AG231" s="7">
        <v>3348</v>
      </c>
      <c r="AH231" s="7">
        <v>23806</v>
      </c>
      <c r="AI231" s="7">
        <v>1758</v>
      </c>
      <c r="AJ231" s="7">
        <v>14872</v>
      </c>
      <c r="AK231" s="7">
        <v>6278</v>
      </c>
      <c r="AL231" s="7">
        <v>1510</v>
      </c>
      <c r="AM231" s="7">
        <v>4757</v>
      </c>
      <c r="AN231" s="7">
        <v>1592</v>
      </c>
      <c r="AO231" s="7">
        <v>5523</v>
      </c>
      <c r="AP231" s="7">
        <v>5692</v>
      </c>
      <c r="AQ231" s="7">
        <v>1312</v>
      </c>
      <c r="AR231" s="7">
        <v>6596</v>
      </c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</row>
    <row r="232" spans="1:81">
      <c r="A232" s="1" t="s">
        <v>616</v>
      </c>
      <c r="B232" s="1" t="s">
        <v>617</v>
      </c>
      <c r="C232" s="1" t="s">
        <v>618</v>
      </c>
      <c r="D232" s="1" t="str">
        <f>HYPERLINK("http://eros.fiehnlab.ucdavis.edu:8080/binbase-compound/bin/show/398950?db=rtx5","398950")</f>
        <v>398950</v>
      </c>
      <c r="E232" s="1" t="s">
        <v>619</v>
      </c>
      <c r="F232" s="1" t="s">
        <v>0</v>
      </c>
      <c r="G232" s="1" t="s">
        <v>0</v>
      </c>
      <c r="H232" s="1"/>
      <c r="I232" s="7">
        <v>215</v>
      </c>
      <c r="J232" s="7">
        <v>101</v>
      </c>
      <c r="K232" s="7">
        <v>196</v>
      </c>
      <c r="L232" s="7">
        <v>545</v>
      </c>
      <c r="M232" s="7">
        <v>415</v>
      </c>
      <c r="N232" s="7">
        <v>84</v>
      </c>
      <c r="O232" s="7">
        <v>288</v>
      </c>
      <c r="P232" s="7">
        <v>899</v>
      </c>
      <c r="Q232" s="7">
        <v>388</v>
      </c>
      <c r="R232" s="7">
        <v>728</v>
      </c>
      <c r="S232" s="7">
        <v>642</v>
      </c>
      <c r="T232" s="7">
        <v>294</v>
      </c>
      <c r="U232" s="7">
        <v>174</v>
      </c>
      <c r="V232" s="7">
        <v>266</v>
      </c>
      <c r="W232" s="7">
        <v>252</v>
      </c>
      <c r="X232" s="7">
        <v>477</v>
      </c>
      <c r="Y232" s="7">
        <v>834</v>
      </c>
      <c r="Z232" s="7">
        <v>356</v>
      </c>
      <c r="AA232" s="7">
        <v>261</v>
      </c>
      <c r="AB232" s="7">
        <v>698</v>
      </c>
      <c r="AC232" s="7">
        <v>313</v>
      </c>
      <c r="AD232" s="7">
        <v>380</v>
      </c>
      <c r="AE232" s="7">
        <v>936</v>
      </c>
      <c r="AF232" s="7">
        <v>621</v>
      </c>
      <c r="AG232" s="7">
        <v>1022</v>
      </c>
      <c r="AH232" s="7">
        <v>416</v>
      </c>
      <c r="AI232" s="7">
        <v>262</v>
      </c>
      <c r="AJ232" s="7">
        <v>707</v>
      </c>
      <c r="AK232" s="7">
        <v>1603</v>
      </c>
      <c r="AL232" s="7">
        <v>300</v>
      </c>
      <c r="AM232" s="7">
        <v>1365</v>
      </c>
      <c r="AN232" s="7">
        <v>266</v>
      </c>
      <c r="AO232" s="7">
        <v>589</v>
      </c>
      <c r="AP232" s="7">
        <v>667</v>
      </c>
      <c r="AQ232" s="7">
        <v>487</v>
      </c>
      <c r="AR232" s="7">
        <v>429</v>
      </c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</row>
    <row r="233" spans="1:81">
      <c r="A233" s="1" t="s">
        <v>692</v>
      </c>
      <c r="B233" s="1" t="s">
        <v>693</v>
      </c>
      <c r="C233" s="1" t="s">
        <v>694</v>
      </c>
      <c r="D233" s="1" t="str">
        <f>HYPERLINK("http://eros.fiehnlab.ucdavis.edu:8080/binbase-compound/bin/show/352980?db=rtx5","352980")</f>
        <v>352980</v>
      </c>
      <c r="E233" s="1" t="s">
        <v>695</v>
      </c>
      <c r="F233" s="1" t="s">
        <v>0</v>
      </c>
      <c r="G233" s="1" t="s">
        <v>0</v>
      </c>
      <c r="H233" s="1"/>
      <c r="I233" s="7">
        <v>629</v>
      </c>
      <c r="J233" s="7">
        <v>273</v>
      </c>
      <c r="K233" s="7">
        <v>333</v>
      </c>
      <c r="L233" s="7">
        <v>1149</v>
      </c>
      <c r="M233" s="7">
        <v>990</v>
      </c>
      <c r="N233" s="7">
        <v>282</v>
      </c>
      <c r="O233" s="7">
        <v>546</v>
      </c>
      <c r="P233" s="7">
        <v>1353</v>
      </c>
      <c r="Q233" s="7">
        <v>1078</v>
      </c>
      <c r="R233" s="7">
        <v>1665</v>
      </c>
      <c r="S233" s="7">
        <v>959</v>
      </c>
      <c r="T233" s="7">
        <v>1278</v>
      </c>
      <c r="U233" s="7">
        <v>485</v>
      </c>
      <c r="V233" s="7">
        <v>254</v>
      </c>
      <c r="W233" s="7">
        <v>220</v>
      </c>
      <c r="X233" s="7">
        <v>363</v>
      </c>
      <c r="Y233" s="7">
        <v>537</v>
      </c>
      <c r="Z233" s="7">
        <v>705</v>
      </c>
      <c r="AA233" s="7">
        <v>111</v>
      </c>
      <c r="AB233" s="7">
        <v>515</v>
      </c>
      <c r="AC233" s="7">
        <v>482</v>
      </c>
      <c r="AD233" s="7">
        <v>327</v>
      </c>
      <c r="AE233" s="7">
        <v>882</v>
      </c>
      <c r="AF233" s="7">
        <v>850</v>
      </c>
      <c r="AG233" s="7">
        <v>2324</v>
      </c>
      <c r="AH233" s="7">
        <v>1471</v>
      </c>
      <c r="AI233" s="7">
        <v>900</v>
      </c>
      <c r="AJ233" s="7">
        <v>1065</v>
      </c>
      <c r="AK233" s="7">
        <v>1474</v>
      </c>
      <c r="AL233" s="7">
        <v>555</v>
      </c>
      <c r="AM233" s="7">
        <v>657</v>
      </c>
      <c r="AN233" s="7">
        <v>491</v>
      </c>
      <c r="AO233" s="7">
        <v>424</v>
      </c>
      <c r="AP233" s="7">
        <v>932</v>
      </c>
      <c r="AQ233" s="7">
        <v>399</v>
      </c>
      <c r="AR233" s="7">
        <v>815</v>
      </c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</row>
    <row r="234" spans="1:81">
      <c r="A234" s="1" t="s">
        <v>969</v>
      </c>
      <c r="B234" s="1" t="s">
        <v>970</v>
      </c>
      <c r="C234" s="1" t="s">
        <v>283</v>
      </c>
      <c r="D234" s="1" t="str">
        <f>HYPERLINK("http://eros.fiehnlab.ucdavis.edu:8080/binbase-compound/bin/show/231223?db=rtx5","231223")</f>
        <v>231223</v>
      </c>
      <c r="E234" s="1" t="s">
        <v>971</v>
      </c>
      <c r="F234" s="1" t="s">
        <v>0</v>
      </c>
      <c r="G234" s="1" t="s">
        <v>0</v>
      </c>
      <c r="H234" s="1"/>
      <c r="I234" s="7">
        <v>1039</v>
      </c>
      <c r="J234" s="7">
        <v>279</v>
      </c>
      <c r="K234" s="7">
        <v>504</v>
      </c>
      <c r="L234" s="7">
        <v>1221</v>
      </c>
      <c r="M234" s="7">
        <v>824</v>
      </c>
      <c r="N234" s="7">
        <v>313</v>
      </c>
      <c r="O234" s="7">
        <v>179</v>
      </c>
      <c r="P234" s="7">
        <v>332</v>
      </c>
      <c r="Q234" s="7">
        <v>503</v>
      </c>
      <c r="R234" s="7">
        <v>563</v>
      </c>
      <c r="S234" s="7">
        <v>459</v>
      </c>
      <c r="T234" s="7">
        <v>257</v>
      </c>
      <c r="U234" s="7">
        <v>353</v>
      </c>
      <c r="V234" s="7">
        <v>399</v>
      </c>
      <c r="W234" s="7">
        <v>573</v>
      </c>
      <c r="X234" s="7">
        <v>819</v>
      </c>
      <c r="Y234" s="7">
        <v>475</v>
      </c>
      <c r="Z234" s="7">
        <v>286</v>
      </c>
      <c r="AA234" s="7">
        <v>203</v>
      </c>
      <c r="AB234" s="7">
        <v>736</v>
      </c>
      <c r="AC234" s="7">
        <v>644</v>
      </c>
      <c r="AD234" s="7">
        <v>639</v>
      </c>
      <c r="AE234" s="7">
        <v>1219</v>
      </c>
      <c r="AF234" s="7">
        <v>795</v>
      </c>
      <c r="AG234" s="7">
        <v>1714</v>
      </c>
      <c r="AH234" s="7">
        <v>2063</v>
      </c>
      <c r="AI234" s="7">
        <v>407</v>
      </c>
      <c r="AJ234" s="7">
        <v>1694</v>
      </c>
      <c r="AK234" s="7">
        <v>2134</v>
      </c>
      <c r="AL234" s="7">
        <v>256</v>
      </c>
      <c r="AM234" s="7">
        <v>536</v>
      </c>
      <c r="AN234" s="7">
        <v>139</v>
      </c>
      <c r="AO234" s="7">
        <v>607</v>
      </c>
      <c r="AP234" s="7">
        <v>715</v>
      </c>
      <c r="AQ234" s="7">
        <v>160</v>
      </c>
      <c r="AR234" s="7">
        <v>324</v>
      </c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</row>
    <row r="235" spans="1:81">
      <c r="A235" s="1" t="s">
        <v>1143</v>
      </c>
      <c r="B235" s="1" t="s">
        <v>1144</v>
      </c>
      <c r="C235" s="1" t="s">
        <v>1145</v>
      </c>
      <c r="D235" s="1" t="str">
        <f>HYPERLINK("http://eros.fiehnlab.ucdavis.edu:8080/binbase-compound/bin/show/200484?db=rtx5","200484")</f>
        <v>200484</v>
      </c>
      <c r="E235" s="1" t="s">
        <v>1146</v>
      </c>
      <c r="F235" s="1" t="s">
        <v>0</v>
      </c>
      <c r="G235" s="1" t="s">
        <v>0</v>
      </c>
      <c r="H235" s="1"/>
      <c r="I235" s="7">
        <v>2978</v>
      </c>
      <c r="J235" s="7">
        <v>1094</v>
      </c>
      <c r="K235" s="7">
        <v>16456</v>
      </c>
      <c r="L235" s="7">
        <v>20180</v>
      </c>
      <c r="M235" s="7">
        <v>912</v>
      </c>
      <c r="N235" s="7">
        <v>3256</v>
      </c>
      <c r="O235" s="7">
        <v>1175</v>
      </c>
      <c r="P235" s="7">
        <v>9720</v>
      </c>
      <c r="Q235" s="7">
        <v>2056</v>
      </c>
      <c r="R235" s="7">
        <v>19124</v>
      </c>
      <c r="S235" s="7">
        <v>1062</v>
      </c>
      <c r="T235" s="7">
        <v>4217</v>
      </c>
      <c r="U235" s="7">
        <v>14772</v>
      </c>
      <c r="V235" s="7">
        <v>2259</v>
      </c>
      <c r="W235" s="7">
        <v>1751</v>
      </c>
      <c r="X235" s="7">
        <v>1249</v>
      </c>
      <c r="Y235" s="7">
        <v>20715</v>
      </c>
      <c r="Z235" s="7">
        <v>2765</v>
      </c>
      <c r="AA235" s="7">
        <v>2801</v>
      </c>
      <c r="AB235" s="7">
        <v>8917</v>
      </c>
      <c r="AC235" s="7">
        <v>18914</v>
      </c>
      <c r="AD235" s="7">
        <v>6381</v>
      </c>
      <c r="AE235" s="7">
        <v>4521</v>
      </c>
      <c r="AF235" s="7">
        <v>14081</v>
      </c>
      <c r="AG235" s="7">
        <v>5702</v>
      </c>
      <c r="AH235" s="7">
        <v>11521</v>
      </c>
      <c r="AI235" s="7">
        <v>1779</v>
      </c>
      <c r="AJ235" s="7">
        <v>13125</v>
      </c>
      <c r="AK235" s="7">
        <v>8281</v>
      </c>
      <c r="AL235" s="7">
        <v>1459</v>
      </c>
      <c r="AM235" s="7">
        <v>6643</v>
      </c>
      <c r="AN235" s="7">
        <v>2943</v>
      </c>
      <c r="AO235" s="7">
        <v>18529</v>
      </c>
      <c r="AP235" s="7">
        <v>14085</v>
      </c>
      <c r="AQ235" s="7">
        <v>1854</v>
      </c>
      <c r="AR235" s="7">
        <v>1705</v>
      </c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</row>
    <row r="236" spans="1:81">
      <c r="A236" s="1" t="s">
        <v>770</v>
      </c>
      <c r="B236" s="1" t="s">
        <v>771</v>
      </c>
      <c r="C236" s="1" t="s">
        <v>89</v>
      </c>
      <c r="D236" s="1" t="str">
        <f>HYPERLINK("http://eros.fiehnlab.ucdavis.edu:8080/binbase-compound/bin/show/284389?db=rtx5","284389")</f>
        <v>284389</v>
      </c>
      <c r="E236" s="1" t="s">
        <v>772</v>
      </c>
      <c r="F236" s="1" t="s">
        <v>0</v>
      </c>
      <c r="G236" s="1" t="s">
        <v>0</v>
      </c>
      <c r="H236" s="1"/>
      <c r="I236" s="7">
        <v>739</v>
      </c>
      <c r="J236" s="7">
        <v>615</v>
      </c>
      <c r="K236" s="7">
        <v>975</v>
      </c>
      <c r="L236" s="7">
        <v>1072</v>
      </c>
      <c r="M236" s="7">
        <v>491</v>
      </c>
      <c r="N236" s="7">
        <v>747</v>
      </c>
      <c r="O236" s="7">
        <v>485</v>
      </c>
      <c r="P236" s="7">
        <v>80</v>
      </c>
      <c r="Q236" s="7">
        <v>808</v>
      </c>
      <c r="R236" s="7">
        <v>551</v>
      </c>
      <c r="S236" s="7">
        <v>820</v>
      </c>
      <c r="T236" s="7">
        <v>872</v>
      </c>
      <c r="U236" s="7">
        <v>609</v>
      </c>
      <c r="V236" s="7">
        <v>771</v>
      </c>
      <c r="W236" s="7">
        <v>1064</v>
      </c>
      <c r="X236" s="7">
        <v>1774</v>
      </c>
      <c r="Y236" s="7">
        <v>2210</v>
      </c>
      <c r="Z236" s="7">
        <v>866</v>
      </c>
      <c r="AA236" s="7">
        <v>6469</v>
      </c>
      <c r="AB236" s="7">
        <v>1650</v>
      </c>
      <c r="AC236" s="7">
        <v>1721</v>
      </c>
      <c r="AD236" s="7">
        <v>1149</v>
      </c>
      <c r="AE236" s="7">
        <v>1287</v>
      </c>
      <c r="AF236" s="7">
        <v>1007</v>
      </c>
      <c r="AG236" s="7">
        <v>1278</v>
      </c>
      <c r="AH236" s="7">
        <v>3623</v>
      </c>
      <c r="AI236" s="7">
        <v>854</v>
      </c>
      <c r="AJ236" s="7">
        <v>1879</v>
      </c>
      <c r="AK236" s="7">
        <v>2906</v>
      </c>
      <c r="AL236" s="7">
        <v>988</v>
      </c>
      <c r="AM236" s="7">
        <v>222</v>
      </c>
      <c r="AN236" s="7">
        <v>1154</v>
      </c>
      <c r="AO236" s="7">
        <v>2045</v>
      </c>
      <c r="AP236" s="7">
        <v>1569</v>
      </c>
      <c r="AQ236" s="7">
        <v>1097</v>
      </c>
      <c r="AR236" s="7">
        <v>823</v>
      </c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</row>
    <row r="237" spans="1:81">
      <c r="A237" s="1" t="s">
        <v>1039</v>
      </c>
      <c r="B237" s="1" t="s">
        <v>1040</v>
      </c>
      <c r="C237" s="1" t="s">
        <v>606</v>
      </c>
      <c r="D237" s="1" t="str">
        <f>HYPERLINK("http://eros.fiehnlab.ucdavis.edu:8080/binbase-compound/bin/show/218769?db=rtx5","218769")</f>
        <v>218769</v>
      </c>
      <c r="E237" s="1" t="s">
        <v>1041</v>
      </c>
      <c r="F237" s="1" t="s">
        <v>0</v>
      </c>
      <c r="G237" s="1" t="s">
        <v>0</v>
      </c>
      <c r="H237" s="1"/>
      <c r="I237" s="7">
        <v>1692</v>
      </c>
      <c r="J237" s="7">
        <v>815</v>
      </c>
      <c r="K237" s="7">
        <v>1662</v>
      </c>
      <c r="L237" s="7">
        <v>1944</v>
      </c>
      <c r="M237" s="7">
        <v>2320</v>
      </c>
      <c r="N237" s="7">
        <v>1359</v>
      </c>
      <c r="O237" s="7">
        <v>584</v>
      </c>
      <c r="P237" s="7">
        <v>1836</v>
      </c>
      <c r="Q237" s="7">
        <v>1979</v>
      </c>
      <c r="R237" s="7">
        <v>3237</v>
      </c>
      <c r="S237" s="7">
        <v>1417</v>
      </c>
      <c r="T237" s="7">
        <v>1875</v>
      </c>
      <c r="U237" s="7">
        <v>1155</v>
      </c>
      <c r="V237" s="7">
        <v>1522</v>
      </c>
      <c r="W237" s="7">
        <v>1371</v>
      </c>
      <c r="X237" s="7">
        <v>2010</v>
      </c>
      <c r="Y237" s="7">
        <v>2060</v>
      </c>
      <c r="Z237" s="7">
        <v>1486</v>
      </c>
      <c r="AA237" s="7">
        <v>709</v>
      </c>
      <c r="AB237" s="7">
        <v>3451</v>
      </c>
      <c r="AC237" s="7">
        <v>2156</v>
      </c>
      <c r="AD237" s="7">
        <v>5057</v>
      </c>
      <c r="AE237" s="7">
        <v>3657</v>
      </c>
      <c r="AF237" s="7">
        <v>3491</v>
      </c>
      <c r="AG237" s="7">
        <v>4790</v>
      </c>
      <c r="AH237" s="7">
        <v>6001</v>
      </c>
      <c r="AI237" s="7">
        <v>2763</v>
      </c>
      <c r="AJ237" s="7">
        <v>5000</v>
      </c>
      <c r="AK237" s="7">
        <v>5416</v>
      </c>
      <c r="AL237" s="7">
        <v>1914</v>
      </c>
      <c r="AM237" s="7">
        <v>3045</v>
      </c>
      <c r="AN237" s="7">
        <v>1263</v>
      </c>
      <c r="AO237" s="7">
        <v>5386</v>
      </c>
      <c r="AP237" s="7">
        <v>3315</v>
      </c>
      <c r="AQ237" s="7">
        <v>943</v>
      </c>
      <c r="AR237" s="7">
        <v>2498</v>
      </c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</row>
    <row r="238" spans="1:81">
      <c r="A238" s="1" t="s">
        <v>981</v>
      </c>
      <c r="B238" s="1" t="s">
        <v>982</v>
      </c>
      <c r="C238" s="1" t="s">
        <v>983</v>
      </c>
      <c r="D238" s="1" t="str">
        <f>HYPERLINK("http://eros.fiehnlab.ucdavis.edu:8080/binbase-compound/bin/show/227816?db=rtx5","227816")</f>
        <v>227816</v>
      </c>
      <c r="E238" s="1" t="s">
        <v>984</v>
      </c>
      <c r="F238" s="1" t="s">
        <v>0</v>
      </c>
      <c r="G238" s="1" t="s">
        <v>0</v>
      </c>
      <c r="H238" s="1"/>
      <c r="I238" s="7">
        <v>291</v>
      </c>
      <c r="J238" s="7">
        <v>233</v>
      </c>
      <c r="K238" s="7">
        <v>389</v>
      </c>
      <c r="L238" s="7">
        <v>412</v>
      </c>
      <c r="M238" s="7">
        <v>183</v>
      </c>
      <c r="N238" s="7">
        <v>199</v>
      </c>
      <c r="O238" s="7">
        <v>258</v>
      </c>
      <c r="P238" s="7">
        <v>232</v>
      </c>
      <c r="Q238" s="7">
        <v>208</v>
      </c>
      <c r="R238" s="7">
        <v>446</v>
      </c>
      <c r="S238" s="7">
        <v>183</v>
      </c>
      <c r="T238" s="7">
        <v>312</v>
      </c>
      <c r="U238" s="7">
        <v>232</v>
      </c>
      <c r="V238" s="7">
        <v>226</v>
      </c>
      <c r="W238" s="7">
        <v>162</v>
      </c>
      <c r="X238" s="7">
        <v>381</v>
      </c>
      <c r="Y238" s="7">
        <v>295</v>
      </c>
      <c r="Z238" s="7">
        <v>195</v>
      </c>
      <c r="AA238" s="7">
        <v>126</v>
      </c>
      <c r="AB238" s="7">
        <v>528</v>
      </c>
      <c r="AC238" s="7">
        <v>540</v>
      </c>
      <c r="AD238" s="7">
        <v>333</v>
      </c>
      <c r="AE238" s="7">
        <v>422</v>
      </c>
      <c r="AF238" s="7">
        <v>562</v>
      </c>
      <c r="AG238" s="7">
        <v>383</v>
      </c>
      <c r="AH238" s="7">
        <v>544</v>
      </c>
      <c r="AI238" s="7">
        <v>175</v>
      </c>
      <c r="AJ238" s="7">
        <v>532</v>
      </c>
      <c r="AK238" s="7">
        <v>574</v>
      </c>
      <c r="AL238" s="7">
        <v>308</v>
      </c>
      <c r="AM238" s="7">
        <v>359</v>
      </c>
      <c r="AN238" s="7">
        <v>222</v>
      </c>
      <c r="AO238" s="7">
        <v>380</v>
      </c>
      <c r="AP238" s="7">
        <v>463</v>
      </c>
      <c r="AQ238" s="7">
        <v>183</v>
      </c>
      <c r="AR238" s="7">
        <v>329</v>
      </c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</row>
    <row r="239" spans="1:81">
      <c r="A239" s="1" t="s">
        <v>942</v>
      </c>
      <c r="B239" s="1" t="s">
        <v>943</v>
      </c>
      <c r="C239" s="1" t="s">
        <v>414</v>
      </c>
      <c r="D239" s="1" t="str">
        <f>HYPERLINK("http://eros.fiehnlab.ucdavis.edu:8080/binbase-compound/bin/show/234677?db=rtx5","234677")</f>
        <v>234677</v>
      </c>
      <c r="E239" s="1" t="s">
        <v>944</v>
      </c>
      <c r="F239" s="1" t="s">
        <v>0</v>
      </c>
      <c r="G239" s="1" t="s">
        <v>0</v>
      </c>
      <c r="H239" s="1"/>
      <c r="I239" s="7">
        <v>1516</v>
      </c>
      <c r="J239" s="7">
        <v>309</v>
      </c>
      <c r="K239" s="7">
        <v>2178</v>
      </c>
      <c r="L239" s="7">
        <v>1942</v>
      </c>
      <c r="M239" s="7">
        <v>790</v>
      </c>
      <c r="N239" s="7">
        <v>471</v>
      </c>
      <c r="O239" s="7">
        <v>787</v>
      </c>
      <c r="P239" s="7">
        <v>1919</v>
      </c>
      <c r="Q239" s="7">
        <v>1060</v>
      </c>
      <c r="R239" s="7">
        <v>4029</v>
      </c>
      <c r="S239" s="7">
        <v>878</v>
      </c>
      <c r="T239" s="7">
        <v>1296</v>
      </c>
      <c r="U239" s="7">
        <v>1326</v>
      </c>
      <c r="V239" s="7">
        <v>746</v>
      </c>
      <c r="W239" s="7">
        <v>533</v>
      </c>
      <c r="X239" s="7">
        <v>1042</v>
      </c>
      <c r="Y239" s="7">
        <v>1585</v>
      </c>
      <c r="Z239" s="7">
        <v>410</v>
      </c>
      <c r="AA239" s="7">
        <v>763</v>
      </c>
      <c r="AB239" s="7">
        <v>2213</v>
      </c>
      <c r="AC239" s="7">
        <v>2380</v>
      </c>
      <c r="AD239" s="7">
        <v>2777</v>
      </c>
      <c r="AE239" s="7">
        <v>2238</v>
      </c>
      <c r="AF239" s="7">
        <v>3050</v>
      </c>
      <c r="AG239" s="7">
        <v>2678</v>
      </c>
      <c r="AH239" s="7">
        <v>3374</v>
      </c>
      <c r="AI239" s="7">
        <v>542</v>
      </c>
      <c r="AJ239" s="7">
        <v>3082</v>
      </c>
      <c r="AK239" s="7">
        <v>3129</v>
      </c>
      <c r="AL239" s="7">
        <v>551</v>
      </c>
      <c r="AM239" s="7">
        <v>2371</v>
      </c>
      <c r="AN239" s="7">
        <v>441</v>
      </c>
      <c r="AO239" s="7">
        <v>1894</v>
      </c>
      <c r="AP239" s="7">
        <v>3327</v>
      </c>
      <c r="AQ239" s="7">
        <v>243</v>
      </c>
      <c r="AR239" s="7">
        <v>1777</v>
      </c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</row>
    <row r="240" spans="1:81">
      <c r="A240" s="1" t="s">
        <v>994</v>
      </c>
      <c r="B240" s="1" t="s">
        <v>995</v>
      </c>
      <c r="C240" s="1" t="s">
        <v>996</v>
      </c>
      <c r="D240" s="1" t="str">
        <f>HYPERLINK("http://eros.fiehnlab.ucdavis.edu:8080/binbase-compound/bin/show/225867?db=rtx5","225867")</f>
        <v>225867</v>
      </c>
      <c r="E240" s="1" t="s">
        <v>997</v>
      </c>
      <c r="F240" s="1" t="s">
        <v>0</v>
      </c>
      <c r="G240" s="1" t="s">
        <v>0</v>
      </c>
      <c r="H240" s="1"/>
      <c r="I240" s="7">
        <v>186</v>
      </c>
      <c r="J240" s="7">
        <v>570</v>
      </c>
      <c r="K240" s="7">
        <v>351</v>
      </c>
      <c r="L240" s="7">
        <v>205</v>
      </c>
      <c r="M240" s="7">
        <v>276</v>
      </c>
      <c r="N240" s="7">
        <v>449</v>
      </c>
      <c r="O240" s="7">
        <v>519</v>
      </c>
      <c r="P240" s="7">
        <v>237</v>
      </c>
      <c r="Q240" s="7">
        <v>345</v>
      </c>
      <c r="R240" s="7">
        <v>369</v>
      </c>
      <c r="S240" s="7">
        <v>451</v>
      </c>
      <c r="T240" s="7">
        <v>333</v>
      </c>
      <c r="U240" s="7">
        <v>71</v>
      </c>
      <c r="V240" s="7">
        <v>321</v>
      </c>
      <c r="W240" s="7">
        <v>382</v>
      </c>
      <c r="X240" s="7">
        <v>201</v>
      </c>
      <c r="Y240" s="7">
        <v>457</v>
      </c>
      <c r="Z240" s="7">
        <v>503</v>
      </c>
      <c r="AA240" s="7">
        <v>318</v>
      </c>
      <c r="AB240" s="7">
        <v>347</v>
      </c>
      <c r="AC240" s="7">
        <v>375</v>
      </c>
      <c r="AD240" s="7">
        <v>221</v>
      </c>
      <c r="AE240" s="7">
        <v>296</v>
      </c>
      <c r="AF240" s="7">
        <v>107</v>
      </c>
      <c r="AG240" s="7">
        <v>217</v>
      </c>
      <c r="AH240" s="7">
        <v>145</v>
      </c>
      <c r="AI240" s="7">
        <v>424</v>
      </c>
      <c r="AJ240" s="7">
        <v>401</v>
      </c>
      <c r="AK240" s="7">
        <v>157</v>
      </c>
      <c r="AL240" s="7">
        <v>569</v>
      </c>
      <c r="AM240" s="7">
        <v>158</v>
      </c>
      <c r="AN240" s="7">
        <v>490</v>
      </c>
      <c r="AO240" s="7">
        <v>132</v>
      </c>
      <c r="AP240" s="7">
        <v>171</v>
      </c>
      <c r="AQ240" s="7">
        <v>586</v>
      </c>
      <c r="AR240" s="7">
        <v>176</v>
      </c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</row>
    <row r="241" spans="1:81">
      <c r="A241" s="1" t="s">
        <v>1074</v>
      </c>
      <c r="B241" s="1" t="s">
        <v>1075</v>
      </c>
      <c r="C241" s="1" t="s">
        <v>152</v>
      </c>
      <c r="D241" s="1" t="str">
        <f>HYPERLINK("http://eros.fiehnlab.ucdavis.edu:8080/binbase-compound/bin/show/213253?db=rtx5","213253")</f>
        <v>213253</v>
      </c>
      <c r="E241" s="1" t="s">
        <v>1076</v>
      </c>
      <c r="F241" s="1" t="s">
        <v>0</v>
      </c>
      <c r="G241" s="1" t="s">
        <v>0</v>
      </c>
      <c r="H241" s="1"/>
      <c r="I241" s="7">
        <v>55284</v>
      </c>
      <c r="J241" s="7">
        <v>191675</v>
      </c>
      <c r="K241" s="7">
        <v>76972</v>
      </c>
      <c r="L241" s="7">
        <v>158435</v>
      </c>
      <c r="M241" s="7">
        <v>82006</v>
      </c>
      <c r="N241" s="7">
        <v>193014</v>
      </c>
      <c r="O241" s="7">
        <v>76238</v>
      </c>
      <c r="P241" s="7">
        <v>140355</v>
      </c>
      <c r="Q241" s="7">
        <v>264527</v>
      </c>
      <c r="R241" s="7">
        <v>64955</v>
      </c>
      <c r="S241" s="7">
        <v>153838</v>
      </c>
      <c r="T241" s="7">
        <v>95998</v>
      </c>
      <c r="U241" s="7">
        <v>37262</v>
      </c>
      <c r="V241" s="7">
        <v>117613</v>
      </c>
      <c r="W241" s="7">
        <v>152110</v>
      </c>
      <c r="X241" s="7">
        <v>83857</v>
      </c>
      <c r="Y241" s="7">
        <v>55189</v>
      </c>
      <c r="Z241" s="7">
        <v>102918</v>
      </c>
      <c r="AA241" s="7">
        <v>240525</v>
      </c>
      <c r="AB241" s="7">
        <v>65546</v>
      </c>
      <c r="AC241" s="7">
        <v>49417</v>
      </c>
      <c r="AD241" s="7">
        <v>63546</v>
      </c>
      <c r="AE241" s="7">
        <v>83698</v>
      </c>
      <c r="AF241" s="7">
        <v>32835</v>
      </c>
      <c r="AG241" s="7">
        <v>86077</v>
      </c>
      <c r="AH241" s="7">
        <v>98888</v>
      </c>
      <c r="AI241" s="7">
        <v>203136</v>
      </c>
      <c r="AJ241" s="7">
        <v>36445</v>
      </c>
      <c r="AK241" s="7">
        <v>79144</v>
      </c>
      <c r="AL241" s="7">
        <v>123105</v>
      </c>
      <c r="AM241" s="7">
        <v>60996</v>
      </c>
      <c r="AN241" s="7">
        <v>121935</v>
      </c>
      <c r="AO241" s="7">
        <v>66168</v>
      </c>
      <c r="AP241" s="7">
        <v>81923</v>
      </c>
      <c r="AQ241" s="7">
        <v>159827</v>
      </c>
      <c r="AR241" s="7">
        <v>83496</v>
      </c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</row>
    <row r="242" spans="1:81">
      <c r="A242" s="1" t="s">
        <v>699</v>
      </c>
      <c r="B242" s="1" t="s">
        <v>700</v>
      </c>
      <c r="C242" s="1" t="s">
        <v>89</v>
      </c>
      <c r="D242" s="1" t="str">
        <f>HYPERLINK("http://eros.fiehnlab.ucdavis.edu:8080/binbase-compound/bin/show/330609?db=rtx5","330609")</f>
        <v>330609</v>
      </c>
      <c r="E242" s="1" t="s">
        <v>701</v>
      </c>
      <c r="F242" s="1" t="s">
        <v>0</v>
      </c>
      <c r="G242" s="1" t="s">
        <v>0</v>
      </c>
      <c r="H242" s="1"/>
      <c r="I242" s="7">
        <v>1167</v>
      </c>
      <c r="J242" s="7">
        <v>675</v>
      </c>
      <c r="K242" s="7">
        <v>2532</v>
      </c>
      <c r="L242" s="7">
        <v>2694</v>
      </c>
      <c r="M242" s="7">
        <v>1631</v>
      </c>
      <c r="N242" s="7">
        <v>739</v>
      </c>
      <c r="O242" s="7">
        <v>2414</v>
      </c>
      <c r="P242" s="7">
        <v>3069</v>
      </c>
      <c r="Q242" s="7">
        <v>2592</v>
      </c>
      <c r="R242" s="7">
        <v>7211</v>
      </c>
      <c r="S242" s="7">
        <v>1933</v>
      </c>
      <c r="T242" s="7">
        <v>2411</v>
      </c>
      <c r="U242" s="7">
        <v>1092</v>
      </c>
      <c r="V242" s="7">
        <v>1206</v>
      </c>
      <c r="W242" s="7">
        <v>2260</v>
      </c>
      <c r="X242" s="7">
        <v>3285</v>
      </c>
      <c r="Y242" s="7">
        <v>4490</v>
      </c>
      <c r="Z242" s="7">
        <v>1606</v>
      </c>
      <c r="AA242" s="7">
        <v>862</v>
      </c>
      <c r="AB242" s="7">
        <v>5035</v>
      </c>
      <c r="AC242" s="7">
        <v>5112</v>
      </c>
      <c r="AD242" s="7">
        <v>16534</v>
      </c>
      <c r="AE242" s="7">
        <v>7775</v>
      </c>
      <c r="AF242" s="7">
        <v>18933</v>
      </c>
      <c r="AG242" s="7">
        <v>5911</v>
      </c>
      <c r="AH242" s="7">
        <v>10794</v>
      </c>
      <c r="AI242" s="7">
        <v>1253</v>
      </c>
      <c r="AJ242" s="7">
        <v>7597</v>
      </c>
      <c r="AK242" s="7">
        <v>6407</v>
      </c>
      <c r="AL242" s="7">
        <v>574</v>
      </c>
      <c r="AM242" s="7">
        <v>7988</v>
      </c>
      <c r="AN242" s="7">
        <v>1253</v>
      </c>
      <c r="AO242" s="7">
        <v>7669</v>
      </c>
      <c r="AP242" s="7">
        <v>10829</v>
      </c>
      <c r="AQ242" s="7">
        <v>1668</v>
      </c>
      <c r="AR242" s="7">
        <v>5020</v>
      </c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</row>
    <row r="243" spans="1:81">
      <c r="A243" s="1" t="s">
        <v>1124</v>
      </c>
      <c r="B243" s="1" t="s">
        <v>1125</v>
      </c>
      <c r="C243" s="1" t="s">
        <v>100</v>
      </c>
      <c r="D243" s="1" t="str">
        <f>HYPERLINK("http://eros.fiehnlab.ucdavis.edu:8080/binbase-compound/bin/show/201862?db=rtx5","201862")</f>
        <v>201862</v>
      </c>
      <c r="E243" s="1" t="s">
        <v>1126</v>
      </c>
      <c r="F243" s="1" t="s">
        <v>0</v>
      </c>
      <c r="G243" s="1" t="s">
        <v>0</v>
      </c>
      <c r="H243" s="1"/>
      <c r="I243" s="7">
        <v>252</v>
      </c>
      <c r="J243" s="7">
        <v>120</v>
      </c>
      <c r="K243" s="7">
        <v>313</v>
      </c>
      <c r="L243" s="7">
        <v>473</v>
      </c>
      <c r="M243" s="7">
        <v>254</v>
      </c>
      <c r="N243" s="7">
        <v>237</v>
      </c>
      <c r="O243" s="7">
        <v>120</v>
      </c>
      <c r="P243" s="7">
        <v>300</v>
      </c>
      <c r="Q243" s="7">
        <v>260</v>
      </c>
      <c r="R243" s="7">
        <v>745</v>
      </c>
      <c r="S243" s="7">
        <v>371</v>
      </c>
      <c r="T243" s="7">
        <v>178</v>
      </c>
      <c r="U243" s="7">
        <v>310</v>
      </c>
      <c r="V243" s="7">
        <v>300</v>
      </c>
      <c r="W243" s="7">
        <v>297</v>
      </c>
      <c r="X243" s="7">
        <v>371</v>
      </c>
      <c r="Y243" s="7">
        <v>391</v>
      </c>
      <c r="Z243" s="7">
        <v>129</v>
      </c>
      <c r="AA243" s="7">
        <v>808</v>
      </c>
      <c r="AB243" s="7">
        <v>609</v>
      </c>
      <c r="AC243" s="7">
        <v>1736</v>
      </c>
      <c r="AD243" s="7">
        <v>704</v>
      </c>
      <c r="AE243" s="7">
        <v>380</v>
      </c>
      <c r="AF243" s="7">
        <v>594</v>
      </c>
      <c r="AG243" s="7">
        <v>333</v>
      </c>
      <c r="AH243" s="7">
        <v>386</v>
      </c>
      <c r="AI243" s="7">
        <v>192</v>
      </c>
      <c r="AJ243" s="7">
        <v>711</v>
      </c>
      <c r="AK243" s="7">
        <v>950</v>
      </c>
      <c r="AL243" s="7">
        <v>107</v>
      </c>
      <c r="AM243" s="7">
        <v>706</v>
      </c>
      <c r="AN243" s="7">
        <v>161</v>
      </c>
      <c r="AO243" s="7">
        <v>587</v>
      </c>
      <c r="AP243" s="7">
        <v>742</v>
      </c>
      <c r="AQ243" s="7">
        <v>99</v>
      </c>
      <c r="AR243" s="7">
        <v>538</v>
      </c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</row>
    <row r="244" spans="1:81">
      <c r="A244" s="1" t="s">
        <v>758</v>
      </c>
      <c r="B244" s="1" t="s">
        <v>759</v>
      </c>
      <c r="C244" s="1" t="s">
        <v>502</v>
      </c>
      <c r="D244" s="1" t="str">
        <f>HYPERLINK("http://eros.fiehnlab.ucdavis.edu:8080/binbase-compound/bin/show/294511?db=rtx5","294511")</f>
        <v>294511</v>
      </c>
      <c r="E244" s="1" t="s">
        <v>760</v>
      </c>
      <c r="F244" s="1" t="s">
        <v>0</v>
      </c>
      <c r="G244" s="1" t="s">
        <v>0</v>
      </c>
      <c r="H244" s="1"/>
      <c r="I244" s="7">
        <v>392</v>
      </c>
      <c r="J244" s="7">
        <v>255</v>
      </c>
      <c r="K244" s="7">
        <v>444</v>
      </c>
      <c r="L244" s="7">
        <v>1018</v>
      </c>
      <c r="M244" s="7">
        <v>235</v>
      </c>
      <c r="N244" s="7">
        <v>227</v>
      </c>
      <c r="O244" s="7">
        <v>267</v>
      </c>
      <c r="P244" s="7">
        <v>322</v>
      </c>
      <c r="Q244" s="7">
        <v>525</v>
      </c>
      <c r="R244" s="7">
        <v>1114</v>
      </c>
      <c r="S244" s="7">
        <v>700</v>
      </c>
      <c r="T244" s="7">
        <v>199</v>
      </c>
      <c r="U244" s="7">
        <v>310</v>
      </c>
      <c r="V244" s="7">
        <v>122</v>
      </c>
      <c r="W244" s="7">
        <v>375</v>
      </c>
      <c r="X244" s="7">
        <v>664</v>
      </c>
      <c r="Y244" s="7">
        <v>1170</v>
      </c>
      <c r="Z244" s="7">
        <v>215</v>
      </c>
      <c r="AA244" s="7">
        <v>3640</v>
      </c>
      <c r="AB244" s="7">
        <v>580</v>
      </c>
      <c r="AC244" s="7">
        <v>1672</v>
      </c>
      <c r="AD244" s="7">
        <v>899</v>
      </c>
      <c r="AE244" s="7">
        <v>728</v>
      </c>
      <c r="AF244" s="7">
        <v>938</v>
      </c>
      <c r="AG244" s="7">
        <v>603</v>
      </c>
      <c r="AH244" s="7">
        <v>606</v>
      </c>
      <c r="AI244" s="7">
        <v>455</v>
      </c>
      <c r="AJ244" s="7">
        <v>1515</v>
      </c>
      <c r="AK244" s="7">
        <v>2722</v>
      </c>
      <c r="AL244" s="7">
        <v>123</v>
      </c>
      <c r="AM244" s="7">
        <v>780</v>
      </c>
      <c r="AN244" s="7">
        <v>236</v>
      </c>
      <c r="AO244" s="7">
        <v>1252</v>
      </c>
      <c r="AP244" s="7">
        <v>1416</v>
      </c>
      <c r="AQ244" s="7">
        <v>156</v>
      </c>
      <c r="AR244" s="7">
        <v>531</v>
      </c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</row>
    <row r="245" spans="1:81">
      <c r="A245" s="1" t="s">
        <v>1004</v>
      </c>
      <c r="B245" s="1" t="s">
        <v>1005</v>
      </c>
      <c r="C245" s="1" t="s">
        <v>694</v>
      </c>
      <c r="D245" s="1" t="str">
        <f>HYPERLINK("http://eros.fiehnlab.ucdavis.edu:8080/binbase-compound/bin/show/224632?db=rtx5","224632")</f>
        <v>224632</v>
      </c>
      <c r="E245" s="1" t="s">
        <v>1006</v>
      </c>
      <c r="F245" s="1" t="s">
        <v>0</v>
      </c>
      <c r="G245" s="1" t="s">
        <v>0</v>
      </c>
      <c r="H245" s="1"/>
      <c r="I245" s="7">
        <v>870</v>
      </c>
      <c r="J245" s="7">
        <v>452</v>
      </c>
      <c r="K245" s="7">
        <v>1175</v>
      </c>
      <c r="L245" s="7">
        <v>1530</v>
      </c>
      <c r="M245" s="7">
        <v>1647</v>
      </c>
      <c r="N245" s="7">
        <v>566</v>
      </c>
      <c r="O245" s="7">
        <v>1068</v>
      </c>
      <c r="P245" s="7">
        <v>2813</v>
      </c>
      <c r="Q245" s="7">
        <v>1932</v>
      </c>
      <c r="R245" s="7">
        <v>772</v>
      </c>
      <c r="S245" s="7">
        <v>1782</v>
      </c>
      <c r="T245" s="7">
        <v>1141</v>
      </c>
      <c r="U245" s="7">
        <v>1282</v>
      </c>
      <c r="V245" s="7">
        <v>802</v>
      </c>
      <c r="W245" s="7">
        <v>2099</v>
      </c>
      <c r="X245" s="7">
        <v>1611</v>
      </c>
      <c r="Y245" s="7">
        <v>1118</v>
      </c>
      <c r="Z245" s="7">
        <v>1895</v>
      </c>
      <c r="AA245" s="7">
        <v>988</v>
      </c>
      <c r="AB245" s="7">
        <v>854</v>
      </c>
      <c r="AC245" s="7">
        <v>1079</v>
      </c>
      <c r="AD245" s="7">
        <v>742</v>
      </c>
      <c r="AE245" s="7">
        <v>1310</v>
      </c>
      <c r="AF245" s="7">
        <v>1351</v>
      </c>
      <c r="AG245" s="7">
        <v>973</v>
      </c>
      <c r="AH245" s="7">
        <v>1111</v>
      </c>
      <c r="AI245" s="7">
        <v>896</v>
      </c>
      <c r="AJ245" s="7">
        <v>819</v>
      </c>
      <c r="AK245" s="7">
        <v>767</v>
      </c>
      <c r="AL245" s="7">
        <v>2083</v>
      </c>
      <c r="AM245" s="7">
        <v>838</v>
      </c>
      <c r="AN245" s="7">
        <v>1128</v>
      </c>
      <c r="AO245" s="7">
        <v>995</v>
      </c>
      <c r="AP245" s="7">
        <v>342</v>
      </c>
      <c r="AQ245" s="7">
        <v>1976</v>
      </c>
      <c r="AR245" s="7">
        <v>803</v>
      </c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</row>
    <row r="246" spans="1:81">
      <c r="A246" s="1" t="s">
        <v>1042</v>
      </c>
      <c r="B246" s="1" t="s">
        <v>1043</v>
      </c>
      <c r="C246" s="1" t="s">
        <v>132</v>
      </c>
      <c r="D246" s="1" t="str">
        <f>HYPERLINK("http://eros.fiehnlab.ucdavis.edu:8080/binbase-compound/bin/show/218694?db=rtx5","218694")</f>
        <v>218694</v>
      </c>
      <c r="E246" s="1" t="s">
        <v>1044</v>
      </c>
      <c r="F246" s="1" t="s">
        <v>0</v>
      </c>
      <c r="G246" s="1" t="s">
        <v>0</v>
      </c>
      <c r="H246" s="1"/>
      <c r="I246" s="7">
        <v>438</v>
      </c>
      <c r="J246" s="7">
        <v>1125</v>
      </c>
      <c r="K246" s="7">
        <v>808</v>
      </c>
      <c r="L246" s="7">
        <v>2186</v>
      </c>
      <c r="M246" s="7">
        <v>989</v>
      </c>
      <c r="N246" s="7">
        <v>808</v>
      </c>
      <c r="O246" s="7">
        <v>1008</v>
      </c>
      <c r="P246" s="7">
        <v>1178</v>
      </c>
      <c r="Q246" s="7">
        <v>824</v>
      </c>
      <c r="R246" s="7">
        <v>2626</v>
      </c>
      <c r="S246" s="7">
        <v>1369</v>
      </c>
      <c r="T246" s="7">
        <v>2257</v>
      </c>
      <c r="U246" s="7">
        <v>700</v>
      </c>
      <c r="V246" s="7">
        <v>692</v>
      </c>
      <c r="W246" s="7">
        <v>813</v>
      </c>
      <c r="X246" s="7">
        <v>1008</v>
      </c>
      <c r="Y246" s="7">
        <v>954</v>
      </c>
      <c r="Z246" s="7">
        <v>1073</v>
      </c>
      <c r="AA246" s="7">
        <v>799</v>
      </c>
      <c r="AB246" s="7">
        <v>1095</v>
      </c>
      <c r="AC246" s="7">
        <v>1505</v>
      </c>
      <c r="AD246" s="7">
        <v>2138</v>
      </c>
      <c r="AE246" s="7">
        <v>1047</v>
      </c>
      <c r="AF246" s="7">
        <v>2813</v>
      </c>
      <c r="AG246" s="7">
        <v>1200</v>
      </c>
      <c r="AH246" s="7">
        <v>1657</v>
      </c>
      <c r="AI246" s="7">
        <v>813</v>
      </c>
      <c r="AJ246" s="7">
        <v>2377</v>
      </c>
      <c r="AK246" s="7">
        <v>1643</v>
      </c>
      <c r="AL246" s="7">
        <v>1030</v>
      </c>
      <c r="AM246" s="7">
        <v>1076</v>
      </c>
      <c r="AN246" s="7">
        <v>1087</v>
      </c>
      <c r="AO246" s="7">
        <v>1688</v>
      </c>
      <c r="AP246" s="7">
        <v>1824</v>
      </c>
      <c r="AQ246" s="7">
        <v>1292</v>
      </c>
      <c r="AR246" s="7">
        <v>1830</v>
      </c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</row>
    <row r="247" spans="1:81">
      <c r="A247" s="1" t="s">
        <v>814</v>
      </c>
      <c r="B247" s="1" t="s">
        <v>815</v>
      </c>
      <c r="C247" s="1" t="s">
        <v>117</v>
      </c>
      <c r="D247" s="1" t="str">
        <f>HYPERLINK("http://eros.fiehnlab.ucdavis.edu:8080/binbase-compound/bin/show/269157?db=rtx5","269157")</f>
        <v>269157</v>
      </c>
      <c r="E247" s="1" t="s">
        <v>816</v>
      </c>
      <c r="F247" s="1" t="s">
        <v>0</v>
      </c>
      <c r="G247" s="1" t="s">
        <v>0</v>
      </c>
      <c r="H247" s="1"/>
      <c r="I247" s="7">
        <v>263</v>
      </c>
      <c r="J247" s="7">
        <v>429</v>
      </c>
      <c r="K247" s="7">
        <v>593</v>
      </c>
      <c r="L247" s="7">
        <v>926</v>
      </c>
      <c r="M247" s="7">
        <v>345</v>
      </c>
      <c r="N247" s="7">
        <v>336</v>
      </c>
      <c r="O247" s="7">
        <v>419</v>
      </c>
      <c r="P247" s="7">
        <v>870</v>
      </c>
      <c r="Q247" s="7">
        <v>660</v>
      </c>
      <c r="R247" s="7">
        <v>778</v>
      </c>
      <c r="S247" s="7">
        <v>525</v>
      </c>
      <c r="T247" s="7">
        <v>482</v>
      </c>
      <c r="U247" s="7">
        <v>1056</v>
      </c>
      <c r="V247" s="7">
        <v>444</v>
      </c>
      <c r="W247" s="7">
        <v>684</v>
      </c>
      <c r="X247" s="7">
        <v>444</v>
      </c>
      <c r="Y247" s="7">
        <v>948</v>
      </c>
      <c r="Z247" s="7">
        <v>502</v>
      </c>
      <c r="AA247" s="7">
        <v>923</v>
      </c>
      <c r="AB247" s="7">
        <v>1303</v>
      </c>
      <c r="AC247" s="7">
        <v>1361</v>
      </c>
      <c r="AD247" s="7">
        <v>935</v>
      </c>
      <c r="AE247" s="7">
        <v>914</v>
      </c>
      <c r="AF247" s="7">
        <v>1559</v>
      </c>
      <c r="AG247" s="7">
        <v>1076</v>
      </c>
      <c r="AH247" s="7">
        <v>1489</v>
      </c>
      <c r="AI247" s="7">
        <v>445</v>
      </c>
      <c r="AJ247" s="7">
        <v>1088</v>
      </c>
      <c r="AK247" s="7">
        <v>1067</v>
      </c>
      <c r="AL247" s="7">
        <v>1099</v>
      </c>
      <c r="AM247" s="7">
        <v>788</v>
      </c>
      <c r="AN247" s="7">
        <v>754</v>
      </c>
      <c r="AO247" s="7">
        <v>990</v>
      </c>
      <c r="AP247" s="7">
        <v>1541</v>
      </c>
      <c r="AQ247" s="7">
        <v>777</v>
      </c>
      <c r="AR247" s="7">
        <v>1056</v>
      </c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</row>
    <row r="248" spans="1:81">
      <c r="A248" s="1" t="s">
        <v>1070</v>
      </c>
      <c r="B248" s="1" t="s">
        <v>1071</v>
      </c>
      <c r="C248" s="1" t="s">
        <v>1072</v>
      </c>
      <c r="D248" s="1" t="str">
        <f>HYPERLINK("http://eros.fiehnlab.ucdavis.edu:8080/binbase-compound/bin/show/213353?db=rtx5","213353")</f>
        <v>213353</v>
      </c>
      <c r="E248" s="1" t="s">
        <v>1073</v>
      </c>
      <c r="F248" s="1" t="s">
        <v>0</v>
      </c>
      <c r="G248" s="1" t="s">
        <v>0</v>
      </c>
      <c r="H248" s="1"/>
      <c r="I248" s="7">
        <v>411</v>
      </c>
      <c r="J248" s="7">
        <v>283</v>
      </c>
      <c r="K248" s="7">
        <v>587</v>
      </c>
      <c r="L248" s="7">
        <v>658</v>
      </c>
      <c r="M248" s="7">
        <v>165</v>
      </c>
      <c r="N248" s="7">
        <v>247</v>
      </c>
      <c r="O248" s="7">
        <v>175</v>
      </c>
      <c r="P248" s="7">
        <v>566</v>
      </c>
      <c r="Q248" s="7">
        <v>385</v>
      </c>
      <c r="R248" s="7">
        <v>780</v>
      </c>
      <c r="S248" s="7">
        <v>364</v>
      </c>
      <c r="T248" s="7">
        <v>331</v>
      </c>
      <c r="U248" s="7">
        <v>412</v>
      </c>
      <c r="V248" s="7">
        <v>386</v>
      </c>
      <c r="W248" s="7">
        <v>413</v>
      </c>
      <c r="X248" s="7">
        <v>471</v>
      </c>
      <c r="Y248" s="7">
        <v>801</v>
      </c>
      <c r="Z248" s="7">
        <v>238</v>
      </c>
      <c r="AA248" s="7">
        <v>410</v>
      </c>
      <c r="AB248" s="7">
        <v>862</v>
      </c>
      <c r="AC248" s="7">
        <v>568</v>
      </c>
      <c r="AD248" s="7">
        <v>718</v>
      </c>
      <c r="AE248" s="7">
        <v>1036</v>
      </c>
      <c r="AF248" s="7">
        <v>625</v>
      </c>
      <c r="AG248" s="7">
        <v>1404</v>
      </c>
      <c r="AH248" s="7">
        <v>841</v>
      </c>
      <c r="AI248" s="7">
        <v>351</v>
      </c>
      <c r="AJ248" s="7">
        <v>920</v>
      </c>
      <c r="AK248" s="7">
        <v>931</v>
      </c>
      <c r="AL248" s="7">
        <v>267</v>
      </c>
      <c r="AM248" s="7">
        <v>817</v>
      </c>
      <c r="AN248" s="7">
        <v>341</v>
      </c>
      <c r="AO248" s="7">
        <v>995</v>
      </c>
      <c r="AP248" s="7">
        <v>493</v>
      </c>
      <c r="AQ248" s="7">
        <v>178</v>
      </c>
      <c r="AR248" s="7">
        <v>590</v>
      </c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</row>
    <row r="249" spans="1:81">
      <c r="A249" s="1" t="s">
        <v>552</v>
      </c>
      <c r="B249" s="1" t="s">
        <v>553</v>
      </c>
      <c r="C249" s="1" t="s">
        <v>554</v>
      </c>
      <c r="D249" s="1" t="str">
        <f>HYPERLINK("http://eros.fiehnlab.ucdavis.edu:8080/binbase-compound/bin/show/409052?db=rtx5","409052")</f>
        <v>409052</v>
      </c>
      <c r="E249" s="1" t="s">
        <v>555</v>
      </c>
      <c r="F249" s="1" t="s">
        <v>0</v>
      </c>
      <c r="G249" s="1" t="s">
        <v>0</v>
      </c>
      <c r="H249" s="1"/>
      <c r="I249" s="7">
        <v>2264</v>
      </c>
      <c r="J249" s="7">
        <v>772</v>
      </c>
      <c r="K249" s="7">
        <v>1481</v>
      </c>
      <c r="L249" s="7">
        <v>983</v>
      </c>
      <c r="M249" s="7">
        <v>2798</v>
      </c>
      <c r="N249" s="7">
        <v>1022</v>
      </c>
      <c r="O249" s="7">
        <v>490</v>
      </c>
      <c r="P249" s="7">
        <v>443</v>
      </c>
      <c r="Q249" s="7">
        <v>2042</v>
      </c>
      <c r="R249" s="7">
        <v>600</v>
      </c>
      <c r="S249" s="7">
        <v>1315</v>
      </c>
      <c r="T249" s="7">
        <v>3074</v>
      </c>
      <c r="U249" s="7">
        <v>711</v>
      </c>
      <c r="V249" s="7">
        <v>1530</v>
      </c>
      <c r="W249" s="7">
        <v>1729</v>
      </c>
      <c r="X249" s="7">
        <v>1861</v>
      </c>
      <c r="Y249" s="7">
        <v>711</v>
      </c>
      <c r="Z249" s="7">
        <v>1859</v>
      </c>
      <c r="AA249" s="7">
        <v>1717</v>
      </c>
      <c r="AB249" s="7">
        <v>4183</v>
      </c>
      <c r="AC249" s="7">
        <v>3626</v>
      </c>
      <c r="AD249" s="7">
        <v>5147</v>
      </c>
      <c r="AE249" s="7">
        <v>5243</v>
      </c>
      <c r="AF249" s="7">
        <v>5104</v>
      </c>
      <c r="AG249" s="7">
        <v>4224</v>
      </c>
      <c r="AH249" s="7">
        <v>5296</v>
      </c>
      <c r="AI249" s="7">
        <v>1858</v>
      </c>
      <c r="AJ249" s="7">
        <v>3356</v>
      </c>
      <c r="AK249" s="7">
        <v>5016</v>
      </c>
      <c r="AL249" s="7">
        <v>2129</v>
      </c>
      <c r="AM249" s="7">
        <v>1400</v>
      </c>
      <c r="AN249" s="7">
        <v>1730</v>
      </c>
      <c r="AO249" s="7">
        <v>3997</v>
      </c>
      <c r="AP249" s="7">
        <v>3452</v>
      </c>
      <c r="AQ249" s="7">
        <v>1493</v>
      </c>
      <c r="AR249" s="7">
        <v>1902</v>
      </c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</row>
    <row r="250" spans="1:81">
      <c r="A250" s="1" t="s">
        <v>533</v>
      </c>
      <c r="B250" s="1" t="s">
        <v>534</v>
      </c>
      <c r="C250" s="1" t="s">
        <v>535</v>
      </c>
      <c r="D250" s="1" t="str">
        <f>HYPERLINK("http://eros.fiehnlab.ucdavis.edu:8080/binbase-compound/bin/show/409521?db=rtx5","409521")</f>
        <v>409521</v>
      </c>
      <c r="E250" s="1" t="s">
        <v>536</v>
      </c>
      <c r="F250" s="1" t="s">
        <v>0</v>
      </c>
      <c r="G250" s="1" t="s">
        <v>0</v>
      </c>
      <c r="H250" s="1"/>
      <c r="I250" s="7">
        <v>896</v>
      </c>
      <c r="J250" s="7">
        <v>476</v>
      </c>
      <c r="K250" s="7">
        <v>787</v>
      </c>
      <c r="L250" s="7">
        <v>1717</v>
      </c>
      <c r="M250" s="7">
        <v>896</v>
      </c>
      <c r="N250" s="7">
        <v>448</v>
      </c>
      <c r="O250" s="7">
        <v>479</v>
      </c>
      <c r="P250" s="7">
        <v>1733</v>
      </c>
      <c r="Q250" s="7">
        <v>1246</v>
      </c>
      <c r="R250" s="7">
        <v>2633</v>
      </c>
      <c r="S250" s="7">
        <v>1138</v>
      </c>
      <c r="T250" s="7">
        <v>2137</v>
      </c>
      <c r="U250" s="7">
        <v>669</v>
      </c>
      <c r="V250" s="7">
        <v>667</v>
      </c>
      <c r="W250" s="7">
        <v>573</v>
      </c>
      <c r="X250" s="7">
        <v>1293</v>
      </c>
      <c r="Y250" s="7">
        <v>1069</v>
      </c>
      <c r="Z250" s="7">
        <v>752</v>
      </c>
      <c r="AA250" s="7">
        <v>618</v>
      </c>
      <c r="AB250" s="7">
        <v>871</v>
      </c>
      <c r="AC250" s="7">
        <v>1108</v>
      </c>
      <c r="AD250" s="7">
        <v>1740</v>
      </c>
      <c r="AE250" s="7">
        <v>1670</v>
      </c>
      <c r="AF250" s="7">
        <v>2505</v>
      </c>
      <c r="AG250" s="7">
        <v>2375</v>
      </c>
      <c r="AH250" s="7">
        <v>2055</v>
      </c>
      <c r="AI250" s="7">
        <v>839</v>
      </c>
      <c r="AJ250" s="7">
        <v>1890</v>
      </c>
      <c r="AK250" s="7">
        <v>1660</v>
      </c>
      <c r="AL250" s="7">
        <v>736</v>
      </c>
      <c r="AM250" s="7">
        <v>1369</v>
      </c>
      <c r="AN250" s="7">
        <v>651</v>
      </c>
      <c r="AO250" s="7">
        <v>1277</v>
      </c>
      <c r="AP250" s="7">
        <v>2110</v>
      </c>
      <c r="AQ250" s="7">
        <v>595</v>
      </c>
      <c r="AR250" s="7">
        <v>897</v>
      </c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</row>
    <row r="251" spans="1:81">
      <c r="A251" s="1" t="s">
        <v>1133</v>
      </c>
      <c r="B251" s="1" t="s">
        <v>1134</v>
      </c>
      <c r="C251" s="1" t="s">
        <v>167</v>
      </c>
      <c r="D251" s="1" t="str">
        <f>HYPERLINK("http://eros.fiehnlab.ucdavis.edu:8080/binbase-compound/bin/show/200905?db=rtx5","200905")</f>
        <v>200905</v>
      </c>
      <c r="E251" s="1" t="s">
        <v>1135</v>
      </c>
      <c r="F251" s="1" t="s">
        <v>0</v>
      </c>
      <c r="G251" s="1" t="s">
        <v>0</v>
      </c>
      <c r="H251" s="1"/>
      <c r="I251" s="7">
        <v>1454</v>
      </c>
      <c r="J251" s="7">
        <v>827</v>
      </c>
      <c r="K251" s="7">
        <v>2213</v>
      </c>
      <c r="L251" s="7">
        <v>1742</v>
      </c>
      <c r="M251" s="7">
        <v>1450</v>
      </c>
      <c r="N251" s="7">
        <v>867</v>
      </c>
      <c r="O251" s="7">
        <v>1541</v>
      </c>
      <c r="P251" s="7">
        <v>2533</v>
      </c>
      <c r="Q251" s="7">
        <v>1440</v>
      </c>
      <c r="R251" s="7">
        <v>1803</v>
      </c>
      <c r="S251" s="7">
        <v>1615</v>
      </c>
      <c r="T251" s="7">
        <v>1453</v>
      </c>
      <c r="U251" s="7">
        <v>1527</v>
      </c>
      <c r="V251" s="7">
        <v>1702</v>
      </c>
      <c r="W251" s="7">
        <v>1894</v>
      </c>
      <c r="X251" s="7">
        <v>2006</v>
      </c>
      <c r="Y251" s="7">
        <v>2310</v>
      </c>
      <c r="Z251" s="7">
        <v>1639</v>
      </c>
      <c r="AA251" s="7">
        <v>1635</v>
      </c>
      <c r="AB251" s="7">
        <v>2161</v>
      </c>
      <c r="AC251" s="7">
        <v>2469</v>
      </c>
      <c r="AD251" s="7">
        <v>1878</v>
      </c>
      <c r="AE251" s="7">
        <v>1800</v>
      </c>
      <c r="AF251" s="7">
        <v>2381</v>
      </c>
      <c r="AG251" s="7">
        <v>2136</v>
      </c>
      <c r="AH251" s="7">
        <v>1956</v>
      </c>
      <c r="AI251" s="7">
        <v>1031</v>
      </c>
      <c r="AJ251" s="7">
        <v>1905</v>
      </c>
      <c r="AK251" s="7">
        <v>2403</v>
      </c>
      <c r="AL251" s="7">
        <v>1749</v>
      </c>
      <c r="AM251" s="7">
        <v>1967</v>
      </c>
      <c r="AN251" s="7">
        <v>1164</v>
      </c>
      <c r="AO251" s="7">
        <v>3408</v>
      </c>
      <c r="AP251" s="7">
        <v>2032</v>
      </c>
      <c r="AQ251" s="7">
        <v>1415</v>
      </c>
      <c r="AR251" s="7">
        <v>1495</v>
      </c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</row>
    <row r="252" spans="1:81">
      <c r="A252" s="1" t="s">
        <v>919</v>
      </c>
      <c r="B252" s="1" t="s">
        <v>920</v>
      </c>
      <c r="C252" s="1" t="s">
        <v>273</v>
      </c>
      <c r="D252" s="1" t="str">
        <f>HYPERLINK("http://eros.fiehnlab.ucdavis.edu:8080/binbase-compound/bin/show/236828?db=rtx5","236828")</f>
        <v>236828</v>
      </c>
      <c r="E252" s="1" t="s">
        <v>921</v>
      </c>
      <c r="F252" s="1" t="s">
        <v>0</v>
      </c>
      <c r="G252" s="1" t="s">
        <v>0</v>
      </c>
      <c r="H252" s="1"/>
      <c r="I252" s="7">
        <v>2343</v>
      </c>
      <c r="J252" s="7">
        <v>3192</v>
      </c>
      <c r="K252" s="7">
        <v>1687</v>
      </c>
      <c r="L252" s="7">
        <v>2188</v>
      </c>
      <c r="M252" s="7">
        <v>3000</v>
      </c>
      <c r="N252" s="7">
        <v>2789</v>
      </c>
      <c r="O252" s="7">
        <v>1723</v>
      </c>
      <c r="P252" s="7">
        <v>1582</v>
      </c>
      <c r="Q252" s="7">
        <v>2759</v>
      </c>
      <c r="R252" s="7">
        <v>2577</v>
      </c>
      <c r="S252" s="7">
        <v>2442</v>
      </c>
      <c r="T252" s="7">
        <v>4982</v>
      </c>
      <c r="U252" s="7">
        <v>1130</v>
      </c>
      <c r="V252" s="7">
        <v>2988</v>
      </c>
      <c r="W252" s="7">
        <v>2554</v>
      </c>
      <c r="X252" s="7">
        <v>2114</v>
      </c>
      <c r="Y252" s="7">
        <v>1239</v>
      </c>
      <c r="Z252" s="7">
        <v>2897</v>
      </c>
      <c r="AA252" s="7">
        <v>1905</v>
      </c>
      <c r="AB252" s="7">
        <v>3582</v>
      </c>
      <c r="AC252" s="7">
        <v>2574</v>
      </c>
      <c r="AD252" s="7">
        <v>2506</v>
      </c>
      <c r="AE252" s="7">
        <v>4328</v>
      </c>
      <c r="AF252" s="7">
        <v>1661</v>
      </c>
      <c r="AG252" s="7">
        <v>3518</v>
      </c>
      <c r="AH252" s="7">
        <v>3932</v>
      </c>
      <c r="AI252" s="7">
        <v>2858</v>
      </c>
      <c r="AJ252" s="7">
        <v>2890</v>
      </c>
      <c r="AK252" s="7">
        <v>3622</v>
      </c>
      <c r="AL252" s="7">
        <v>3036</v>
      </c>
      <c r="AM252" s="7">
        <v>2537</v>
      </c>
      <c r="AN252" s="7">
        <v>2443</v>
      </c>
      <c r="AO252" s="7">
        <v>2733</v>
      </c>
      <c r="AP252" s="7">
        <v>2658</v>
      </c>
      <c r="AQ252" s="7">
        <v>2660</v>
      </c>
      <c r="AR252" s="7">
        <v>2972</v>
      </c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</row>
    <row r="253" spans="1:81">
      <c r="A253" s="1" t="s">
        <v>708</v>
      </c>
      <c r="B253" s="1" t="s">
        <v>709</v>
      </c>
      <c r="C253" s="1" t="s">
        <v>155</v>
      </c>
      <c r="D253" s="1" t="str">
        <f>HYPERLINK("http://eros.fiehnlab.ucdavis.edu:8080/binbase-compound/bin/show/314770?db=rtx5","314770")</f>
        <v>314770</v>
      </c>
      <c r="E253" s="1" t="s">
        <v>710</v>
      </c>
      <c r="F253" s="1" t="s">
        <v>0</v>
      </c>
      <c r="G253" s="1" t="s">
        <v>0</v>
      </c>
      <c r="H253" s="1"/>
      <c r="I253" s="7">
        <v>798</v>
      </c>
      <c r="J253" s="7">
        <v>642</v>
      </c>
      <c r="K253" s="7">
        <v>585</v>
      </c>
      <c r="L253" s="7">
        <v>1147</v>
      </c>
      <c r="M253" s="7">
        <v>368</v>
      </c>
      <c r="N253" s="7">
        <v>767</v>
      </c>
      <c r="O253" s="7">
        <v>352</v>
      </c>
      <c r="P253" s="7">
        <v>449</v>
      </c>
      <c r="Q253" s="7">
        <v>662</v>
      </c>
      <c r="R253" s="7">
        <v>1508</v>
      </c>
      <c r="S253" s="7">
        <v>2290</v>
      </c>
      <c r="T253" s="7">
        <v>1498</v>
      </c>
      <c r="U253" s="7">
        <v>359</v>
      </c>
      <c r="V253" s="7">
        <v>396</v>
      </c>
      <c r="W253" s="7">
        <v>700</v>
      </c>
      <c r="X253" s="7">
        <v>1716</v>
      </c>
      <c r="Y253" s="7">
        <v>952</v>
      </c>
      <c r="Z253" s="7">
        <v>782</v>
      </c>
      <c r="AA253" s="7">
        <v>524</v>
      </c>
      <c r="AB253" s="7">
        <v>835</v>
      </c>
      <c r="AC253" s="7">
        <v>602</v>
      </c>
      <c r="AD253" s="7">
        <v>1446</v>
      </c>
      <c r="AE253" s="7">
        <v>2352</v>
      </c>
      <c r="AF253" s="7">
        <v>1940</v>
      </c>
      <c r="AG253" s="7">
        <v>715</v>
      </c>
      <c r="AH253" s="7">
        <v>1295</v>
      </c>
      <c r="AI253" s="7">
        <v>785</v>
      </c>
      <c r="AJ253" s="7">
        <v>1468</v>
      </c>
      <c r="AK253" s="7">
        <v>2032</v>
      </c>
      <c r="AL253" s="7">
        <v>898</v>
      </c>
      <c r="AM253" s="7">
        <v>1059</v>
      </c>
      <c r="AN253" s="7">
        <v>729</v>
      </c>
      <c r="AO253" s="7">
        <v>631</v>
      </c>
      <c r="AP253" s="7">
        <v>1678</v>
      </c>
      <c r="AQ253" s="7">
        <v>1008</v>
      </c>
      <c r="AR253" s="7">
        <v>1232</v>
      </c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</row>
    <row r="254" spans="1:81">
      <c r="A254" s="1" t="s">
        <v>1136</v>
      </c>
      <c r="B254" s="1" t="s">
        <v>1137</v>
      </c>
      <c r="C254" s="1" t="s">
        <v>1138</v>
      </c>
      <c r="D254" s="1" t="str">
        <f>HYPERLINK("http://eros.fiehnlab.ucdavis.edu:8080/binbase-compound/bin/show/200624?db=rtx5","200624")</f>
        <v>200624</v>
      </c>
      <c r="E254" s="1" t="s">
        <v>1139</v>
      </c>
      <c r="F254" s="1" t="s">
        <v>0</v>
      </c>
      <c r="G254" s="1" t="s">
        <v>0</v>
      </c>
      <c r="H254" s="1"/>
      <c r="I254" s="7">
        <v>720</v>
      </c>
      <c r="J254" s="7">
        <v>314</v>
      </c>
      <c r="K254" s="7">
        <v>754</v>
      </c>
      <c r="L254" s="7">
        <v>549</v>
      </c>
      <c r="M254" s="7">
        <v>513</v>
      </c>
      <c r="N254" s="7">
        <v>258</v>
      </c>
      <c r="O254" s="7">
        <v>923</v>
      </c>
      <c r="P254" s="7">
        <v>914</v>
      </c>
      <c r="Q254" s="7">
        <v>298</v>
      </c>
      <c r="R254" s="7">
        <v>668</v>
      </c>
      <c r="S254" s="7">
        <v>1272</v>
      </c>
      <c r="T254" s="7">
        <v>559</v>
      </c>
      <c r="U254" s="7">
        <v>600</v>
      </c>
      <c r="V254" s="7">
        <v>842</v>
      </c>
      <c r="W254" s="7">
        <v>616</v>
      </c>
      <c r="X254" s="7">
        <v>1184</v>
      </c>
      <c r="Y254" s="7">
        <v>942</v>
      </c>
      <c r="Z254" s="7">
        <v>380</v>
      </c>
      <c r="AA254" s="7">
        <v>299</v>
      </c>
      <c r="AB254" s="7">
        <v>1139</v>
      </c>
      <c r="AC254" s="7">
        <v>588</v>
      </c>
      <c r="AD254" s="7">
        <v>575</v>
      </c>
      <c r="AE254" s="7">
        <v>1374</v>
      </c>
      <c r="AF254" s="7">
        <v>768</v>
      </c>
      <c r="AG254" s="7">
        <v>970</v>
      </c>
      <c r="AH254" s="7">
        <v>790</v>
      </c>
      <c r="AI254" s="7">
        <v>509</v>
      </c>
      <c r="AJ254" s="7">
        <v>959</v>
      </c>
      <c r="AK254" s="7">
        <v>865</v>
      </c>
      <c r="AL254" s="7">
        <v>566</v>
      </c>
      <c r="AM254" s="7">
        <v>951</v>
      </c>
      <c r="AN254" s="7">
        <v>568</v>
      </c>
      <c r="AO254" s="7">
        <v>1296</v>
      </c>
      <c r="AP254" s="7">
        <v>692</v>
      </c>
      <c r="AQ254" s="7">
        <v>306</v>
      </c>
      <c r="AR254" s="7">
        <v>1182</v>
      </c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</row>
    <row r="255" spans="1:81">
      <c r="A255" s="1" t="s">
        <v>975</v>
      </c>
      <c r="B255" s="1" t="s">
        <v>976</v>
      </c>
      <c r="C255" s="1" t="s">
        <v>222</v>
      </c>
      <c r="D255" s="1" t="str">
        <f>HYPERLINK("http://eros.fiehnlab.ucdavis.edu:8080/binbase-compound/bin/show/228422?db=rtx5","228422")</f>
        <v>228422</v>
      </c>
      <c r="E255" s="1" t="s">
        <v>977</v>
      </c>
      <c r="F255" s="1" t="s">
        <v>0</v>
      </c>
      <c r="G255" s="1" t="s">
        <v>0</v>
      </c>
      <c r="H255" s="1"/>
      <c r="I255" s="7">
        <v>301</v>
      </c>
      <c r="J255" s="7">
        <v>294</v>
      </c>
      <c r="K255" s="7">
        <v>699</v>
      </c>
      <c r="L255" s="7">
        <v>484</v>
      </c>
      <c r="M255" s="7">
        <v>346</v>
      </c>
      <c r="N255" s="7">
        <v>278</v>
      </c>
      <c r="O255" s="7">
        <v>584</v>
      </c>
      <c r="P255" s="7">
        <v>834</v>
      </c>
      <c r="Q255" s="7">
        <v>304</v>
      </c>
      <c r="R255" s="7">
        <v>770</v>
      </c>
      <c r="S255" s="7">
        <v>801</v>
      </c>
      <c r="T255" s="7">
        <v>372</v>
      </c>
      <c r="U255" s="7">
        <v>270</v>
      </c>
      <c r="V255" s="7">
        <v>335</v>
      </c>
      <c r="W255" s="7">
        <v>912</v>
      </c>
      <c r="X255" s="7">
        <v>1487</v>
      </c>
      <c r="Y255" s="7">
        <v>1137</v>
      </c>
      <c r="Z255" s="7">
        <v>276</v>
      </c>
      <c r="AA255" s="7">
        <v>349</v>
      </c>
      <c r="AB255" s="7">
        <v>1205</v>
      </c>
      <c r="AC255" s="7">
        <v>1261</v>
      </c>
      <c r="AD255" s="7">
        <v>1053</v>
      </c>
      <c r="AE255" s="7">
        <v>2229</v>
      </c>
      <c r="AF255" s="7">
        <v>904</v>
      </c>
      <c r="AG255" s="7">
        <v>949</v>
      </c>
      <c r="AH255" s="7">
        <v>641</v>
      </c>
      <c r="AI255" s="7">
        <v>340</v>
      </c>
      <c r="AJ255" s="7">
        <v>1159</v>
      </c>
      <c r="AK255" s="7">
        <v>886</v>
      </c>
      <c r="AL255" s="7">
        <v>657</v>
      </c>
      <c r="AM255" s="7">
        <v>1529</v>
      </c>
      <c r="AN255" s="7">
        <v>672</v>
      </c>
      <c r="AO255" s="7">
        <v>1405</v>
      </c>
      <c r="AP255" s="7">
        <v>1169</v>
      </c>
      <c r="AQ255" s="7">
        <v>455</v>
      </c>
      <c r="AR255" s="7">
        <v>1341</v>
      </c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</row>
    <row r="256" spans="1:81">
      <c r="A256" s="1" t="s">
        <v>1127</v>
      </c>
      <c r="B256" s="1" t="s">
        <v>1128</v>
      </c>
      <c r="C256" s="1" t="s">
        <v>521</v>
      </c>
      <c r="D256" s="1" t="str">
        <f>HYPERLINK("http://eros.fiehnlab.ucdavis.edu:8080/binbase-compound/bin/show/201042?db=rtx5","201042")</f>
        <v>201042</v>
      </c>
      <c r="E256" s="1" t="s">
        <v>1129</v>
      </c>
      <c r="F256" s="1" t="s">
        <v>0</v>
      </c>
      <c r="G256" s="1" t="s">
        <v>0</v>
      </c>
      <c r="H256" s="1"/>
      <c r="I256" s="7">
        <v>1724</v>
      </c>
      <c r="J256" s="7">
        <v>1453</v>
      </c>
      <c r="K256" s="7">
        <v>4198</v>
      </c>
      <c r="L256" s="7">
        <v>5845</v>
      </c>
      <c r="M256" s="7">
        <v>1611</v>
      </c>
      <c r="N256" s="7">
        <v>2139</v>
      </c>
      <c r="O256" s="7">
        <v>3064</v>
      </c>
      <c r="P256" s="7">
        <v>3130</v>
      </c>
      <c r="Q256" s="7">
        <v>1647</v>
      </c>
      <c r="R256" s="7">
        <v>7751</v>
      </c>
      <c r="S256" s="7">
        <v>1802</v>
      </c>
      <c r="T256" s="7">
        <v>1615</v>
      </c>
      <c r="U256" s="7">
        <v>3673</v>
      </c>
      <c r="V256" s="7">
        <v>2665</v>
      </c>
      <c r="W256" s="7">
        <v>1881</v>
      </c>
      <c r="X256" s="7">
        <v>2984</v>
      </c>
      <c r="Y256" s="7">
        <v>5176</v>
      </c>
      <c r="Z256" s="7">
        <v>1085</v>
      </c>
      <c r="AA256" s="7">
        <v>1158</v>
      </c>
      <c r="AB256" s="7">
        <v>4092</v>
      </c>
      <c r="AC256" s="7">
        <v>5343</v>
      </c>
      <c r="AD256" s="7">
        <v>5909</v>
      </c>
      <c r="AE256" s="7">
        <v>3760</v>
      </c>
      <c r="AF256" s="7">
        <v>4418</v>
      </c>
      <c r="AG256" s="7">
        <v>3604</v>
      </c>
      <c r="AH256" s="7">
        <v>4906</v>
      </c>
      <c r="AI256" s="7">
        <v>1824</v>
      </c>
      <c r="AJ256" s="7">
        <v>5030</v>
      </c>
      <c r="AK256" s="7">
        <v>4799</v>
      </c>
      <c r="AL256" s="7">
        <v>1274</v>
      </c>
      <c r="AM256" s="7">
        <v>4894</v>
      </c>
      <c r="AN256" s="7">
        <v>1418</v>
      </c>
      <c r="AO256" s="7">
        <v>5376</v>
      </c>
      <c r="AP256" s="7">
        <v>5751</v>
      </c>
      <c r="AQ256" s="7">
        <v>1399</v>
      </c>
      <c r="AR256" s="7">
        <v>5032</v>
      </c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</row>
    <row r="257" spans="1:81">
      <c r="A257" s="1" t="s">
        <v>1099</v>
      </c>
      <c r="B257" s="1" t="s">
        <v>1100</v>
      </c>
      <c r="C257" s="1" t="s">
        <v>857</v>
      </c>
      <c r="D257" s="1" t="str">
        <f>HYPERLINK("http://eros.fiehnlab.ucdavis.edu:8080/binbase-compound/bin/show/206309?db=rtx5","206309")</f>
        <v>206309</v>
      </c>
      <c r="E257" s="1" t="s">
        <v>1101</v>
      </c>
      <c r="F257" s="1" t="s">
        <v>0</v>
      </c>
      <c r="G257" s="1" t="s">
        <v>0</v>
      </c>
      <c r="H257" s="1"/>
      <c r="I257" s="7">
        <v>679</v>
      </c>
      <c r="J257" s="7">
        <v>267</v>
      </c>
      <c r="K257" s="7">
        <v>2054</v>
      </c>
      <c r="L257" s="7">
        <v>1706</v>
      </c>
      <c r="M257" s="7">
        <v>525</v>
      </c>
      <c r="N257" s="7">
        <v>453</v>
      </c>
      <c r="O257" s="7">
        <v>869</v>
      </c>
      <c r="P257" s="7">
        <v>2353</v>
      </c>
      <c r="Q257" s="7">
        <v>549</v>
      </c>
      <c r="R257" s="7">
        <v>2897</v>
      </c>
      <c r="S257" s="7">
        <v>613</v>
      </c>
      <c r="T257" s="7">
        <v>586</v>
      </c>
      <c r="U257" s="7">
        <v>1977</v>
      </c>
      <c r="V257" s="7">
        <v>722</v>
      </c>
      <c r="W257" s="7">
        <v>641</v>
      </c>
      <c r="X257" s="7">
        <v>1032</v>
      </c>
      <c r="Y257" s="7">
        <v>3332</v>
      </c>
      <c r="Z257" s="7">
        <v>549</v>
      </c>
      <c r="AA257" s="7">
        <v>790</v>
      </c>
      <c r="AB257" s="7">
        <v>1380</v>
      </c>
      <c r="AC257" s="7">
        <v>1499</v>
      </c>
      <c r="AD257" s="7">
        <v>1303</v>
      </c>
      <c r="AE257" s="7">
        <v>1208</v>
      </c>
      <c r="AF257" s="7">
        <v>3766</v>
      </c>
      <c r="AG257" s="7">
        <v>1111</v>
      </c>
      <c r="AH257" s="7">
        <v>1408</v>
      </c>
      <c r="AI257" s="7">
        <v>423</v>
      </c>
      <c r="AJ257" s="7">
        <v>1806</v>
      </c>
      <c r="AK257" s="7">
        <v>1634</v>
      </c>
      <c r="AL257" s="7">
        <v>400</v>
      </c>
      <c r="AM257" s="7">
        <v>1527</v>
      </c>
      <c r="AN257" s="7">
        <v>369</v>
      </c>
      <c r="AO257" s="7">
        <v>1345</v>
      </c>
      <c r="AP257" s="7">
        <v>1404</v>
      </c>
      <c r="AQ257" s="7">
        <v>590</v>
      </c>
      <c r="AR257" s="7">
        <v>1173</v>
      </c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</row>
    <row r="258" spans="1:81">
      <c r="A258" s="1" t="s">
        <v>651</v>
      </c>
      <c r="B258" s="1" t="s">
        <v>652</v>
      </c>
      <c r="C258" s="1" t="s">
        <v>484</v>
      </c>
      <c r="D258" s="1" t="str">
        <f>HYPERLINK("http://eros.fiehnlab.ucdavis.edu:8080/binbase-compound/bin/show/362084?db=rtx5","362084")</f>
        <v>362084</v>
      </c>
      <c r="E258" s="1" t="s">
        <v>653</v>
      </c>
      <c r="F258" s="1" t="s">
        <v>0</v>
      </c>
      <c r="G258" s="1" t="s">
        <v>0</v>
      </c>
      <c r="H258" s="1"/>
      <c r="I258" s="7">
        <v>1778</v>
      </c>
      <c r="J258" s="7">
        <v>754</v>
      </c>
      <c r="K258" s="7">
        <v>2741</v>
      </c>
      <c r="L258" s="7">
        <v>5571</v>
      </c>
      <c r="M258" s="7">
        <v>1532</v>
      </c>
      <c r="N258" s="7">
        <v>437</v>
      </c>
      <c r="O258" s="7">
        <v>445</v>
      </c>
      <c r="P258" s="7">
        <v>2894</v>
      </c>
      <c r="Q258" s="7">
        <v>940</v>
      </c>
      <c r="R258" s="7">
        <v>1038</v>
      </c>
      <c r="S258" s="7">
        <v>1157</v>
      </c>
      <c r="T258" s="7">
        <v>1282</v>
      </c>
      <c r="U258" s="7">
        <v>1796</v>
      </c>
      <c r="V258" s="7">
        <v>1017</v>
      </c>
      <c r="W258" s="7">
        <v>1049</v>
      </c>
      <c r="X258" s="7">
        <v>2025</v>
      </c>
      <c r="Y258" s="7">
        <v>2191</v>
      </c>
      <c r="Z258" s="7">
        <v>588</v>
      </c>
      <c r="AA258" s="7">
        <v>832</v>
      </c>
      <c r="AB258" s="7">
        <v>4243</v>
      </c>
      <c r="AC258" s="7">
        <v>4172</v>
      </c>
      <c r="AD258" s="7">
        <v>2238</v>
      </c>
      <c r="AE258" s="7">
        <v>5219</v>
      </c>
      <c r="AF258" s="7">
        <v>3451</v>
      </c>
      <c r="AG258" s="7">
        <v>1826</v>
      </c>
      <c r="AH258" s="7">
        <v>3892</v>
      </c>
      <c r="AI258" s="7">
        <v>623</v>
      </c>
      <c r="AJ258" s="7">
        <v>2769</v>
      </c>
      <c r="AK258" s="7">
        <v>3272</v>
      </c>
      <c r="AL258" s="7">
        <v>1163</v>
      </c>
      <c r="AM258" s="7">
        <v>2314</v>
      </c>
      <c r="AN258" s="7">
        <v>894</v>
      </c>
      <c r="AO258" s="7">
        <v>3552</v>
      </c>
      <c r="AP258" s="7">
        <v>1498</v>
      </c>
      <c r="AQ258" s="7">
        <v>628</v>
      </c>
      <c r="AR258" s="7">
        <v>1103</v>
      </c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</row>
    <row r="259" spans="1:81">
      <c r="A259" s="1" t="s">
        <v>629</v>
      </c>
      <c r="B259" s="1" t="s">
        <v>630</v>
      </c>
      <c r="C259" s="1" t="s">
        <v>155</v>
      </c>
      <c r="D259" s="1" t="str">
        <f>HYPERLINK("http://eros.fiehnlab.ucdavis.edu:8080/binbase-compound/bin/show/374786?db=rtx5","374786")</f>
        <v>374786</v>
      </c>
      <c r="E259" s="1" t="s">
        <v>631</v>
      </c>
      <c r="F259" s="1" t="s">
        <v>0</v>
      </c>
      <c r="G259" s="1" t="s">
        <v>0</v>
      </c>
      <c r="H259" s="1"/>
      <c r="I259" s="7">
        <v>491</v>
      </c>
      <c r="J259" s="7">
        <v>272</v>
      </c>
      <c r="K259" s="7">
        <v>969</v>
      </c>
      <c r="L259" s="7">
        <v>1382</v>
      </c>
      <c r="M259" s="7">
        <v>351</v>
      </c>
      <c r="N259" s="7">
        <v>697</v>
      </c>
      <c r="O259" s="7">
        <v>279</v>
      </c>
      <c r="P259" s="7">
        <v>348</v>
      </c>
      <c r="Q259" s="7">
        <v>953</v>
      </c>
      <c r="R259" s="7">
        <v>1880</v>
      </c>
      <c r="S259" s="7">
        <v>1455</v>
      </c>
      <c r="T259" s="7">
        <v>878</v>
      </c>
      <c r="U259" s="7">
        <v>626</v>
      </c>
      <c r="V259" s="7">
        <v>174</v>
      </c>
      <c r="W259" s="7">
        <v>1003</v>
      </c>
      <c r="X259" s="7">
        <v>2182</v>
      </c>
      <c r="Y259" s="7">
        <v>2288</v>
      </c>
      <c r="Z259" s="7">
        <v>471</v>
      </c>
      <c r="AA259" s="7">
        <v>5938</v>
      </c>
      <c r="AB259" s="7">
        <v>744</v>
      </c>
      <c r="AC259" s="7">
        <v>6069</v>
      </c>
      <c r="AD259" s="7">
        <v>1351</v>
      </c>
      <c r="AE259" s="7">
        <v>1692</v>
      </c>
      <c r="AF259" s="7">
        <v>1943</v>
      </c>
      <c r="AG259" s="7">
        <v>803</v>
      </c>
      <c r="AH259" s="7">
        <v>1111</v>
      </c>
      <c r="AI259" s="7">
        <v>1863</v>
      </c>
      <c r="AJ259" s="7">
        <v>2043</v>
      </c>
      <c r="AK259" s="7">
        <v>4077</v>
      </c>
      <c r="AL259" s="7">
        <v>811</v>
      </c>
      <c r="AM259" s="7">
        <v>794</v>
      </c>
      <c r="AN259" s="7">
        <v>531</v>
      </c>
      <c r="AO259" s="7">
        <v>1922</v>
      </c>
      <c r="AP259" s="7">
        <v>1610</v>
      </c>
      <c r="AQ259" s="7">
        <v>943</v>
      </c>
      <c r="AR259" s="7">
        <v>563</v>
      </c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</row>
    <row r="260" spans="1:81">
      <c r="A260" s="1" t="s">
        <v>596</v>
      </c>
      <c r="B260" s="1" t="s">
        <v>597</v>
      </c>
      <c r="C260" s="1" t="s">
        <v>103</v>
      </c>
      <c r="D260" s="1" t="str">
        <f>HYPERLINK("http://eros.fiehnlab.ucdavis.edu:8080/binbase-compound/bin/show/408593?db=rtx5","408593")</f>
        <v>408593</v>
      </c>
      <c r="E260" s="1" t="s">
        <v>598</v>
      </c>
      <c r="F260" s="1" t="s">
        <v>0</v>
      </c>
      <c r="G260" s="1" t="s">
        <v>0</v>
      </c>
      <c r="H260" s="1"/>
      <c r="I260" s="7">
        <v>741</v>
      </c>
      <c r="J260" s="7">
        <v>241</v>
      </c>
      <c r="K260" s="7">
        <v>1845</v>
      </c>
      <c r="L260" s="7">
        <v>2160</v>
      </c>
      <c r="M260" s="7">
        <v>831</v>
      </c>
      <c r="N260" s="7">
        <v>1684</v>
      </c>
      <c r="O260" s="7">
        <v>1879</v>
      </c>
      <c r="P260" s="7">
        <v>812</v>
      </c>
      <c r="Q260" s="7">
        <v>135</v>
      </c>
      <c r="R260" s="7">
        <v>1902</v>
      </c>
      <c r="S260" s="7">
        <v>327</v>
      </c>
      <c r="T260" s="7">
        <v>587</v>
      </c>
      <c r="U260" s="7">
        <v>585</v>
      </c>
      <c r="V260" s="7">
        <v>634</v>
      </c>
      <c r="W260" s="7">
        <v>295</v>
      </c>
      <c r="X260" s="7">
        <v>376</v>
      </c>
      <c r="Y260" s="7">
        <v>434</v>
      </c>
      <c r="Z260" s="7">
        <v>679</v>
      </c>
      <c r="AA260" s="7">
        <v>786</v>
      </c>
      <c r="AB260" s="7">
        <v>395</v>
      </c>
      <c r="AC260" s="7">
        <v>937</v>
      </c>
      <c r="AD260" s="7">
        <v>1963</v>
      </c>
      <c r="AE260" s="7">
        <v>1319</v>
      </c>
      <c r="AF260" s="7">
        <v>4701</v>
      </c>
      <c r="AG260" s="7">
        <v>473</v>
      </c>
      <c r="AH260" s="7">
        <v>550</v>
      </c>
      <c r="AI260" s="7">
        <v>202</v>
      </c>
      <c r="AJ260" s="7">
        <v>4746</v>
      </c>
      <c r="AK260" s="7">
        <v>488</v>
      </c>
      <c r="AL260" s="7">
        <v>309</v>
      </c>
      <c r="AM260" s="7">
        <v>1137</v>
      </c>
      <c r="AN260" s="7">
        <v>274</v>
      </c>
      <c r="AO260" s="7">
        <v>441</v>
      </c>
      <c r="AP260" s="7">
        <v>3025</v>
      </c>
      <c r="AQ260" s="7">
        <v>376</v>
      </c>
      <c r="AR260" s="7">
        <v>1004</v>
      </c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</row>
    <row r="261" spans="1:81">
      <c r="A261" s="1" t="s">
        <v>858</v>
      </c>
      <c r="B261" s="1" t="s">
        <v>859</v>
      </c>
      <c r="C261" s="1" t="s">
        <v>279</v>
      </c>
      <c r="D261" s="1" t="str">
        <f>HYPERLINK("http://eros.fiehnlab.ucdavis.edu:8080/binbase-compound/bin/show/241271?db=rtx5","241271")</f>
        <v>241271</v>
      </c>
      <c r="E261" s="1" t="s">
        <v>860</v>
      </c>
      <c r="F261" s="1" t="s">
        <v>0</v>
      </c>
      <c r="G261" s="1" t="s">
        <v>0</v>
      </c>
      <c r="H261" s="1"/>
      <c r="I261" s="7">
        <v>43</v>
      </c>
      <c r="J261" s="7">
        <v>201</v>
      </c>
      <c r="K261" s="7">
        <v>103</v>
      </c>
      <c r="L261" s="7">
        <v>257</v>
      </c>
      <c r="M261" s="7">
        <v>75</v>
      </c>
      <c r="N261" s="7">
        <v>214</v>
      </c>
      <c r="O261" s="7">
        <v>262</v>
      </c>
      <c r="P261" s="7">
        <v>236</v>
      </c>
      <c r="Q261" s="7">
        <v>120</v>
      </c>
      <c r="R261" s="7">
        <v>274</v>
      </c>
      <c r="S261" s="7">
        <v>176</v>
      </c>
      <c r="T261" s="7">
        <v>107</v>
      </c>
      <c r="U261" s="7">
        <v>169</v>
      </c>
      <c r="V261" s="7">
        <v>87</v>
      </c>
      <c r="W261" s="7">
        <v>33</v>
      </c>
      <c r="X261" s="7">
        <v>253</v>
      </c>
      <c r="Y261" s="7">
        <v>362</v>
      </c>
      <c r="Z261" s="7">
        <v>98</v>
      </c>
      <c r="AA261" s="7">
        <v>29</v>
      </c>
      <c r="AB261" s="7">
        <v>268</v>
      </c>
      <c r="AC261" s="7">
        <v>282</v>
      </c>
      <c r="AD261" s="7">
        <v>277</v>
      </c>
      <c r="AE261" s="7">
        <v>178</v>
      </c>
      <c r="AF261" s="7">
        <v>315</v>
      </c>
      <c r="AG261" s="7">
        <v>233</v>
      </c>
      <c r="AH261" s="7">
        <v>418</v>
      </c>
      <c r="AI261" s="7">
        <v>142</v>
      </c>
      <c r="AJ261" s="7">
        <v>349</v>
      </c>
      <c r="AK261" s="7">
        <v>310</v>
      </c>
      <c r="AL261" s="7">
        <v>126</v>
      </c>
      <c r="AM261" s="7">
        <v>271</v>
      </c>
      <c r="AN261" s="7">
        <v>159</v>
      </c>
      <c r="AO261" s="7">
        <v>348</v>
      </c>
      <c r="AP261" s="7">
        <v>322</v>
      </c>
      <c r="AQ261" s="7">
        <v>159</v>
      </c>
      <c r="AR261" s="7">
        <v>181</v>
      </c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</row>
    <row r="262" spans="1:81">
      <c r="A262" s="1" t="s">
        <v>543</v>
      </c>
      <c r="B262" s="1" t="s">
        <v>544</v>
      </c>
      <c r="C262" s="1" t="s">
        <v>363</v>
      </c>
      <c r="D262" s="1" t="str">
        <f>HYPERLINK("http://eros.fiehnlab.ucdavis.edu:8080/binbase-compound/bin/show/409212?db=rtx5","409212")</f>
        <v>409212</v>
      </c>
      <c r="E262" s="1" t="s">
        <v>545</v>
      </c>
      <c r="F262" s="1" t="s">
        <v>0</v>
      </c>
      <c r="G262" s="1" t="s">
        <v>0</v>
      </c>
      <c r="H262" s="1"/>
      <c r="I262" s="7">
        <v>1195</v>
      </c>
      <c r="J262" s="7">
        <v>395</v>
      </c>
      <c r="K262" s="7">
        <v>565</v>
      </c>
      <c r="L262" s="7">
        <v>1456</v>
      </c>
      <c r="M262" s="7">
        <v>670</v>
      </c>
      <c r="N262" s="7">
        <v>550</v>
      </c>
      <c r="O262" s="7">
        <v>771</v>
      </c>
      <c r="P262" s="7">
        <v>1473</v>
      </c>
      <c r="Q262" s="7">
        <v>713</v>
      </c>
      <c r="R262" s="7">
        <v>1599</v>
      </c>
      <c r="S262" s="7">
        <v>762</v>
      </c>
      <c r="T262" s="7">
        <v>853</v>
      </c>
      <c r="U262" s="7">
        <v>252</v>
      </c>
      <c r="V262" s="7">
        <v>894</v>
      </c>
      <c r="W262" s="7">
        <v>754</v>
      </c>
      <c r="X262" s="7">
        <v>1525</v>
      </c>
      <c r="Y262" s="7">
        <v>1571</v>
      </c>
      <c r="Z262" s="7">
        <v>1383</v>
      </c>
      <c r="AA262" s="7">
        <v>741</v>
      </c>
      <c r="AB262" s="7">
        <v>2207</v>
      </c>
      <c r="AC262" s="7">
        <v>1301</v>
      </c>
      <c r="AD262" s="7">
        <v>812</v>
      </c>
      <c r="AE262" s="7">
        <v>4348</v>
      </c>
      <c r="AF262" s="7">
        <v>1768</v>
      </c>
      <c r="AG262" s="7">
        <v>1584</v>
      </c>
      <c r="AH262" s="7">
        <v>1804</v>
      </c>
      <c r="AI262" s="7">
        <v>899</v>
      </c>
      <c r="AJ262" s="7">
        <v>1347</v>
      </c>
      <c r="AK262" s="7">
        <v>3027</v>
      </c>
      <c r="AL262" s="7">
        <v>874</v>
      </c>
      <c r="AM262" s="7">
        <v>1688</v>
      </c>
      <c r="AN262" s="7">
        <v>1169</v>
      </c>
      <c r="AO262" s="7">
        <v>2112</v>
      </c>
      <c r="AP262" s="7">
        <v>1795</v>
      </c>
      <c r="AQ262" s="7">
        <v>914</v>
      </c>
      <c r="AR262" s="7">
        <v>1497</v>
      </c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</row>
    <row r="263" spans="1:81">
      <c r="A263" s="1" t="s">
        <v>537</v>
      </c>
      <c r="B263" s="1" t="s">
        <v>538</v>
      </c>
      <c r="C263" s="1" t="s">
        <v>418</v>
      </c>
      <c r="D263" s="1" t="str">
        <f>HYPERLINK("http://eros.fiehnlab.ucdavis.edu:8080/binbase-compound/bin/show/409349?db=rtx5","409349")</f>
        <v>409349</v>
      </c>
      <c r="E263" s="1" t="s">
        <v>539</v>
      </c>
      <c r="F263" s="1" t="s">
        <v>0</v>
      </c>
      <c r="G263" s="1" t="s">
        <v>0</v>
      </c>
      <c r="H263" s="1"/>
      <c r="I263" s="7">
        <v>1118</v>
      </c>
      <c r="J263" s="7">
        <v>523</v>
      </c>
      <c r="K263" s="7">
        <v>1478</v>
      </c>
      <c r="L263" s="7">
        <v>2254</v>
      </c>
      <c r="M263" s="7">
        <v>778</v>
      </c>
      <c r="N263" s="7">
        <v>790</v>
      </c>
      <c r="O263" s="7">
        <v>896</v>
      </c>
      <c r="P263" s="7">
        <v>941</v>
      </c>
      <c r="Q263" s="7">
        <v>983</v>
      </c>
      <c r="R263" s="7">
        <v>2548</v>
      </c>
      <c r="S263" s="7">
        <v>1608</v>
      </c>
      <c r="T263" s="7">
        <v>818</v>
      </c>
      <c r="U263" s="7">
        <v>1143</v>
      </c>
      <c r="V263" s="7">
        <v>741</v>
      </c>
      <c r="W263" s="7">
        <v>909</v>
      </c>
      <c r="X263" s="7">
        <v>1409</v>
      </c>
      <c r="Y263" s="7">
        <v>2826</v>
      </c>
      <c r="Z263" s="7">
        <v>482</v>
      </c>
      <c r="AA263" s="7">
        <v>5012</v>
      </c>
      <c r="AB263" s="7">
        <v>1752</v>
      </c>
      <c r="AC263" s="7">
        <v>2882</v>
      </c>
      <c r="AD263" s="7">
        <v>2393</v>
      </c>
      <c r="AE263" s="7">
        <v>1591</v>
      </c>
      <c r="AF263" s="7">
        <v>1833</v>
      </c>
      <c r="AG263" s="7">
        <v>1664</v>
      </c>
      <c r="AH263" s="7">
        <v>1998</v>
      </c>
      <c r="AI263" s="7">
        <v>1064</v>
      </c>
      <c r="AJ263" s="7">
        <v>2866</v>
      </c>
      <c r="AK263" s="7">
        <v>3753</v>
      </c>
      <c r="AL263" s="7">
        <v>605</v>
      </c>
      <c r="AM263" s="7">
        <v>1965</v>
      </c>
      <c r="AN263" s="7">
        <v>638</v>
      </c>
      <c r="AO263" s="7">
        <v>2390</v>
      </c>
      <c r="AP263" s="7">
        <v>2390</v>
      </c>
      <c r="AQ263" s="7">
        <v>543</v>
      </c>
      <c r="AR263" s="7">
        <v>1721</v>
      </c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</row>
    <row r="264" spans="1:81">
      <c r="A264" s="1" t="s">
        <v>1016</v>
      </c>
      <c r="B264" s="1" t="s">
        <v>1017</v>
      </c>
      <c r="C264" s="1" t="s">
        <v>910</v>
      </c>
      <c r="D264" s="1" t="str">
        <f>HYPERLINK("http://eros.fiehnlab.ucdavis.edu:8080/binbase-compound/bin/show/223531?db=rtx5","223531")</f>
        <v>223531</v>
      </c>
      <c r="E264" s="1" t="s">
        <v>1018</v>
      </c>
      <c r="F264" s="1" t="s">
        <v>0</v>
      </c>
      <c r="G264" s="1" t="s">
        <v>0</v>
      </c>
      <c r="H264" s="1"/>
      <c r="I264" s="7">
        <v>597</v>
      </c>
      <c r="J264" s="7">
        <v>177</v>
      </c>
      <c r="K264" s="7">
        <v>1169</v>
      </c>
      <c r="L264" s="7">
        <v>961</v>
      </c>
      <c r="M264" s="7">
        <v>363</v>
      </c>
      <c r="N264" s="7">
        <v>215</v>
      </c>
      <c r="O264" s="7">
        <v>640</v>
      </c>
      <c r="P264" s="7">
        <v>1072</v>
      </c>
      <c r="Q264" s="7">
        <v>344</v>
      </c>
      <c r="R264" s="7">
        <v>1159</v>
      </c>
      <c r="S264" s="7">
        <v>495</v>
      </c>
      <c r="T264" s="7">
        <v>432</v>
      </c>
      <c r="U264" s="7">
        <v>1037</v>
      </c>
      <c r="V264" s="7">
        <v>652</v>
      </c>
      <c r="W264" s="7">
        <v>554</v>
      </c>
      <c r="X264" s="7">
        <v>755</v>
      </c>
      <c r="Y264" s="7">
        <v>1481</v>
      </c>
      <c r="Z264" s="7">
        <v>309</v>
      </c>
      <c r="AA264" s="7">
        <v>833</v>
      </c>
      <c r="AB264" s="7">
        <v>1253</v>
      </c>
      <c r="AC264" s="7">
        <v>1419</v>
      </c>
      <c r="AD264" s="7">
        <v>727</v>
      </c>
      <c r="AE264" s="7">
        <v>960</v>
      </c>
      <c r="AF264" s="7">
        <v>1225</v>
      </c>
      <c r="AG264" s="7">
        <v>1166</v>
      </c>
      <c r="AH264" s="7">
        <v>1210</v>
      </c>
      <c r="AI264" s="7">
        <v>418</v>
      </c>
      <c r="AJ264" s="7">
        <v>1485</v>
      </c>
      <c r="AK264" s="7">
        <v>1741</v>
      </c>
      <c r="AL264" s="7">
        <v>327</v>
      </c>
      <c r="AM264" s="7">
        <v>1076</v>
      </c>
      <c r="AN264" s="7">
        <v>286</v>
      </c>
      <c r="AO264" s="7">
        <v>2070</v>
      </c>
      <c r="AP264" s="7">
        <v>1304</v>
      </c>
      <c r="AQ264" s="7">
        <v>241</v>
      </c>
      <c r="AR264" s="7">
        <v>763</v>
      </c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</row>
    <row r="265" spans="1:81">
      <c r="A265" s="1" t="s">
        <v>754</v>
      </c>
      <c r="B265" s="1" t="s">
        <v>755</v>
      </c>
      <c r="C265" s="1" t="s">
        <v>756</v>
      </c>
      <c r="D265" s="1" t="str">
        <f>HYPERLINK("http://eros.fiehnlab.ucdavis.edu:8080/binbase-compound/bin/show/295010?db=rtx5","295010")</f>
        <v>295010</v>
      </c>
      <c r="E265" s="1" t="s">
        <v>757</v>
      </c>
      <c r="F265" s="1" t="s">
        <v>0</v>
      </c>
      <c r="G265" s="1" t="s">
        <v>0</v>
      </c>
      <c r="H265" s="1"/>
      <c r="I265" s="7">
        <v>6623</v>
      </c>
      <c r="J265" s="7">
        <v>8848</v>
      </c>
      <c r="K265" s="7">
        <v>10188</v>
      </c>
      <c r="L265" s="7">
        <v>22122</v>
      </c>
      <c r="M265" s="7">
        <v>9297</v>
      </c>
      <c r="N265" s="7">
        <v>15138</v>
      </c>
      <c r="O265" s="7">
        <v>12796</v>
      </c>
      <c r="P265" s="7">
        <v>12375</v>
      </c>
      <c r="Q265" s="7">
        <v>5374</v>
      </c>
      <c r="R265" s="7">
        <v>10502</v>
      </c>
      <c r="S265" s="7">
        <v>11433</v>
      </c>
      <c r="T265" s="7">
        <v>10821</v>
      </c>
      <c r="U265" s="7">
        <v>5537</v>
      </c>
      <c r="V265" s="7">
        <v>16175</v>
      </c>
      <c r="W265" s="7">
        <v>8575</v>
      </c>
      <c r="X265" s="7">
        <v>3115</v>
      </c>
      <c r="Y265" s="7">
        <v>13895</v>
      </c>
      <c r="Z265" s="7">
        <v>6602</v>
      </c>
      <c r="AA265" s="7">
        <v>4116</v>
      </c>
      <c r="AB265" s="7">
        <v>16347</v>
      </c>
      <c r="AC265" s="7">
        <v>15950</v>
      </c>
      <c r="AD265" s="7">
        <v>14871</v>
      </c>
      <c r="AE265" s="7">
        <v>21105</v>
      </c>
      <c r="AF265" s="7">
        <v>14485</v>
      </c>
      <c r="AG265" s="7">
        <v>16976</v>
      </c>
      <c r="AH265" s="7">
        <v>12358</v>
      </c>
      <c r="AI265" s="7">
        <v>13420</v>
      </c>
      <c r="AJ265" s="7">
        <v>20950</v>
      </c>
      <c r="AK265" s="7">
        <v>14306</v>
      </c>
      <c r="AL265" s="7">
        <v>10129</v>
      </c>
      <c r="AM265" s="7">
        <v>14517</v>
      </c>
      <c r="AN265" s="7">
        <v>8908</v>
      </c>
      <c r="AO265" s="7">
        <v>11372</v>
      </c>
      <c r="AP265" s="7">
        <v>11747</v>
      </c>
      <c r="AQ265" s="7">
        <v>7361</v>
      </c>
      <c r="AR265" s="7">
        <v>17804</v>
      </c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</row>
    <row r="266" spans="1:81">
      <c r="A266" s="1" t="s">
        <v>777</v>
      </c>
      <c r="B266" s="1" t="s">
        <v>778</v>
      </c>
      <c r="C266" s="1" t="s">
        <v>779</v>
      </c>
      <c r="D266" s="1" t="str">
        <f>HYPERLINK("http://eros.fiehnlab.ucdavis.edu:8080/binbase-compound/bin/show/279691?db=rtx5","279691")</f>
        <v>279691</v>
      </c>
      <c r="E266" s="1" t="s">
        <v>780</v>
      </c>
      <c r="F266" s="1" t="s">
        <v>0</v>
      </c>
      <c r="G266" s="1" t="s">
        <v>0</v>
      </c>
      <c r="H266" s="1"/>
      <c r="I266" s="7">
        <v>4101</v>
      </c>
      <c r="J266" s="7">
        <v>1650</v>
      </c>
      <c r="K266" s="7">
        <v>13533</v>
      </c>
      <c r="L266" s="7">
        <v>18079</v>
      </c>
      <c r="M266" s="7">
        <v>3953</v>
      </c>
      <c r="N266" s="7">
        <v>3473</v>
      </c>
      <c r="O266" s="7">
        <v>6208</v>
      </c>
      <c r="P266" s="7">
        <v>10939</v>
      </c>
      <c r="Q266" s="7">
        <v>4078</v>
      </c>
      <c r="R266" s="7">
        <v>14420</v>
      </c>
      <c r="S266" s="7">
        <v>4609</v>
      </c>
      <c r="T266" s="7">
        <v>3268</v>
      </c>
      <c r="U266" s="7">
        <v>8451</v>
      </c>
      <c r="V266" s="7">
        <v>4901</v>
      </c>
      <c r="W266" s="7">
        <v>4658</v>
      </c>
      <c r="X266" s="7">
        <v>5969</v>
      </c>
      <c r="Y266" s="7">
        <v>15451</v>
      </c>
      <c r="Z266" s="7">
        <v>3114</v>
      </c>
      <c r="AA266" s="7">
        <v>9341</v>
      </c>
      <c r="AB266" s="7">
        <v>9793</v>
      </c>
      <c r="AC266" s="7">
        <v>11107</v>
      </c>
      <c r="AD266" s="7">
        <v>17712</v>
      </c>
      <c r="AE266" s="7">
        <v>7855</v>
      </c>
      <c r="AF266" s="7">
        <v>21284</v>
      </c>
      <c r="AG266" s="7">
        <v>7278</v>
      </c>
      <c r="AH266" s="7">
        <v>19175</v>
      </c>
      <c r="AI266" s="7">
        <v>3488</v>
      </c>
      <c r="AJ266" s="7">
        <v>17118</v>
      </c>
      <c r="AK266" s="7">
        <v>14907</v>
      </c>
      <c r="AL266" s="7">
        <v>2155</v>
      </c>
      <c r="AM266" s="7">
        <v>12677</v>
      </c>
      <c r="AN266" s="7">
        <v>2463</v>
      </c>
      <c r="AO266" s="7">
        <v>15962</v>
      </c>
      <c r="AP266" s="7">
        <v>20777</v>
      </c>
      <c r="AQ266" s="7">
        <v>2308</v>
      </c>
      <c r="AR266" s="7">
        <v>10205</v>
      </c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</row>
    <row r="267" spans="1:81">
      <c r="A267" s="1" t="s">
        <v>985</v>
      </c>
      <c r="B267" s="1" t="s">
        <v>986</v>
      </c>
      <c r="C267" s="1" t="s">
        <v>789</v>
      </c>
      <c r="D267" s="1" t="str">
        <f>HYPERLINK("http://eros.fiehnlab.ucdavis.edu:8080/binbase-compound/bin/show/227767?db=rtx5","227767")</f>
        <v>227767</v>
      </c>
      <c r="E267" s="1" t="s">
        <v>987</v>
      </c>
      <c r="F267" s="1" t="s">
        <v>0</v>
      </c>
      <c r="G267" s="1" t="s">
        <v>0</v>
      </c>
      <c r="H267" s="1"/>
      <c r="I267" s="7">
        <v>1153</v>
      </c>
      <c r="J267" s="7">
        <v>550</v>
      </c>
      <c r="K267" s="7">
        <v>1343</v>
      </c>
      <c r="L267" s="7">
        <v>1212</v>
      </c>
      <c r="M267" s="7">
        <v>728</v>
      </c>
      <c r="N267" s="7">
        <v>417</v>
      </c>
      <c r="O267" s="7">
        <v>709</v>
      </c>
      <c r="P267" s="7">
        <v>1267</v>
      </c>
      <c r="Q267" s="7">
        <v>715</v>
      </c>
      <c r="R267" s="7">
        <v>1269</v>
      </c>
      <c r="S267" s="7">
        <v>616</v>
      </c>
      <c r="T267" s="7">
        <v>1194</v>
      </c>
      <c r="U267" s="7">
        <v>861</v>
      </c>
      <c r="V267" s="7">
        <v>1436</v>
      </c>
      <c r="W267" s="7">
        <v>862</v>
      </c>
      <c r="X267" s="7">
        <v>890</v>
      </c>
      <c r="Y267" s="7">
        <v>948</v>
      </c>
      <c r="Z267" s="7">
        <v>746</v>
      </c>
      <c r="AA267" s="7">
        <v>1344</v>
      </c>
      <c r="AB267" s="7">
        <v>2886</v>
      </c>
      <c r="AC267" s="7">
        <v>2711</v>
      </c>
      <c r="AD267" s="7">
        <v>2283</v>
      </c>
      <c r="AE267" s="7">
        <v>2102</v>
      </c>
      <c r="AF267" s="7">
        <v>2085</v>
      </c>
      <c r="AG267" s="7">
        <v>3588</v>
      </c>
      <c r="AH267" s="7">
        <v>3908</v>
      </c>
      <c r="AI267" s="7">
        <v>1138</v>
      </c>
      <c r="AJ267" s="7">
        <v>2478</v>
      </c>
      <c r="AK267" s="7">
        <v>3449</v>
      </c>
      <c r="AL267" s="7">
        <v>944</v>
      </c>
      <c r="AM267" s="7">
        <v>1720</v>
      </c>
      <c r="AN267" s="7">
        <v>794</v>
      </c>
      <c r="AO267" s="7">
        <v>3352</v>
      </c>
      <c r="AP267" s="7">
        <v>1977</v>
      </c>
      <c r="AQ267" s="7">
        <v>412</v>
      </c>
      <c r="AR267" s="7">
        <v>1108</v>
      </c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</row>
    <row r="268" spans="1:81">
      <c r="A268" s="1" t="s">
        <v>795</v>
      </c>
      <c r="B268" s="1" t="s">
        <v>796</v>
      </c>
      <c r="C268" s="1" t="s">
        <v>525</v>
      </c>
      <c r="D268" s="1" t="str">
        <f>HYPERLINK("http://eros.fiehnlab.ucdavis.edu:8080/binbase-compound/bin/show/271416?db=rtx5","271416")</f>
        <v>271416</v>
      </c>
      <c r="E268" s="1" t="s">
        <v>797</v>
      </c>
      <c r="F268" s="1" t="s">
        <v>0</v>
      </c>
      <c r="G268" s="1" t="s">
        <v>0</v>
      </c>
      <c r="H268" s="1"/>
      <c r="I268" s="7">
        <v>864</v>
      </c>
      <c r="J268" s="7">
        <v>509</v>
      </c>
      <c r="K268" s="7">
        <v>2609</v>
      </c>
      <c r="L268" s="7">
        <v>1937</v>
      </c>
      <c r="M268" s="7">
        <v>835</v>
      </c>
      <c r="N268" s="7">
        <v>600</v>
      </c>
      <c r="O268" s="7">
        <v>664</v>
      </c>
      <c r="P268" s="7">
        <v>977</v>
      </c>
      <c r="Q268" s="7">
        <v>1051</v>
      </c>
      <c r="R268" s="7">
        <v>2707</v>
      </c>
      <c r="S268" s="7">
        <v>1170</v>
      </c>
      <c r="T268" s="7">
        <v>591</v>
      </c>
      <c r="U268" s="7">
        <v>891</v>
      </c>
      <c r="V268" s="7">
        <v>929</v>
      </c>
      <c r="W268" s="7">
        <v>587</v>
      </c>
      <c r="X268" s="7">
        <v>1588</v>
      </c>
      <c r="Y268" s="7">
        <v>2658</v>
      </c>
      <c r="Z268" s="7">
        <v>579</v>
      </c>
      <c r="AA268" s="7">
        <v>1185</v>
      </c>
      <c r="AB268" s="7">
        <v>1575</v>
      </c>
      <c r="AC268" s="7">
        <v>1990</v>
      </c>
      <c r="AD268" s="7">
        <v>1898</v>
      </c>
      <c r="AE268" s="7">
        <v>1657</v>
      </c>
      <c r="AF268" s="7">
        <v>1773</v>
      </c>
      <c r="AG268" s="7">
        <v>2039</v>
      </c>
      <c r="AH268" s="7">
        <v>1786</v>
      </c>
      <c r="AI268" s="7">
        <v>811</v>
      </c>
      <c r="AJ268" s="7">
        <v>2711</v>
      </c>
      <c r="AK268" s="7">
        <v>4401</v>
      </c>
      <c r="AL268" s="7">
        <v>491</v>
      </c>
      <c r="AM268" s="7">
        <v>2067</v>
      </c>
      <c r="AN268" s="7">
        <v>702</v>
      </c>
      <c r="AO268" s="7">
        <v>2274</v>
      </c>
      <c r="AP268" s="7">
        <v>2267</v>
      </c>
      <c r="AQ268" s="7">
        <v>633</v>
      </c>
      <c r="AR268" s="7">
        <v>1894</v>
      </c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</row>
    <row r="269" spans="1:81">
      <c r="A269" s="1" t="s">
        <v>925</v>
      </c>
      <c r="B269" s="1" t="s">
        <v>926</v>
      </c>
      <c r="C269" s="1" t="s">
        <v>927</v>
      </c>
      <c r="D269" s="1" t="str">
        <f>HYPERLINK("http://eros.fiehnlab.ucdavis.edu:8080/binbase-compound/bin/show/236709?db=rtx5","236709")</f>
        <v>236709</v>
      </c>
      <c r="E269" s="1" t="s">
        <v>928</v>
      </c>
      <c r="F269" s="1" t="s">
        <v>0</v>
      </c>
      <c r="G269" s="1" t="s">
        <v>0</v>
      </c>
      <c r="H269" s="1"/>
      <c r="I269" s="7">
        <v>238</v>
      </c>
      <c r="J269" s="7">
        <v>208</v>
      </c>
      <c r="K269" s="7">
        <v>341</v>
      </c>
      <c r="L269" s="7">
        <v>456</v>
      </c>
      <c r="M269" s="7">
        <v>133</v>
      </c>
      <c r="N269" s="7">
        <v>189</v>
      </c>
      <c r="O269" s="7">
        <v>130</v>
      </c>
      <c r="P269" s="7">
        <v>409</v>
      </c>
      <c r="Q269" s="7">
        <v>210</v>
      </c>
      <c r="R269" s="7">
        <v>1263</v>
      </c>
      <c r="S269" s="7">
        <v>478</v>
      </c>
      <c r="T269" s="7">
        <v>371</v>
      </c>
      <c r="U269" s="7">
        <v>213</v>
      </c>
      <c r="V269" s="7">
        <v>181</v>
      </c>
      <c r="W269" s="7">
        <v>231</v>
      </c>
      <c r="X269" s="7">
        <v>389</v>
      </c>
      <c r="Y269" s="7">
        <v>375</v>
      </c>
      <c r="Z269" s="7">
        <v>297</v>
      </c>
      <c r="AA269" s="7">
        <v>357</v>
      </c>
      <c r="AB269" s="7">
        <v>449</v>
      </c>
      <c r="AC269" s="7">
        <v>517</v>
      </c>
      <c r="AD269" s="7">
        <v>689</v>
      </c>
      <c r="AE269" s="7">
        <v>417</v>
      </c>
      <c r="AF269" s="7">
        <v>1487</v>
      </c>
      <c r="AG269" s="7">
        <v>412</v>
      </c>
      <c r="AH269" s="7">
        <v>1214</v>
      </c>
      <c r="AI269" s="7">
        <v>311</v>
      </c>
      <c r="AJ269" s="7">
        <v>763</v>
      </c>
      <c r="AK269" s="7">
        <v>686</v>
      </c>
      <c r="AL269" s="7">
        <v>268</v>
      </c>
      <c r="AM269" s="7">
        <v>606</v>
      </c>
      <c r="AN269" s="7">
        <v>276</v>
      </c>
      <c r="AO269" s="7">
        <v>654</v>
      </c>
      <c r="AP269" s="7">
        <v>637</v>
      </c>
      <c r="AQ269" s="7">
        <v>262</v>
      </c>
      <c r="AR269" s="7">
        <v>583</v>
      </c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</row>
    <row r="270" spans="1:81">
      <c r="A270" s="1" t="s">
        <v>1066</v>
      </c>
      <c r="B270" s="1" t="s">
        <v>1067</v>
      </c>
      <c r="C270" s="1" t="s">
        <v>167</v>
      </c>
      <c r="D270" s="1" t="str">
        <f>HYPERLINK("http://eros.fiehnlab.ucdavis.edu:8080/binbase-compound/bin/show/214148?db=rtx5","214148")</f>
        <v>214148</v>
      </c>
      <c r="E270" s="1" t="s">
        <v>1068</v>
      </c>
      <c r="F270" s="1" t="s">
        <v>0</v>
      </c>
      <c r="G270" s="1" t="s">
        <v>0</v>
      </c>
      <c r="H270" s="1"/>
      <c r="I270" s="7">
        <v>10164</v>
      </c>
      <c r="J270" s="7">
        <v>6901</v>
      </c>
      <c r="K270" s="7">
        <v>3526</v>
      </c>
      <c r="L270" s="7">
        <v>3520</v>
      </c>
      <c r="M270" s="7">
        <v>8293</v>
      </c>
      <c r="N270" s="7">
        <v>4718</v>
      </c>
      <c r="O270" s="7">
        <v>4380</v>
      </c>
      <c r="P270" s="7">
        <v>2659</v>
      </c>
      <c r="Q270" s="7">
        <v>8490</v>
      </c>
      <c r="R270" s="7">
        <v>4034</v>
      </c>
      <c r="S270" s="7">
        <v>11524</v>
      </c>
      <c r="T270" s="7">
        <v>11468</v>
      </c>
      <c r="U270" s="7">
        <v>3783</v>
      </c>
      <c r="V270" s="7">
        <v>11062</v>
      </c>
      <c r="W270" s="7">
        <v>8461</v>
      </c>
      <c r="X270" s="7">
        <v>7426</v>
      </c>
      <c r="Y270" s="7">
        <v>2900</v>
      </c>
      <c r="Z270" s="7">
        <v>9727</v>
      </c>
      <c r="AA270" s="7">
        <v>5707</v>
      </c>
      <c r="AB270" s="7">
        <v>6681</v>
      </c>
      <c r="AC270" s="7">
        <v>1725</v>
      </c>
      <c r="AD270" s="7">
        <v>622</v>
      </c>
      <c r="AE270" s="7">
        <v>17376</v>
      </c>
      <c r="AF270" s="7">
        <v>3514</v>
      </c>
      <c r="AG270" s="7">
        <v>6167</v>
      </c>
      <c r="AH270" s="7">
        <v>3457</v>
      </c>
      <c r="AI270" s="7">
        <v>8463</v>
      </c>
      <c r="AJ270" s="7">
        <v>5112</v>
      </c>
      <c r="AK270" s="7">
        <v>4199</v>
      </c>
      <c r="AL270" s="7">
        <v>9360</v>
      </c>
      <c r="AM270" s="7">
        <v>6075</v>
      </c>
      <c r="AN270" s="7">
        <v>13863</v>
      </c>
      <c r="AO270" s="7">
        <v>2346</v>
      </c>
      <c r="AP270" s="7">
        <v>6066</v>
      </c>
      <c r="AQ270" s="7">
        <v>8321</v>
      </c>
      <c r="AR270" s="7">
        <v>11187</v>
      </c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</row>
    <row r="271" spans="1:81">
      <c r="A271" s="1" t="s">
        <v>1108</v>
      </c>
      <c r="B271" s="1" t="s">
        <v>1109</v>
      </c>
      <c r="C271" s="1" t="s">
        <v>405</v>
      </c>
      <c r="D271" s="1" t="str">
        <f>HYPERLINK("http://eros.fiehnlab.ucdavis.edu:8080/binbase-compound/bin/show/204344?db=rtx5","204344")</f>
        <v>204344</v>
      </c>
      <c r="E271" s="1" t="s">
        <v>1110</v>
      </c>
      <c r="F271" s="1" t="s">
        <v>0</v>
      </c>
      <c r="G271" s="1" t="s">
        <v>0</v>
      </c>
      <c r="H271" s="1"/>
      <c r="I271" s="7">
        <v>86163</v>
      </c>
      <c r="J271" s="7">
        <v>60417</v>
      </c>
      <c r="K271" s="7">
        <v>229497</v>
      </c>
      <c r="L271" s="7">
        <v>314032</v>
      </c>
      <c r="M271" s="7">
        <v>111999</v>
      </c>
      <c r="N271" s="7">
        <v>120926</v>
      </c>
      <c r="O271" s="7">
        <v>153885</v>
      </c>
      <c r="P271" s="7">
        <v>221565</v>
      </c>
      <c r="Q271" s="7">
        <v>125864</v>
      </c>
      <c r="R271" s="7">
        <v>226787</v>
      </c>
      <c r="S271" s="7">
        <v>132654</v>
      </c>
      <c r="T271" s="7">
        <v>95453</v>
      </c>
      <c r="U271" s="7">
        <v>157547</v>
      </c>
      <c r="V271" s="7">
        <v>127310</v>
      </c>
      <c r="W271" s="7">
        <v>108711</v>
      </c>
      <c r="X271" s="7">
        <v>240756</v>
      </c>
      <c r="Y271" s="7">
        <v>304404</v>
      </c>
      <c r="Z271" s="7">
        <v>70578</v>
      </c>
      <c r="AA271" s="7">
        <v>160743</v>
      </c>
      <c r="AB271" s="7">
        <v>272451</v>
      </c>
      <c r="AC271" s="7">
        <v>370089</v>
      </c>
      <c r="AD271" s="7">
        <v>227315</v>
      </c>
      <c r="AE271" s="7">
        <v>274621</v>
      </c>
      <c r="AF271" s="7">
        <v>269532</v>
      </c>
      <c r="AG271" s="7">
        <v>218882</v>
      </c>
      <c r="AH271" s="7">
        <v>292610</v>
      </c>
      <c r="AI271" s="7">
        <v>102710</v>
      </c>
      <c r="AJ271" s="7">
        <v>217634</v>
      </c>
      <c r="AK271" s="7">
        <v>321379</v>
      </c>
      <c r="AL271" s="7">
        <v>79331</v>
      </c>
      <c r="AM271" s="7">
        <v>236754</v>
      </c>
      <c r="AN271" s="7">
        <v>85141</v>
      </c>
      <c r="AO271" s="7">
        <v>350179</v>
      </c>
      <c r="AP271" s="7">
        <v>289131</v>
      </c>
      <c r="AQ271" s="7">
        <v>75538</v>
      </c>
      <c r="AR271" s="7">
        <v>254227</v>
      </c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</row>
    <row r="272" spans="1:81">
      <c r="A272" s="1" t="s">
        <v>644</v>
      </c>
      <c r="B272" s="1" t="s">
        <v>645</v>
      </c>
      <c r="C272" s="1" t="s">
        <v>646</v>
      </c>
      <c r="D272" s="1" t="str">
        <f>HYPERLINK("http://eros.fiehnlab.ucdavis.edu:8080/binbase-compound/bin/show/367932?db=rtx5","367932")</f>
        <v>367932</v>
      </c>
      <c r="E272" s="1" t="s">
        <v>647</v>
      </c>
      <c r="F272" s="1" t="s">
        <v>0</v>
      </c>
      <c r="G272" s="1" t="s">
        <v>0</v>
      </c>
      <c r="H272" s="1"/>
      <c r="I272" s="7">
        <v>9286</v>
      </c>
      <c r="J272" s="7">
        <v>5255</v>
      </c>
      <c r="K272" s="7">
        <v>20291</v>
      </c>
      <c r="L272" s="7">
        <v>26256</v>
      </c>
      <c r="M272" s="7">
        <v>10722</v>
      </c>
      <c r="N272" s="7">
        <v>9127</v>
      </c>
      <c r="O272" s="7">
        <v>12094</v>
      </c>
      <c r="P272" s="7">
        <v>23072</v>
      </c>
      <c r="Q272" s="7">
        <v>9976</v>
      </c>
      <c r="R272" s="7">
        <v>24641</v>
      </c>
      <c r="S272" s="7">
        <v>14510</v>
      </c>
      <c r="T272" s="7">
        <v>8875</v>
      </c>
      <c r="U272" s="7">
        <v>13559</v>
      </c>
      <c r="V272" s="7">
        <v>13960</v>
      </c>
      <c r="W272" s="7">
        <v>10044</v>
      </c>
      <c r="X272" s="7">
        <v>18473</v>
      </c>
      <c r="Y272" s="7">
        <v>27494</v>
      </c>
      <c r="Z272" s="7">
        <v>7236</v>
      </c>
      <c r="AA272" s="7">
        <v>10921</v>
      </c>
      <c r="AB272" s="7">
        <v>25437</v>
      </c>
      <c r="AC272" s="7">
        <v>27827</v>
      </c>
      <c r="AD272" s="7">
        <v>20467</v>
      </c>
      <c r="AE272" s="7">
        <v>20710</v>
      </c>
      <c r="AF272" s="7">
        <v>23084</v>
      </c>
      <c r="AG272" s="7">
        <v>20275</v>
      </c>
      <c r="AH272" s="7">
        <v>26968</v>
      </c>
      <c r="AI272" s="7">
        <v>10400</v>
      </c>
      <c r="AJ272" s="7">
        <v>26678</v>
      </c>
      <c r="AK272" s="7">
        <v>31852</v>
      </c>
      <c r="AL272" s="7">
        <v>7327</v>
      </c>
      <c r="AM272" s="7">
        <v>24309</v>
      </c>
      <c r="AN272" s="7">
        <v>7539</v>
      </c>
      <c r="AO272" s="7">
        <v>31494</v>
      </c>
      <c r="AP272" s="7">
        <v>26362</v>
      </c>
      <c r="AQ272" s="7">
        <v>6289</v>
      </c>
      <c r="AR272" s="7">
        <v>22786</v>
      </c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</row>
    <row r="273" spans="1:81">
      <c r="A273" s="1" t="s">
        <v>735</v>
      </c>
      <c r="B273" s="1" t="s">
        <v>736</v>
      </c>
      <c r="C273" s="1" t="s">
        <v>525</v>
      </c>
      <c r="D273" s="1" t="str">
        <f>HYPERLINK("http://eros.fiehnlab.ucdavis.edu:8080/binbase-compound/bin/show/301399?db=rtx5","301399")</f>
        <v>301399</v>
      </c>
      <c r="E273" s="1" t="s">
        <v>737</v>
      </c>
      <c r="F273" s="1" t="s">
        <v>0</v>
      </c>
      <c r="G273" s="1" t="s">
        <v>0</v>
      </c>
      <c r="H273" s="1"/>
      <c r="I273" s="7">
        <v>180</v>
      </c>
      <c r="J273" s="7">
        <v>123</v>
      </c>
      <c r="K273" s="7">
        <v>755</v>
      </c>
      <c r="L273" s="7">
        <v>867</v>
      </c>
      <c r="M273" s="7">
        <v>266</v>
      </c>
      <c r="N273" s="7">
        <v>153</v>
      </c>
      <c r="O273" s="7">
        <v>181</v>
      </c>
      <c r="P273" s="7">
        <v>795</v>
      </c>
      <c r="Q273" s="7">
        <v>324</v>
      </c>
      <c r="R273" s="7">
        <v>578</v>
      </c>
      <c r="S273" s="7">
        <v>318</v>
      </c>
      <c r="T273" s="7">
        <v>189</v>
      </c>
      <c r="U273" s="7">
        <v>503</v>
      </c>
      <c r="V273" s="7">
        <v>276</v>
      </c>
      <c r="W273" s="7">
        <v>249</v>
      </c>
      <c r="X273" s="7">
        <v>475</v>
      </c>
      <c r="Y273" s="7">
        <v>971</v>
      </c>
      <c r="Z273" s="7">
        <v>177</v>
      </c>
      <c r="AA273" s="7">
        <v>270</v>
      </c>
      <c r="AB273" s="7">
        <v>698</v>
      </c>
      <c r="AC273" s="7">
        <v>822</v>
      </c>
      <c r="AD273" s="7">
        <v>563</v>
      </c>
      <c r="AE273" s="7">
        <v>562</v>
      </c>
      <c r="AF273" s="7">
        <v>762</v>
      </c>
      <c r="AG273" s="7">
        <v>458</v>
      </c>
      <c r="AH273" s="7">
        <v>790</v>
      </c>
      <c r="AI273" s="7">
        <v>195</v>
      </c>
      <c r="AJ273" s="7">
        <v>675</v>
      </c>
      <c r="AK273" s="7">
        <v>905</v>
      </c>
      <c r="AL273" s="7">
        <v>154</v>
      </c>
      <c r="AM273" s="7">
        <v>573</v>
      </c>
      <c r="AN273" s="7">
        <v>128</v>
      </c>
      <c r="AO273" s="7">
        <v>1131</v>
      </c>
      <c r="AP273" s="7">
        <v>539</v>
      </c>
      <c r="AQ273" s="7">
        <v>96</v>
      </c>
      <c r="AR273" s="7">
        <v>506</v>
      </c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</row>
    <row r="274" spans="1:81">
      <c r="A274" s="1" t="s">
        <v>705</v>
      </c>
      <c r="B274" s="1" t="s">
        <v>706</v>
      </c>
      <c r="C274" s="1" t="s">
        <v>433</v>
      </c>
      <c r="D274" s="1" t="str">
        <f>HYPERLINK("http://eros.fiehnlab.ucdavis.edu:8080/binbase-compound/bin/show/319168?db=rtx5","319168")</f>
        <v>319168</v>
      </c>
      <c r="E274" s="1" t="s">
        <v>707</v>
      </c>
      <c r="F274" s="1" t="s">
        <v>0</v>
      </c>
      <c r="G274" s="1" t="s">
        <v>0</v>
      </c>
      <c r="H274" s="1"/>
      <c r="I274" s="7">
        <v>4607</v>
      </c>
      <c r="J274" s="7">
        <v>562</v>
      </c>
      <c r="K274" s="7">
        <v>9690</v>
      </c>
      <c r="L274" s="7">
        <v>5756</v>
      </c>
      <c r="M274" s="7">
        <v>6259</v>
      </c>
      <c r="N274" s="7">
        <v>2803</v>
      </c>
      <c r="O274" s="7">
        <v>4553</v>
      </c>
      <c r="P274" s="7">
        <v>6775</v>
      </c>
      <c r="Q274" s="7">
        <v>1641</v>
      </c>
      <c r="R274" s="7">
        <v>9470</v>
      </c>
      <c r="S274" s="7">
        <v>1569</v>
      </c>
      <c r="T274" s="7">
        <v>4316</v>
      </c>
      <c r="U274" s="7">
        <v>5231</v>
      </c>
      <c r="V274" s="7">
        <v>5519</v>
      </c>
      <c r="W274" s="7">
        <v>5707</v>
      </c>
      <c r="X274" s="7">
        <v>6748</v>
      </c>
      <c r="Y274" s="7">
        <v>9321</v>
      </c>
      <c r="Z274" s="7">
        <v>4246</v>
      </c>
      <c r="AA274" s="7">
        <v>5711</v>
      </c>
      <c r="AB274" s="7">
        <v>10035</v>
      </c>
      <c r="AC274" s="7">
        <v>10041</v>
      </c>
      <c r="AD274" s="7">
        <v>11180</v>
      </c>
      <c r="AE274" s="7">
        <v>6658</v>
      </c>
      <c r="AF274" s="7">
        <v>13273</v>
      </c>
      <c r="AG274" s="7">
        <v>8665</v>
      </c>
      <c r="AH274" s="7">
        <v>8981</v>
      </c>
      <c r="AI274" s="7">
        <v>2510</v>
      </c>
      <c r="AJ274" s="7">
        <v>16717</v>
      </c>
      <c r="AK274" s="7">
        <v>7712</v>
      </c>
      <c r="AL274" s="7">
        <v>2775</v>
      </c>
      <c r="AM274" s="7">
        <v>8105</v>
      </c>
      <c r="AN274" s="7">
        <v>1051</v>
      </c>
      <c r="AO274" s="7">
        <v>9939</v>
      </c>
      <c r="AP274" s="7">
        <v>11484</v>
      </c>
      <c r="AQ274" s="7">
        <v>2324</v>
      </c>
      <c r="AR274" s="7">
        <v>7348</v>
      </c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</row>
    <row r="275" spans="1:81">
      <c r="A275" s="1" t="s">
        <v>831</v>
      </c>
      <c r="B275" s="1" t="s">
        <v>832</v>
      </c>
      <c r="C275" s="1" t="s">
        <v>625</v>
      </c>
      <c r="D275" s="1" t="str">
        <f>HYPERLINK("http://eros.fiehnlab.ucdavis.edu:8080/binbase-compound/bin/show/268306?db=rtx5","268306")</f>
        <v>268306</v>
      </c>
      <c r="E275" s="1" t="s">
        <v>833</v>
      </c>
      <c r="F275" s="1" t="s">
        <v>0</v>
      </c>
      <c r="G275" s="1" t="s">
        <v>0</v>
      </c>
      <c r="H275" s="1"/>
      <c r="I275" s="7">
        <v>182</v>
      </c>
      <c r="J275" s="7">
        <v>148</v>
      </c>
      <c r="K275" s="7">
        <v>448</v>
      </c>
      <c r="L275" s="7">
        <v>900</v>
      </c>
      <c r="M275" s="7">
        <v>322</v>
      </c>
      <c r="N275" s="7">
        <v>232</v>
      </c>
      <c r="O275" s="7">
        <v>315</v>
      </c>
      <c r="P275" s="7">
        <v>387</v>
      </c>
      <c r="Q275" s="7">
        <v>502</v>
      </c>
      <c r="R275" s="7">
        <v>530</v>
      </c>
      <c r="S275" s="7">
        <v>274</v>
      </c>
      <c r="T275" s="7">
        <v>160</v>
      </c>
      <c r="U275" s="7">
        <v>205</v>
      </c>
      <c r="V275" s="7">
        <v>323</v>
      </c>
      <c r="W275" s="7">
        <v>228</v>
      </c>
      <c r="X275" s="7">
        <v>404</v>
      </c>
      <c r="Y275" s="7">
        <v>602</v>
      </c>
      <c r="Z275" s="7">
        <v>123</v>
      </c>
      <c r="AA275" s="7">
        <v>188</v>
      </c>
      <c r="AB275" s="7">
        <v>625</v>
      </c>
      <c r="AC275" s="7">
        <v>704</v>
      </c>
      <c r="AD275" s="7">
        <v>740</v>
      </c>
      <c r="AE275" s="7">
        <v>414</v>
      </c>
      <c r="AF275" s="7">
        <v>543</v>
      </c>
      <c r="AG275" s="7">
        <v>332</v>
      </c>
      <c r="AH275" s="7">
        <v>798</v>
      </c>
      <c r="AI275" s="7">
        <v>177</v>
      </c>
      <c r="AJ275" s="7">
        <v>659</v>
      </c>
      <c r="AK275" s="7">
        <v>457</v>
      </c>
      <c r="AL275" s="7">
        <v>175</v>
      </c>
      <c r="AM275" s="7">
        <v>565</v>
      </c>
      <c r="AN275" s="7">
        <v>137</v>
      </c>
      <c r="AO275" s="7">
        <v>554</v>
      </c>
      <c r="AP275" s="7">
        <v>806</v>
      </c>
      <c r="AQ275" s="7">
        <v>123</v>
      </c>
      <c r="AR275" s="7">
        <v>706</v>
      </c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</row>
    <row r="276" spans="1:81">
      <c r="A276" s="1" t="s">
        <v>1083</v>
      </c>
      <c r="B276" s="1" t="s">
        <v>1084</v>
      </c>
      <c r="C276" s="1" t="s">
        <v>283</v>
      </c>
      <c r="D276" s="1" t="str">
        <f>HYPERLINK("http://eros.fiehnlab.ucdavis.edu:8080/binbase-compound/bin/show/212251?db=rtx5","212251")</f>
        <v>212251</v>
      </c>
      <c r="E276" s="1" t="s">
        <v>1085</v>
      </c>
      <c r="F276" s="1" t="s">
        <v>0</v>
      </c>
      <c r="G276" s="1" t="s">
        <v>0</v>
      </c>
      <c r="H276" s="1"/>
      <c r="I276" s="7">
        <v>565</v>
      </c>
      <c r="J276" s="7">
        <v>253</v>
      </c>
      <c r="K276" s="7">
        <v>465</v>
      </c>
      <c r="L276" s="7">
        <v>713</v>
      </c>
      <c r="M276" s="7">
        <v>447</v>
      </c>
      <c r="N276" s="7">
        <v>455</v>
      </c>
      <c r="O276" s="7">
        <v>441</v>
      </c>
      <c r="P276" s="7">
        <v>717</v>
      </c>
      <c r="Q276" s="7">
        <v>583</v>
      </c>
      <c r="R276" s="7">
        <v>914</v>
      </c>
      <c r="S276" s="7">
        <v>804</v>
      </c>
      <c r="T276" s="7">
        <v>906</v>
      </c>
      <c r="U276" s="7">
        <v>336</v>
      </c>
      <c r="V276" s="7">
        <v>451</v>
      </c>
      <c r="W276" s="7">
        <v>759</v>
      </c>
      <c r="X276" s="7">
        <v>810</v>
      </c>
      <c r="Y276" s="7">
        <v>660</v>
      </c>
      <c r="Z276" s="7">
        <v>645</v>
      </c>
      <c r="AA276" s="7">
        <v>151</v>
      </c>
      <c r="AB276" s="7">
        <v>1282</v>
      </c>
      <c r="AC276" s="7">
        <v>2196</v>
      </c>
      <c r="AD276" s="7">
        <v>2728</v>
      </c>
      <c r="AE276" s="7">
        <v>2328</v>
      </c>
      <c r="AF276" s="7">
        <v>2448</v>
      </c>
      <c r="AG276" s="7">
        <v>1400</v>
      </c>
      <c r="AH276" s="7">
        <v>1808</v>
      </c>
      <c r="AI276" s="7">
        <v>483</v>
      </c>
      <c r="AJ276" s="7">
        <v>1739</v>
      </c>
      <c r="AK276" s="7">
        <v>2355</v>
      </c>
      <c r="AL276" s="7">
        <v>523</v>
      </c>
      <c r="AM276" s="7">
        <v>1724</v>
      </c>
      <c r="AN276" s="7">
        <v>514</v>
      </c>
      <c r="AO276" s="7">
        <v>1391</v>
      </c>
      <c r="AP276" s="7">
        <v>2016</v>
      </c>
      <c r="AQ276" s="7">
        <v>655</v>
      </c>
      <c r="AR276" s="7">
        <v>1130</v>
      </c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</row>
    <row r="277" spans="1:81">
      <c r="A277" s="1" t="s">
        <v>620</v>
      </c>
      <c r="B277" s="1" t="s">
        <v>621</v>
      </c>
      <c r="C277" s="1" t="s">
        <v>622</v>
      </c>
      <c r="D277" s="1" t="str">
        <f>HYPERLINK("http://eros.fiehnlab.ucdavis.edu:8080/binbase-compound/bin/show/388098?db=rtx5","388098")</f>
        <v>388098</v>
      </c>
      <c r="E277" s="1" t="s">
        <v>623</v>
      </c>
      <c r="F277" s="1" t="s">
        <v>0</v>
      </c>
      <c r="G277" s="1" t="s">
        <v>0</v>
      </c>
      <c r="H277" s="1"/>
      <c r="I277" s="7">
        <v>2897</v>
      </c>
      <c r="J277" s="7">
        <v>1772</v>
      </c>
      <c r="K277" s="7">
        <v>6205</v>
      </c>
      <c r="L277" s="7">
        <v>8029</v>
      </c>
      <c r="M277" s="7">
        <v>3388</v>
      </c>
      <c r="N277" s="7">
        <v>1942</v>
      </c>
      <c r="O277" s="7">
        <v>2612</v>
      </c>
      <c r="P277" s="7">
        <v>6824</v>
      </c>
      <c r="Q277" s="7">
        <v>3324</v>
      </c>
      <c r="R277" s="7">
        <v>7681</v>
      </c>
      <c r="S277" s="7">
        <v>4606</v>
      </c>
      <c r="T277" s="7">
        <v>2724</v>
      </c>
      <c r="U277" s="7">
        <v>4284</v>
      </c>
      <c r="V277" s="7">
        <v>4640</v>
      </c>
      <c r="W277" s="7">
        <v>3305</v>
      </c>
      <c r="X277" s="7">
        <v>3929</v>
      </c>
      <c r="Y277" s="7">
        <v>8819</v>
      </c>
      <c r="Z277" s="7">
        <v>2020</v>
      </c>
      <c r="AA277" s="7">
        <v>3722</v>
      </c>
      <c r="AB277" s="7">
        <v>7528</v>
      </c>
      <c r="AC277" s="7">
        <v>5733</v>
      </c>
      <c r="AD277" s="7">
        <v>6198</v>
      </c>
      <c r="AE277" s="7">
        <v>4455</v>
      </c>
      <c r="AF277" s="7">
        <v>7651</v>
      </c>
      <c r="AG277" s="7">
        <v>6402</v>
      </c>
      <c r="AH277" s="7">
        <v>8478</v>
      </c>
      <c r="AI277" s="7">
        <v>3419</v>
      </c>
      <c r="AJ277" s="7">
        <v>7892</v>
      </c>
      <c r="AK277" s="7">
        <v>9310</v>
      </c>
      <c r="AL277" s="7">
        <v>1650</v>
      </c>
      <c r="AM277" s="7">
        <v>7058</v>
      </c>
      <c r="AN277" s="7">
        <v>2438</v>
      </c>
      <c r="AO277" s="7">
        <v>10753</v>
      </c>
      <c r="AP277" s="7">
        <v>8461</v>
      </c>
      <c r="AQ277" s="7">
        <v>2157</v>
      </c>
      <c r="AR277" s="7">
        <v>4963</v>
      </c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</row>
    <row r="278" spans="1:81">
      <c r="A278" s="1" t="s">
        <v>559</v>
      </c>
      <c r="B278" s="1" t="s">
        <v>560</v>
      </c>
      <c r="C278" s="1" t="s">
        <v>561</v>
      </c>
      <c r="D278" s="1" t="str">
        <f>HYPERLINK("http://eros.fiehnlab.ucdavis.edu:8080/binbase-compound/bin/show/409031?db=rtx5","409031")</f>
        <v>409031</v>
      </c>
      <c r="E278" s="1" t="s">
        <v>562</v>
      </c>
      <c r="F278" s="1" t="s">
        <v>0</v>
      </c>
      <c r="G278" s="1" t="s">
        <v>0</v>
      </c>
      <c r="H278" s="1"/>
      <c r="I278" s="7">
        <v>5017</v>
      </c>
      <c r="J278" s="7">
        <v>2835</v>
      </c>
      <c r="K278" s="7">
        <v>10649</v>
      </c>
      <c r="L278" s="7">
        <v>12802</v>
      </c>
      <c r="M278" s="7">
        <v>5820</v>
      </c>
      <c r="N278" s="7">
        <v>4672</v>
      </c>
      <c r="O278" s="7">
        <v>6404</v>
      </c>
      <c r="P278" s="7">
        <v>10548</v>
      </c>
      <c r="Q278" s="7">
        <v>4718</v>
      </c>
      <c r="R278" s="7">
        <v>11674</v>
      </c>
      <c r="S278" s="7">
        <v>7330</v>
      </c>
      <c r="T278" s="7">
        <v>4808</v>
      </c>
      <c r="U278" s="7">
        <v>7129</v>
      </c>
      <c r="V278" s="7">
        <v>7497</v>
      </c>
      <c r="W278" s="7">
        <v>5085</v>
      </c>
      <c r="X278" s="7">
        <v>9152</v>
      </c>
      <c r="Y278" s="7">
        <v>14622</v>
      </c>
      <c r="Z278" s="7">
        <v>3867</v>
      </c>
      <c r="AA278" s="7">
        <v>5730</v>
      </c>
      <c r="AB278" s="7">
        <v>13530</v>
      </c>
      <c r="AC278" s="7">
        <v>13747</v>
      </c>
      <c r="AD278" s="7">
        <v>10788</v>
      </c>
      <c r="AE278" s="7">
        <v>10488</v>
      </c>
      <c r="AF278" s="7">
        <v>12228</v>
      </c>
      <c r="AG278" s="7">
        <v>10308</v>
      </c>
      <c r="AH278" s="7">
        <v>14471</v>
      </c>
      <c r="AI278" s="7">
        <v>5151</v>
      </c>
      <c r="AJ278" s="7">
        <v>13510</v>
      </c>
      <c r="AK278" s="7">
        <v>16502</v>
      </c>
      <c r="AL278" s="7">
        <v>3649</v>
      </c>
      <c r="AM278" s="7">
        <v>11554</v>
      </c>
      <c r="AN278" s="7">
        <v>4149</v>
      </c>
      <c r="AO278" s="7">
        <v>16134</v>
      </c>
      <c r="AP278" s="7">
        <v>13720</v>
      </c>
      <c r="AQ278" s="7">
        <v>3274</v>
      </c>
      <c r="AR278" s="7">
        <v>11420</v>
      </c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</row>
    <row r="279" spans="1:81">
      <c r="A279" s="1" t="s">
        <v>636</v>
      </c>
      <c r="B279" s="1" t="s">
        <v>637</v>
      </c>
      <c r="C279" s="1" t="s">
        <v>363</v>
      </c>
      <c r="D279" s="1" t="str">
        <f>HYPERLINK("http://eros.fiehnlab.ucdavis.edu:8080/binbase-compound/bin/show/369728?db=rtx5","369728")</f>
        <v>369728</v>
      </c>
      <c r="E279" s="1" t="s">
        <v>638</v>
      </c>
      <c r="F279" s="1" t="s">
        <v>0</v>
      </c>
      <c r="G279" s="1" t="s">
        <v>0</v>
      </c>
      <c r="H279" s="1"/>
      <c r="I279" s="7">
        <v>2548</v>
      </c>
      <c r="J279" s="7">
        <v>1318</v>
      </c>
      <c r="K279" s="7">
        <v>4878</v>
      </c>
      <c r="L279" s="7">
        <v>5743</v>
      </c>
      <c r="M279" s="7">
        <v>1868</v>
      </c>
      <c r="N279" s="7">
        <v>1972</v>
      </c>
      <c r="O279" s="7">
        <v>1614</v>
      </c>
      <c r="P279" s="7">
        <v>3995</v>
      </c>
      <c r="Q279" s="7">
        <v>2007</v>
      </c>
      <c r="R279" s="7">
        <v>5352</v>
      </c>
      <c r="S279" s="7">
        <v>2699</v>
      </c>
      <c r="T279" s="7">
        <v>3491</v>
      </c>
      <c r="U279" s="7">
        <v>1435</v>
      </c>
      <c r="V279" s="7">
        <v>1905</v>
      </c>
      <c r="W279" s="7">
        <v>1755</v>
      </c>
      <c r="X279" s="7">
        <v>2594</v>
      </c>
      <c r="Y279" s="7">
        <v>2148</v>
      </c>
      <c r="Z279" s="7">
        <v>1941</v>
      </c>
      <c r="AA279" s="7">
        <v>1505</v>
      </c>
      <c r="AB279" s="7">
        <v>5255</v>
      </c>
      <c r="AC279" s="7">
        <v>5600</v>
      </c>
      <c r="AD279" s="7">
        <v>5411</v>
      </c>
      <c r="AE279" s="7">
        <v>6584</v>
      </c>
      <c r="AF279" s="7">
        <v>8912</v>
      </c>
      <c r="AG279" s="7">
        <v>5553</v>
      </c>
      <c r="AH279" s="7">
        <v>8709</v>
      </c>
      <c r="AI279" s="7">
        <v>1955</v>
      </c>
      <c r="AJ279" s="7">
        <v>7289</v>
      </c>
      <c r="AK279" s="7">
        <v>7616</v>
      </c>
      <c r="AL279" s="7">
        <v>2174</v>
      </c>
      <c r="AM279" s="7">
        <v>3617</v>
      </c>
      <c r="AN279" s="7">
        <v>1897</v>
      </c>
      <c r="AO279" s="7">
        <v>5907</v>
      </c>
      <c r="AP279" s="7">
        <v>4900</v>
      </c>
      <c r="AQ279" s="7">
        <v>1282</v>
      </c>
      <c r="AR279" s="7">
        <v>3922</v>
      </c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</row>
    <row r="280" spans="1:81">
      <c r="A280" s="1" t="s">
        <v>895</v>
      </c>
      <c r="B280" s="1" t="s">
        <v>896</v>
      </c>
      <c r="C280" s="1" t="s">
        <v>117</v>
      </c>
      <c r="D280" s="1" t="str">
        <f>HYPERLINK("http://eros.fiehnlab.ucdavis.edu:8080/binbase-compound/bin/show/238437?db=rtx5","238437")</f>
        <v>238437</v>
      </c>
      <c r="E280" s="1" t="s">
        <v>897</v>
      </c>
      <c r="F280" s="1" t="s">
        <v>0</v>
      </c>
      <c r="G280" s="1" t="s">
        <v>0</v>
      </c>
      <c r="H280" s="1"/>
      <c r="I280" s="7">
        <v>786</v>
      </c>
      <c r="J280" s="7">
        <v>2210</v>
      </c>
      <c r="K280" s="7">
        <v>731</v>
      </c>
      <c r="L280" s="7">
        <v>3167</v>
      </c>
      <c r="M280" s="7">
        <v>839</v>
      </c>
      <c r="N280" s="7">
        <v>1124</v>
      </c>
      <c r="O280" s="7">
        <v>923</v>
      </c>
      <c r="P280" s="7">
        <v>1104</v>
      </c>
      <c r="Q280" s="7">
        <v>1037</v>
      </c>
      <c r="R280" s="7">
        <v>1201</v>
      </c>
      <c r="S280" s="7">
        <v>1463</v>
      </c>
      <c r="T280" s="7">
        <v>2845</v>
      </c>
      <c r="U280" s="7">
        <v>362</v>
      </c>
      <c r="V280" s="7">
        <v>979</v>
      </c>
      <c r="W280" s="7">
        <v>946</v>
      </c>
      <c r="X280" s="7">
        <v>1741</v>
      </c>
      <c r="Y280" s="7">
        <v>1014</v>
      </c>
      <c r="Z280" s="7">
        <v>1679</v>
      </c>
      <c r="AA280" s="7">
        <v>616</v>
      </c>
      <c r="AB280" s="7">
        <v>1367</v>
      </c>
      <c r="AC280" s="7">
        <v>1483</v>
      </c>
      <c r="AD280" s="7">
        <v>2417</v>
      </c>
      <c r="AE280" s="7">
        <v>1848</v>
      </c>
      <c r="AF280" s="7">
        <v>1422</v>
      </c>
      <c r="AG280" s="7">
        <v>984</v>
      </c>
      <c r="AH280" s="7">
        <v>770</v>
      </c>
      <c r="AI280" s="7">
        <v>1210</v>
      </c>
      <c r="AJ280" s="7">
        <v>2304</v>
      </c>
      <c r="AK280" s="7">
        <v>1722</v>
      </c>
      <c r="AL280" s="7">
        <v>1339</v>
      </c>
      <c r="AM280" s="7">
        <v>1548</v>
      </c>
      <c r="AN280" s="7">
        <v>1250</v>
      </c>
      <c r="AO280" s="7">
        <v>816</v>
      </c>
      <c r="AP280" s="7">
        <v>2610</v>
      </c>
      <c r="AQ280" s="7">
        <v>1594</v>
      </c>
      <c r="AR280" s="7">
        <v>2047</v>
      </c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</row>
    <row r="281" spans="1:81">
      <c r="A281" s="1" t="s">
        <v>586</v>
      </c>
      <c r="B281" s="1" t="s">
        <v>587</v>
      </c>
      <c r="C281" s="1" t="s">
        <v>203</v>
      </c>
      <c r="D281" s="1" t="str">
        <f>HYPERLINK("http://eros.fiehnlab.ucdavis.edu:8080/binbase-compound/bin/show/408762?db=rtx5","408762")</f>
        <v>408762</v>
      </c>
      <c r="E281" s="1" t="s">
        <v>588</v>
      </c>
      <c r="F281" s="1" t="s">
        <v>0</v>
      </c>
      <c r="G281" s="1" t="s">
        <v>0</v>
      </c>
      <c r="H281" s="1"/>
      <c r="I281" s="7">
        <v>42700</v>
      </c>
      <c r="J281" s="7">
        <v>14869</v>
      </c>
      <c r="K281" s="7">
        <v>131089</v>
      </c>
      <c r="L281" s="7">
        <v>228659</v>
      </c>
      <c r="M281" s="7">
        <v>39100</v>
      </c>
      <c r="N281" s="7">
        <v>20078</v>
      </c>
      <c r="O281" s="7">
        <v>43171</v>
      </c>
      <c r="P281" s="7">
        <v>194574</v>
      </c>
      <c r="Q281" s="7">
        <v>43931</v>
      </c>
      <c r="R281" s="7">
        <v>133442</v>
      </c>
      <c r="S281" s="7">
        <v>67777</v>
      </c>
      <c r="T281" s="7">
        <v>51716</v>
      </c>
      <c r="U281" s="7">
        <v>77890</v>
      </c>
      <c r="V281" s="7">
        <v>55131</v>
      </c>
      <c r="W281" s="7">
        <v>39694</v>
      </c>
      <c r="X281" s="7">
        <v>104688</v>
      </c>
      <c r="Y281" s="7">
        <v>142851</v>
      </c>
      <c r="Z281" s="7">
        <v>31420</v>
      </c>
      <c r="AA281" s="7">
        <v>24651</v>
      </c>
      <c r="AB281" s="7">
        <v>147333</v>
      </c>
      <c r="AC281" s="7">
        <v>197966</v>
      </c>
      <c r="AD281" s="7">
        <v>175107</v>
      </c>
      <c r="AE281" s="7">
        <v>197363</v>
      </c>
      <c r="AF281" s="7">
        <v>223384</v>
      </c>
      <c r="AG281" s="7">
        <v>127759</v>
      </c>
      <c r="AH281" s="7">
        <v>241756</v>
      </c>
      <c r="AI281" s="7">
        <v>32255</v>
      </c>
      <c r="AJ281" s="7">
        <v>173187</v>
      </c>
      <c r="AK281" s="7">
        <v>184738</v>
      </c>
      <c r="AL281" s="7">
        <v>35675</v>
      </c>
      <c r="AM281" s="7">
        <v>138645</v>
      </c>
      <c r="AN281" s="7">
        <v>28674</v>
      </c>
      <c r="AO281" s="7">
        <v>204827</v>
      </c>
      <c r="AP281" s="7">
        <v>153729</v>
      </c>
      <c r="AQ281" s="7">
        <v>22339</v>
      </c>
      <c r="AR281" s="7">
        <v>92810</v>
      </c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</row>
    <row r="282" spans="1:81">
      <c r="A282" s="1" t="s">
        <v>1120</v>
      </c>
      <c r="B282" s="1" t="s">
        <v>1121</v>
      </c>
      <c r="C282" s="1" t="s">
        <v>1122</v>
      </c>
      <c r="D282" s="1" t="str">
        <f>HYPERLINK("http://eros.fiehnlab.ucdavis.edu:8080/binbase-compound/bin/show/201887?db=rtx5","201887")</f>
        <v>201887</v>
      </c>
      <c r="E282" s="1" t="s">
        <v>1123</v>
      </c>
      <c r="F282" s="1" t="s">
        <v>0</v>
      </c>
      <c r="G282" s="1" t="s">
        <v>0</v>
      </c>
      <c r="H282" s="1"/>
      <c r="I282" s="7">
        <v>211</v>
      </c>
      <c r="J282" s="7">
        <v>134</v>
      </c>
      <c r="K282" s="7">
        <v>358</v>
      </c>
      <c r="L282" s="7">
        <v>593</v>
      </c>
      <c r="M282" s="7">
        <v>289</v>
      </c>
      <c r="N282" s="7">
        <v>191</v>
      </c>
      <c r="O282" s="7">
        <v>336</v>
      </c>
      <c r="P282" s="7">
        <v>677</v>
      </c>
      <c r="Q282" s="7">
        <v>242</v>
      </c>
      <c r="R282" s="7">
        <v>571</v>
      </c>
      <c r="S282" s="7">
        <v>377</v>
      </c>
      <c r="T282" s="7">
        <v>260</v>
      </c>
      <c r="U282" s="7">
        <v>286</v>
      </c>
      <c r="V282" s="7">
        <v>339</v>
      </c>
      <c r="W282" s="7">
        <v>272</v>
      </c>
      <c r="X282" s="7">
        <v>468</v>
      </c>
      <c r="Y282" s="7">
        <v>576</v>
      </c>
      <c r="Z282" s="7">
        <v>200</v>
      </c>
      <c r="AA282" s="7">
        <v>298</v>
      </c>
      <c r="AB282" s="7">
        <v>867</v>
      </c>
      <c r="AC282" s="7">
        <v>944</v>
      </c>
      <c r="AD282" s="7">
        <v>593</v>
      </c>
      <c r="AE282" s="7">
        <v>656</v>
      </c>
      <c r="AF282" s="7">
        <v>438</v>
      </c>
      <c r="AG282" s="7">
        <v>221</v>
      </c>
      <c r="AH282" s="7">
        <v>350</v>
      </c>
      <c r="AI282" s="7">
        <v>147</v>
      </c>
      <c r="AJ282" s="7">
        <v>582</v>
      </c>
      <c r="AK282" s="7">
        <v>676</v>
      </c>
      <c r="AL282" s="7">
        <v>226</v>
      </c>
      <c r="AM282" s="7">
        <v>893</v>
      </c>
      <c r="AN282" s="7">
        <v>253</v>
      </c>
      <c r="AO282" s="7">
        <v>663</v>
      </c>
      <c r="AP282" s="7">
        <v>605</v>
      </c>
      <c r="AQ282" s="7">
        <v>114</v>
      </c>
      <c r="AR282" s="7">
        <v>617</v>
      </c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</row>
    <row r="283" spans="1:81">
      <c r="A283" s="1" t="s">
        <v>1090</v>
      </c>
      <c r="B283" s="1" t="s">
        <v>1091</v>
      </c>
      <c r="C283" s="1" t="s">
        <v>89</v>
      </c>
      <c r="D283" s="1" t="str">
        <f>HYPERLINK("http://eros.fiehnlab.ucdavis.edu:8080/binbase-compound/bin/show/210557?db=rtx5","210557")</f>
        <v>210557</v>
      </c>
      <c r="E283" s="1" t="s">
        <v>1092</v>
      </c>
      <c r="F283" s="1" t="s">
        <v>0</v>
      </c>
      <c r="G283" s="1" t="s">
        <v>0</v>
      </c>
      <c r="H283" s="1"/>
      <c r="I283" s="7">
        <v>441</v>
      </c>
      <c r="J283" s="7">
        <v>128</v>
      </c>
      <c r="K283" s="7">
        <v>658</v>
      </c>
      <c r="L283" s="7">
        <v>678</v>
      </c>
      <c r="M283" s="7">
        <v>270</v>
      </c>
      <c r="N283" s="7">
        <v>202</v>
      </c>
      <c r="O283" s="7">
        <v>244</v>
      </c>
      <c r="P283" s="7">
        <v>666</v>
      </c>
      <c r="Q283" s="7">
        <v>357</v>
      </c>
      <c r="R283" s="7">
        <v>1133</v>
      </c>
      <c r="S283" s="7">
        <v>337</v>
      </c>
      <c r="T283" s="7">
        <v>342</v>
      </c>
      <c r="U283" s="7">
        <v>613</v>
      </c>
      <c r="V283" s="7">
        <v>632</v>
      </c>
      <c r="W283" s="7">
        <v>287</v>
      </c>
      <c r="X283" s="7">
        <v>440</v>
      </c>
      <c r="Y283" s="7">
        <v>903</v>
      </c>
      <c r="Z283" s="7">
        <v>199</v>
      </c>
      <c r="AA283" s="7">
        <v>306</v>
      </c>
      <c r="AB283" s="7">
        <v>574</v>
      </c>
      <c r="AC283" s="7">
        <v>751</v>
      </c>
      <c r="AD283" s="7">
        <v>821</v>
      </c>
      <c r="AE283" s="7">
        <v>754</v>
      </c>
      <c r="AF283" s="7">
        <v>929</v>
      </c>
      <c r="AG283" s="7">
        <v>1316</v>
      </c>
      <c r="AH283" s="7">
        <v>974</v>
      </c>
      <c r="AI283" s="7">
        <v>351</v>
      </c>
      <c r="AJ283" s="7">
        <v>1241</v>
      </c>
      <c r="AK283" s="7">
        <v>1381</v>
      </c>
      <c r="AL283" s="7">
        <v>278</v>
      </c>
      <c r="AM283" s="7">
        <v>616</v>
      </c>
      <c r="AN283" s="7">
        <v>224</v>
      </c>
      <c r="AO283" s="7">
        <v>1229</v>
      </c>
      <c r="AP283" s="7">
        <v>1018</v>
      </c>
      <c r="AQ283" s="7">
        <v>134</v>
      </c>
      <c r="AR283" s="7">
        <v>716</v>
      </c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</row>
    <row r="284" spans="1:81">
      <c r="A284" s="1" t="s">
        <v>1036</v>
      </c>
      <c r="B284" s="1" t="s">
        <v>1037</v>
      </c>
      <c r="C284" s="1" t="s">
        <v>624</v>
      </c>
      <c r="D284" s="1" t="str">
        <f>HYPERLINK("http://eros.fiehnlab.ucdavis.edu:8080/binbase-compound/bin/show/218784?db=rtx5","218784")</f>
        <v>218784</v>
      </c>
      <c r="E284" s="1" t="s">
        <v>1038</v>
      </c>
      <c r="F284" s="1" t="s">
        <v>0</v>
      </c>
      <c r="G284" s="1" t="s">
        <v>0</v>
      </c>
      <c r="H284" s="1"/>
      <c r="I284" s="7">
        <v>1579</v>
      </c>
      <c r="J284" s="7">
        <v>774</v>
      </c>
      <c r="K284" s="7">
        <v>3231</v>
      </c>
      <c r="L284" s="7">
        <v>4021</v>
      </c>
      <c r="M284" s="7">
        <v>2334</v>
      </c>
      <c r="N284" s="7">
        <v>1371</v>
      </c>
      <c r="O284" s="7">
        <v>1578</v>
      </c>
      <c r="P284" s="7">
        <v>3494</v>
      </c>
      <c r="Q284" s="7">
        <v>1761</v>
      </c>
      <c r="R284" s="7">
        <v>4423</v>
      </c>
      <c r="S284" s="7">
        <v>2301</v>
      </c>
      <c r="T284" s="7">
        <v>1452</v>
      </c>
      <c r="U284" s="7">
        <v>2075</v>
      </c>
      <c r="V284" s="7">
        <v>2245</v>
      </c>
      <c r="W284" s="7">
        <v>1822</v>
      </c>
      <c r="X284" s="7">
        <v>2784</v>
      </c>
      <c r="Y284" s="7">
        <v>4410</v>
      </c>
      <c r="Z284" s="7">
        <v>1120</v>
      </c>
      <c r="AA284" s="7">
        <v>1809</v>
      </c>
      <c r="AB284" s="7">
        <v>4212</v>
      </c>
      <c r="AC284" s="7">
        <v>5132</v>
      </c>
      <c r="AD284" s="7">
        <v>3759</v>
      </c>
      <c r="AE284" s="7">
        <v>3307</v>
      </c>
      <c r="AF284" s="7">
        <v>4336</v>
      </c>
      <c r="AG284" s="7">
        <v>3510</v>
      </c>
      <c r="AH284" s="7">
        <v>4791</v>
      </c>
      <c r="AI284" s="7">
        <v>1578</v>
      </c>
      <c r="AJ284" s="7">
        <v>4532</v>
      </c>
      <c r="AK284" s="7">
        <v>5171</v>
      </c>
      <c r="AL284" s="7">
        <v>1064</v>
      </c>
      <c r="AM284" s="7">
        <v>4272</v>
      </c>
      <c r="AN284" s="7">
        <v>1159</v>
      </c>
      <c r="AO284" s="7">
        <v>5057</v>
      </c>
      <c r="AP284" s="7">
        <v>4678</v>
      </c>
      <c r="AQ284" s="7">
        <v>917</v>
      </c>
      <c r="AR284" s="7">
        <v>3309</v>
      </c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</row>
    <row r="285" spans="1:81">
      <c r="A285" s="1" t="s">
        <v>592</v>
      </c>
      <c r="B285" s="1" t="s">
        <v>593</v>
      </c>
      <c r="C285" s="1" t="s">
        <v>594</v>
      </c>
      <c r="D285" s="1" t="str">
        <f>HYPERLINK("http://eros.fiehnlab.ucdavis.edu:8080/binbase-compound/bin/show/408731?db=rtx5","408731")</f>
        <v>408731</v>
      </c>
      <c r="E285" s="1" t="s">
        <v>595</v>
      </c>
      <c r="F285" s="1" t="s">
        <v>0</v>
      </c>
      <c r="G285" s="1" t="s">
        <v>0</v>
      </c>
      <c r="H285" s="1"/>
      <c r="I285" s="7">
        <v>9761</v>
      </c>
      <c r="J285" s="7">
        <v>5443</v>
      </c>
      <c r="K285" s="7">
        <v>20756</v>
      </c>
      <c r="L285" s="7">
        <v>26287</v>
      </c>
      <c r="M285" s="7">
        <v>10466</v>
      </c>
      <c r="N285" s="7">
        <v>9096</v>
      </c>
      <c r="O285" s="7">
        <v>12380</v>
      </c>
      <c r="P285" s="7">
        <v>22147</v>
      </c>
      <c r="Q285" s="7">
        <v>9429</v>
      </c>
      <c r="R285" s="7">
        <v>23289</v>
      </c>
      <c r="S285" s="7">
        <v>14298</v>
      </c>
      <c r="T285" s="7">
        <v>9234</v>
      </c>
      <c r="U285" s="7">
        <v>12576</v>
      </c>
      <c r="V285" s="7">
        <v>13988</v>
      </c>
      <c r="W285" s="7">
        <v>9958</v>
      </c>
      <c r="X285" s="7">
        <v>18510</v>
      </c>
      <c r="Y285" s="7">
        <v>29200</v>
      </c>
      <c r="Z285" s="7">
        <v>6929</v>
      </c>
      <c r="AA285" s="7">
        <v>11129</v>
      </c>
      <c r="AB285" s="7">
        <v>25717</v>
      </c>
      <c r="AC285" s="7">
        <v>27348</v>
      </c>
      <c r="AD285" s="7">
        <v>21388</v>
      </c>
      <c r="AE285" s="7">
        <v>20507</v>
      </c>
      <c r="AF285" s="7">
        <v>22713</v>
      </c>
      <c r="AG285" s="7">
        <v>20980</v>
      </c>
      <c r="AH285" s="7">
        <v>28813</v>
      </c>
      <c r="AI285" s="7">
        <v>10772</v>
      </c>
      <c r="AJ285" s="7">
        <v>27219</v>
      </c>
      <c r="AK285" s="7">
        <v>33443</v>
      </c>
      <c r="AL285" s="7">
        <v>7140</v>
      </c>
      <c r="AM285" s="7">
        <v>23605</v>
      </c>
      <c r="AN285" s="7">
        <v>7923</v>
      </c>
      <c r="AO285" s="7">
        <v>30633</v>
      </c>
      <c r="AP285" s="7">
        <v>26585</v>
      </c>
      <c r="AQ285" s="7">
        <v>5922</v>
      </c>
      <c r="AR285" s="7">
        <v>23306</v>
      </c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</row>
    <row r="286" spans="1:81">
      <c r="A286" s="1" t="s">
        <v>784</v>
      </c>
      <c r="B286" s="1" t="s">
        <v>785</v>
      </c>
      <c r="C286" s="1" t="s">
        <v>773</v>
      </c>
      <c r="D286" s="1" t="str">
        <f>HYPERLINK("http://eros.fiehnlab.ucdavis.edu:8080/binbase-compound/bin/show/273925?db=rtx5","273925")</f>
        <v>273925</v>
      </c>
      <c r="E286" s="1" t="s">
        <v>786</v>
      </c>
      <c r="F286" s="1" t="s">
        <v>0</v>
      </c>
      <c r="G286" s="1" t="s">
        <v>0</v>
      </c>
      <c r="H286" s="1"/>
      <c r="I286" s="7">
        <v>2854</v>
      </c>
      <c r="J286" s="7">
        <v>1842</v>
      </c>
      <c r="K286" s="7">
        <v>7988</v>
      </c>
      <c r="L286" s="7">
        <v>10568</v>
      </c>
      <c r="M286" s="7">
        <v>3256</v>
      </c>
      <c r="N286" s="7">
        <v>3778</v>
      </c>
      <c r="O286" s="7">
        <v>2486</v>
      </c>
      <c r="P286" s="7">
        <v>8140</v>
      </c>
      <c r="Q286" s="7">
        <v>4537</v>
      </c>
      <c r="R286" s="7">
        <v>9404</v>
      </c>
      <c r="S286" s="7">
        <v>4959</v>
      </c>
      <c r="T286" s="7">
        <v>2405</v>
      </c>
      <c r="U286" s="7">
        <v>5215</v>
      </c>
      <c r="V286" s="7">
        <v>3413</v>
      </c>
      <c r="W286" s="7">
        <v>3679</v>
      </c>
      <c r="X286" s="7">
        <v>5235</v>
      </c>
      <c r="Y286" s="7">
        <v>10032</v>
      </c>
      <c r="Z286" s="7">
        <v>2194</v>
      </c>
      <c r="AA286" s="7">
        <v>3950</v>
      </c>
      <c r="AB286" s="7">
        <v>7618</v>
      </c>
      <c r="AC286" s="7">
        <v>8129</v>
      </c>
      <c r="AD286" s="7">
        <v>7495</v>
      </c>
      <c r="AE286" s="7">
        <v>4687</v>
      </c>
      <c r="AF286" s="7">
        <v>8442</v>
      </c>
      <c r="AG286" s="7">
        <v>6472</v>
      </c>
      <c r="AH286" s="7">
        <v>10869</v>
      </c>
      <c r="AI286" s="7">
        <v>4193</v>
      </c>
      <c r="AJ286" s="7">
        <v>9071</v>
      </c>
      <c r="AK286" s="7">
        <v>12584</v>
      </c>
      <c r="AL286" s="7">
        <v>1732</v>
      </c>
      <c r="AM286" s="7">
        <v>8758</v>
      </c>
      <c r="AN286" s="7">
        <v>2370</v>
      </c>
      <c r="AO286" s="7">
        <v>11940</v>
      </c>
      <c r="AP286" s="7">
        <v>11420</v>
      </c>
      <c r="AQ286" s="7">
        <v>1921</v>
      </c>
      <c r="AR286" s="7">
        <v>7950</v>
      </c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</row>
    <row r="287" spans="1:81">
      <c r="A287" s="1" t="s">
        <v>774</v>
      </c>
      <c r="B287" s="1" t="s">
        <v>775</v>
      </c>
      <c r="C287" s="1" t="s">
        <v>625</v>
      </c>
      <c r="D287" s="1" t="str">
        <f>HYPERLINK("http://eros.fiehnlab.ucdavis.edu:8080/binbase-compound/bin/show/281926?db=rtx5","281926")</f>
        <v>281926</v>
      </c>
      <c r="E287" s="1" t="s">
        <v>776</v>
      </c>
      <c r="F287" s="1" t="s">
        <v>0</v>
      </c>
      <c r="G287" s="1" t="s">
        <v>0</v>
      </c>
      <c r="H287" s="1"/>
      <c r="I287" s="7">
        <v>444</v>
      </c>
      <c r="J287" s="7">
        <v>190</v>
      </c>
      <c r="K287" s="7">
        <v>727</v>
      </c>
      <c r="L287" s="7">
        <v>307</v>
      </c>
      <c r="M287" s="7">
        <v>598</v>
      </c>
      <c r="N287" s="7">
        <v>308</v>
      </c>
      <c r="O287" s="7">
        <v>731</v>
      </c>
      <c r="P287" s="7">
        <v>483</v>
      </c>
      <c r="Q287" s="7">
        <v>148</v>
      </c>
      <c r="R287" s="7">
        <v>1217</v>
      </c>
      <c r="S287" s="7">
        <v>410</v>
      </c>
      <c r="T287" s="7">
        <v>423</v>
      </c>
      <c r="U287" s="7">
        <v>509</v>
      </c>
      <c r="V287" s="7">
        <v>721</v>
      </c>
      <c r="W287" s="7">
        <v>615</v>
      </c>
      <c r="X287" s="7">
        <v>826</v>
      </c>
      <c r="Y287" s="7">
        <v>803</v>
      </c>
      <c r="Z287" s="7">
        <v>424</v>
      </c>
      <c r="AA287" s="7">
        <v>247</v>
      </c>
      <c r="AB287" s="7">
        <v>1114</v>
      </c>
      <c r="AC287" s="7">
        <v>1237</v>
      </c>
      <c r="AD287" s="7">
        <v>579</v>
      </c>
      <c r="AE287" s="7">
        <v>758</v>
      </c>
      <c r="AF287" s="7">
        <v>772</v>
      </c>
      <c r="AG287" s="7">
        <v>1064</v>
      </c>
      <c r="AH287" s="7">
        <v>679</v>
      </c>
      <c r="AI287" s="7">
        <v>285</v>
      </c>
      <c r="AJ287" s="7">
        <v>1108</v>
      </c>
      <c r="AK287" s="7">
        <v>886</v>
      </c>
      <c r="AL287" s="7">
        <v>357</v>
      </c>
      <c r="AM287" s="7">
        <v>1285</v>
      </c>
      <c r="AN287" s="7">
        <v>199</v>
      </c>
      <c r="AO287" s="7">
        <v>907</v>
      </c>
      <c r="AP287" s="7">
        <v>690</v>
      </c>
      <c r="AQ287" s="7">
        <v>197</v>
      </c>
      <c r="AR287" s="7">
        <v>650</v>
      </c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</row>
    <row r="288" spans="1:81">
      <c r="A288" s="1" t="s">
        <v>1102</v>
      </c>
      <c r="B288" s="1" t="s">
        <v>1103</v>
      </c>
      <c r="C288" s="1" t="s">
        <v>738</v>
      </c>
      <c r="D288" s="1" t="str">
        <f>HYPERLINK("http://eros.fiehnlab.ucdavis.edu:8080/binbase-compound/bin/show/206022?db=rtx5","206022")</f>
        <v>206022</v>
      </c>
      <c r="E288" s="1" t="s">
        <v>1104</v>
      </c>
      <c r="F288" s="1" t="s">
        <v>0</v>
      </c>
      <c r="G288" s="1" t="s">
        <v>0</v>
      </c>
      <c r="H288" s="1"/>
      <c r="I288" s="7">
        <v>1075</v>
      </c>
      <c r="J288" s="7">
        <v>556</v>
      </c>
      <c r="K288" s="7">
        <v>2352</v>
      </c>
      <c r="L288" s="7">
        <v>2504</v>
      </c>
      <c r="M288" s="7">
        <v>1182</v>
      </c>
      <c r="N288" s="7">
        <v>977</v>
      </c>
      <c r="O288" s="7">
        <v>1231</v>
      </c>
      <c r="P288" s="7">
        <v>1314</v>
      </c>
      <c r="Q288" s="7">
        <v>1236</v>
      </c>
      <c r="R288" s="7">
        <v>3004</v>
      </c>
      <c r="S288" s="7">
        <v>1754</v>
      </c>
      <c r="T288" s="7">
        <v>1135</v>
      </c>
      <c r="U288" s="7">
        <v>1484</v>
      </c>
      <c r="V288" s="7">
        <v>1393</v>
      </c>
      <c r="W288" s="7">
        <v>1310</v>
      </c>
      <c r="X288" s="7">
        <v>1822</v>
      </c>
      <c r="Y288" s="7">
        <v>3226</v>
      </c>
      <c r="Z288" s="7">
        <v>796</v>
      </c>
      <c r="AA288" s="7">
        <v>1696</v>
      </c>
      <c r="AB288" s="7">
        <v>3127</v>
      </c>
      <c r="AC288" s="7">
        <v>3635</v>
      </c>
      <c r="AD288" s="7">
        <v>2784</v>
      </c>
      <c r="AE288" s="7">
        <v>2280</v>
      </c>
      <c r="AF288" s="7">
        <v>2398</v>
      </c>
      <c r="AG288" s="7">
        <v>2060</v>
      </c>
      <c r="AH288" s="7">
        <v>2722</v>
      </c>
      <c r="AI288" s="7">
        <v>1185</v>
      </c>
      <c r="AJ288" s="7">
        <v>3310</v>
      </c>
      <c r="AK288" s="7">
        <v>4480</v>
      </c>
      <c r="AL288" s="7">
        <v>859</v>
      </c>
      <c r="AM288" s="7">
        <v>2847</v>
      </c>
      <c r="AN288" s="7">
        <v>840</v>
      </c>
      <c r="AO288" s="7">
        <v>3563</v>
      </c>
      <c r="AP288" s="7">
        <v>3304</v>
      </c>
      <c r="AQ288" s="7">
        <v>689</v>
      </c>
      <c r="AR288" s="7">
        <v>2233</v>
      </c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</row>
    <row r="289" spans="1:81">
      <c r="A289" s="1" t="s">
        <v>922</v>
      </c>
      <c r="B289" s="1" t="s">
        <v>923</v>
      </c>
      <c r="C289" s="1" t="s">
        <v>426</v>
      </c>
      <c r="D289" s="1" t="str">
        <f>HYPERLINK("http://eros.fiehnlab.ucdavis.edu:8080/binbase-compound/bin/show/236821?db=rtx5","236821")</f>
        <v>236821</v>
      </c>
      <c r="E289" s="1" t="s">
        <v>924</v>
      </c>
      <c r="F289" s="1" t="s">
        <v>0</v>
      </c>
      <c r="G289" s="1" t="s">
        <v>0</v>
      </c>
      <c r="H289" s="1"/>
      <c r="I289" s="7">
        <v>335</v>
      </c>
      <c r="J289" s="7">
        <v>275</v>
      </c>
      <c r="K289" s="7">
        <v>202</v>
      </c>
      <c r="L289" s="7">
        <v>358</v>
      </c>
      <c r="M289" s="7">
        <v>255</v>
      </c>
      <c r="N289" s="7">
        <v>290</v>
      </c>
      <c r="O289" s="7">
        <v>447</v>
      </c>
      <c r="P289" s="7">
        <v>353</v>
      </c>
      <c r="Q289" s="7">
        <v>248</v>
      </c>
      <c r="R289" s="7">
        <v>359</v>
      </c>
      <c r="S289" s="7">
        <v>408</v>
      </c>
      <c r="T289" s="7">
        <v>820</v>
      </c>
      <c r="U289" s="7">
        <v>40</v>
      </c>
      <c r="V289" s="7">
        <v>256</v>
      </c>
      <c r="W289" s="7">
        <v>187</v>
      </c>
      <c r="X289" s="7">
        <v>370</v>
      </c>
      <c r="Y289" s="7">
        <v>248</v>
      </c>
      <c r="Z289" s="7">
        <v>327</v>
      </c>
      <c r="AA289" s="7">
        <v>189</v>
      </c>
      <c r="AB289" s="7">
        <v>335</v>
      </c>
      <c r="AC289" s="7">
        <v>664</v>
      </c>
      <c r="AD289" s="7">
        <v>434</v>
      </c>
      <c r="AE289" s="7">
        <v>338</v>
      </c>
      <c r="AF289" s="7">
        <v>562</v>
      </c>
      <c r="AG289" s="7">
        <v>324</v>
      </c>
      <c r="AH289" s="7">
        <v>422</v>
      </c>
      <c r="AI289" s="7">
        <v>270</v>
      </c>
      <c r="AJ289" s="7">
        <v>323</v>
      </c>
      <c r="AK289" s="7">
        <v>319</v>
      </c>
      <c r="AL289" s="7">
        <v>287</v>
      </c>
      <c r="AM289" s="7">
        <v>185</v>
      </c>
      <c r="AN289" s="7">
        <v>283</v>
      </c>
      <c r="AO289" s="7">
        <v>605</v>
      </c>
      <c r="AP289" s="7">
        <v>687</v>
      </c>
      <c r="AQ289" s="7">
        <v>125</v>
      </c>
      <c r="AR289" s="7">
        <v>290</v>
      </c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</row>
    <row r="290" spans="1:81">
      <c r="A290" s="1" t="s">
        <v>821</v>
      </c>
      <c r="B290" s="1" t="s">
        <v>822</v>
      </c>
      <c r="C290" s="1" t="s">
        <v>418</v>
      </c>
      <c r="D290" s="1" t="str">
        <f>HYPERLINK("http://eros.fiehnlab.ucdavis.edu:8080/binbase-compound/bin/show/268461?db=rtx5","268461")</f>
        <v>268461</v>
      </c>
      <c r="E290" s="1" t="s">
        <v>823</v>
      </c>
      <c r="F290" s="1" t="s">
        <v>0</v>
      </c>
      <c r="G290" s="1" t="s">
        <v>0</v>
      </c>
      <c r="H290" s="1"/>
      <c r="I290" s="7">
        <v>603</v>
      </c>
      <c r="J290" s="7">
        <v>419</v>
      </c>
      <c r="K290" s="7">
        <v>832</v>
      </c>
      <c r="L290" s="7">
        <v>1232</v>
      </c>
      <c r="M290" s="7">
        <v>657</v>
      </c>
      <c r="N290" s="7">
        <v>724</v>
      </c>
      <c r="O290" s="7">
        <v>901</v>
      </c>
      <c r="P290" s="7">
        <v>1604</v>
      </c>
      <c r="Q290" s="7">
        <v>848</v>
      </c>
      <c r="R290" s="7">
        <v>1395</v>
      </c>
      <c r="S290" s="7">
        <v>646</v>
      </c>
      <c r="T290" s="7">
        <v>661</v>
      </c>
      <c r="U290" s="7">
        <v>954</v>
      </c>
      <c r="V290" s="7">
        <v>948</v>
      </c>
      <c r="W290" s="7">
        <v>1016</v>
      </c>
      <c r="X290" s="7">
        <v>1061</v>
      </c>
      <c r="Y290" s="7">
        <v>1395</v>
      </c>
      <c r="Z290" s="7">
        <v>432</v>
      </c>
      <c r="AA290" s="7">
        <v>762</v>
      </c>
      <c r="AB290" s="7">
        <v>1168</v>
      </c>
      <c r="AC290" s="7">
        <v>2531</v>
      </c>
      <c r="AD290" s="7">
        <v>2039</v>
      </c>
      <c r="AE290" s="7">
        <v>804</v>
      </c>
      <c r="AF290" s="7">
        <v>1336</v>
      </c>
      <c r="AG290" s="7">
        <v>1770</v>
      </c>
      <c r="AH290" s="7">
        <v>1709</v>
      </c>
      <c r="AI290" s="7">
        <v>729</v>
      </c>
      <c r="AJ290" s="7">
        <v>2082</v>
      </c>
      <c r="AK290" s="7">
        <v>2005</v>
      </c>
      <c r="AL290" s="7">
        <v>407</v>
      </c>
      <c r="AM290" s="7">
        <v>2090</v>
      </c>
      <c r="AN290" s="7">
        <v>557</v>
      </c>
      <c r="AO290" s="7">
        <v>2469</v>
      </c>
      <c r="AP290" s="7">
        <v>3260</v>
      </c>
      <c r="AQ290" s="7">
        <v>388</v>
      </c>
      <c r="AR290" s="7">
        <v>1663</v>
      </c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</row>
    <row r="291" spans="1:81">
      <c r="A291" s="1" t="s">
        <v>683</v>
      </c>
      <c r="B291" s="1" t="s">
        <v>684</v>
      </c>
      <c r="C291" s="1" t="s">
        <v>143</v>
      </c>
      <c r="D291" s="1" t="str">
        <f>HYPERLINK("http://eros.fiehnlab.ucdavis.edu:8080/binbase-compound/bin/show/356938?db=rtx5","356938")</f>
        <v>356938</v>
      </c>
      <c r="E291" s="1" t="s">
        <v>685</v>
      </c>
      <c r="F291" s="1" t="s">
        <v>0</v>
      </c>
      <c r="G291" s="1" t="s">
        <v>0</v>
      </c>
      <c r="H291" s="1"/>
      <c r="I291" s="7">
        <v>226</v>
      </c>
      <c r="J291" s="7">
        <v>174</v>
      </c>
      <c r="K291" s="7">
        <v>392</v>
      </c>
      <c r="L291" s="7">
        <v>602</v>
      </c>
      <c r="M291" s="7">
        <v>222</v>
      </c>
      <c r="N291" s="7">
        <v>188</v>
      </c>
      <c r="O291" s="7">
        <v>194</v>
      </c>
      <c r="P291" s="7">
        <v>556</v>
      </c>
      <c r="Q291" s="7">
        <v>232</v>
      </c>
      <c r="R291" s="7">
        <v>576</v>
      </c>
      <c r="S291" s="7">
        <v>254</v>
      </c>
      <c r="T291" s="7">
        <v>213</v>
      </c>
      <c r="U291" s="7">
        <v>320</v>
      </c>
      <c r="V291" s="7">
        <v>286</v>
      </c>
      <c r="W291" s="7">
        <v>264</v>
      </c>
      <c r="X291" s="7">
        <v>311</v>
      </c>
      <c r="Y291" s="7">
        <v>424</v>
      </c>
      <c r="Z291" s="7">
        <v>168</v>
      </c>
      <c r="AA291" s="7">
        <v>334</v>
      </c>
      <c r="AB291" s="7">
        <v>416</v>
      </c>
      <c r="AC291" s="7">
        <v>380</v>
      </c>
      <c r="AD291" s="7">
        <v>548</v>
      </c>
      <c r="AE291" s="7">
        <v>362</v>
      </c>
      <c r="AF291" s="7">
        <v>352</v>
      </c>
      <c r="AG291" s="7">
        <v>444</v>
      </c>
      <c r="AH291" s="7">
        <v>483</v>
      </c>
      <c r="AI291" s="7">
        <v>202</v>
      </c>
      <c r="AJ291" s="7">
        <v>459</v>
      </c>
      <c r="AK291" s="7">
        <v>550</v>
      </c>
      <c r="AL291" s="7">
        <v>228</v>
      </c>
      <c r="AM291" s="7">
        <v>452</v>
      </c>
      <c r="AN291" s="7">
        <v>169</v>
      </c>
      <c r="AO291" s="7">
        <v>424</v>
      </c>
      <c r="AP291" s="7">
        <v>674</v>
      </c>
      <c r="AQ291" s="7">
        <v>160</v>
      </c>
      <c r="AR291" s="7">
        <v>340</v>
      </c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</row>
    <row r="292" spans="1:81">
      <c r="A292" s="1" t="s">
        <v>938</v>
      </c>
      <c r="B292" s="1" t="s">
        <v>939</v>
      </c>
      <c r="C292" s="1" t="s">
        <v>940</v>
      </c>
      <c r="D292" s="1" t="str">
        <f>HYPERLINK("http://eros.fiehnlab.ucdavis.edu:8080/binbase-compound/bin/show/234717?db=rtx5","234717")</f>
        <v>234717</v>
      </c>
      <c r="E292" s="1" t="s">
        <v>941</v>
      </c>
      <c r="F292" s="1" t="s">
        <v>0</v>
      </c>
      <c r="G292" s="1" t="s">
        <v>0</v>
      </c>
      <c r="H292" s="1"/>
      <c r="I292" s="7">
        <v>4931</v>
      </c>
      <c r="J292" s="7">
        <v>2829</v>
      </c>
      <c r="K292" s="7">
        <v>8513</v>
      </c>
      <c r="L292" s="7">
        <v>11105</v>
      </c>
      <c r="M292" s="7">
        <v>5023</v>
      </c>
      <c r="N292" s="7">
        <v>4498</v>
      </c>
      <c r="O292" s="7">
        <v>5743</v>
      </c>
      <c r="P292" s="7">
        <v>2986</v>
      </c>
      <c r="Q292" s="7">
        <v>4595</v>
      </c>
      <c r="R292" s="7">
        <v>12542</v>
      </c>
      <c r="S292" s="7">
        <v>7906</v>
      </c>
      <c r="T292" s="7">
        <v>4541</v>
      </c>
      <c r="U292" s="7">
        <v>5769</v>
      </c>
      <c r="V292" s="7">
        <v>6449</v>
      </c>
      <c r="W292" s="7">
        <v>5270</v>
      </c>
      <c r="X292" s="7">
        <v>7961</v>
      </c>
      <c r="Y292" s="7">
        <v>13381</v>
      </c>
      <c r="Z292" s="7">
        <v>3467</v>
      </c>
      <c r="AA292" s="7">
        <v>9715</v>
      </c>
      <c r="AB292" s="7">
        <v>10726</v>
      </c>
      <c r="AC292" s="7">
        <v>11564</v>
      </c>
      <c r="AD292" s="7">
        <v>10822</v>
      </c>
      <c r="AE292" s="7">
        <v>8790</v>
      </c>
      <c r="AF292" s="7">
        <v>10349</v>
      </c>
      <c r="AG292" s="7">
        <v>10805</v>
      </c>
      <c r="AH292" s="7">
        <v>11174</v>
      </c>
      <c r="AI292" s="7">
        <v>5487</v>
      </c>
      <c r="AJ292" s="7">
        <v>13379</v>
      </c>
      <c r="AK292" s="7">
        <v>17236</v>
      </c>
      <c r="AL292" s="7">
        <v>3238</v>
      </c>
      <c r="AM292" s="7">
        <v>11402</v>
      </c>
      <c r="AN292" s="7">
        <v>3642</v>
      </c>
      <c r="AO292" s="7">
        <v>13521</v>
      </c>
      <c r="AP292" s="7">
        <v>14512</v>
      </c>
      <c r="AQ292" s="7">
        <v>3004</v>
      </c>
      <c r="AR292" s="7">
        <v>10540</v>
      </c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</row>
    <row r="293" spans="1:81">
      <c r="A293" s="1" t="s">
        <v>549</v>
      </c>
      <c r="B293" s="1" t="s">
        <v>550</v>
      </c>
      <c r="C293" s="1" t="s">
        <v>203</v>
      </c>
      <c r="D293" s="1" t="str">
        <f>HYPERLINK("http://eros.fiehnlab.ucdavis.edu:8080/binbase-compound/bin/show/409106?db=rtx5","409106")</f>
        <v>409106</v>
      </c>
      <c r="E293" s="1" t="s">
        <v>551</v>
      </c>
      <c r="F293" s="1" t="s">
        <v>0</v>
      </c>
      <c r="G293" s="1" t="s">
        <v>0</v>
      </c>
      <c r="H293" s="1"/>
      <c r="I293" s="7">
        <v>42944</v>
      </c>
      <c r="J293" s="7">
        <v>10769</v>
      </c>
      <c r="K293" s="7">
        <v>122440</v>
      </c>
      <c r="L293" s="7">
        <v>231291</v>
      </c>
      <c r="M293" s="7">
        <v>45092</v>
      </c>
      <c r="N293" s="7">
        <v>23399</v>
      </c>
      <c r="O293" s="7">
        <v>37395</v>
      </c>
      <c r="P293" s="7">
        <v>196539</v>
      </c>
      <c r="Q293" s="7">
        <v>50694</v>
      </c>
      <c r="R293" s="7">
        <v>131542</v>
      </c>
      <c r="S293" s="7">
        <v>74815</v>
      </c>
      <c r="T293" s="7">
        <v>51455</v>
      </c>
      <c r="U293" s="7">
        <v>76939</v>
      </c>
      <c r="V293" s="7">
        <v>52965</v>
      </c>
      <c r="W293" s="7">
        <v>34470</v>
      </c>
      <c r="X293" s="7">
        <v>95879</v>
      </c>
      <c r="Y293" s="7">
        <v>139251</v>
      </c>
      <c r="Z293" s="7">
        <v>31793</v>
      </c>
      <c r="AA293" s="7">
        <v>28677</v>
      </c>
      <c r="AB293" s="7">
        <v>135201</v>
      </c>
      <c r="AC293" s="7">
        <v>194844</v>
      </c>
      <c r="AD293" s="7">
        <v>171534</v>
      </c>
      <c r="AE293" s="7">
        <v>199852</v>
      </c>
      <c r="AF293" s="7">
        <v>220189</v>
      </c>
      <c r="AG293" s="7">
        <v>128157</v>
      </c>
      <c r="AH293" s="7">
        <v>244551</v>
      </c>
      <c r="AI293" s="7">
        <v>37288</v>
      </c>
      <c r="AJ293" s="7">
        <v>185691</v>
      </c>
      <c r="AK293" s="7">
        <v>199611</v>
      </c>
      <c r="AL293" s="7">
        <v>38882</v>
      </c>
      <c r="AM293" s="7">
        <v>152675</v>
      </c>
      <c r="AN293" s="7">
        <v>29013</v>
      </c>
      <c r="AO293" s="7">
        <v>207465</v>
      </c>
      <c r="AP293" s="7">
        <v>158761</v>
      </c>
      <c r="AQ293" s="7">
        <v>25977</v>
      </c>
      <c r="AR293" s="7">
        <v>102413</v>
      </c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</row>
    <row r="294" spans="1:81">
      <c r="A294" s="1" t="s">
        <v>1140</v>
      </c>
      <c r="B294" s="1" t="s">
        <v>1141</v>
      </c>
      <c r="C294" s="1" t="s">
        <v>155</v>
      </c>
      <c r="D294" s="1" t="str">
        <f>HYPERLINK("http://eros.fiehnlab.ucdavis.edu:8080/binbase-compound/bin/show/200547?db=rtx5","200547")</f>
        <v>200547</v>
      </c>
      <c r="E294" s="1" t="s">
        <v>1142</v>
      </c>
      <c r="F294" s="1" t="s">
        <v>0</v>
      </c>
      <c r="G294" s="1" t="s">
        <v>0</v>
      </c>
      <c r="H294" s="1"/>
      <c r="I294" s="7">
        <v>5275</v>
      </c>
      <c r="J294" s="7">
        <v>1930</v>
      </c>
      <c r="K294" s="7">
        <v>6804</v>
      </c>
      <c r="L294" s="7">
        <v>6456</v>
      </c>
      <c r="M294" s="7">
        <v>1123</v>
      </c>
      <c r="N294" s="7">
        <v>2399</v>
      </c>
      <c r="O294" s="7">
        <v>1441</v>
      </c>
      <c r="P294" s="7">
        <v>1022</v>
      </c>
      <c r="Q294" s="7">
        <v>7037</v>
      </c>
      <c r="R294" s="7">
        <v>3714</v>
      </c>
      <c r="S294" s="7">
        <v>2116</v>
      </c>
      <c r="T294" s="7">
        <v>5821</v>
      </c>
      <c r="U294" s="7">
        <v>5417</v>
      </c>
      <c r="V294" s="7">
        <v>2129</v>
      </c>
      <c r="W294" s="7">
        <v>5101</v>
      </c>
      <c r="X294" s="7">
        <v>4495</v>
      </c>
      <c r="Y294" s="7">
        <v>5215</v>
      </c>
      <c r="Z294" s="7">
        <v>5109</v>
      </c>
      <c r="AA294" s="7">
        <v>12264</v>
      </c>
      <c r="AB294" s="7">
        <v>4062</v>
      </c>
      <c r="AC294" s="7">
        <v>6197</v>
      </c>
      <c r="AD294" s="7">
        <v>6310</v>
      </c>
      <c r="AE294" s="7">
        <v>1295</v>
      </c>
      <c r="AF294" s="7">
        <v>3067</v>
      </c>
      <c r="AG294" s="7">
        <v>2616</v>
      </c>
      <c r="AH294" s="7">
        <v>7341</v>
      </c>
      <c r="AI294" s="7">
        <v>1402</v>
      </c>
      <c r="AJ294" s="7">
        <v>2946</v>
      </c>
      <c r="AK294" s="7">
        <v>4863</v>
      </c>
      <c r="AL294" s="7">
        <v>3191</v>
      </c>
      <c r="AM294" s="7">
        <v>1844</v>
      </c>
      <c r="AN294" s="7">
        <v>3330</v>
      </c>
      <c r="AO294" s="7">
        <v>5293</v>
      </c>
      <c r="AP294" s="7">
        <v>4311</v>
      </c>
      <c r="AQ294" s="7">
        <v>3486</v>
      </c>
      <c r="AR294" s="7">
        <v>2306</v>
      </c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</row>
    <row r="295" spans="1:81">
      <c r="A295" s="1" t="s">
        <v>991</v>
      </c>
      <c r="B295" s="1" t="s">
        <v>992</v>
      </c>
      <c r="C295" s="1" t="s">
        <v>675</v>
      </c>
      <c r="D295" s="1" t="str">
        <f>HYPERLINK("http://eros.fiehnlab.ucdavis.edu:8080/binbase-compound/bin/show/226330?db=rtx5","226330")</f>
        <v>226330</v>
      </c>
      <c r="E295" s="1" t="s">
        <v>993</v>
      </c>
      <c r="F295" s="1" t="s">
        <v>0</v>
      </c>
      <c r="G295" s="1" t="s">
        <v>0</v>
      </c>
      <c r="H295" s="1"/>
      <c r="I295" s="7">
        <v>858</v>
      </c>
      <c r="J295" s="7">
        <v>314</v>
      </c>
      <c r="K295" s="7">
        <v>1684</v>
      </c>
      <c r="L295" s="7">
        <v>3029</v>
      </c>
      <c r="M295" s="7">
        <v>723</v>
      </c>
      <c r="N295" s="7">
        <v>670</v>
      </c>
      <c r="O295" s="7">
        <v>916</v>
      </c>
      <c r="P295" s="7">
        <v>2191</v>
      </c>
      <c r="Q295" s="7">
        <v>573</v>
      </c>
      <c r="R295" s="7">
        <v>2082</v>
      </c>
      <c r="S295" s="7">
        <v>1100</v>
      </c>
      <c r="T295" s="7">
        <v>849</v>
      </c>
      <c r="U295" s="7">
        <v>1263</v>
      </c>
      <c r="V295" s="7">
        <v>1000</v>
      </c>
      <c r="W295" s="7">
        <v>1670</v>
      </c>
      <c r="X295" s="7">
        <v>1878</v>
      </c>
      <c r="Y295" s="7">
        <v>2630</v>
      </c>
      <c r="Z295" s="7">
        <v>898</v>
      </c>
      <c r="AA295" s="7">
        <v>1225</v>
      </c>
      <c r="AB295" s="7">
        <v>1847</v>
      </c>
      <c r="AC295" s="7">
        <v>3140</v>
      </c>
      <c r="AD295" s="7">
        <v>1784</v>
      </c>
      <c r="AE295" s="7">
        <v>2518</v>
      </c>
      <c r="AF295" s="7">
        <v>2576</v>
      </c>
      <c r="AG295" s="7">
        <v>2324</v>
      </c>
      <c r="AH295" s="7">
        <v>3009</v>
      </c>
      <c r="AI295" s="7">
        <v>813</v>
      </c>
      <c r="AJ295" s="7">
        <v>2929</v>
      </c>
      <c r="AK295" s="7">
        <v>3225</v>
      </c>
      <c r="AL295" s="7">
        <v>857</v>
      </c>
      <c r="AM295" s="7">
        <v>1987</v>
      </c>
      <c r="AN295" s="7">
        <v>804</v>
      </c>
      <c r="AO295" s="7">
        <v>2754</v>
      </c>
      <c r="AP295" s="7">
        <v>2340</v>
      </c>
      <c r="AQ295" s="7">
        <v>487</v>
      </c>
      <c r="AR295" s="7">
        <v>2704</v>
      </c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</row>
    <row r="296" spans="1:81">
      <c r="A296" s="1" t="s">
        <v>888</v>
      </c>
      <c r="B296" s="1" t="s">
        <v>889</v>
      </c>
      <c r="C296" s="1" t="s">
        <v>890</v>
      </c>
      <c r="D296" s="1" t="str">
        <f>HYPERLINK("http://eros.fiehnlab.ucdavis.edu:8080/binbase-compound/bin/show/239320?db=rtx5","239320")</f>
        <v>239320</v>
      </c>
      <c r="E296" s="1" t="s">
        <v>891</v>
      </c>
      <c r="F296" s="1" t="s">
        <v>0</v>
      </c>
      <c r="G296" s="1" t="s">
        <v>0</v>
      </c>
      <c r="H296" s="1"/>
      <c r="I296" s="7">
        <v>613</v>
      </c>
      <c r="J296" s="7">
        <v>109</v>
      </c>
      <c r="K296" s="7">
        <v>1131</v>
      </c>
      <c r="L296" s="7">
        <v>1051</v>
      </c>
      <c r="M296" s="7">
        <v>359</v>
      </c>
      <c r="N296" s="7">
        <v>235</v>
      </c>
      <c r="O296" s="7">
        <v>961</v>
      </c>
      <c r="P296" s="7">
        <v>727</v>
      </c>
      <c r="Q296" s="7">
        <v>655</v>
      </c>
      <c r="R296" s="7">
        <v>821</v>
      </c>
      <c r="S296" s="7">
        <v>586</v>
      </c>
      <c r="T296" s="7">
        <v>283</v>
      </c>
      <c r="U296" s="7">
        <v>852</v>
      </c>
      <c r="V296" s="7">
        <v>653</v>
      </c>
      <c r="W296" s="7">
        <v>456</v>
      </c>
      <c r="X296" s="7">
        <v>474</v>
      </c>
      <c r="Y296" s="7">
        <v>1114</v>
      </c>
      <c r="Z296" s="7">
        <v>155</v>
      </c>
      <c r="AA296" s="7">
        <v>189</v>
      </c>
      <c r="AB296" s="7">
        <v>943</v>
      </c>
      <c r="AC296" s="7">
        <v>1015</v>
      </c>
      <c r="AD296" s="7">
        <v>2109</v>
      </c>
      <c r="AE296" s="7">
        <v>622</v>
      </c>
      <c r="AF296" s="7">
        <v>864</v>
      </c>
      <c r="AG296" s="7">
        <v>867</v>
      </c>
      <c r="AH296" s="7">
        <v>849</v>
      </c>
      <c r="AI296" s="7">
        <v>675</v>
      </c>
      <c r="AJ296" s="7">
        <v>1151</v>
      </c>
      <c r="AK296" s="7">
        <v>1079</v>
      </c>
      <c r="AL296" s="7">
        <v>266</v>
      </c>
      <c r="AM296" s="7">
        <v>1092</v>
      </c>
      <c r="AN296" s="7">
        <v>305</v>
      </c>
      <c r="AO296" s="7">
        <v>1322</v>
      </c>
      <c r="AP296" s="7">
        <v>1064</v>
      </c>
      <c r="AQ296" s="7">
        <v>117</v>
      </c>
      <c r="AR296" s="7">
        <v>992</v>
      </c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</row>
    <row r="297" spans="1:81">
      <c r="A297" s="1" t="s">
        <v>952</v>
      </c>
      <c r="B297" s="1" t="s">
        <v>953</v>
      </c>
      <c r="C297" s="1" t="s">
        <v>682</v>
      </c>
      <c r="D297" s="1" t="str">
        <f>HYPERLINK("http://eros.fiehnlab.ucdavis.edu:8080/binbase-compound/bin/show/231947?db=rtx5","231947")</f>
        <v>231947</v>
      </c>
      <c r="E297" s="1" t="s">
        <v>954</v>
      </c>
      <c r="F297" s="1" t="s">
        <v>0</v>
      </c>
      <c r="G297" s="1" t="s">
        <v>0</v>
      </c>
      <c r="H297" s="1"/>
      <c r="I297" s="7">
        <v>624</v>
      </c>
      <c r="J297" s="7">
        <v>343</v>
      </c>
      <c r="K297" s="7">
        <v>662</v>
      </c>
      <c r="L297" s="7">
        <v>1345</v>
      </c>
      <c r="M297" s="7">
        <v>303</v>
      </c>
      <c r="N297" s="7">
        <v>360</v>
      </c>
      <c r="O297" s="7">
        <v>907</v>
      </c>
      <c r="P297" s="7">
        <v>1343</v>
      </c>
      <c r="Q297" s="7">
        <v>643</v>
      </c>
      <c r="R297" s="7">
        <v>877</v>
      </c>
      <c r="S297" s="7">
        <v>557</v>
      </c>
      <c r="T297" s="7">
        <v>346</v>
      </c>
      <c r="U297" s="7">
        <v>511</v>
      </c>
      <c r="V297" s="7">
        <v>527</v>
      </c>
      <c r="W297" s="7">
        <v>655</v>
      </c>
      <c r="X297" s="7">
        <v>1047</v>
      </c>
      <c r="Y297" s="7">
        <v>975</v>
      </c>
      <c r="Z297" s="7">
        <v>284</v>
      </c>
      <c r="AA297" s="7">
        <v>867</v>
      </c>
      <c r="AB297" s="7">
        <v>1147</v>
      </c>
      <c r="AC297" s="7">
        <v>879</v>
      </c>
      <c r="AD297" s="7">
        <v>789</v>
      </c>
      <c r="AE297" s="7">
        <v>833</v>
      </c>
      <c r="AF297" s="7">
        <v>988</v>
      </c>
      <c r="AG297" s="7">
        <v>943</v>
      </c>
      <c r="AH297" s="7">
        <v>1035</v>
      </c>
      <c r="AI297" s="7">
        <v>706</v>
      </c>
      <c r="AJ297" s="7">
        <v>1672</v>
      </c>
      <c r="AK297" s="7">
        <v>1355</v>
      </c>
      <c r="AL297" s="7">
        <v>275</v>
      </c>
      <c r="AM297" s="7">
        <v>1332</v>
      </c>
      <c r="AN297" s="7">
        <v>353</v>
      </c>
      <c r="AO297" s="7">
        <v>1463</v>
      </c>
      <c r="AP297" s="7">
        <v>1050</v>
      </c>
      <c r="AQ297" s="7">
        <v>289</v>
      </c>
      <c r="AR297" s="7">
        <v>1212</v>
      </c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</row>
    <row r="298" spans="1:81">
      <c r="A298" s="1" t="s">
        <v>718</v>
      </c>
      <c r="B298" s="1" t="s">
        <v>719</v>
      </c>
      <c r="C298" s="1" t="s">
        <v>85</v>
      </c>
      <c r="D298" s="1" t="str">
        <f>HYPERLINK("http://eros.fiehnlab.ucdavis.edu:8080/binbase-compound/bin/show/309642?db=rtx5","309642")</f>
        <v>309642</v>
      </c>
      <c r="E298" s="1" t="s">
        <v>720</v>
      </c>
      <c r="F298" s="1" t="s">
        <v>0</v>
      </c>
      <c r="G298" s="1" t="s">
        <v>0</v>
      </c>
      <c r="H298" s="1"/>
      <c r="I298" s="7">
        <v>1282</v>
      </c>
      <c r="J298" s="7">
        <v>574</v>
      </c>
      <c r="K298" s="7">
        <v>3721</v>
      </c>
      <c r="L298" s="7">
        <v>1375</v>
      </c>
      <c r="M298" s="7">
        <v>1731</v>
      </c>
      <c r="N298" s="7">
        <v>1325</v>
      </c>
      <c r="O298" s="7">
        <v>1302</v>
      </c>
      <c r="P298" s="7">
        <v>2776</v>
      </c>
      <c r="Q298" s="7">
        <v>1987</v>
      </c>
      <c r="R298" s="7">
        <v>3780</v>
      </c>
      <c r="S298" s="7">
        <v>2306</v>
      </c>
      <c r="T298" s="7">
        <v>655</v>
      </c>
      <c r="U298" s="7">
        <v>1590</v>
      </c>
      <c r="V298" s="7">
        <v>1059</v>
      </c>
      <c r="W298" s="7">
        <v>1498</v>
      </c>
      <c r="X298" s="7">
        <v>2917</v>
      </c>
      <c r="Y298" s="7">
        <v>4543</v>
      </c>
      <c r="Z298" s="7">
        <v>1101</v>
      </c>
      <c r="AA298" s="7">
        <v>1155</v>
      </c>
      <c r="AB298" s="7">
        <v>2529</v>
      </c>
      <c r="AC298" s="7">
        <v>3859</v>
      </c>
      <c r="AD298" s="7">
        <v>3094</v>
      </c>
      <c r="AE298" s="7">
        <v>2145</v>
      </c>
      <c r="AF298" s="7">
        <v>2692</v>
      </c>
      <c r="AG298" s="7">
        <v>2630</v>
      </c>
      <c r="AH298" s="7">
        <v>4003</v>
      </c>
      <c r="AI298" s="7">
        <v>920</v>
      </c>
      <c r="AJ298" s="7">
        <v>1892</v>
      </c>
      <c r="AK298" s="7">
        <v>5382</v>
      </c>
      <c r="AL298" s="7">
        <v>953</v>
      </c>
      <c r="AM298" s="7">
        <v>2843</v>
      </c>
      <c r="AN298" s="7">
        <v>1210</v>
      </c>
      <c r="AO298" s="7">
        <v>5722</v>
      </c>
      <c r="AP298" s="7">
        <v>4571</v>
      </c>
      <c r="AQ298" s="7">
        <v>870</v>
      </c>
      <c r="AR298" s="7">
        <v>2957</v>
      </c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</row>
    <row r="299" spans="1:81">
      <c r="A299" s="1" t="s">
        <v>702</v>
      </c>
      <c r="B299" s="1" t="s">
        <v>703</v>
      </c>
      <c r="C299" s="1" t="s">
        <v>535</v>
      </c>
      <c r="D299" s="1" t="str">
        <f>HYPERLINK("http://eros.fiehnlab.ucdavis.edu:8080/binbase-compound/bin/show/321692?db=rtx5","321692")</f>
        <v>321692</v>
      </c>
      <c r="E299" s="1" t="s">
        <v>704</v>
      </c>
      <c r="F299" s="1" t="s">
        <v>0</v>
      </c>
      <c r="G299" s="1" t="s">
        <v>0</v>
      </c>
      <c r="H299" s="1"/>
      <c r="I299" s="7">
        <v>2219</v>
      </c>
      <c r="J299" s="7">
        <v>1588</v>
      </c>
      <c r="K299" s="7">
        <v>4828</v>
      </c>
      <c r="L299" s="7">
        <v>7925</v>
      </c>
      <c r="M299" s="7">
        <v>2926</v>
      </c>
      <c r="N299" s="7">
        <v>2868</v>
      </c>
      <c r="O299" s="7">
        <v>3469</v>
      </c>
      <c r="P299" s="7">
        <v>6363</v>
      </c>
      <c r="Q299" s="7">
        <v>2679</v>
      </c>
      <c r="R299" s="7">
        <v>5461</v>
      </c>
      <c r="S299" s="7">
        <v>4048</v>
      </c>
      <c r="T299" s="7">
        <v>2294</v>
      </c>
      <c r="U299" s="7">
        <v>2814</v>
      </c>
      <c r="V299" s="7">
        <v>3407</v>
      </c>
      <c r="W299" s="7">
        <v>2071</v>
      </c>
      <c r="X299" s="7">
        <v>4088</v>
      </c>
      <c r="Y299" s="7">
        <v>5985</v>
      </c>
      <c r="Z299" s="7">
        <v>2076</v>
      </c>
      <c r="AA299" s="7">
        <v>3560</v>
      </c>
      <c r="AB299" s="7">
        <v>5976</v>
      </c>
      <c r="AC299" s="7">
        <v>5918</v>
      </c>
      <c r="AD299" s="7">
        <v>4232</v>
      </c>
      <c r="AE299" s="7">
        <v>4985</v>
      </c>
      <c r="AF299" s="7">
        <v>3770</v>
      </c>
      <c r="AG299" s="7">
        <v>4977</v>
      </c>
      <c r="AH299" s="7">
        <v>6219</v>
      </c>
      <c r="AI299" s="7">
        <v>3658</v>
      </c>
      <c r="AJ299" s="7">
        <v>5858</v>
      </c>
      <c r="AK299" s="7">
        <v>8538</v>
      </c>
      <c r="AL299" s="7">
        <v>2204</v>
      </c>
      <c r="AM299" s="7">
        <v>5319</v>
      </c>
      <c r="AN299" s="7">
        <v>2285</v>
      </c>
      <c r="AO299" s="7">
        <v>8696</v>
      </c>
      <c r="AP299" s="7">
        <v>6925</v>
      </c>
      <c r="AQ299" s="7">
        <v>1873</v>
      </c>
      <c r="AR299" s="7">
        <v>5478</v>
      </c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</row>
    <row r="300" spans="1:81">
      <c r="A300" s="1" t="s">
        <v>972</v>
      </c>
      <c r="B300" s="1" t="s">
        <v>973</v>
      </c>
      <c r="C300" s="1" t="s">
        <v>738</v>
      </c>
      <c r="D300" s="1" t="str">
        <f>HYPERLINK("http://eros.fiehnlab.ucdavis.edu:8080/binbase-compound/bin/show/229153?db=rtx5","229153")</f>
        <v>229153</v>
      </c>
      <c r="E300" s="1" t="s">
        <v>974</v>
      </c>
      <c r="F300" s="1" t="s">
        <v>0</v>
      </c>
      <c r="G300" s="1" t="s">
        <v>0</v>
      </c>
      <c r="H300" s="1"/>
      <c r="I300" s="7">
        <v>709</v>
      </c>
      <c r="J300" s="7">
        <v>600</v>
      </c>
      <c r="K300" s="7">
        <v>2156</v>
      </c>
      <c r="L300" s="7">
        <v>2738</v>
      </c>
      <c r="M300" s="7">
        <v>1190</v>
      </c>
      <c r="N300" s="7">
        <v>1091</v>
      </c>
      <c r="O300" s="7">
        <v>1469</v>
      </c>
      <c r="P300" s="7">
        <v>2087</v>
      </c>
      <c r="Q300" s="7">
        <v>1156</v>
      </c>
      <c r="R300" s="7">
        <v>3311</v>
      </c>
      <c r="S300" s="7">
        <v>1219</v>
      </c>
      <c r="T300" s="7">
        <v>856</v>
      </c>
      <c r="U300" s="7">
        <v>1521</v>
      </c>
      <c r="V300" s="7">
        <v>1263</v>
      </c>
      <c r="W300" s="7">
        <v>1323</v>
      </c>
      <c r="X300" s="7">
        <v>1711</v>
      </c>
      <c r="Y300" s="7">
        <v>2259</v>
      </c>
      <c r="Z300" s="7">
        <v>553</v>
      </c>
      <c r="AA300" s="7">
        <v>1168</v>
      </c>
      <c r="AB300" s="7">
        <v>2874</v>
      </c>
      <c r="AC300" s="7">
        <v>2640</v>
      </c>
      <c r="AD300" s="7">
        <v>2258</v>
      </c>
      <c r="AE300" s="7">
        <v>1932</v>
      </c>
      <c r="AF300" s="7">
        <v>3059</v>
      </c>
      <c r="AG300" s="7">
        <v>2448</v>
      </c>
      <c r="AH300" s="7">
        <v>3273</v>
      </c>
      <c r="AI300" s="7">
        <v>1304</v>
      </c>
      <c r="AJ300" s="7">
        <v>3437</v>
      </c>
      <c r="AK300" s="7">
        <v>4304</v>
      </c>
      <c r="AL300" s="7">
        <v>751</v>
      </c>
      <c r="AM300" s="7">
        <v>2386</v>
      </c>
      <c r="AN300" s="7">
        <v>884</v>
      </c>
      <c r="AO300" s="7">
        <v>3846</v>
      </c>
      <c r="AP300" s="7">
        <v>3075</v>
      </c>
      <c r="AQ300" s="7">
        <v>570</v>
      </c>
      <c r="AR300" s="7">
        <v>2367</v>
      </c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</row>
    <row r="301" spans="1:81">
      <c r="A301" s="1" t="s">
        <v>696</v>
      </c>
      <c r="B301" s="1" t="s">
        <v>697</v>
      </c>
      <c r="C301" s="1" t="s">
        <v>167</v>
      </c>
      <c r="D301" s="1" t="str">
        <f>HYPERLINK("http://eros.fiehnlab.ucdavis.edu:8080/binbase-compound/bin/show/339455?db=rtx5","339455")</f>
        <v>339455</v>
      </c>
      <c r="E301" s="1" t="s">
        <v>698</v>
      </c>
      <c r="F301" s="1" t="s">
        <v>0</v>
      </c>
      <c r="G301" s="1" t="s">
        <v>0</v>
      </c>
      <c r="H301" s="1"/>
      <c r="I301" s="7">
        <v>1363</v>
      </c>
      <c r="J301" s="7">
        <v>938</v>
      </c>
      <c r="K301" s="7">
        <v>1889</v>
      </c>
      <c r="L301" s="7">
        <v>1402</v>
      </c>
      <c r="M301" s="7">
        <v>1582</v>
      </c>
      <c r="N301" s="7">
        <v>867</v>
      </c>
      <c r="O301" s="7">
        <v>1654</v>
      </c>
      <c r="P301" s="7">
        <v>2260</v>
      </c>
      <c r="Q301" s="7">
        <v>1319</v>
      </c>
      <c r="R301" s="7">
        <v>1803</v>
      </c>
      <c r="S301" s="7">
        <v>1615</v>
      </c>
      <c r="T301" s="7">
        <v>1453</v>
      </c>
      <c r="U301" s="7">
        <v>1355</v>
      </c>
      <c r="V301" s="7">
        <v>1892</v>
      </c>
      <c r="W301" s="7">
        <v>1985</v>
      </c>
      <c r="X301" s="7">
        <v>2230</v>
      </c>
      <c r="Y301" s="7">
        <v>2056</v>
      </c>
      <c r="Z301" s="7">
        <v>1552</v>
      </c>
      <c r="AA301" s="7">
        <v>1504</v>
      </c>
      <c r="AB301" s="7">
        <v>1594</v>
      </c>
      <c r="AC301" s="7">
        <v>2469</v>
      </c>
      <c r="AD301" s="7">
        <v>1576</v>
      </c>
      <c r="AE301" s="7">
        <v>1981</v>
      </c>
      <c r="AF301" s="7">
        <v>2119</v>
      </c>
      <c r="AG301" s="7">
        <v>1801</v>
      </c>
      <c r="AH301" s="7">
        <v>1750</v>
      </c>
      <c r="AI301" s="7">
        <v>1234</v>
      </c>
      <c r="AJ301" s="7">
        <v>1905</v>
      </c>
      <c r="AK301" s="7">
        <v>2403</v>
      </c>
      <c r="AL301" s="7">
        <v>1685</v>
      </c>
      <c r="AM301" s="7">
        <v>1573</v>
      </c>
      <c r="AN301" s="7">
        <v>1260</v>
      </c>
      <c r="AO301" s="7">
        <v>3007</v>
      </c>
      <c r="AP301" s="7">
        <v>2032</v>
      </c>
      <c r="AQ301" s="7">
        <v>1517</v>
      </c>
      <c r="AR301" s="7">
        <v>1302</v>
      </c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</row>
    <row r="302" spans="1:81">
      <c r="A302" s="1" t="s">
        <v>1111</v>
      </c>
      <c r="B302" s="1" t="s">
        <v>1112</v>
      </c>
      <c r="C302" s="1" t="s">
        <v>738</v>
      </c>
      <c r="D302" s="1" t="str">
        <f>HYPERLINK("http://eros.fiehnlab.ucdavis.edu:8080/binbase-compound/bin/show/203592?db=rtx5","203592")</f>
        <v>203592</v>
      </c>
      <c r="E302" s="1" t="s">
        <v>1113</v>
      </c>
      <c r="F302" s="1" t="s">
        <v>0</v>
      </c>
      <c r="G302" s="1" t="s">
        <v>0</v>
      </c>
      <c r="H302" s="1"/>
      <c r="I302" s="7">
        <v>1479</v>
      </c>
      <c r="J302" s="7">
        <v>727</v>
      </c>
      <c r="K302" s="7">
        <v>2183</v>
      </c>
      <c r="L302" s="7">
        <v>2799</v>
      </c>
      <c r="M302" s="7">
        <v>1401</v>
      </c>
      <c r="N302" s="7">
        <v>1132</v>
      </c>
      <c r="O302" s="7">
        <v>1331</v>
      </c>
      <c r="P302" s="7">
        <v>2216</v>
      </c>
      <c r="Q302" s="7">
        <v>1495</v>
      </c>
      <c r="R302" s="7">
        <v>1939</v>
      </c>
      <c r="S302" s="7">
        <v>1624</v>
      </c>
      <c r="T302" s="7">
        <v>1220</v>
      </c>
      <c r="U302" s="7">
        <v>1702</v>
      </c>
      <c r="V302" s="7">
        <v>1634</v>
      </c>
      <c r="W302" s="7">
        <v>1454</v>
      </c>
      <c r="X302" s="7">
        <v>2280</v>
      </c>
      <c r="Y302" s="7">
        <v>2570</v>
      </c>
      <c r="Z302" s="7">
        <v>945</v>
      </c>
      <c r="AA302" s="7">
        <v>2213</v>
      </c>
      <c r="AB302" s="7">
        <v>2435</v>
      </c>
      <c r="AC302" s="7">
        <v>2625</v>
      </c>
      <c r="AD302" s="7">
        <v>1838</v>
      </c>
      <c r="AE302" s="7">
        <v>3125</v>
      </c>
      <c r="AF302" s="7">
        <v>3040</v>
      </c>
      <c r="AG302" s="7">
        <v>2713</v>
      </c>
      <c r="AH302" s="7">
        <v>2845</v>
      </c>
      <c r="AI302" s="7">
        <v>1682</v>
      </c>
      <c r="AJ302" s="7">
        <v>2347</v>
      </c>
      <c r="AK302" s="7">
        <v>3413</v>
      </c>
      <c r="AL302" s="7">
        <v>891</v>
      </c>
      <c r="AM302" s="7">
        <v>2995</v>
      </c>
      <c r="AN302" s="7">
        <v>1189</v>
      </c>
      <c r="AO302" s="7">
        <v>3385</v>
      </c>
      <c r="AP302" s="7">
        <v>3212</v>
      </c>
      <c r="AQ302" s="7">
        <v>802</v>
      </c>
      <c r="AR302" s="7">
        <v>2591</v>
      </c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</row>
    <row r="303" spans="1:81">
      <c r="A303" s="1" t="s">
        <v>901</v>
      </c>
      <c r="B303" s="1" t="s">
        <v>902</v>
      </c>
      <c r="C303" s="1" t="s">
        <v>389</v>
      </c>
      <c r="D303" s="1" t="str">
        <f>HYPERLINK("http://eros.fiehnlab.ucdavis.edu:8080/binbase-compound/bin/show/238134?db=rtx5","238134")</f>
        <v>238134</v>
      </c>
      <c r="E303" s="1" t="s">
        <v>903</v>
      </c>
      <c r="F303" s="1" t="s">
        <v>0</v>
      </c>
      <c r="G303" s="1" t="s">
        <v>0</v>
      </c>
      <c r="H303" s="1"/>
      <c r="I303" s="7">
        <v>1214</v>
      </c>
      <c r="J303" s="7">
        <v>971</v>
      </c>
      <c r="K303" s="7">
        <v>1650</v>
      </c>
      <c r="L303" s="7">
        <v>2543</v>
      </c>
      <c r="M303" s="7">
        <v>1932</v>
      </c>
      <c r="N303" s="7">
        <v>968</v>
      </c>
      <c r="O303" s="7">
        <v>674</v>
      </c>
      <c r="P303" s="7">
        <v>1819</v>
      </c>
      <c r="Q303" s="7">
        <v>4178</v>
      </c>
      <c r="R303" s="7">
        <v>1529</v>
      </c>
      <c r="S303" s="7">
        <v>3461</v>
      </c>
      <c r="T303" s="7">
        <v>4040</v>
      </c>
      <c r="U303" s="7">
        <v>3931</v>
      </c>
      <c r="V303" s="7">
        <v>1534</v>
      </c>
      <c r="W303" s="7">
        <v>1633</v>
      </c>
      <c r="X303" s="7">
        <v>3027</v>
      </c>
      <c r="Y303" s="7">
        <v>3681</v>
      </c>
      <c r="Z303" s="7">
        <v>745</v>
      </c>
      <c r="AA303" s="7">
        <v>4845</v>
      </c>
      <c r="AB303" s="7">
        <v>5157</v>
      </c>
      <c r="AC303" s="7">
        <v>5924</v>
      </c>
      <c r="AD303" s="7">
        <v>7352</v>
      </c>
      <c r="AE303" s="7">
        <v>4574</v>
      </c>
      <c r="AF303" s="7">
        <v>8221</v>
      </c>
      <c r="AG303" s="7">
        <v>6558</v>
      </c>
      <c r="AH303" s="7">
        <v>11390</v>
      </c>
      <c r="AI303" s="7">
        <v>1108</v>
      </c>
      <c r="AJ303" s="7">
        <v>7207</v>
      </c>
      <c r="AK303" s="7">
        <v>7838</v>
      </c>
      <c r="AL303" s="7">
        <v>1895</v>
      </c>
      <c r="AM303" s="7">
        <v>3866</v>
      </c>
      <c r="AN303" s="7">
        <v>1521</v>
      </c>
      <c r="AO303" s="7">
        <v>6246</v>
      </c>
      <c r="AP303" s="7">
        <v>5493</v>
      </c>
      <c r="AQ303" s="7">
        <v>1556</v>
      </c>
      <c r="AR303" s="7">
        <v>2933</v>
      </c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</row>
    <row r="304" spans="1:81">
      <c r="A304" s="1" t="s">
        <v>781</v>
      </c>
      <c r="B304" s="1" t="s">
        <v>782</v>
      </c>
      <c r="C304" s="1" t="s">
        <v>117</v>
      </c>
      <c r="D304" s="1" t="str">
        <f>HYPERLINK("http://eros.fiehnlab.ucdavis.edu:8080/binbase-compound/bin/show/274189?db=rtx5","274189")</f>
        <v>274189</v>
      </c>
      <c r="E304" s="1" t="s">
        <v>783</v>
      </c>
      <c r="F304" s="1" t="s">
        <v>0</v>
      </c>
      <c r="G304" s="1" t="s">
        <v>0</v>
      </c>
      <c r="H304" s="1"/>
      <c r="I304" s="7">
        <v>4156</v>
      </c>
      <c r="J304" s="7">
        <v>1715</v>
      </c>
      <c r="K304" s="7">
        <v>914</v>
      </c>
      <c r="L304" s="7">
        <v>2692</v>
      </c>
      <c r="M304" s="7">
        <v>574</v>
      </c>
      <c r="N304" s="7">
        <v>507</v>
      </c>
      <c r="O304" s="7">
        <v>1177</v>
      </c>
      <c r="P304" s="7">
        <v>1731</v>
      </c>
      <c r="Q304" s="7">
        <v>3329</v>
      </c>
      <c r="R304" s="7">
        <v>4147</v>
      </c>
      <c r="S304" s="7">
        <v>3121</v>
      </c>
      <c r="T304" s="7">
        <v>6360</v>
      </c>
      <c r="U304" s="7">
        <v>8973</v>
      </c>
      <c r="V304" s="7">
        <v>2827</v>
      </c>
      <c r="W304" s="7">
        <v>828</v>
      </c>
      <c r="X304" s="7">
        <v>1408</v>
      </c>
      <c r="Y304" s="7">
        <v>1643</v>
      </c>
      <c r="Z304" s="7">
        <v>1885</v>
      </c>
      <c r="AA304" s="7">
        <v>864</v>
      </c>
      <c r="AB304" s="7">
        <v>665</v>
      </c>
      <c r="AC304" s="7">
        <v>777</v>
      </c>
      <c r="AD304" s="7">
        <v>1950</v>
      </c>
      <c r="AE304" s="7">
        <v>2095</v>
      </c>
      <c r="AF304" s="7">
        <v>5156</v>
      </c>
      <c r="AG304" s="7">
        <v>1290</v>
      </c>
      <c r="AH304" s="7">
        <v>2014</v>
      </c>
      <c r="AI304" s="7">
        <v>497</v>
      </c>
      <c r="AJ304" s="7">
        <v>2541</v>
      </c>
      <c r="AK304" s="7">
        <v>2579</v>
      </c>
      <c r="AL304" s="7">
        <v>1156</v>
      </c>
      <c r="AM304" s="7">
        <v>1809</v>
      </c>
      <c r="AN304" s="7">
        <v>435</v>
      </c>
      <c r="AO304" s="7">
        <v>1226</v>
      </c>
      <c r="AP304" s="7">
        <v>3228</v>
      </c>
      <c r="AQ304" s="7">
        <v>1008</v>
      </c>
      <c r="AR304" s="7">
        <v>1405</v>
      </c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</row>
    <row r="305" spans="1:81">
      <c r="A305" s="1" t="s">
        <v>721</v>
      </c>
      <c r="B305" s="1" t="s">
        <v>722</v>
      </c>
      <c r="C305" s="1" t="s">
        <v>132</v>
      </c>
      <c r="D305" s="1" t="str">
        <f>HYPERLINK("http://eros.fiehnlab.ucdavis.edu:8080/binbase-compound/bin/show/309540?db=rtx5","309540")</f>
        <v>309540</v>
      </c>
      <c r="E305" s="1" t="s">
        <v>723</v>
      </c>
      <c r="F305" s="1" t="s">
        <v>0</v>
      </c>
      <c r="G305" s="1" t="s">
        <v>0</v>
      </c>
      <c r="H305" s="1"/>
      <c r="I305" s="7">
        <v>4464</v>
      </c>
      <c r="J305" s="7">
        <v>2685</v>
      </c>
      <c r="K305" s="7">
        <v>2146</v>
      </c>
      <c r="L305" s="7">
        <v>6275</v>
      </c>
      <c r="M305" s="7">
        <v>939</v>
      </c>
      <c r="N305" s="7">
        <v>4251</v>
      </c>
      <c r="O305" s="7">
        <v>1222</v>
      </c>
      <c r="P305" s="7">
        <v>1980</v>
      </c>
      <c r="Q305" s="7">
        <v>2739</v>
      </c>
      <c r="R305" s="7">
        <v>1069</v>
      </c>
      <c r="S305" s="7">
        <v>742</v>
      </c>
      <c r="T305" s="7">
        <v>1671</v>
      </c>
      <c r="U305" s="7">
        <v>11405</v>
      </c>
      <c r="V305" s="7">
        <v>2184</v>
      </c>
      <c r="W305" s="7">
        <v>666</v>
      </c>
      <c r="X305" s="7">
        <v>1295</v>
      </c>
      <c r="Y305" s="7">
        <v>3125</v>
      </c>
      <c r="Z305" s="7">
        <v>778</v>
      </c>
      <c r="AA305" s="7">
        <v>928</v>
      </c>
      <c r="AB305" s="7">
        <v>1301</v>
      </c>
      <c r="AC305" s="7">
        <v>1597</v>
      </c>
      <c r="AD305" s="7">
        <v>2276</v>
      </c>
      <c r="AE305" s="7">
        <v>848</v>
      </c>
      <c r="AF305" s="7">
        <v>4508</v>
      </c>
      <c r="AG305" s="7">
        <v>828</v>
      </c>
      <c r="AH305" s="7">
        <v>828</v>
      </c>
      <c r="AI305" s="7">
        <v>1180</v>
      </c>
      <c r="AJ305" s="7">
        <v>1054</v>
      </c>
      <c r="AK305" s="7">
        <v>1003</v>
      </c>
      <c r="AL305" s="7">
        <v>2284</v>
      </c>
      <c r="AM305" s="7">
        <v>3225</v>
      </c>
      <c r="AN305" s="7">
        <v>1306</v>
      </c>
      <c r="AO305" s="7">
        <v>1213</v>
      </c>
      <c r="AP305" s="7">
        <v>904</v>
      </c>
      <c r="AQ305" s="7">
        <v>809</v>
      </c>
      <c r="AR305" s="7">
        <v>645</v>
      </c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</row>
    <row r="306" spans="1:81">
      <c r="A306" s="1" t="s">
        <v>1007</v>
      </c>
      <c r="B306" s="1" t="s">
        <v>1008</v>
      </c>
      <c r="C306" s="1" t="s">
        <v>518</v>
      </c>
      <c r="D306" s="1" t="str">
        <f>HYPERLINK("http://eros.fiehnlab.ucdavis.edu:8080/binbase-compound/bin/show/224574?db=rtx5","224574")</f>
        <v>224574</v>
      </c>
      <c r="E306" s="1" t="s">
        <v>1009</v>
      </c>
      <c r="F306" s="1" t="s">
        <v>0</v>
      </c>
      <c r="G306" s="1" t="s">
        <v>0</v>
      </c>
      <c r="H306" s="1"/>
      <c r="I306" s="7">
        <v>255</v>
      </c>
      <c r="J306" s="7">
        <v>108</v>
      </c>
      <c r="K306" s="7">
        <v>919</v>
      </c>
      <c r="L306" s="7">
        <v>1330</v>
      </c>
      <c r="M306" s="7">
        <v>554</v>
      </c>
      <c r="N306" s="7">
        <v>234</v>
      </c>
      <c r="O306" s="7">
        <v>262</v>
      </c>
      <c r="P306" s="7">
        <v>1884</v>
      </c>
      <c r="Q306" s="7">
        <v>363</v>
      </c>
      <c r="R306" s="7">
        <v>757</v>
      </c>
      <c r="S306" s="7">
        <v>462</v>
      </c>
      <c r="T306" s="7">
        <v>185</v>
      </c>
      <c r="U306" s="7">
        <v>813</v>
      </c>
      <c r="V306" s="7">
        <v>376</v>
      </c>
      <c r="W306" s="7">
        <v>363</v>
      </c>
      <c r="X306" s="7">
        <v>912</v>
      </c>
      <c r="Y306" s="7">
        <v>2056</v>
      </c>
      <c r="Z306" s="7">
        <v>181</v>
      </c>
      <c r="AA306" s="7">
        <v>157</v>
      </c>
      <c r="AB306" s="7">
        <v>1344</v>
      </c>
      <c r="AC306" s="7">
        <v>1656</v>
      </c>
      <c r="AD306" s="7">
        <v>834</v>
      </c>
      <c r="AE306" s="7">
        <v>903</v>
      </c>
      <c r="AF306" s="7">
        <v>1213</v>
      </c>
      <c r="AG306" s="7">
        <v>840</v>
      </c>
      <c r="AH306" s="7">
        <v>1400</v>
      </c>
      <c r="AI306" s="7">
        <v>187</v>
      </c>
      <c r="AJ306" s="7">
        <v>1248</v>
      </c>
      <c r="AK306" s="7">
        <v>1586</v>
      </c>
      <c r="AL306" s="7">
        <v>255</v>
      </c>
      <c r="AM306" s="7">
        <v>1308</v>
      </c>
      <c r="AN306" s="7">
        <v>170</v>
      </c>
      <c r="AO306" s="7">
        <v>2263</v>
      </c>
      <c r="AP306" s="7">
        <v>724</v>
      </c>
      <c r="AQ306" s="7">
        <v>197</v>
      </c>
      <c r="AR306" s="7">
        <v>731</v>
      </c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</row>
    <row r="307" spans="1:81">
      <c r="A307" s="1" t="s">
        <v>1105</v>
      </c>
      <c r="B307" s="1" t="s">
        <v>1106</v>
      </c>
      <c r="C307" s="1" t="s">
        <v>738</v>
      </c>
      <c r="D307" s="1" t="str">
        <f>HYPERLINK("http://eros.fiehnlab.ucdavis.edu:8080/binbase-compound/bin/show/204448?db=rtx5","204448")</f>
        <v>204448</v>
      </c>
      <c r="E307" s="1" t="s">
        <v>1107</v>
      </c>
      <c r="F307" s="1" t="s">
        <v>0</v>
      </c>
      <c r="G307" s="1" t="s">
        <v>0</v>
      </c>
      <c r="H307" s="1"/>
      <c r="I307" s="7">
        <v>650</v>
      </c>
      <c r="J307" s="7">
        <v>381</v>
      </c>
      <c r="K307" s="7">
        <v>1587</v>
      </c>
      <c r="L307" s="7">
        <v>1593</v>
      </c>
      <c r="M307" s="7">
        <v>787</v>
      </c>
      <c r="N307" s="7">
        <v>561</v>
      </c>
      <c r="O307" s="7">
        <v>524</v>
      </c>
      <c r="P307" s="7">
        <v>1226</v>
      </c>
      <c r="Q307" s="7">
        <v>832</v>
      </c>
      <c r="R307" s="7">
        <v>1415</v>
      </c>
      <c r="S307" s="7">
        <v>1106</v>
      </c>
      <c r="T307" s="7">
        <v>690</v>
      </c>
      <c r="U307" s="7">
        <v>681</v>
      </c>
      <c r="V307" s="7">
        <v>936</v>
      </c>
      <c r="W307" s="7">
        <v>740</v>
      </c>
      <c r="X307" s="7">
        <v>1323</v>
      </c>
      <c r="Y307" s="7">
        <v>1944</v>
      </c>
      <c r="Z307" s="7">
        <v>498</v>
      </c>
      <c r="AA307" s="7">
        <v>2063</v>
      </c>
      <c r="AB307" s="7">
        <v>1453</v>
      </c>
      <c r="AC307" s="7">
        <v>2500</v>
      </c>
      <c r="AD307" s="7">
        <v>1892</v>
      </c>
      <c r="AE307" s="7">
        <v>1456</v>
      </c>
      <c r="AF307" s="7">
        <v>1693</v>
      </c>
      <c r="AG307" s="7">
        <v>1282</v>
      </c>
      <c r="AH307" s="7">
        <v>2035</v>
      </c>
      <c r="AI307" s="7">
        <v>846</v>
      </c>
      <c r="AJ307" s="7">
        <v>1679</v>
      </c>
      <c r="AK307" s="7">
        <v>3108</v>
      </c>
      <c r="AL307" s="7">
        <v>384</v>
      </c>
      <c r="AM307" s="7">
        <v>1334</v>
      </c>
      <c r="AN307" s="7">
        <v>573</v>
      </c>
      <c r="AO307" s="7">
        <v>1825</v>
      </c>
      <c r="AP307" s="7">
        <v>1822</v>
      </c>
      <c r="AQ307" s="7">
        <v>445</v>
      </c>
      <c r="AR307" s="7">
        <v>1111</v>
      </c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</row>
    <row r="308" spans="1:81">
      <c r="A308" s="1" t="s">
        <v>1001</v>
      </c>
      <c r="B308" s="1" t="s">
        <v>1002</v>
      </c>
      <c r="C308" s="1" t="s">
        <v>803</v>
      </c>
      <c r="D308" s="1" t="str">
        <f>HYPERLINK("http://eros.fiehnlab.ucdavis.edu:8080/binbase-compound/bin/show/224849?db=rtx5","224849")</f>
        <v>224849</v>
      </c>
      <c r="E308" s="1" t="s">
        <v>1003</v>
      </c>
      <c r="F308" s="1" t="s">
        <v>0</v>
      </c>
      <c r="G308" s="1" t="s">
        <v>0</v>
      </c>
      <c r="H308" s="1"/>
      <c r="I308" s="7">
        <v>279</v>
      </c>
      <c r="J308" s="7">
        <v>151</v>
      </c>
      <c r="K308" s="7">
        <v>316</v>
      </c>
      <c r="L308" s="7">
        <v>414</v>
      </c>
      <c r="M308" s="7">
        <v>138</v>
      </c>
      <c r="N308" s="7">
        <v>222</v>
      </c>
      <c r="O308" s="7">
        <v>268</v>
      </c>
      <c r="P308" s="7">
        <v>342</v>
      </c>
      <c r="Q308" s="7">
        <v>242</v>
      </c>
      <c r="R308" s="7">
        <v>320</v>
      </c>
      <c r="S308" s="7">
        <v>340</v>
      </c>
      <c r="T308" s="7">
        <v>184</v>
      </c>
      <c r="U308" s="7">
        <v>340</v>
      </c>
      <c r="V308" s="7">
        <v>205</v>
      </c>
      <c r="W308" s="7">
        <v>171</v>
      </c>
      <c r="X308" s="7">
        <v>511</v>
      </c>
      <c r="Y308" s="7">
        <v>743</v>
      </c>
      <c r="Z308" s="7">
        <v>112</v>
      </c>
      <c r="AA308" s="7">
        <v>396</v>
      </c>
      <c r="AB308" s="7">
        <v>411</v>
      </c>
      <c r="AC308" s="7">
        <v>389</v>
      </c>
      <c r="AD308" s="7">
        <v>411</v>
      </c>
      <c r="AE308" s="7">
        <v>591</v>
      </c>
      <c r="AF308" s="7">
        <v>334</v>
      </c>
      <c r="AG308" s="7">
        <v>324</v>
      </c>
      <c r="AH308" s="7">
        <v>319</v>
      </c>
      <c r="AI308" s="7">
        <v>256</v>
      </c>
      <c r="AJ308" s="7">
        <v>713</v>
      </c>
      <c r="AK308" s="7">
        <v>605</v>
      </c>
      <c r="AL308" s="7">
        <v>211</v>
      </c>
      <c r="AM308" s="7">
        <v>622</v>
      </c>
      <c r="AN308" s="7">
        <v>124</v>
      </c>
      <c r="AO308" s="7">
        <v>322</v>
      </c>
      <c r="AP308" s="7">
        <v>479</v>
      </c>
      <c r="AQ308" s="7">
        <v>150</v>
      </c>
      <c r="AR308" s="7">
        <v>454</v>
      </c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</row>
    <row r="309" spans="1:81">
      <c r="A309" s="1" t="s">
        <v>1026</v>
      </c>
      <c r="B309" s="1" t="s">
        <v>1027</v>
      </c>
      <c r="C309" s="1" t="s">
        <v>1028</v>
      </c>
      <c r="D309" s="1" t="str">
        <f>HYPERLINK("http://eros.fiehnlab.ucdavis.edu:8080/binbase-compound/bin/show/222050?db=rtx5","222050")</f>
        <v>222050</v>
      </c>
      <c r="E309" s="1" t="s">
        <v>1029</v>
      </c>
      <c r="F309" s="1" t="s">
        <v>0</v>
      </c>
      <c r="G309" s="1" t="s">
        <v>0</v>
      </c>
      <c r="H309" s="1"/>
      <c r="I309" s="7">
        <v>417</v>
      </c>
      <c r="J309" s="7">
        <v>725</v>
      </c>
      <c r="K309" s="7">
        <v>2172</v>
      </c>
      <c r="L309" s="7">
        <v>2092</v>
      </c>
      <c r="M309" s="7">
        <v>225</v>
      </c>
      <c r="N309" s="7">
        <v>860</v>
      </c>
      <c r="O309" s="7">
        <v>228</v>
      </c>
      <c r="P309" s="7">
        <v>2691</v>
      </c>
      <c r="Q309" s="7">
        <v>779</v>
      </c>
      <c r="R309" s="7">
        <v>4696</v>
      </c>
      <c r="S309" s="7">
        <v>1948</v>
      </c>
      <c r="T309" s="7">
        <v>1298</v>
      </c>
      <c r="U309" s="7">
        <v>1135</v>
      </c>
      <c r="V309" s="7">
        <v>1152</v>
      </c>
      <c r="W309" s="7">
        <v>1149</v>
      </c>
      <c r="X309" s="7">
        <v>3727</v>
      </c>
      <c r="Y309" s="7">
        <v>2689</v>
      </c>
      <c r="Z309" s="7">
        <v>1707</v>
      </c>
      <c r="AA309" s="7">
        <v>5754</v>
      </c>
      <c r="AB309" s="7">
        <v>8073</v>
      </c>
      <c r="AC309" s="7">
        <v>2389</v>
      </c>
      <c r="AD309" s="7">
        <v>1681</v>
      </c>
      <c r="AE309" s="7">
        <v>2122</v>
      </c>
      <c r="AF309" s="7">
        <v>1865</v>
      </c>
      <c r="AG309" s="7">
        <v>3601</v>
      </c>
      <c r="AH309" s="7">
        <v>2237</v>
      </c>
      <c r="AI309" s="7">
        <v>327</v>
      </c>
      <c r="AJ309" s="7">
        <v>5149</v>
      </c>
      <c r="AK309" s="7">
        <v>2877</v>
      </c>
      <c r="AL309" s="7">
        <v>886</v>
      </c>
      <c r="AM309" s="7">
        <v>1835</v>
      </c>
      <c r="AN309" s="7">
        <v>602</v>
      </c>
      <c r="AO309" s="7">
        <v>3260</v>
      </c>
      <c r="AP309" s="7">
        <v>2098</v>
      </c>
      <c r="AQ309" s="7">
        <v>989</v>
      </c>
      <c r="AR309" s="7">
        <v>1854</v>
      </c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</row>
    <row r="310" spans="1:81">
      <c r="A310" s="1" t="s">
        <v>787</v>
      </c>
      <c r="B310" s="1" t="s">
        <v>788</v>
      </c>
      <c r="C310" s="1" t="s">
        <v>789</v>
      </c>
      <c r="D310" s="1" t="str">
        <f>HYPERLINK("http://eros.fiehnlab.ucdavis.edu:8080/binbase-compound/bin/show/273745?db=rtx5","273745")</f>
        <v>273745</v>
      </c>
      <c r="E310" s="1" t="s">
        <v>790</v>
      </c>
      <c r="F310" s="1" t="s">
        <v>0</v>
      </c>
      <c r="G310" s="1" t="s">
        <v>0</v>
      </c>
      <c r="H310" s="1"/>
      <c r="I310" s="7">
        <v>319</v>
      </c>
      <c r="J310" s="7">
        <v>213</v>
      </c>
      <c r="K310" s="7">
        <v>451</v>
      </c>
      <c r="L310" s="7">
        <v>484</v>
      </c>
      <c r="M310" s="7">
        <v>243</v>
      </c>
      <c r="N310" s="7">
        <v>53</v>
      </c>
      <c r="O310" s="7">
        <v>322</v>
      </c>
      <c r="P310" s="7">
        <v>342</v>
      </c>
      <c r="Q310" s="7">
        <v>210</v>
      </c>
      <c r="R310" s="7">
        <v>444</v>
      </c>
      <c r="S310" s="7">
        <v>266</v>
      </c>
      <c r="T310" s="7">
        <v>284</v>
      </c>
      <c r="U310" s="7">
        <v>253</v>
      </c>
      <c r="V310" s="7">
        <v>122</v>
      </c>
      <c r="W310" s="7">
        <v>113</v>
      </c>
      <c r="X310" s="7">
        <v>432</v>
      </c>
      <c r="Y310" s="7">
        <v>504</v>
      </c>
      <c r="Z310" s="7">
        <v>159</v>
      </c>
      <c r="AA310" s="7">
        <v>157</v>
      </c>
      <c r="AB310" s="7">
        <v>657</v>
      </c>
      <c r="AC310" s="7">
        <v>511</v>
      </c>
      <c r="AD310" s="7">
        <v>318</v>
      </c>
      <c r="AE310" s="7">
        <v>520</v>
      </c>
      <c r="AF310" s="7">
        <v>648</v>
      </c>
      <c r="AG310" s="7">
        <v>526</v>
      </c>
      <c r="AH310" s="7">
        <v>546</v>
      </c>
      <c r="AI310" s="7">
        <v>181</v>
      </c>
      <c r="AJ310" s="7">
        <v>537</v>
      </c>
      <c r="AK310" s="7">
        <v>650</v>
      </c>
      <c r="AL310" s="7">
        <v>198</v>
      </c>
      <c r="AM310" s="7">
        <v>663</v>
      </c>
      <c r="AN310" s="7">
        <v>261</v>
      </c>
      <c r="AO310" s="7">
        <v>649</v>
      </c>
      <c r="AP310" s="7">
        <v>658</v>
      </c>
      <c r="AQ310" s="7">
        <v>175</v>
      </c>
      <c r="AR310" s="7">
        <v>173</v>
      </c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</row>
    <row r="311" spans="1:81">
      <c r="A311" s="1" t="s">
        <v>765</v>
      </c>
      <c r="B311" s="1" t="s">
        <v>766</v>
      </c>
      <c r="C311" s="1" t="s">
        <v>767</v>
      </c>
      <c r="D311" s="1" t="str">
        <f>HYPERLINK("http://eros.fiehnlab.ucdavis.edu:8080/binbase-compound/bin/show/288810?db=rtx5","288810")</f>
        <v>288810</v>
      </c>
      <c r="E311" s="1" t="s">
        <v>768</v>
      </c>
      <c r="F311" s="1" t="s">
        <v>0</v>
      </c>
      <c r="G311" s="1" t="s">
        <v>0</v>
      </c>
      <c r="H311" s="1"/>
      <c r="I311" s="7">
        <v>478</v>
      </c>
      <c r="J311" s="7">
        <v>243</v>
      </c>
      <c r="K311" s="7">
        <v>588</v>
      </c>
      <c r="L311" s="7">
        <v>678</v>
      </c>
      <c r="M311" s="7">
        <v>397</v>
      </c>
      <c r="N311" s="7">
        <v>299</v>
      </c>
      <c r="O311" s="7">
        <v>425</v>
      </c>
      <c r="P311" s="7">
        <v>587</v>
      </c>
      <c r="Q311" s="7">
        <v>333</v>
      </c>
      <c r="R311" s="7">
        <v>464</v>
      </c>
      <c r="S311" s="7">
        <v>441</v>
      </c>
      <c r="T311" s="7">
        <v>274</v>
      </c>
      <c r="U311" s="7">
        <v>546</v>
      </c>
      <c r="V311" s="7">
        <v>435</v>
      </c>
      <c r="W311" s="7">
        <v>465</v>
      </c>
      <c r="X311" s="7">
        <v>726</v>
      </c>
      <c r="Y311" s="7">
        <v>723</v>
      </c>
      <c r="Z311" s="7">
        <v>351</v>
      </c>
      <c r="AA311" s="7">
        <v>492</v>
      </c>
      <c r="AB311" s="7">
        <v>893</v>
      </c>
      <c r="AC311" s="7">
        <v>1132</v>
      </c>
      <c r="AD311" s="7">
        <v>763</v>
      </c>
      <c r="AE311" s="7">
        <v>789</v>
      </c>
      <c r="AF311" s="7">
        <v>1068</v>
      </c>
      <c r="AG311" s="7">
        <v>403</v>
      </c>
      <c r="AH311" s="7">
        <v>790</v>
      </c>
      <c r="AI311" s="7">
        <v>276</v>
      </c>
      <c r="AJ311" s="7">
        <v>722</v>
      </c>
      <c r="AK311" s="7">
        <v>1091</v>
      </c>
      <c r="AL311" s="7">
        <v>340</v>
      </c>
      <c r="AM311" s="7">
        <v>509</v>
      </c>
      <c r="AN311" s="7">
        <v>285</v>
      </c>
      <c r="AO311" s="7">
        <v>960</v>
      </c>
      <c r="AP311" s="7">
        <v>612</v>
      </c>
      <c r="AQ311" s="7">
        <v>380</v>
      </c>
      <c r="AR311" s="7">
        <v>533</v>
      </c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</row>
    <row r="312" spans="1:81">
      <c r="A312" s="1" t="s">
        <v>1033</v>
      </c>
      <c r="B312" s="1" t="s">
        <v>1034</v>
      </c>
      <c r="C312" s="1" t="s">
        <v>117</v>
      </c>
      <c r="D312" s="1" t="str">
        <f>HYPERLINK("http://eros.fiehnlab.ucdavis.edu:8080/binbase-compound/bin/show/218798?db=rtx5","218798")</f>
        <v>218798</v>
      </c>
      <c r="E312" s="1" t="s">
        <v>1035</v>
      </c>
      <c r="F312" s="1" t="s">
        <v>0</v>
      </c>
      <c r="G312" s="1" t="s">
        <v>0</v>
      </c>
      <c r="H312" s="1"/>
      <c r="I312" s="7">
        <v>2892</v>
      </c>
      <c r="J312" s="7">
        <v>561</v>
      </c>
      <c r="K312" s="7">
        <v>664</v>
      </c>
      <c r="L312" s="7">
        <v>1613</v>
      </c>
      <c r="M312" s="7">
        <v>1033</v>
      </c>
      <c r="N312" s="7">
        <v>598</v>
      </c>
      <c r="O312" s="7">
        <v>1006</v>
      </c>
      <c r="P312" s="7">
        <v>2358</v>
      </c>
      <c r="Q312" s="7">
        <v>2011</v>
      </c>
      <c r="R312" s="7">
        <v>990</v>
      </c>
      <c r="S312" s="7">
        <v>892</v>
      </c>
      <c r="T312" s="7">
        <v>611</v>
      </c>
      <c r="U312" s="7">
        <v>5874</v>
      </c>
      <c r="V312" s="7">
        <v>1073</v>
      </c>
      <c r="W312" s="7">
        <v>964</v>
      </c>
      <c r="X312" s="7">
        <v>1351</v>
      </c>
      <c r="Y312" s="7">
        <v>1571</v>
      </c>
      <c r="Z312" s="7">
        <v>489</v>
      </c>
      <c r="AA312" s="7">
        <v>883</v>
      </c>
      <c r="AB312" s="7">
        <v>1438</v>
      </c>
      <c r="AC312" s="7">
        <v>2083</v>
      </c>
      <c r="AD312" s="7">
        <v>2176</v>
      </c>
      <c r="AE312" s="7">
        <v>2394</v>
      </c>
      <c r="AF312" s="7">
        <v>2245</v>
      </c>
      <c r="AG312" s="7">
        <v>1666</v>
      </c>
      <c r="AH312" s="7">
        <v>3364</v>
      </c>
      <c r="AI312" s="7">
        <v>597</v>
      </c>
      <c r="AJ312" s="7">
        <v>2530</v>
      </c>
      <c r="AK312" s="7">
        <v>3101</v>
      </c>
      <c r="AL312" s="7">
        <v>671</v>
      </c>
      <c r="AM312" s="7">
        <v>1456</v>
      </c>
      <c r="AN312" s="7">
        <v>421</v>
      </c>
      <c r="AO312" s="7">
        <v>1725</v>
      </c>
      <c r="AP312" s="7">
        <v>906</v>
      </c>
      <c r="AQ312" s="7">
        <v>642</v>
      </c>
      <c r="AR312" s="7">
        <v>806</v>
      </c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</row>
    <row r="313" spans="1:81">
      <c r="A313" s="1" t="s">
        <v>686</v>
      </c>
      <c r="B313" s="1" t="s">
        <v>687</v>
      </c>
      <c r="C313" s="1" t="s">
        <v>117</v>
      </c>
      <c r="D313" s="1" t="str">
        <f>HYPERLINK("http://eros.fiehnlab.ucdavis.edu:8080/binbase-compound/bin/show/356925?db=rtx5","356925")</f>
        <v>356925</v>
      </c>
      <c r="E313" s="1" t="s">
        <v>688</v>
      </c>
      <c r="F313" s="1" t="s">
        <v>0</v>
      </c>
      <c r="G313" s="1" t="s">
        <v>0</v>
      </c>
      <c r="H313" s="1"/>
      <c r="I313" s="7">
        <v>1412</v>
      </c>
      <c r="J313" s="7">
        <v>1081</v>
      </c>
      <c r="K313" s="7">
        <v>1476</v>
      </c>
      <c r="L313" s="7">
        <v>2099</v>
      </c>
      <c r="M313" s="7">
        <v>598</v>
      </c>
      <c r="N313" s="7">
        <v>618</v>
      </c>
      <c r="O313" s="7">
        <v>879</v>
      </c>
      <c r="P313" s="7">
        <v>1280</v>
      </c>
      <c r="Q313" s="7">
        <v>933</v>
      </c>
      <c r="R313" s="7">
        <v>1395</v>
      </c>
      <c r="S313" s="7">
        <v>1666</v>
      </c>
      <c r="T313" s="7">
        <v>1560</v>
      </c>
      <c r="U313" s="7">
        <v>885</v>
      </c>
      <c r="V313" s="7">
        <v>776</v>
      </c>
      <c r="W313" s="7">
        <v>851</v>
      </c>
      <c r="X313" s="7">
        <v>1891</v>
      </c>
      <c r="Y313" s="7">
        <v>2214</v>
      </c>
      <c r="Z313" s="7">
        <v>755</v>
      </c>
      <c r="AA313" s="7">
        <v>3052</v>
      </c>
      <c r="AB313" s="7">
        <v>1577</v>
      </c>
      <c r="AC313" s="7">
        <v>3939</v>
      </c>
      <c r="AD313" s="7">
        <v>3141</v>
      </c>
      <c r="AE313" s="7">
        <v>2797</v>
      </c>
      <c r="AF313" s="7">
        <v>1909</v>
      </c>
      <c r="AG313" s="7">
        <v>1079</v>
      </c>
      <c r="AH313" s="7">
        <v>2101</v>
      </c>
      <c r="AI313" s="7">
        <v>1017</v>
      </c>
      <c r="AJ313" s="7">
        <v>2315</v>
      </c>
      <c r="AK313" s="7">
        <v>2908</v>
      </c>
      <c r="AL313" s="7">
        <v>1820</v>
      </c>
      <c r="AM313" s="7">
        <v>1749</v>
      </c>
      <c r="AN313" s="7">
        <v>982</v>
      </c>
      <c r="AO313" s="7">
        <v>4570</v>
      </c>
      <c r="AP313" s="7">
        <v>2242</v>
      </c>
      <c r="AQ313" s="7">
        <v>1004</v>
      </c>
      <c r="AR313" s="7">
        <v>1120</v>
      </c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</row>
    <row r="314" spans="1:81">
      <c r="A314" s="1" t="s">
        <v>530</v>
      </c>
      <c r="B314" s="1" t="s">
        <v>531</v>
      </c>
      <c r="C314" s="1" t="s">
        <v>167</v>
      </c>
      <c r="D314" s="1" t="str">
        <f>HYPERLINK("http://eros.fiehnlab.ucdavis.edu:8080/binbase-compound/bin/show/409593?db=rtx5","409593")</f>
        <v>409593</v>
      </c>
      <c r="E314" s="1" t="s">
        <v>532</v>
      </c>
      <c r="F314" s="1" t="s">
        <v>0</v>
      </c>
      <c r="G314" s="1" t="s">
        <v>0</v>
      </c>
      <c r="H314" s="1"/>
      <c r="I314" s="7">
        <v>2403</v>
      </c>
      <c r="J314" s="7">
        <v>4544</v>
      </c>
      <c r="K314" s="7">
        <v>914</v>
      </c>
      <c r="L314" s="7">
        <v>3248</v>
      </c>
      <c r="M314" s="7">
        <v>3509</v>
      </c>
      <c r="N314" s="7">
        <v>2020</v>
      </c>
      <c r="O314" s="7">
        <v>2330</v>
      </c>
      <c r="P314" s="7">
        <v>1892</v>
      </c>
      <c r="Q314" s="7">
        <v>4176</v>
      </c>
      <c r="R314" s="7">
        <v>671</v>
      </c>
      <c r="S314" s="7">
        <v>3410</v>
      </c>
      <c r="T314" s="7">
        <v>2300</v>
      </c>
      <c r="U314" s="7">
        <v>779</v>
      </c>
      <c r="V314" s="7">
        <v>2704</v>
      </c>
      <c r="W314" s="7">
        <v>5609</v>
      </c>
      <c r="X314" s="7">
        <v>2551</v>
      </c>
      <c r="Y314" s="7">
        <v>903</v>
      </c>
      <c r="Z314" s="7">
        <v>2849</v>
      </c>
      <c r="AA314" s="7">
        <v>536</v>
      </c>
      <c r="AB314" s="7">
        <v>1748</v>
      </c>
      <c r="AC314" s="7">
        <v>833</v>
      </c>
      <c r="AD314" s="7">
        <v>528</v>
      </c>
      <c r="AE314" s="7">
        <v>4116</v>
      </c>
      <c r="AF314" s="7">
        <v>885</v>
      </c>
      <c r="AG314" s="7">
        <v>1781</v>
      </c>
      <c r="AH314" s="7">
        <v>756</v>
      </c>
      <c r="AI314" s="7">
        <v>2011</v>
      </c>
      <c r="AJ314" s="7">
        <v>2047</v>
      </c>
      <c r="AK314" s="7">
        <v>1903</v>
      </c>
      <c r="AL314" s="7">
        <v>4728</v>
      </c>
      <c r="AM314" s="7">
        <v>928</v>
      </c>
      <c r="AN314" s="7">
        <v>1963</v>
      </c>
      <c r="AO314" s="7">
        <v>733</v>
      </c>
      <c r="AP314" s="7">
        <v>1144</v>
      </c>
      <c r="AQ314" s="7">
        <v>6003</v>
      </c>
      <c r="AR314" s="7">
        <v>2243</v>
      </c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</row>
    <row r="315" spans="1:81">
      <c r="A315" s="1" t="s">
        <v>676</v>
      </c>
      <c r="B315" s="1" t="s">
        <v>677</v>
      </c>
      <c r="C315" s="1" t="s">
        <v>152</v>
      </c>
      <c r="D315" s="1" t="str">
        <f>HYPERLINK("http://eros.fiehnlab.ucdavis.edu:8080/binbase-compound/bin/show/357010?db=rtx5","357010")</f>
        <v>357010</v>
      </c>
      <c r="E315" s="1" t="s">
        <v>678</v>
      </c>
      <c r="F315" s="1" t="s">
        <v>0</v>
      </c>
      <c r="G315" s="1" t="s">
        <v>0</v>
      </c>
      <c r="H315" s="1"/>
      <c r="I315" s="7">
        <v>535</v>
      </c>
      <c r="J315" s="7">
        <v>345</v>
      </c>
      <c r="K315" s="7">
        <v>1131</v>
      </c>
      <c r="L315" s="7">
        <v>1094</v>
      </c>
      <c r="M315" s="7">
        <v>339</v>
      </c>
      <c r="N315" s="7">
        <v>298</v>
      </c>
      <c r="O315" s="7">
        <v>393</v>
      </c>
      <c r="P315" s="7">
        <v>1333</v>
      </c>
      <c r="Q315" s="7">
        <v>545</v>
      </c>
      <c r="R315" s="7">
        <v>823</v>
      </c>
      <c r="S315" s="7">
        <v>568</v>
      </c>
      <c r="T315" s="7">
        <v>338</v>
      </c>
      <c r="U315" s="7">
        <v>939</v>
      </c>
      <c r="V315" s="7">
        <v>872</v>
      </c>
      <c r="W315" s="7">
        <v>735</v>
      </c>
      <c r="X315" s="7">
        <v>1098</v>
      </c>
      <c r="Y315" s="7">
        <v>1251</v>
      </c>
      <c r="Z315" s="7">
        <v>479</v>
      </c>
      <c r="AA315" s="7">
        <v>1007</v>
      </c>
      <c r="AB315" s="7">
        <v>1068</v>
      </c>
      <c r="AC315" s="7">
        <v>1315</v>
      </c>
      <c r="AD315" s="7">
        <v>1348</v>
      </c>
      <c r="AE315" s="7">
        <v>828</v>
      </c>
      <c r="AF315" s="7">
        <v>1116</v>
      </c>
      <c r="AG315" s="7">
        <v>781</v>
      </c>
      <c r="AH315" s="7">
        <v>1513</v>
      </c>
      <c r="AI315" s="7">
        <v>570</v>
      </c>
      <c r="AJ315" s="7">
        <v>1407</v>
      </c>
      <c r="AK315" s="7">
        <v>1505</v>
      </c>
      <c r="AL315" s="7">
        <v>454</v>
      </c>
      <c r="AM315" s="7">
        <v>1336</v>
      </c>
      <c r="AN315" s="7">
        <v>513</v>
      </c>
      <c r="AO315" s="7">
        <v>1669</v>
      </c>
      <c r="AP315" s="7">
        <v>1422</v>
      </c>
      <c r="AQ315" s="7">
        <v>414</v>
      </c>
      <c r="AR315" s="7">
        <v>821</v>
      </c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</row>
    <row r="316" spans="1:81">
      <c r="A316" s="1" t="s">
        <v>837</v>
      </c>
      <c r="B316" s="1" t="s">
        <v>838</v>
      </c>
      <c r="C316" s="1" t="s">
        <v>389</v>
      </c>
      <c r="D316" s="1" t="str">
        <f>HYPERLINK("http://eros.fiehnlab.ucdavis.edu:8080/binbase-compound/bin/show/267742?db=rtx5","267742")</f>
        <v>267742</v>
      </c>
      <c r="E316" s="1" t="s">
        <v>839</v>
      </c>
      <c r="F316" s="1" t="s">
        <v>0</v>
      </c>
      <c r="G316" s="1" t="s">
        <v>0</v>
      </c>
      <c r="H316" s="1"/>
      <c r="I316" s="7">
        <v>1333</v>
      </c>
      <c r="J316" s="7">
        <v>1214</v>
      </c>
      <c r="K316" s="7">
        <v>2121</v>
      </c>
      <c r="L316" s="7">
        <v>3409</v>
      </c>
      <c r="M316" s="7">
        <v>2889</v>
      </c>
      <c r="N316" s="7">
        <v>1109</v>
      </c>
      <c r="O316" s="7">
        <v>564</v>
      </c>
      <c r="P316" s="7">
        <v>2443</v>
      </c>
      <c r="Q316" s="7">
        <v>4968</v>
      </c>
      <c r="R316" s="7">
        <v>1702</v>
      </c>
      <c r="S316" s="7">
        <v>5255</v>
      </c>
      <c r="T316" s="7">
        <v>4855</v>
      </c>
      <c r="U316" s="7">
        <v>4820</v>
      </c>
      <c r="V316" s="7">
        <v>1983</v>
      </c>
      <c r="W316" s="7">
        <v>1910</v>
      </c>
      <c r="X316" s="7">
        <v>3707</v>
      </c>
      <c r="Y316" s="7">
        <v>4559</v>
      </c>
      <c r="Z316" s="7">
        <v>764</v>
      </c>
      <c r="AA316" s="7">
        <v>3945</v>
      </c>
      <c r="AB316" s="7">
        <v>6350</v>
      </c>
      <c r="AC316" s="7">
        <v>8098</v>
      </c>
      <c r="AD316" s="7">
        <v>10574</v>
      </c>
      <c r="AE316" s="7">
        <v>6031</v>
      </c>
      <c r="AF316" s="7">
        <v>10951</v>
      </c>
      <c r="AG316" s="7">
        <v>8868</v>
      </c>
      <c r="AH316" s="7">
        <v>13970</v>
      </c>
      <c r="AI316" s="7">
        <v>1428</v>
      </c>
      <c r="AJ316" s="7">
        <v>9793</v>
      </c>
      <c r="AK316" s="7">
        <v>9188</v>
      </c>
      <c r="AL316" s="7">
        <v>2199</v>
      </c>
      <c r="AM316" s="7">
        <v>5701</v>
      </c>
      <c r="AN316" s="7">
        <v>1800</v>
      </c>
      <c r="AO316" s="7">
        <v>7929</v>
      </c>
      <c r="AP316" s="7">
        <v>7697</v>
      </c>
      <c r="AQ316" s="7">
        <v>1644</v>
      </c>
      <c r="AR316" s="7">
        <v>4484</v>
      </c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</row>
    <row r="317" spans="1:81">
      <c r="A317" s="1" t="s">
        <v>1117</v>
      </c>
      <c r="B317" s="1" t="s">
        <v>1118</v>
      </c>
      <c r="C317" s="1" t="s">
        <v>203</v>
      </c>
      <c r="D317" s="1" t="str">
        <f>HYPERLINK("http://eros.fiehnlab.ucdavis.edu:8080/binbase-compound/bin/show/202066?db=rtx5","202066")</f>
        <v>202066</v>
      </c>
      <c r="E317" s="1" t="s">
        <v>1119</v>
      </c>
      <c r="F317" s="1" t="s">
        <v>0</v>
      </c>
      <c r="G317" s="1" t="s">
        <v>0</v>
      </c>
      <c r="H317" s="1"/>
      <c r="I317" s="7">
        <v>6608</v>
      </c>
      <c r="J317" s="7">
        <v>1186</v>
      </c>
      <c r="K317" s="7">
        <v>6292</v>
      </c>
      <c r="L317" s="7">
        <v>40979</v>
      </c>
      <c r="M317" s="7">
        <v>3587</v>
      </c>
      <c r="N317" s="7">
        <v>1255</v>
      </c>
      <c r="O317" s="7">
        <v>6737</v>
      </c>
      <c r="P317" s="7">
        <v>10541</v>
      </c>
      <c r="Q317" s="7">
        <v>6163</v>
      </c>
      <c r="R317" s="7">
        <v>6728</v>
      </c>
      <c r="S317" s="7">
        <v>1327</v>
      </c>
      <c r="T317" s="7">
        <v>5597</v>
      </c>
      <c r="U317" s="7">
        <v>5694</v>
      </c>
      <c r="V317" s="7">
        <v>2545</v>
      </c>
      <c r="W317" s="7">
        <v>4188</v>
      </c>
      <c r="X317" s="7">
        <v>6636</v>
      </c>
      <c r="Y317" s="7">
        <v>19119</v>
      </c>
      <c r="Z317" s="7">
        <v>2990</v>
      </c>
      <c r="AA317" s="7">
        <v>6717</v>
      </c>
      <c r="AB317" s="7">
        <v>29522</v>
      </c>
      <c r="AC317" s="7">
        <v>9910</v>
      </c>
      <c r="AD317" s="7">
        <v>8463</v>
      </c>
      <c r="AE317" s="7">
        <v>8583</v>
      </c>
      <c r="AF317" s="7">
        <v>5532</v>
      </c>
      <c r="AG317" s="7">
        <v>9702</v>
      </c>
      <c r="AH317" s="7">
        <v>6753</v>
      </c>
      <c r="AI317" s="7">
        <v>1352</v>
      </c>
      <c r="AJ317" s="7">
        <v>12489</v>
      </c>
      <c r="AK317" s="7">
        <v>23276</v>
      </c>
      <c r="AL317" s="7">
        <v>4415</v>
      </c>
      <c r="AM317" s="7">
        <v>12351</v>
      </c>
      <c r="AN317" s="7">
        <v>3458</v>
      </c>
      <c r="AO317" s="7">
        <v>9642</v>
      </c>
      <c r="AP317" s="7">
        <v>11763</v>
      </c>
      <c r="AQ317" s="7">
        <v>1927</v>
      </c>
      <c r="AR317" s="7">
        <v>8701</v>
      </c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</row>
    <row r="318" spans="1:81">
      <c r="A318" s="1" t="s">
        <v>582</v>
      </c>
      <c r="B318" s="1" t="s">
        <v>583</v>
      </c>
      <c r="C318" s="1" t="s">
        <v>584</v>
      </c>
      <c r="D318" s="1" t="str">
        <f>HYPERLINK("http://eros.fiehnlab.ucdavis.edu:8080/binbase-compound/bin/show/408790?db=rtx5","408790")</f>
        <v>408790</v>
      </c>
      <c r="E318" s="1" t="s">
        <v>585</v>
      </c>
      <c r="F318" s="1" t="s">
        <v>0</v>
      </c>
      <c r="G318" s="1" t="s">
        <v>0</v>
      </c>
      <c r="H318" s="1"/>
      <c r="I318" s="7">
        <v>1096</v>
      </c>
      <c r="J318" s="7">
        <v>3392</v>
      </c>
      <c r="K318" s="7">
        <v>984</v>
      </c>
      <c r="L318" s="7">
        <v>785</v>
      </c>
      <c r="M318" s="7">
        <v>1675</v>
      </c>
      <c r="N318" s="7">
        <v>2076</v>
      </c>
      <c r="O318" s="7">
        <v>1789</v>
      </c>
      <c r="P318" s="7">
        <v>1089</v>
      </c>
      <c r="Q318" s="7">
        <v>1984</v>
      </c>
      <c r="R318" s="7">
        <v>1083</v>
      </c>
      <c r="S318" s="7">
        <v>1642</v>
      </c>
      <c r="T318" s="7">
        <v>1641</v>
      </c>
      <c r="U318" s="7">
        <v>694</v>
      </c>
      <c r="V318" s="7">
        <v>1739</v>
      </c>
      <c r="W318" s="7">
        <v>2483</v>
      </c>
      <c r="X318" s="7">
        <v>946</v>
      </c>
      <c r="Y318" s="7">
        <v>496</v>
      </c>
      <c r="Z318" s="7">
        <v>2477</v>
      </c>
      <c r="AA318" s="7">
        <v>2241</v>
      </c>
      <c r="AB318" s="7">
        <v>617</v>
      </c>
      <c r="AC318" s="7">
        <v>524</v>
      </c>
      <c r="AD318" s="7">
        <v>416</v>
      </c>
      <c r="AE318" s="7">
        <v>801</v>
      </c>
      <c r="AF318" s="7">
        <v>820</v>
      </c>
      <c r="AG318" s="7">
        <v>1147</v>
      </c>
      <c r="AH318" s="7">
        <v>186</v>
      </c>
      <c r="AI318" s="7">
        <v>1816</v>
      </c>
      <c r="AJ318" s="7">
        <v>718</v>
      </c>
      <c r="AK318" s="7">
        <v>510</v>
      </c>
      <c r="AL318" s="7">
        <v>2448</v>
      </c>
      <c r="AM318" s="7">
        <v>940</v>
      </c>
      <c r="AN318" s="7">
        <v>2562</v>
      </c>
      <c r="AO318" s="7">
        <v>447</v>
      </c>
      <c r="AP318" s="7">
        <v>621</v>
      </c>
      <c r="AQ318" s="7">
        <v>3197</v>
      </c>
      <c r="AR318" s="7">
        <v>781</v>
      </c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</row>
    <row r="319" spans="1:81">
      <c r="A319" s="1" t="s">
        <v>805</v>
      </c>
      <c r="B319" s="1" t="s">
        <v>806</v>
      </c>
      <c r="C319" s="1" t="s">
        <v>622</v>
      </c>
      <c r="D319" s="1" t="str">
        <f>HYPERLINK("http://eros.fiehnlab.ucdavis.edu:8080/binbase-compound/bin/show/269331?db=rtx5","269331")</f>
        <v>269331</v>
      </c>
      <c r="E319" s="1" t="s">
        <v>807</v>
      </c>
      <c r="F319" s="1" t="s">
        <v>0</v>
      </c>
      <c r="G319" s="1" t="s">
        <v>0</v>
      </c>
      <c r="H319" s="1"/>
      <c r="I319" s="7">
        <v>592</v>
      </c>
      <c r="J319" s="7">
        <v>440</v>
      </c>
      <c r="K319" s="7">
        <v>792</v>
      </c>
      <c r="L319" s="7">
        <v>972</v>
      </c>
      <c r="M319" s="7">
        <v>692</v>
      </c>
      <c r="N319" s="7">
        <v>586</v>
      </c>
      <c r="O319" s="7">
        <v>657</v>
      </c>
      <c r="P319" s="7">
        <v>1085</v>
      </c>
      <c r="Q319" s="7">
        <v>683</v>
      </c>
      <c r="R319" s="7">
        <v>1141</v>
      </c>
      <c r="S319" s="7">
        <v>876</v>
      </c>
      <c r="T319" s="7">
        <v>3563</v>
      </c>
      <c r="U319" s="7">
        <v>685</v>
      </c>
      <c r="V319" s="7">
        <v>858</v>
      </c>
      <c r="W319" s="7">
        <v>682</v>
      </c>
      <c r="X319" s="7">
        <v>1109</v>
      </c>
      <c r="Y319" s="7">
        <v>1098</v>
      </c>
      <c r="Z319" s="7">
        <v>508</v>
      </c>
      <c r="AA319" s="7">
        <v>737</v>
      </c>
      <c r="AB319" s="7">
        <v>1228</v>
      </c>
      <c r="AC319" s="7">
        <v>1141</v>
      </c>
      <c r="AD319" s="7">
        <v>1324</v>
      </c>
      <c r="AE319" s="7">
        <v>822</v>
      </c>
      <c r="AF319" s="7">
        <v>866</v>
      </c>
      <c r="AG319" s="7">
        <v>1447</v>
      </c>
      <c r="AH319" s="7">
        <v>1317</v>
      </c>
      <c r="AI319" s="7">
        <v>713</v>
      </c>
      <c r="AJ319" s="7">
        <v>1293</v>
      </c>
      <c r="AK319" s="7">
        <v>1624</v>
      </c>
      <c r="AL319" s="7">
        <v>718</v>
      </c>
      <c r="AM319" s="7">
        <v>1497</v>
      </c>
      <c r="AN319" s="7">
        <v>529</v>
      </c>
      <c r="AO319" s="7">
        <v>1303</v>
      </c>
      <c r="AP319" s="7">
        <v>1402</v>
      </c>
      <c r="AQ319" s="7">
        <v>474</v>
      </c>
      <c r="AR319" s="7">
        <v>1058</v>
      </c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</row>
    <row r="320" spans="1:81">
      <c r="A320" s="1" t="s">
        <v>679</v>
      </c>
      <c r="B320" s="1" t="s">
        <v>680</v>
      </c>
      <c r="C320" s="1" t="s">
        <v>606</v>
      </c>
      <c r="D320" s="1" t="str">
        <f>HYPERLINK("http://eros.fiehnlab.ucdavis.edu:8080/binbase-compound/bin/show/356985?db=rtx5","356985")</f>
        <v>356985</v>
      </c>
      <c r="E320" s="1" t="s">
        <v>681</v>
      </c>
      <c r="F320" s="1" t="s">
        <v>0</v>
      </c>
      <c r="G320" s="1" t="s">
        <v>0</v>
      </c>
      <c r="H320" s="1"/>
      <c r="I320" s="7">
        <v>4123</v>
      </c>
      <c r="J320" s="7">
        <v>2326</v>
      </c>
      <c r="K320" s="7">
        <v>4750</v>
      </c>
      <c r="L320" s="7">
        <v>872</v>
      </c>
      <c r="M320" s="7">
        <v>4063</v>
      </c>
      <c r="N320" s="7">
        <v>3545</v>
      </c>
      <c r="O320" s="7">
        <v>3194</v>
      </c>
      <c r="P320" s="7">
        <v>2194</v>
      </c>
      <c r="Q320" s="7">
        <v>2444</v>
      </c>
      <c r="R320" s="7">
        <v>4052</v>
      </c>
      <c r="S320" s="7">
        <v>3487</v>
      </c>
      <c r="T320" s="7">
        <v>4024</v>
      </c>
      <c r="U320" s="7">
        <v>4714</v>
      </c>
      <c r="V320" s="7">
        <v>5469</v>
      </c>
      <c r="W320" s="7">
        <v>5481</v>
      </c>
      <c r="X320" s="7">
        <v>2523</v>
      </c>
      <c r="Y320" s="7">
        <v>9440</v>
      </c>
      <c r="Z320" s="7">
        <v>3127</v>
      </c>
      <c r="AA320" s="7">
        <v>2729</v>
      </c>
      <c r="AB320" s="7">
        <v>3452</v>
      </c>
      <c r="AC320" s="7">
        <v>1603</v>
      </c>
      <c r="AD320" s="7">
        <v>3754</v>
      </c>
      <c r="AE320" s="7">
        <v>4411</v>
      </c>
      <c r="AF320" s="7">
        <v>9369</v>
      </c>
      <c r="AG320" s="7">
        <v>4385</v>
      </c>
      <c r="AH320" s="7">
        <v>2708</v>
      </c>
      <c r="AI320" s="7">
        <v>1522</v>
      </c>
      <c r="AJ320" s="7">
        <v>4006</v>
      </c>
      <c r="AK320" s="7">
        <v>2096</v>
      </c>
      <c r="AL320" s="7">
        <v>2744</v>
      </c>
      <c r="AM320" s="7">
        <v>3248</v>
      </c>
      <c r="AN320" s="7">
        <v>3495</v>
      </c>
      <c r="AO320" s="7">
        <v>2462</v>
      </c>
      <c r="AP320" s="7">
        <v>2954</v>
      </c>
      <c r="AQ320" s="7">
        <v>3415</v>
      </c>
      <c r="AR320" s="7">
        <v>3349</v>
      </c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</row>
    <row r="321" spans="1:81">
      <c r="A321" s="1" t="s">
        <v>732</v>
      </c>
      <c r="B321" s="1" t="s">
        <v>733</v>
      </c>
      <c r="C321" s="1" t="s">
        <v>635</v>
      </c>
      <c r="D321" s="1" t="str">
        <f>HYPERLINK("http://eros.fiehnlab.ucdavis.edu:8080/binbase-compound/bin/show/301584?db=rtx5","301584")</f>
        <v>301584</v>
      </c>
      <c r="E321" s="1" t="s">
        <v>734</v>
      </c>
      <c r="F321" s="1" t="s">
        <v>0</v>
      </c>
      <c r="G321" s="1" t="s">
        <v>0</v>
      </c>
      <c r="H321" s="1"/>
      <c r="I321" s="7">
        <v>246</v>
      </c>
      <c r="J321" s="7">
        <v>265</v>
      </c>
      <c r="K321" s="7">
        <v>1202</v>
      </c>
      <c r="L321" s="7">
        <v>1038</v>
      </c>
      <c r="M321" s="7">
        <v>749</v>
      </c>
      <c r="N321" s="7">
        <v>495</v>
      </c>
      <c r="O321" s="7">
        <v>231</v>
      </c>
      <c r="P321" s="7">
        <v>1058</v>
      </c>
      <c r="Q321" s="7">
        <v>302</v>
      </c>
      <c r="R321" s="7">
        <v>1304</v>
      </c>
      <c r="S321" s="7">
        <v>850</v>
      </c>
      <c r="T321" s="7">
        <v>489</v>
      </c>
      <c r="U321" s="7">
        <v>890</v>
      </c>
      <c r="V321" s="7">
        <v>421</v>
      </c>
      <c r="W321" s="7">
        <v>220</v>
      </c>
      <c r="X321" s="7">
        <v>149</v>
      </c>
      <c r="Y321" s="7">
        <v>1333</v>
      </c>
      <c r="Z321" s="7">
        <v>445</v>
      </c>
      <c r="AA321" s="7">
        <v>710</v>
      </c>
      <c r="AB321" s="7">
        <v>1558</v>
      </c>
      <c r="AC321" s="7">
        <v>313</v>
      </c>
      <c r="AD321" s="7">
        <v>800</v>
      </c>
      <c r="AE321" s="7">
        <v>274</v>
      </c>
      <c r="AF321" s="7">
        <v>757</v>
      </c>
      <c r="AG321" s="7">
        <v>558</v>
      </c>
      <c r="AH321" s="7">
        <v>1794</v>
      </c>
      <c r="AI321" s="7">
        <v>528</v>
      </c>
      <c r="AJ321" s="7">
        <v>1427</v>
      </c>
      <c r="AK321" s="7">
        <v>1965</v>
      </c>
      <c r="AL321" s="7">
        <v>436</v>
      </c>
      <c r="AM321" s="7">
        <v>1107</v>
      </c>
      <c r="AN321" s="7">
        <v>611</v>
      </c>
      <c r="AO321" s="7">
        <v>1581</v>
      </c>
      <c r="AP321" s="7">
        <v>1158</v>
      </c>
      <c r="AQ321" s="7">
        <v>346</v>
      </c>
      <c r="AR321" s="7">
        <v>986</v>
      </c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</row>
    <row r="322" spans="1:81">
      <c r="A322" s="1" t="s">
        <v>935</v>
      </c>
      <c r="B322" s="1" t="s">
        <v>936</v>
      </c>
      <c r="C322" s="1" t="s">
        <v>773</v>
      </c>
      <c r="D322" s="1" t="str">
        <f>HYPERLINK("http://eros.fiehnlab.ucdavis.edu:8080/binbase-compound/bin/show/235327?db=rtx5","235327")</f>
        <v>235327</v>
      </c>
      <c r="E322" s="1" t="s">
        <v>937</v>
      </c>
      <c r="F322" s="1" t="s">
        <v>0</v>
      </c>
      <c r="G322" s="1" t="s">
        <v>0</v>
      </c>
      <c r="H322" s="1"/>
      <c r="I322" s="7">
        <v>2217</v>
      </c>
      <c r="J322" s="7">
        <v>1832</v>
      </c>
      <c r="K322" s="7">
        <v>6406</v>
      </c>
      <c r="L322" s="7">
        <v>2605</v>
      </c>
      <c r="M322" s="7">
        <v>3801</v>
      </c>
      <c r="N322" s="7">
        <v>2773</v>
      </c>
      <c r="O322" s="7">
        <v>4087</v>
      </c>
      <c r="P322" s="7">
        <v>2021</v>
      </c>
      <c r="Q322" s="7">
        <v>618</v>
      </c>
      <c r="R322" s="7">
        <v>2232</v>
      </c>
      <c r="S322" s="7">
        <v>1368</v>
      </c>
      <c r="T322" s="7">
        <v>2941</v>
      </c>
      <c r="U322" s="7">
        <v>4473</v>
      </c>
      <c r="V322" s="7">
        <v>4422</v>
      </c>
      <c r="W322" s="7">
        <v>3166</v>
      </c>
      <c r="X322" s="7">
        <v>5578</v>
      </c>
      <c r="Y322" s="7">
        <v>9344</v>
      </c>
      <c r="Z322" s="7">
        <v>2476</v>
      </c>
      <c r="AA322" s="7">
        <v>517</v>
      </c>
      <c r="AB322" s="7">
        <v>2487</v>
      </c>
      <c r="AC322" s="7">
        <v>9482</v>
      </c>
      <c r="AD322" s="7">
        <v>6820</v>
      </c>
      <c r="AE322" s="7">
        <v>6866</v>
      </c>
      <c r="AF322" s="7">
        <v>7680</v>
      </c>
      <c r="AG322" s="7">
        <v>2114</v>
      </c>
      <c r="AH322" s="7">
        <v>7910</v>
      </c>
      <c r="AI322" s="7">
        <v>3377</v>
      </c>
      <c r="AJ322" s="7">
        <v>8588</v>
      </c>
      <c r="AK322" s="7">
        <v>3792</v>
      </c>
      <c r="AL322" s="7">
        <v>608</v>
      </c>
      <c r="AM322" s="7">
        <v>7869</v>
      </c>
      <c r="AN322" s="7">
        <v>3092</v>
      </c>
      <c r="AO322" s="7">
        <v>2706</v>
      </c>
      <c r="AP322" s="7">
        <v>8457</v>
      </c>
      <c r="AQ322" s="7">
        <v>888</v>
      </c>
      <c r="AR322" s="7">
        <v>7065</v>
      </c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</row>
    <row r="323" spans="1:81">
      <c r="A323" s="1" t="s">
        <v>962</v>
      </c>
      <c r="B323" s="1" t="s">
        <v>963</v>
      </c>
      <c r="C323" s="1" t="s">
        <v>398</v>
      </c>
      <c r="D323" s="1" t="str">
        <f>HYPERLINK("http://eros.fiehnlab.ucdavis.edu:8080/binbase-compound/bin/show/231796?db=rtx5","231796")</f>
        <v>231796</v>
      </c>
      <c r="E323" s="1" t="s">
        <v>964</v>
      </c>
      <c r="F323" s="1" t="s">
        <v>0</v>
      </c>
      <c r="G323" s="1" t="s">
        <v>0</v>
      </c>
      <c r="H323" s="1"/>
      <c r="I323" s="7">
        <v>3179</v>
      </c>
      <c r="J323" s="7">
        <v>5960</v>
      </c>
      <c r="K323" s="7">
        <v>2393</v>
      </c>
      <c r="L323" s="7">
        <v>2598</v>
      </c>
      <c r="M323" s="7">
        <v>3939</v>
      </c>
      <c r="N323" s="7">
        <v>4195</v>
      </c>
      <c r="O323" s="7">
        <v>4690</v>
      </c>
      <c r="P323" s="7">
        <v>3298</v>
      </c>
      <c r="Q323" s="7">
        <v>4271</v>
      </c>
      <c r="R323" s="7">
        <v>3342</v>
      </c>
      <c r="S323" s="7">
        <v>5068</v>
      </c>
      <c r="T323" s="7">
        <v>4284</v>
      </c>
      <c r="U323" s="7">
        <v>1935</v>
      </c>
      <c r="V323" s="7">
        <v>4110</v>
      </c>
      <c r="W323" s="7">
        <v>4383</v>
      </c>
      <c r="X323" s="7">
        <v>2965</v>
      </c>
      <c r="Y323" s="7">
        <v>2292</v>
      </c>
      <c r="Z323" s="7">
        <v>4609</v>
      </c>
      <c r="AA323" s="7">
        <v>4511</v>
      </c>
      <c r="AB323" s="7">
        <v>2622</v>
      </c>
      <c r="AC323" s="7">
        <v>2298</v>
      </c>
      <c r="AD323" s="7">
        <v>2746</v>
      </c>
      <c r="AE323" s="7">
        <v>3989</v>
      </c>
      <c r="AF323" s="7">
        <v>2960</v>
      </c>
      <c r="AG323" s="7">
        <v>4812</v>
      </c>
      <c r="AH323" s="7">
        <v>2910</v>
      </c>
      <c r="AI323" s="7">
        <v>3857</v>
      </c>
      <c r="AJ323" s="7">
        <v>3220</v>
      </c>
      <c r="AK323" s="7">
        <v>3949</v>
      </c>
      <c r="AL323" s="7">
        <v>5672</v>
      </c>
      <c r="AM323" s="7">
        <v>4900</v>
      </c>
      <c r="AN323" s="7">
        <v>5085</v>
      </c>
      <c r="AO323" s="7">
        <v>4447</v>
      </c>
      <c r="AP323" s="7">
        <v>6231</v>
      </c>
      <c r="AQ323" s="7">
        <v>6508</v>
      </c>
      <c r="AR323" s="7">
        <v>3621</v>
      </c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</row>
  </sheetData>
  <sortState columnSort="1" ref="I1:AR323">
    <sortCondition ref="I4:AR4"/>
    <sortCondition ref="I1:A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norm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Ms X</cp:lastModifiedBy>
  <dcterms:created xsi:type="dcterms:W3CDTF">2011-10-27T03:35:52Z</dcterms:created>
  <dcterms:modified xsi:type="dcterms:W3CDTF">2011-10-28T17:23:28Z</dcterms:modified>
</cp:coreProperties>
</file>