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activeTab="1"/>
  </bookViews>
  <sheets>
    <sheet name="raw data" sheetId="3" r:id="rId1"/>
    <sheet name="norm data" sheetId="5" r:id="rId2"/>
  </sheets>
  <calcPr calcId="125725"/>
</workbook>
</file>

<file path=xl/calcChain.xml><?xml version="1.0" encoding="utf-8"?>
<calcChain xmlns="http://schemas.openxmlformats.org/spreadsheetml/2006/main">
  <c r="D335" i="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G138"/>
  <c r="F138"/>
  <c r="D138"/>
  <c r="G137"/>
  <c r="F137"/>
  <c r="D137"/>
  <c r="G136"/>
  <c r="F136"/>
  <c r="D136"/>
  <c r="G135"/>
  <c r="F135"/>
  <c r="D135"/>
  <c r="G134"/>
  <c r="F134"/>
  <c r="D134"/>
  <c r="G133"/>
  <c r="F133"/>
  <c r="D133"/>
  <c r="G132"/>
  <c r="F132"/>
  <c r="D132"/>
  <c r="G131"/>
  <c r="F131"/>
  <c r="D131"/>
  <c r="G130"/>
  <c r="F130"/>
  <c r="D130"/>
  <c r="G129"/>
  <c r="F129"/>
  <c r="D129"/>
  <c r="G128"/>
  <c r="F128"/>
  <c r="D128"/>
  <c r="G127"/>
  <c r="F127"/>
  <c r="D127"/>
  <c r="G126"/>
  <c r="F126"/>
  <c r="D126"/>
  <c r="G125"/>
  <c r="F125"/>
  <c r="D125"/>
  <c r="G124"/>
  <c r="F124"/>
  <c r="D124"/>
  <c r="D123"/>
  <c r="G122"/>
  <c r="F122"/>
  <c r="D122"/>
  <c r="G121"/>
  <c r="F121"/>
  <c r="D121"/>
  <c r="G120"/>
  <c r="F120"/>
  <c r="D120"/>
  <c r="G119"/>
  <c r="F119"/>
  <c r="D119"/>
  <c r="G118"/>
  <c r="F118"/>
  <c r="D118"/>
  <c r="G117"/>
  <c r="F117"/>
  <c r="D117"/>
  <c r="G116"/>
  <c r="F116"/>
  <c r="D116"/>
  <c r="G115"/>
  <c r="F115"/>
  <c r="D115"/>
  <c r="G114"/>
  <c r="F114"/>
  <c r="D114"/>
  <c r="D113"/>
  <c r="G112"/>
  <c r="F112"/>
  <c r="D112"/>
  <c r="G111"/>
  <c r="F111"/>
  <c r="D111"/>
  <c r="G110"/>
  <c r="F110"/>
  <c r="D110"/>
  <c r="G109"/>
  <c r="F109"/>
  <c r="D109"/>
  <c r="G108"/>
  <c r="F108"/>
  <c r="D108"/>
  <c r="G107"/>
  <c r="F107"/>
  <c r="D107"/>
  <c r="G106"/>
  <c r="F106"/>
  <c r="D106"/>
  <c r="G105"/>
  <c r="F105"/>
  <c r="D105"/>
  <c r="G104"/>
  <c r="F104"/>
  <c r="D104"/>
  <c r="G103"/>
  <c r="F103"/>
  <c r="D103"/>
  <c r="G102"/>
  <c r="F102"/>
  <c r="D102"/>
  <c r="G101"/>
  <c r="F101"/>
  <c r="D101"/>
  <c r="G100"/>
  <c r="F100"/>
  <c r="D100"/>
  <c r="G99"/>
  <c r="F99"/>
  <c r="D99"/>
  <c r="G98"/>
  <c r="F98"/>
  <c r="D98"/>
  <c r="G97"/>
  <c r="F97"/>
  <c r="D97"/>
  <c r="G96"/>
  <c r="F96"/>
  <c r="D96"/>
  <c r="G95"/>
  <c r="F95"/>
  <c r="D95"/>
  <c r="G94"/>
  <c r="F94"/>
  <c r="D94"/>
  <c r="G93"/>
  <c r="F93"/>
  <c r="D93"/>
  <c r="G92"/>
  <c r="F92"/>
  <c r="D92"/>
  <c r="G91"/>
  <c r="F91"/>
  <c r="D91"/>
  <c r="G90"/>
  <c r="F90"/>
  <c r="D90"/>
  <c r="G89"/>
  <c r="F89"/>
  <c r="D89"/>
  <c r="G88"/>
  <c r="F88"/>
  <c r="D88"/>
  <c r="G87"/>
  <c r="F87"/>
  <c r="D87"/>
  <c r="G86"/>
  <c r="F86"/>
  <c r="D86"/>
  <c r="G85"/>
  <c r="F85"/>
  <c r="D85"/>
  <c r="G84"/>
  <c r="F84"/>
  <c r="D84"/>
  <c r="G83"/>
  <c r="F83"/>
  <c r="D83"/>
  <c r="G82"/>
  <c r="F82"/>
  <c r="D82"/>
  <c r="G81"/>
  <c r="F81"/>
  <c r="D81"/>
  <c r="G80"/>
  <c r="F80"/>
  <c r="D80"/>
  <c r="G79"/>
  <c r="F79"/>
  <c r="D79"/>
  <c r="D78"/>
  <c r="G77"/>
  <c r="F77"/>
  <c r="D77"/>
  <c r="G76"/>
  <c r="F76"/>
  <c r="D76"/>
  <c r="G75"/>
  <c r="F75"/>
  <c r="D75"/>
  <c r="G74"/>
  <c r="F74"/>
  <c r="D74"/>
  <c r="G73"/>
  <c r="F73"/>
  <c r="D73"/>
  <c r="G72"/>
  <c r="F72"/>
  <c r="D72"/>
  <c r="G71"/>
  <c r="F71"/>
  <c r="D71"/>
  <c r="G70"/>
  <c r="F70"/>
  <c r="D70"/>
  <c r="G69"/>
  <c r="F69"/>
  <c r="D69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G62"/>
  <c r="F62"/>
  <c r="D62"/>
  <c r="G61"/>
  <c r="F61"/>
  <c r="D61"/>
  <c r="G60"/>
  <c r="F60"/>
  <c r="D60"/>
  <c r="G59"/>
  <c r="F59"/>
  <c r="D59"/>
  <c r="G58"/>
  <c r="F58"/>
  <c r="D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G51"/>
  <c r="F51"/>
  <c r="D51"/>
  <c r="G50"/>
  <c r="F50"/>
  <c r="D50"/>
  <c r="G49"/>
  <c r="F49"/>
  <c r="D49"/>
  <c r="G48"/>
  <c r="F48"/>
  <c r="D48"/>
  <c r="G47"/>
  <c r="F47"/>
  <c r="D47"/>
  <c r="G46"/>
  <c r="F46"/>
  <c r="D46"/>
  <c r="G45"/>
  <c r="F45"/>
  <c r="D45"/>
  <c r="G44"/>
  <c r="F44"/>
  <c r="D44"/>
  <c r="G43"/>
  <c r="F43"/>
  <c r="D43"/>
  <c r="G42"/>
  <c r="F42"/>
  <c r="D42"/>
  <c r="G41"/>
  <c r="F41"/>
  <c r="D41"/>
  <c r="G40"/>
  <c r="F40"/>
  <c r="D40"/>
  <c r="G39"/>
  <c r="F39"/>
  <c r="D39"/>
  <c r="G38"/>
  <c r="F38"/>
  <c r="D38"/>
  <c r="G37"/>
  <c r="F37"/>
  <c r="D37"/>
  <c r="G36"/>
  <c r="F36"/>
  <c r="D36"/>
  <c r="G35"/>
  <c r="F35"/>
  <c r="D35"/>
  <c r="G34"/>
  <c r="F34"/>
  <c r="D34"/>
  <c r="G33"/>
  <c r="F33"/>
  <c r="D33"/>
  <c r="G32"/>
  <c r="F32"/>
  <c r="D32"/>
  <c r="G31"/>
  <c r="F31"/>
  <c r="D31"/>
  <c r="G30"/>
  <c r="F30"/>
  <c r="D30"/>
  <c r="G29"/>
  <c r="F29"/>
  <c r="D29"/>
  <c r="G28"/>
  <c r="F28"/>
  <c r="D28"/>
  <c r="G27"/>
  <c r="F27"/>
  <c r="D27"/>
  <c r="G26"/>
  <c r="F26"/>
  <c r="D26"/>
  <c r="G25"/>
  <c r="F25"/>
  <c r="D25"/>
  <c r="G24"/>
  <c r="F24"/>
  <c r="D24"/>
  <c r="G23"/>
  <c r="F23"/>
  <c r="D23"/>
  <c r="G22"/>
  <c r="F22"/>
  <c r="D22"/>
  <c r="G21"/>
  <c r="F21"/>
  <c r="D21"/>
  <c r="G20"/>
  <c r="F20"/>
  <c r="D20"/>
  <c r="G19"/>
  <c r="F19"/>
  <c r="D19"/>
  <c r="G18"/>
  <c r="F18"/>
  <c r="D18"/>
  <c r="G17"/>
  <c r="F17"/>
  <c r="D17"/>
  <c r="G16"/>
  <c r="F16"/>
  <c r="D16"/>
  <c r="G15"/>
  <c r="F15"/>
  <c r="D15"/>
  <c r="G14"/>
  <c r="F14"/>
  <c r="D14"/>
  <c r="G13"/>
  <c r="F13"/>
  <c r="D13"/>
  <c r="D12"/>
  <c r="G11"/>
  <c r="F11"/>
  <c r="D11"/>
  <c r="G10"/>
  <c r="F10"/>
  <c r="D10"/>
  <c r="G9"/>
  <c r="F9"/>
  <c r="D9"/>
  <c r="G8"/>
  <c r="F8"/>
  <c r="D8"/>
  <c r="G7"/>
  <c r="F7"/>
  <c r="D7"/>
  <c r="G6"/>
  <c r="F6"/>
  <c r="D6"/>
  <c r="G5"/>
  <c r="F5"/>
  <c r="D5"/>
  <c r="G121" i="3"/>
  <c r="F121"/>
  <c r="D121"/>
  <c r="G114"/>
  <c r="F114"/>
  <c r="D114"/>
  <c r="G94"/>
  <c r="F94"/>
  <c r="D94"/>
  <c r="G88"/>
  <c r="F88"/>
  <c r="D88"/>
  <c r="G89"/>
  <c r="F89"/>
  <c r="D89"/>
  <c r="G85"/>
  <c r="F85"/>
  <c r="D85"/>
  <c r="D64"/>
  <c r="F64"/>
  <c r="G64"/>
  <c r="G65"/>
  <c r="F65"/>
  <c r="D65"/>
  <c r="G51"/>
  <c r="F51"/>
  <c r="D51"/>
  <c r="G43"/>
  <c r="F43"/>
  <c r="D43"/>
  <c r="G36"/>
  <c r="F36"/>
  <c r="D36"/>
  <c r="G29"/>
  <c r="F29"/>
  <c r="D29"/>
  <c r="G23"/>
  <c r="F23"/>
  <c r="D23"/>
  <c r="G21"/>
  <c r="F21"/>
  <c r="D21"/>
  <c r="G20"/>
  <c r="F20"/>
  <c r="D20"/>
  <c r="D12"/>
  <c r="G7"/>
  <c r="F7"/>
  <c r="D7"/>
  <c r="D155"/>
  <c r="D162"/>
  <c r="D179"/>
  <c r="D314"/>
  <c r="D226"/>
  <c r="D202"/>
  <c r="D205"/>
  <c r="D262"/>
  <c r="D229"/>
  <c r="D210"/>
  <c r="D246"/>
  <c r="D322"/>
  <c r="D148"/>
  <c r="D147"/>
  <c r="D320"/>
  <c r="D201"/>
  <c r="D309"/>
  <c r="D222"/>
  <c r="D165"/>
  <c r="D214"/>
  <c r="D285"/>
  <c r="D146"/>
  <c r="D318"/>
  <c r="D236"/>
  <c r="D302"/>
  <c r="D194"/>
  <c r="D191"/>
  <c r="D328"/>
  <c r="D300"/>
  <c r="D220"/>
  <c r="D271"/>
  <c r="D228"/>
  <c r="D192"/>
  <c r="D183"/>
  <c r="D258"/>
  <c r="D247"/>
  <c r="D237"/>
  <c r="D272"/>
  <c r="D180"/>
  <c r="D288"/>
  <c r="D331"/>
  <c r="D238"/>
  <c r="D154"/>
  <c r="D225"/>
  <c r="D153"/>
  <c r="D245"/>
  <c r="D274"/>
  <c r="D230"/>
  <c r="D239"/>
  <c r="D270"/>
  <c r="D264"/>
  <c r="D317"/>
  <c r="D145"/>
  <c r="D188"/>
  <c r="D287"/>
  <c r="D254"/>
  <c r="D189"/>
  <c r="D249"/>
  <c r="D144"/>
  <c r="D256"/>
  <c r="D257"/>
  <c r="D241"/>
  <c r="D286"/>
  <c r="D217"/>
  <c r="D291"/>
  <c r="D190"/>
  <c r="D332"/>
  <c r="D240"/>
  <c r="D266"/>
  <c r="D313"/>
  <c r="D335"/>
  <c r="D250"/>
  <c r="D149"/>
  <c r="D333"/>
  <c r="D260"/>
  <c r="D251"/>
  <c r="D167"/>
  <c r="D265"/>
  <c r="D232"/>
  <c r="D244"/>
  <c r="D207"/>
  <c r="D175"/>
  <c r="D196"/>
  <c r="D255"/>
  <c r="D308"/>
  <c r="D185"/>
  <c r="D310"/>
  <c r="D166"/>
  <c r="D218"/>
  <c r="D268"/>
  <c r="D315"/>
  <c r="D143"/>
  <c r="D186"/>
  <c r="D159"/>
  <c r="D243"/>
  <c r="D282"/>
  <c r="D233"/>
  <c r="D215"/>
  <c r="D200"/>
  <c r="D195"/>
  <c r="D176"/>
  <c r="D170"/>
  <c r="D219"/>
  <c r="D327"/>
  <c r="D330"/>
  <c r="D223"/>
  <c r="D290"/>
  <c r="D294"/>
  <c r="D305"/>
  <c r="D142"/>
  <c r="D242"/>
  <c r="D295"/>
  <c r="D283"/>
  <c r="D209"/>
  <c r="D141"/>
  <c r="D140"/>
  <c r="D139"/>
  <c r="D277"/>
  <c r="D296"/>
  <c r="D253"/>
  <c r="D292"/>
  <c r="D297"/>
  <c r="D227"/>
  <c r="D323"/>
  <c r="D311"/>
  <c r="D329"/>
  <c r="D187"/>
  <c r="D168"/>
  <c r="D316"/>
  <c r="D279"/>
  <c r="D178"/>
  <c r="D150"/>
  <c r="D289"/>
  <c r="D204"/>
  <c r="D281"/>
  <c r="D208"/>
  <c r="D184"/>
  <c r="D312"/>
  <c r="D321"/>
  <c r="D298"/>
  <c r="D324"/>
  <c r="D259"/>
  <c r="D211"/>
  <c r="D269"/>
  <c r="D252"/>
  <c r="D160"/>
  <c r="D203"/>
  <c r="D275"/>
  <c r="D161"/>
  <c r="D301"/>
  <c r="D193"/>
  <c r="D231"/>
  <c r="D198"/>
  <c r="D273"/>
  <c r="D267"/>
  <c r="D319"/>
  <c r="D248"/>
  <c r="D276"/>
  <c r="D235"/>
  <c r="D212"/>
  <c r="D177"/>
  <c r="D304"/>
  <c r="D334"/>
  <c r="D173"/>
  <c r="D284"/>
  <c r="D224"/>
  <c r="D307"/>
  <c r="D303"/>
  <c r="D293"/>
  <c r="D261"/>
  <c r="D326"/>
  <c r="D197"/>
  <c r="D172"/>
  <c r="D199"/>
  <c r="D182"/>
  <c r="D280"/>
  <c r="D213"/>
  <c r="D152"/>
  <c r="D174"/>
  <c r="D234"/>
  <c r="D158"/>
  <c r="D151"/>
  <c r="D278"/>
  <c r="D263"/>
  <c r="D306"/>
  <c r="D156"/>
  <c r="D206"/>
  <c r="D157"/>
  <c r="D325"/>
  <c r="D299"/>
  <c r="D221"/>
  <c r="D181"/>
  <c r="D169"/>
  <c r="D164"/>
  <c r="D163"/>
  <c r="D171"/>
  <c r="D216"/>
  <c r="G133"/>
  <c r="F133"/>
  <c r="D133"/>
  <c r="G138"/>
  <c r="F138"/>
  <c r="D138"/>
  <c r="G132"/>
  <c r="F132"/>
  <c r="D132"/>
  <c r="G131"/>
  <c r="F131"/>
  <c r="D131"/>
  <c r="G137"/>
  <c r="F137"/>
  <c r="D137"/>
  <c r="G130"/>
  <c r="F130"/>
  <c r="D130"/>
  <c r="G136"/>
  <c r="F136"/>
  <c r="D136"/>
  <c r="G134"/>
  <c r="F134"/>
  <c r="D134"/>
  <c r="G135"/>
  <c r="F135"/>
  <c r="D135"/>
  <c r="G129"/>
  <c r="F129"/>
  <c r="D129"/>
  <c r="G128"/>
  <c r="F128"/>
  <c r="D128"/>
  <c r="G127"/>
  <c r="F127"/>
  <c r="D127"/>
  <c r="G126"/>
  <c r="F126"/>
  <c r="D126"/>
  <c r="G125"/>
  <c r="F125"/>
  <c r="D125"/>
  <c r="G124"/>
  <c r="F124"/>
  <c r="D124"/>
  <c r="D123"/>
  <c r="G122"/>
  <c r="F122"/>
  <c r="D122"/>
  <c r="G120"/>
  <c r="F120"/>
  <c r="D120"/>
  <c r="G119"/>
  <c r="F119"/>
  <c r="D119"/>
  <c r="G118"/>
  <c r="F118"/>
  <c r="D118"/>
  <c r="G117"/>
  <c r="F117"/>
  <c r="D117"/>
  <c r="G116"/>
  <c r="F116"/>
  <c r="D116"/>
  <c r="G115"/>
  <c r="F115"/>
  <c r="D115"/>
  <c r="D113"/>
  <c r="G112"/>
  <c r="F112"/>
  <c r="D112"/>
  <c r="G111"/>
  <c r="F111"/>
  <c r="D111"/>
  <c r="G110"/>
  <c r="F110"/>
  <c r="D110"/>
  <c r="G109"/>
  <c r="F109"/>
  <c r="D109"/>
  <c r="G108"/>
  <c r="F108"/>
  <c r="D108"/>
  <c r="G107"/>
  <c r="F107"/>
  <c r="D107"/>
  <c r="G106"/>
  <c r="F106"/>
  <c r="D106"/>
  <c r="G105"/>
  <c r="F105"/>
  <c r="D105"/>
  <c r="G104"/>
  <c r="F104"/>
  <c r="D104"/>
  <c r="G103"/>
  <c r="F103"/>
  <c r="D103"/>
  <c r="G102"/>
  <c r="F102"/>
  <c r="D102"/>
  <c r="G101"/>
  <c r="F101"/>
  <c r="D101"/>
  <c r="G100"/>
  <c r="F100"/>
  <c r="D100"/>
  <c r="G99"/>
  <c r="F99"/>
  <c r="D99"/>
  <c r="G98"/>
  <c r="F98"/>
  <c r="D98"/>
  <c r="G97"/>
  <c r="F97"/>
  <c r="D97"/>
  <c r="G96"/>
  <c r="F96"/>
  <c r="D96"/>
  <c r="G95"/>
  <c r="F95"/>
  <c r="D95"/>
  <c r="G93"/>
  <c r="F93"/>
  <c r="D93"/>
  <c r="G92"/>
  <c r="F92"/>
  <c r="D92"/>
  <c r="G91"/>
  <c r="F91"/>
  <c r="D91"/>
  <c r="G90"/>
  <c r="F90"/>
  <c r="D90"/>
  <c r="G87"/>
  <c r="F87"/>
  <c r="D87"/>
  <c r="G86"/>
  <c r="F86"/>
  <c r="D86"/>
  <c r="G84"/>
  <c r="F84"/>
  <c r="D84"/>
  <c r="G83"/>
  <c r="F83"/>
  <c r="D83"/>
  <c r="G82"/>
  <c r="F82"/>
  <c r="D82"/>
  <c r="G81"/>
  <c r="F81"/>
  <c r="D81"/>
  <c r="G80"/>
  <c r="F80"/>
  <c r="D80"/>
  <c r="G79"/>
  <c r="F79"/>
  <c r="D79"/>
  <c r="D78"/>
  <c r="G77"/>
  <c r="F77"/>
  <c r="D77"/>
  <c r="G76"/>
  <c r="F76"/>
  <c r="D76"/>
  <c r="G75"/>
  <c r="F75"/>
  <c r="D75"/>
  <c r="G74"/>
  <c r="F74"/>
  <c r="D74"/>
  <c r="G73"/>
  <c r="F73"/>
  <c r="D73"/>
  <c r="G72"/>
  <c r="F72"/>
  <c r="D72"/>
  <c r="G71"/>
  <c r="F71"/>
  <c r="D71"/>
  <c r="G70"/>
  <c r="F70"/>
  <c r="D70"/>
  <c r="G69"/>
  <c r="F69"/>
  <c r="D69"/>
  <c r="G68"/>
  <c r="F68"/>
  <c r="D68"/>
  <c r="G67"/>
  <c r="F67"/>
  <c r="D67"/>
  <c r="G66"/>
  <c r="F66"/>
  <c r="D66"/>
  <c r="G63"/>
  <c r="F63"/>
  <c r="D63"/>
  <c r="G62"/>
  <c r="F62"/>
  <c r="D62"/>
  <c r="G61"/>
  <c r="F61"/>
  <c r="D61"/>
  <c r="G60"/>
  <c r="F60"/>
  <c r="D60"/>
  <c r="G59"/>
  <c r="F59"/>
  <c r="D59"/>
  <c r="G58"/>
  <c r="F58"/>
  <c r="D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G50"/>
  <c r="F50"/>
  <c r="D50"/>
  <c r="G49"/>
  <c r="F49"/>
  <c r="D49"/>
  <c r="G48"/>
  <c r="F48"/>
  <c r="D48"/>
  <c r="G47"/>
  <c r="F47"/>
  <c r="D47"/>
  <c r="G46"/>
  <c r="F46"/>
  <c r="D46"/>
  <c r="G45"/>
  <c r="F45"/>
  <c r="D45"/>
  <c r="G44"/>
  <c r="F44"/>
  <c r="D44"/>
  <c r="G42"/>
  <c r="F42"/>
  <c r="D42"/>
  <c r="G41"/>
  <c r="F41"/>
  <c r="D41"/>
  <c r="G40"/>
  <c r="F40"/>
  <c r="D40"/>
  <c r="G39"/>
  <c r="F39"/>
  <c r="D39"/>
  <c r="G38"/>
  <c r="F38"/>
  <c r="D38"/>
  <c r="G37"/>
  <c r="F37"/>
  <c r="D37"/>
  <c r="G35"/>
  <c r="F35"/>
  <c r="D35"/>
  <c r="G34"/>
  <c r="F34"/>
  <c r="D34"/>
  <c r="G33"/>
  <c r="F33"/>
  <c r="D33"/>
  <c r="G32"/>
  <c r="F32"/>
  <c r="D32"/>
  <c r="G31"/>
  <c r="F31"/>
  <c r="D31"/>
  <c r="G30"/>
  <c r="F30"/>
  <c r="D30"/>
  <c r="G28"/>
  <c r="F28"/>
  <c r="D28"/>
  <c r="G27"/>
  <c r="F27"/>
  <c r="D27"/>
  <c r="G26"/>
  <c r="F26"/>
  <c r="D26"/>
  <c r="G25"/>
  <c r="F25"/>
  <c r="D25"/>
  <c r="G24"/>
  <c r="F24"/>
  <c r="D24"/>
  <c r="G22"/>
  <c r="F22"/>
  <c r="D22"/>
  <c r="G19"/>
  <c r="F19"/>
  <c r="D19"/>
  <c r="G18"/>
  <c r="F18"/>
  <c r="D18"/>
  <c r="G17"/>
  <c r="F17"/>
  <c r="D17"/>
  <c r="G16"/>
  <c r="F16"/>
  <c r="D16"/>
  <c r="G15"/>
  <c r="F15"/>
  <c r="D15"/>
  <c r="G14"/>
  <c r="F14"/>
  <c r="D14"/>
  <c r="G13"/>
  <c r="F13"/>
  <c r="D13"/>
  <c r="G11"/>
  <c r="F11"/>
  <c r="D11"/>
  <c r="G10"/>
  <c r="F10"/>
  <c r="D10"/>
  <c r="G9"/>
  <c r="F9"/>
  <c r="D9"/>
  <c r="G8"/>
  <c r="F8"/>
  <c r="D8"/>
  <c r="G6"/>
  <c r="F6"/>
  <c r="D6"/>
  <c r="G5"/>
  <c r="F5"/>
  <c r="D5"/>
</calcChain>
</file>

<file path=xl/sharedStrings.xml><?xml version="1.0" encoding="utf-8"?>
<sst xmlns="http://schemas.openxmlformats.org/spreadsheetml/2006/main" count="3688" uniqueCount="1219">
  <si>
    <t/>
  </si>
  <si>
    <t>111027amssa28_1</t>
  </si>
  <si>
    <t>6-3 EDT2243 9/22/11</t>
  </si>
  <si>
    <t>111027amssa49_1</t>
  </si>
  <si>
    <t>6-6 EDT2243 9/23/11</t>
  </si>
  <si>
    <t>111028amssa05_1</t>
  </si>
  <si>
    <t>3-6 EDT2243 9/23/11</t>
  </si>
  <si>
    <t>111028amssa06_1</t>
  </si>
  <si>
    <t>6-4 EDT2243 9/22/11</t>
  </si>
  <si>
    <t>111028amssa10_1</t>
  </si>
  <si>
    <t>3-3 EDT2243 9/22/22</t>
  </si>
  <si>
    <t>111028amssa11_1</t>
  </si>
  <si>
    <t>3-4 EDT2243 9/21/11</t>
  </si>
  <si>
    <t>111027amssa40_1</t>
  </si>
  <si>
    <t>1-4 EDT2231 9/22/11</t>
  </si>
  <si>
    <t>111027amssa43_1</t>
  </si>
  <si>
    <t>4-6 EDT2231 9/23/11</t>
  </si>
  <si>
    <t>111028amssa01_1</t>
  </si>
  <si>
    <t>1-5 EDT2231 9/23/11</t>
  </si>
  <si>
    <t>111028amssa09_1</t>
  </si>
  <si>
    <t>1-3 EDT2231 9/22/11</t>
  </si>
  <si>
    <t>111028amssa12_1</t>
  </si>
  <si>
    <t>4-3 EDT2231 9/22/11</t>
  </si>
  <si>
    <t>111028amssa13_1</t>
  </si>
  <si>
    <t>4-4 EDT2231 9/22/11</t>
  </si>
  <si>
    <t>111027amssa24_1</t>
  </si>
  <si>
    <t>2-4 EDT2237 10/1/11</t>
  </si>
  <si>
    <t>111027amssa29_1</t>
  </si>
  <si>
    <t>2-5 EDT2237 10/1/11</t>
  </si>
  <si>
    <t>111027amssa30_1</t>
  </si>
  <si>
    <t>5-3 EDT2237 9/30/11</t>
  </si>
  <si>
    <t>111027amssa36_1</t>
  </si>
  <si>
    <t>2-3 EDT2237 9/30/11</t>
  </si>
  <si>
    <t>111027amssa38_1</t>
  </si>
  <si>
    <t>5-5 EDT2237 10/1/11</t>
  </si>
  <si>
    <t>111027amssa47_1</t>
  </si>
  <si>
    <t>5-4 EDT2237 10/1/11</t>
  </si>
  <si>
    <t>111027amssa31_1</t>
  </si>
  <si>
    <t>5-5 EDT2236 9/23/11</t>
  </si>
  <si>
    <t>111027amssa42_1</t>
  </si>
  <si>
    <t>2-4 EDT2236 9/22/11</t>
  </si>
  <si>
    <t>111028amssa04_1</t>
  </si>
  <si>
    <t>5-3 EDT2236 9/22/11</t>
  </si>
  <si>
    <t>111028amssa07_1</t>
  </si>
  <si>
    <t>2-5 EDT2236 9/23/11</t>
  </si>
  <si>
    <t>111028amssa08_1</t>
  </si>
  <si>
    <t>2-6 EDT2236 9/23/11</t>
  </si>
  <si>
    <t>111028amssa15_1</t>
  </si>
  <si>
    <t>5-6 EDT2236 9/23/11</t>
  </si>
  <si>
    <t>111027amssa26_1</t>
  </si>
  <si>
    <t>4-5 EDT2235 10/1/11</t>
  </si>
  <si>
    <t>111027amssa27_1</t>
  </si>
  <si>
    <t>4-4 EDT2235 10/1/11</t>
  </si>
  <si>
    <t>111027amssa35_1</t>
  </si>
  <si>
    <t>4-6 EDT2235 10/2/11</t>
  </si>
  <si>
    <t>111027amssa50_1</t>
  </si>
  <si>
    <t>1-3 EDT2235 9/30/11</t>
  </si>
  <si>
    <t>111028amssa02_1</t>
  </si>
  <si>
    <t>1-2 EDT2235 9/29/11</t>
  </si>
  <si>
    <t>111028amssa03_1</t>
  </si>
  <si>
    <t>4-3 EDT2235 9/30/11</t>
  </si>
  <si>
    <t>111027amssa33_1</t>
  </si>
  <si>
    <t>6-4 EDT2238 10/1/11</t>
  </si>
  <si>
    <t>111027amssa34_1</t>
  </si>
  <si>
    <t>3-3 EDT2238 9/30/11</t>
  </si>
  <si>
    <t>111027amssa37_1</t>
  </si>
  <si>
    <t>3-4 EDT2238 10/1/11</t>
  </si>
  <si>
    <t>111027amssa45_1</t>
  </si>
  <si>
    <t>6-5 EDT2238 10/1/11</t>
  </si>
  <si>
    <t>111027amssa46_1</t>
  </si>
  <si>
    <t>6-3 EDT2238 9/30/11</t>
  </si>
  <si>
    <t>111027amssa48_1</t>
  </si>
  <si>
    <t>3-5 EDT2238 10/1/11</t>
  </si>
  <si>
    <t xml:space="preserve">77078 </t>
  </si>
  <si>
    <t xml:space="preserve">77071 </t>
  </si>
  <si>
    <t xml:space="preserve">77064 </t>
  </si>
  <si>
    <t xml:space="preserve">77057 </t>
  </si>
  <si>
    <t xml:space="preserve">77050 </t>
  </si>
  <si>
    <t xml:space="preserve">77043 </t>
  </si>
  <si>
    <t>103</t>
  </si>
  <si>
    <t>xanthosine</t>
  </si>
  <si>
    <t>924754</t>
  </si>
  <si>
    <t>325</t>
  </si>
  <si>
    <t>86:74.0 88:56.0 93:1.0 102:63.0 103:1102.0 104:128.0 111:4.0 113:73.0 115:68.0 117:153.0 125:7.0 129:418.0 132:84.0 134:167.0 143:26.0 144:135.0 145:34.0 153:4.0 157:146.0 158:78.0 169:296.0 170:43.0 171:12.0 172:14.0 173:67.0 183:9.0 186:12.0 188:12.0 204:74.0 208:1.0 209:95.0 211:44.0 215:44.0 217:872.0 218:104.0 219:13.0 226:8.0 230:1108.0 231:280.0 232:97.0 238:14.0 243:481.0 244:78.0 245:1392.0 246:208.0 247:76.0 249:49.0 251:11.0 254:25.0 259:152.0 260:63.0 264:24.0 265:115.0 266:67.0 268:78.0 279:121.0 280:44.0 281:716.0 282:47.0 283:105.0 284:35.0 292:26.0 297:287.0 298:75.0 305:1.0 310:9.0 314:18.0 315:3.0 325:1610.0 326:302.0 327:59.0 328:19.0 329:10.0 341:48.0 342:95.0 343:26.0 348:19.0 354:28.0 355:36.0 356:2.0 357:33.0 367:5.0 368:53.0 369:354.0 370:112.0 371:52.0 387:46.0 389:11.0 393:8.0 397:4.0 411:78.0 412:25.0 415:43.0 417:43.0 418:6.0 427:1.0 428:13.0 438:17.0 450:8.0 460:19.0 461:10.0 464:4.0 475:16.0 476:22.0 485:13.0 489:18.0</t>
  </si>
  <si>
    <t>xanthine</t>
  </si>
  <si>
    <t>702391</t>
  </si>
  <si>
    <t>353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</si>
  <si>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</si>
  <si>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146</t>
  </si>
  <si>
    <t>valine</t>
  </si>
  <si>
    <t>313224</t>
  </si>
  <si>
    <t>144</t>
  </si>
  <si>
    <t>85:48.0 86:132.0 87:8.0 88:9.0 89:2.0 90:21.0 91:58.0 92:93.0 93:1.0 97:102.0 98:14.0 99:2.0 100:836.0 101:92.0 102:11.0 103:76.0 104:20.0 105:42.0 106:2.0 107:49.0 109:2.0 110:18.0 111:13.0 112:18.0 113:8.0 114:87.0 115:99.0 116:9.0 117:113.0 118:31.0 119:19.0 120:6.0 129:31.0 130:55.0 131:55.0 132:140.0 133:378.0 134:33.0 135:4.0 136:5.0 142:21.0 143:24.0 144:4737.0 145:554.0 146:209.0 147:684.0 148:153.0 149:85.0 150:8.0 156:70.0 157:9.0 158:12.0 159:10.0 160:4.0 166:1.0 170:1.0 172:2.0 174:1.0 184:5.0 186:1.0 190:2.0 193:1.0 196:3.0 198:5.0 199:4.0 202:2.0 203:13.0 208:6.0 218:561.0 219:139.0 220:24.0 223:3.0 224:2.0 228:1.0 230:2.0 232:4.0 241:1.0 245:2.0 246:11.0 252:2.0 253:1.0 260:1.0 264:1.0 268:2.0 270:3.0 274:3.0 282:2.0 284:1.0 285:3.0 292:1.0 293:1.0 296:1.0 297:1.0 309:2.0 311:1.0 314:1.0 316:1.0 323:1.0 325:3.0 328:4.0 337:4.0 339:1.0 342:2.0 350:1.0 356:2.0 361:3.0 368:2.0 369:2.0 373:2.0 375:2.0 378:1.0 380:2.0 385:4.0 386:1.0 387:3.0 392:2.0 399:1.0 400:1.0 402:2.0 409:1.0 414:1.0 425:1.0 426:2.0 428:1.0 436:2.0 438:1.0 441:6.0 444:1.0 450:1.0 454:3.0 457:1.0 459:2.0 460:2.0 461:1.0 462:4.0 463:1.0 464:5.0 467:1.0 468:1.0 469:1.0 471:2.0 472:1.0 482:1.0 494:1.0 497:5.0 498:1.0</t>
  </si>
  <si>
    <t>uridine-5'-monophosphate</t>
  </si>
  <si>
    <t>979035</t>
  </si>
  <si>
    <t>315</t>
  </si>
  <si>
    <t>85:1625.0 86:646.0 87:263.0 89:279.0 92:82.0 93:494.0 94:90.0 95:989.0 96:1702.0 97:1890.0 98:954.0 99:10589.0 100:4676.0 101:3648.0 102:1180.0 103:1037.0 104:17.0 105:316.0 107:186.0 108:182.0 109:314.0 110:354.0 111:789.0 112:419.0 113:3558.0 114:428.0 115:2136.0 116:1670.0 117:405.0 119:739.0 120:423.0 121:353.0 122:146.0 123:373.0 124:474.0 125:833.0 126:2118.0 127:1246.0 128:467.0 129:8078.0 130:1680.0 131:2168.0 132:463.0 133:7104.0 134:945.0 135:1588.0 136:298.0 137:756.0 138:301.0 139:303.0 140:1869.0 141:1422.0 142:1638.0 143:2301.0 144:269.0 145:49.0 147:12674.0 148:3322.0 149:2548.0 150:330.0 151:934.0 152:251.0 153:2297.0 154:759.0 155:943.0 156:501.0 157:769.0 158:410.0 159:29.0 160:6.0 161:18.0 163:281.0 164:5.0 165:248.0 166:119.0 167:2442.0 168:4073.0 169:33892.0 170:5227.0 171:4382.0 172:454.0 173:217.0 174:284.0 175:10.0 177:390.0 179:293.0 181:1360.0 182:347.0 183:1963.0 184:1177.0 185:4175.0 186:853.0 187:259.0 188:28.0 189:158.0 190:102.0 191:791.0 192:135.0 193:1694.0 194:306.0 195:1212.0 196:2059.0 197:898.0 198:121.0 199:126.0 201:17.0 203:103.0 204:259.0 205:63.0 206:48.0 207:2198.0 208:444.0 209:764.0 210:436.0 211:7092.0 212:1170.0 213:719.0 214:131.0 215:2531.0 216:592.0 217:1592.0 218:214.0 219:127.0 220:30.0 221:635.0 222:173.0 223:152.0 224:110.0 225:1756.0 226:448.0 227:1730.0 228:277.0 229:395.0 230:2852.0 231:584.0 232:213.0 234:40.0 235:385.0 236:319.0 237:314.0 238:121.0 239:668.0 240:207.0 241:3995.0 242:828.0 243:5126.0 244:1074.0 245:406.0 246:60.0 250:50.0 251:185.0 252:25.0 253:539.0 254:31.0 255:1675.0 256:2376.0 257:4369.0 258:4495.0 259:1282.0 260:406.0 261:120.0 262:34.0 263:148.0 264:90.0 265:482.0 266:9.0 267:204.0 268:97.0 269:423.0 270:135.0 271:112.0 276:17.0 279:101.0 280:208.0 281:645.0 282:92.0 283:1120.0 284:227.0 285:1055.0 286:390.0 287:93.0 288:45.0 292:13.0 293:34.0 294:42.0 295:78.0 296:45.0 297:196.0 298:389.0 299:13839.0 300:3819.0 301:1919.0 302:383.0 303:115.0 305:5.0 306:5.0 307:61.0 308:38.0 309:117.0 310:82.0 311:632.0 312:194.0 313:543.0 314:1771.0 315:12068.0 316:3094.0 317:1610.0 318:279.0 319:40.0 322:41.0 323:270.0 324:188.0 325:82.0 326:31.0 327:496.0 328:317.0 329:90.0 330:49.0 335:2.0 337:391.0 338:131.0 339:165.0 340:88.0 341:370.0 342:190.0 343:73.0 351:172.0 352:7098.0 353:2313.0 354:936.0 355:439.0 356:78.0 357:166.0 358:101.0 359:56.0 360:24.0 367:25.0 369:329.0 370:562.0 371:471.0 372:132.0 373:193.0 374:80.0 375:2.0 380:9.0 382:112.0 383:180.0 384:31.0 385:61.0 386:300.0 387:1157.0 388:402.0 389:219.0 390:46.0 391:3.0 393:139.0 394:29.0 395:129.0 396:53.0 397:22.0 399:26.0 401:128.0 402:85.0 409:128.0 410:74.0 411:97.0 413:56.0 414:31.0 416:53.0 417:48.0 429:44.0 430:40.0 431:31.0 433:6.0 439:3.0 443:23.0 447:16.0 461:2.0 462:35.0 463:7.0 468:10.0 475:39.0 476:45.0 482:12.0 483:321.0 484:104.0 485:273.0 486:86.0 487:76.0 488:2.0 489:96.0 490:46.0 491:10.0</t>
  </si>
  <si>
    <t>uridine</t>
  </si>
  <si>
    <t>856953</t>
  </si>
  <si>
    <t>258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</si>
  <si>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</si>
  <si>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441</t>
  </si>
  <si>
    <t>171</t>
  </si>
  <si>
    <t>uracil</t>
  </si>
  <si>
    <t>385903</t>
  </si>
  <si>
    <t>99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</si>
  <si>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</si>
  <si>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 GlcNAc</t>
  </si>
  <si>
    <t>623732</t>
  </si>
  <si>
    <t>226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</si>
  <si>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</si>
  <si>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670802</t>
  </si>
  <si>
    <t>218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</si>
  <si>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</si>
  <si>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179</t>
  </si>
  <si>
    <t>174</t>
  </si>
  <si>
    <t>tryptophan</t>
  </si>
  <si>
    <t>781209</t>
  </si>
  <si>
    <t>202</t>
  </si>
  <si>
    <t>85:32.0 86:353.0 88:140.0 90:236.0 98:21.0 99:120.0 100:3175.0 101:711.0 102:351.0 103:219.0 105:145.0 113:72.0 114:31.0 116:670.0 117:61.0 118:31.0 125:7.0 128:352.0 129:232.0 130:294.0 131:524.0 132:188.0 133:647.0 134:90.0 140:48.0 141:228.0 142:248.0 144:160.0 145:237.0 147:2380.0 148:130.0 149:57.0 152:30.0 155:152.0 156:117.0 158:158.0 159:61.0 160:56.0 161:76.0 162:50.0 170:101.0 172:120.0 173:132.0 182:207.0 183:135.0 184:51.0 185:190.0 186:161.0 189:9.0 190:227.0 195:71.0 196:91.0 198:84.0 199:353.0 200:390.0 201:214.0 202:19929.0 203:3889.0 204:1013.0 205:17.0 208:17.0 209:18.0 214:94.0 215:150.0 216:85.0 217:118.0 218:947.0 219:324.0 220:58.0 226:77.0 230:101.0 231:22.0 235:2.0 237:72.0 238:4.0 240:75.0 250:120.0 251:21.0 252:65.0 255:60.0 267:27.0 268:213.0 269:56.0 270:19.0 278:44.0 280:52.0 283:97.0 288:64.0 290:57.0 291:1080.0 292:263.0 293:304.0 295:63.0 300:25.0 301:14.0 302:33.0 303:131.0 309:825.0 310:501.0 311:65.0 312:21.0 317:2.0 319:22.0 323:23.0 324:442.0 325:129.0 326:199.0 330:12.0 339:34.0 351:24.0 353:21.0 354:52.0 355:141.0 356:19.0 367:40.0 377:140.0 379:38.0 383:2845.0 384:1315.0 385:367.0 386:64.0 389:2.0 396:14.0 397:157.0 398:1657.0 399:699.0 400:278.0 402:8.0 404:2.0 406:13.0 429:21.0 430:40.0 463:52.0</t>
  </si>
  <si>
    <t>191</t>
  </si>
  <si>
    <t>thymine</t>
  </si>
  <si>
    <t>420134</t>
  </si>
  <si>
    <t>255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</si>
  <si>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</si>
  <si>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205</t>
  </si>
  <si>
    <t>threonine</t>
  </si>
  <si>
    <t>409488</t>
  </si>
  <si>
    <t>117</t>
  </si>
  <si>
    <t>85:1057.0 87:481.0 88:3056.0 90:500.0 91:217.0 93:804.0 98:1110.0 99:1042.0 100:4187.0 101:6269.0 102:1342.0 103:1910.0 104:152.0 108:1504.0 109:99.0 110:6622.0 111:426.0 112:202.0 113:6.0 114:1825.0 115:559.0 117:3180.0 118:537.0 119:1149.0 121:17.0 122:511.0 124:199.0 126:2257.0 127:1779.0 128:1718.0 129:2333.0 130:2650.0 131:249.0 132:1621.0 133:906.0 135:3.0 137:508.0 140:377.0 142:110.0 144:417.0 146:751.0 147:6310.0 148:2259.0 153:249.0 155:63.0 156:385.0 158:1268.0 159:128.0 160:82.0 161:37.0 162:199.0 163:23.0 166:169.0 167:24.0 168:68.0 169:96.0 170:344.0 171:2270.0 172:1180.0 173:410.0 174:397.0 175:17.0 176:149.0 177:1.0 187:199.0 188:236.0 189:1046.0 191:302.0 194:212.0 195:549.0 196:22.0 197:80.0 201:211.0 202:747.0 203:334.0 204:386.0 205:159.0 207:6.0 218:5439.0 219:5850.0 220:1285.0 222:630.0 223:68.0 228:3.0 230:137.0 231:54.0 240:189.0 242:15.0 249:123.0 254:101.0 257:111.0 262:61.0 263:241.0 264:355.0 265:124.0 276:6.0 278:20.0 281:79.0 282:93.0 291:1037.0 292:793.0 293:265.0 294:46.0 299:46.0 308:12.0 320:115.0 321:27.0 355:485.0 356:129.0 375:7.0 387:10.0 401:6.0 410:4.0 444:10.0 446:7.0 450:8.0 454:19.0 461:129.0 462:4.0 476:11.0 493:4.0</t>
  </si>
  <si>
    <t>497167</t>
  </si>
  <si>
    <t>292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</si>
  <si>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</si>
  <si>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160</t>
  </si>
  <si>
    <t>307</t>
  </si>
  <si>
    <t>sucrose</t>
  </si>
  <si>
    <t>915457</t>
  </si>
  <si>
    <t>271</t>
  </si>
  <si>
    <t>85:3981.0 86:293.0 87:3599.0 88:1888.0 89:7902.0 90:405.0 94:202.0 95:878.0 97:2349.0 98:493.0 99:5155.0 100:380.0 101:12258.0 102:5648.0 103:153839.0 104:14863.0 105:7036.0 106:10.0 109:9388.0 111:4562.0 112:656.0 113:7191.0 114:1690.0 115:5383.0 116:5453.0 117:36010.0 118:3629.0 119:4634.0 120:416.0 121:320.0 122:119.0 123:219.0 124:144.0 125:1440.0 127:2918.0 128:1313.0 129:118534.0 130:12850.0 131:23456.0 132:3515.0 133:35688.0 134:1342.0 135:3475.0 136:251.0 137:300.0 138:151.0 139:3770.0 140:1131.0 141:5771.0 142:4895.0 143:22508.0 144:3274.0 145:5986.0 146:1016.0 147:189442.0 148:29715.0 149:25049.0 150:3203.0 151:2781.0 152:430.0 153:4591.0 154:1319.0 155:18226.0 156:3478.0 157:22786.0 158:3218.0 159:3513.0 160:560.0 161:2141.0 162:396.0 163:4026.0 164:569.0 165:330.0 166:254.0 167:1590.0 168:404.0 169:117515.0 170:17850.0 171:10211.0 172:1316.0 173:4325.0 174:786.0 175:3698.0 176:565.0 177:4205.0 178:644.0 179:354.0 180:122.0 181:1139.0 182:578.0 183:7435.0 184:787.0 185:2197.0 186:438.0 187:1607.0 188:394.0 189:24663.0 190:5980.0 191:35241.0 192:6466.0 193:3148.0 194:222.0 195:283.0 196:229.0 197:480.0 198:264.0 199:3356.0 200:528.0 201:2382.0 202:1082.0 203:8040.0 204:17238.0 205:14091.0 206:3710.0 207:2776.0 208:630.0 209:341.0 210:138.0 211:353.0 212:179.0 213:490.0 214:256.0 215:7491.0 216:2261.0 217:180363.0 218:43419.0 219:20441.0 220:3536.0 221:8360.0 222:1910.0 223:1108.0 224:254.0 225:276.0 226:161.0 227:2982.0 228:839.0 229:10146.0 230:11800.0 231:9900.0 232:3099.0 233:3614.0 234:1135.0 235:459.0 236:182.0 237:201.0 238:149.0 239:648.0 240:266.0 241:3031.0 242:1172.0 243:43042.0 244:11391.0 245:12083.0 246:3185.0 247:3625.0 248:763.0 249:365.0 250:164.0 251:113.0 252:127.0 253:143.0 254:176.0 255:1996.0 256:911.0 257:12260.0 258:3171.0 259:5090.0 260:1220.0 261:582.0 262:309.0 263:676.0 264:308.0 265:879.0 266:279.0 267:145.0 268:105.0 269:245.0 270:539.0 271:55137.0 272:13687.0 273:8945.0 274:1862.0 275:1047.0 276:307.0 277:728.0 278:465.0 279:369.0 280:148.0 282:19.0 283:95.0 284:169.0 285:202.0 286:173.0 287:325.0 288:325.0 289:881.0 290:433.0 291:4429.0 292:1577.0 293:1671.0 294:443.0 295:219.0 296:131.0 297:113.0 298:110.0 299:92.0 300:133.0 301:216.0 302:184.0 303:1307.0 304:915.0 305:4517.0 306:2310.0 307:1295.0 308:315.0 309:190.0 310:163.0 311:128.0 313:85.0 314:95.0 315:186.0 316:159.0 317:2011.0 318:1380.0 319:14357.0 320:6755.0 321:3012.0 322:772.0 323:234.0 324:136.0 325:56.0 326:79.0 327:41.0 328:90.0 329:146.0 330:269.0 331:6158.0 332:3352.0 333:1950.0 334:650.0 335:353.0 336:197.0 337:122.0 338:82.0 339:35.0 340:29.0 342:110.0 343:148.0 344:153.0 345:1472.0 346:837.0 347:1114.0 348:535.0 349:377.0 350:166.0 351:93.0 352:73.0 353:54.0 354:46.0 356:12.0 357:22.0 358:33.0 359:192.0 360:2834.0 361:139168.0 362:51542.0 363:26961.0 364:6704.0 365:2175.0 366:504.0 367:308.0 368:162.0 369:139.0 370:151.0 371:129.0 372:110.0 373:280.0 374:236.0 375:125.0 376:94.0 377:187.0 378:219.0 379:245.0 380:150.0 381:178.0 382:162.0 383:153.0 384:131.0 385:133.0 386:111.0 387:83.0 388:79.0 389:51.0 390:47.0 391:56.0 392:43.0 393:119.0 394:102.0 395:122.0 396:153.0 397:123.0 398:161.0 399:149.0 400:139.0 401:134.0 402:114.0 403:104.0 404:119.0 405:141.0 406:116.0 407:126.0 408:97.0 409:96.0 410:85.0 411:85.0 412:126.0 413:127.0 414:122.0 415:88.0 416:115.0 417:121.0 418:121.0 419:97.0 420:101.0 421:111.0 422:112.0 423:82.0 424:75.0 425:64.0 426:71.0 427:88.0 428:80.0 429:56.0 430:58.0 431:54.0 432:53.0 433:121.0 434:129.0 435:616.0 436:1591.0 437:15681.0 438:9747.0 439:4867.0 440:1595.0 441:433.0 442:134.0 443:48.0 444:18.0 445:38.0 446:48.0 447:27.0 448:46.0 449:155.0 450:1811.0 451:10063.0 452:4687.0 453:2413.0 454:621.0 455:219.0 456:52.0 457:29.0 458:29.0 459:31.0 460:16.0 461:31.0 462:67.0 463:293.0 464:300.0 465:139.0 466:100.0 467:203.0 468:70.0 469:47.0 470:8.0 471:3.0 472:2.0 473:2.0 474:17.0 475:13.0 476:10.0 477:13.0 478:7.0 479:24.0 480:14.0 481:81.0 482:34.0 483:24.0 484:5.0 489:1.0 490:2.0 491:4.0 492:7.0 493:3.0 494:2.0 495:2.0 498:3.0 499:2.0 500:6.0</t>
  </si>
  <si>
    <t>succinic acid</t>
  </si>
  <si>
    <t>370518</t>
  </si>
  <si>
    <t>247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</si>
  <si>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</si>
  <si>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stearic acid</t>
  </si>
  <si>
    <t>787358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</si>
  <si>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</si>
  <si>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953011</t>
  </si>
  <si>
    <t>85:143.0 86:4419.0 91:9.0 95:213.0 98:157.0 99:59.0 100:2137.0 102:562.0 103:4.0 110:61.0 112:182.0 114:372.0 115:309.0 116:6603.0 117:966.0 128:494.0 129:1311.0 130:1350.0 131:303.0 140:150.0 142:1431.0 143:221.0 144:5092.0 145:735.0 146:451.0 152:7.0 154:61.0 156:1689.0 157:232.0 158:199.0 160:2107.0 161:332.0 162:63.0 163:4.0 166:14.0 168:56.0 169:9.0 170:428.0 172:1172.0 173:218.0 174:3306.0 175:613.0 176:208.0 182:62.0 183:55.0 186:100.0 187:91.0 188:11.0 193:239.0 194:18.0 195:23.0 201:417.0 202:45.0 203:21.0 204:80.0 205:29.0 207:246.0 208:296.0 209:186.0 210:10.0 215:42.0 217:51.0 218:10.0 229:17.0 230:14.0 231:4.0 237:15.0 249:44.0 250:12.0 252:23.0 255:10.0 257:4.0 259:22.0 264:27.0 265:86.0 266:4.0 268:66.0 269:72.0 270:20.0 271:48.0 281:172.0 282:103.0 285:15.0 293:4.0 299:52.0 303:7.0 311:17.0 325:2.0 328:5.0 329:189.0 330:27.0 331:65.0 345:23.0 355:6.0 357:12.0 359:35.0 362:35.0 384:7.0 387:31.0 397:44.0 401:7.0 413:12.0 431:2.0 437:12.0 457:3.0 476:42.0 477:23.0 489:12.0 490:6.0</t>
  </si>
  <si>
    <t>792258</t>
  </si>
  <si>
    <t>85:33.0 86:762.0 87:71.0 88:28.0 90:4.0 91:101.0 92:122.0 93:18.0 97:2.0 98:29.0 99:32.0 100:377.0 101:64.0 102:91.0 103:43.0 107:9.0 108:2.0 110:5.0 112:18.0 113:2.0 114:68.0 115:108.0 116:743.0 117:76.0 118:24.0 124:3.0 125:5.0 126:35.0 128:68.0 129:71.0 130:148.0 131:32.0 132:3.0 134:20.0 136:4.0 140:22.0 141:9.0 142:104.0 143:22.0 144:693.0 145:73.0 146:74.0 147:311.0 148:51.0 149:6.0 151:1.0 154:41.0 156:249.0 157:100.0 158:29.0 159:4.0 160:228.0 161:23.0 162:6.0 166:1.0 170:75.0 171:1.0 172:153.0 173:11.0 174:374.0 175:46.0 176:8.0 183:9.0 184:3.0 185:1.0 186:5.0 187:5.0 189:3.0 194:1.0 197:1.0 201:17.0 202:2.0 204:22.0 205:12.0 207:34.0 209:4.0 214:8.0 215:9.0 217:6.0 221:74.0 222:6.0 223:12.0 226:2.0 229:1.0 237:5.0 238:1.0 239:9.0 241:4.0 246:2.0 264:5.0 265:2.0 267:1.0 269:1.0 281:8.0 284:1.0 285:1.0 287:1.0 293:6.0 303:1.0 311:2.0 317:15.0 318:2.0 325:2.0 326:1.0 329:2.0 330:2.0 332:1.0 333:3.0 335:1.0 344:8.0 350:2.0 353:5.0 355:1.0 357:1.0 360:1.0 363:7.0 365:1.0 380:8.0 388:1.0 389:4.0 390:12.0 395:3.0 401:4.0 403:2.0 421:12.0 423:6.0 428:5.0 431:2.0 439:2.0 441:5.0 446:2.0 450:3.0 452:4.0 457:1.0 462:3.0 463:4.0 470:2.0 472:2.0 476:3.0 477:2.0 484:5.0 485:3.0 493:1.0 494:8.0 496:3.0 499:2.0 500:4.0</t>
  </si>
  <si>
    <t>86</t>
  </si>
  <si>
    <t>sophorose</t>
  </si>
  <si>
    <t>953453</t>
  </si>
  <si>
    <t>319</t>
  </si>
  <si>
    <t>87:120.0 89:902.0 90:164.0 97:167.0 98:93.0 99:107.0 100:268.0 101:226.0 102:120.0 103:4527.0 104:371.0 105:297.0 107:9.0 108:37.0 109:187.0 112:1.0 113:188.0 115:91.0 116:183.0 117:1629.0 118:91.0 119:106.0 126:104.0 128:182.0 129:2104.0 130:123.0 131:347.0 132:4.0 133:663.0 134:132.0 136:65.0 138:36.0 139:49.0 140:10.0 142:309.0 143:235.0 144:119.0 145:210.0 147:4721.0 148:719.0 149:338.0 150:9.0 153:23.0 155:90.0 156:121.0 157:1018.0 158:306.0 159:135.0 160:3.0 161:130.0 163:167.0 165:114.0 166:13.0 168:7.0 169:410.0 170:6.0 171:91.0 173:571.0 174:447.0 175:109.0 176:3.0 179:99.0 181:80.0 182:3.0 183:73.0 186:75.0 187:17.0 189:551.0 190:223.0 191:1704.0 192:296.0 193:195.0 194:18.0 196:18.0 197:2.0 198:27.0 199:16.0 200:10.0 201:121.0 202:5.0 203:36.0 204:1719.0 205:2005.0 206:647.0 207:240.0 209:18.0 210:27.0 211:99.0 212:3.0 214:21.0 215:39.0 216:86.0 217:2649.0 218:703.0 219:353.0 220:69.0 221:206.0 222:120.0 223:60.0 224:19.0 226:9.0 227:14.0 228:9.0 229:240.0 230:115.0 231:64.0 232:47.0 233:102.0 235:20.0 236:25.0 238:14.0 240:9.0 241:2.0 243:258.0 244:304.0 245:136.0 246:229.0 247:59.0 248:10.0 249:4.0 250:1.0 252:13.0 256:16.0 257:2.0 258:21.0 259:110.0 260:74.0 261:21.0 265:28.0 268:16.0 269:63.0 270:21.0 271:130.0 272:13.0 273:20.0 274:60.0 276:4.0 277:33.0 280:23.0 281:122.0 283:9.0 288:13.0 289:7.0 291:43.0 294:15.0 295:28.0 298:1.0 299:26.0 300:167.0 301:70.0 303:11.0 305:1.0 306:11.0 307:711.0 308:178.0 309:78.0 310:18.0 311:1.0 314:24.0 315:48.0 316:2.0 317:19.0 319:1924.0 320:608.0 321:276.0 322:38.0 323:7.0 328:35.0 329:2.0 331:41.0 332:27.0 333:3.0 335:9.0 337:14.0 338:4.0 339:2.0 341:51.0 342:29.0 343:15.0 344:14.0 350:2.0 354:11.0 355:15.0 357:15.0 358:4.0 360:1.0 361:472.0 362:182.0 363:44.0 365:5.0 366:10.0 367:6.0 368:7.0 370:5.0 371:8.0 372:16.0 373:1.0 382:2.0 386:2.0 387:13.0 388:11.0 390:81.0 391:33.0 393:11.0 394:4.0 397:47.0 398:7.0 400:2.0 401:68.0 403:19.0 405:6.0 406:25.0 407:3.0 411:4.0 416:6.0 420:1.0 422:9.0 425:9.0 426:6.0 429:25.0 431:30.0 433:2.0 450:3.0 451:9.0 452:4.0 454:1.0 460:1.0 461:14.0 463:9.0 470:2.0 475:6.0 480:36.0 482:8.0 489:22.0 495:1.0 499:5.0</t>
  </si>
  <si>
    <t>339455</t>
  </si>
  <si>
    <t>132</t>
  </si>
  <si>
    <t>serine</t>
  </si>
  <si>
    <t>391397</t>
  </si>
  <si>
    <t>204</t>
  </si>
  <si>
    <t>85:291.0 86:1295.0 87:675.0 88:1087.0 89:864.0 90:47.0 92:50.0 93:16.0 97:18.0 98:65.0 99:114.0 100:17725.0 101:2373.0 102:1134.0 103:3887.0 104:329.0 105:468.0 106:100.0 108:117.0 109:26.0 110:268.0 112:15.0 113:132.0 114:2111.0 115:1502.0 116:6271.0 117:2419.0 118:354.0 119:583.0 120:127.0 121:55.0 128:120.0 129:339.0 130:2106.0 131:2160.0 132:3257.0 133:4064.0 134:689.0 135:345.0 136:143.0 137:3.0 139:22.0 142:69.0 144:570.0 145:37.0 146:453.0 147:10930.0 148:1742.0 149:1027.0 150:131.0 152:32.0 157:37.0 158:407.0 159:315.0 160:96.0 162:87.0 163:400.0 164:52.0 167:11.0 171:6.0 172:534.0 173:58.0 174:850.0 175:227.0 176:73.0 177:63.0 180:78.0 184:128.0 188:5127.0 189:1808.0 190:839.0 191:241.0 195:6.0 198:29.0 199:60.0 200:27.0 201:36.0 202:80.0 203:440.0 204:26079.0 205:5181.0 206:2190.0 207:20.0 208:10.0 214:1.0 215:10.0 216:986.0 217:228.0 218:14857.0 219:3393.0 220:1219.0 221:170.0 224:8.0 225:13.0 232:24.0 234:19.0 240:120.0 254:12.0 261:19.0 262:40.0 273:12.0 276:12.0 278:1245.0 279:382.0 280:165.0 284:37.0 285:24.0 286:24.0 290:13.0 291:1.0 292:4.0 298:29.0 299:76.0 300:8.0 306:478.0 307:198.0 308:75.0 309:13.0 314:28.0 317:7.0 333:21.0 336:9.0 347:12.0 348:13.0 351:9.0 355:6.0 357:7.0 364:13.0 366:3.0 368:13.0 376:28.0 389:1.0 394:10.0 401:19.0 403:2.0 408:19.0 409:10.0 410:30.0 415:12.0 416:3.0 426:7.0 428:18.0 433:1.0 438:14.0 440:6.0 442:2.0 450:6.0 461:8.0 464:12.0 469:2.0 470:9.0 479:1.0 486:1.0 487:9.0 491:1.0 492:21.0 494:2.0 498:19.0 499:7.0 500:5.0</t>
  </si>
  <si>
    <t>salicylaldehyde</t>
  </si>
  <si>
    <t>406706</t>
  </si>
  <si>
    <t>193</t>
  </si>
  <si>
    <t>85:808.0 86:1555.0 87:598.0 88:812.0 89:20107.0 90:13640.0 91:90174.0 92:7391.0 93:1350.0 94:468.0 95:216.0 96:3655.0 97:1190.0 99:2470.0 100:1258.0 102:620.0 104:224.0 105:1113.0 106:221.0 107:249.0 108:739.0 109:726.0 110:292.0 111:869.0 112:176.0 113:817.0 114:252.0 115:402.0 117:461.0 118:3382.0 119:105206.0 120:9043.0 121:2359.0 122:351.0 123:277.0 124:564.0 125:1.0 127:167.0 128:50.0 130:537.0 131:816.0 132:238.0 133:1150.0 135:342.0 136:372.0 137:114.0 138:47.0 139:19.0 140:140.0 143:18.0 147:732.0 148:2739.0 149:75156.0 150:11672.0 151:3186.0 152:507.0 153:173.0 155:2183.0 156:884.0 158:53.0 159:40.0 160:14.0 162:84.0 163:147.0 164:143.0 165:42.0 166:106.0 167:46.0 168:72.0 169:601.0 172:261.0 173:107.0 175:192.0 176:64.0 177:277.0 178:22.0 179:82.0 181:260.0 184:1044.0 185:70.0 186:691.0 187:41.0 188:45.0 191:28.0 192:674.0 193:69584.0 194:12101.0 195:3357.0 196:665.0 197:26.0 202:49.0 204:82.0 207:1195.0 208:7538.0 209:1441.0 210:873.0 211:396.0 212:99.0 213:57.0 214:500.0 215:50.0 216:39.0 219:39.0 223:29.0 224:50.0 225:37.0 227:764.0 228:120.0 229:26.0 230:16.0 232:219.0 233:9.0 236:13.0 237:22.0 238:225.0 239:57.0 240:12.0 241:16.0 243:126.0 244:61.0 246:5.0 251:27.0 252:6.0 253:249.0 254:37.0 255:11.0 256:1.0 268:13.0 271:10.0 272:30.0 275:12.0 277:7.0 281:31.0 282:34.0 283:32.0 285:13.0 288:16.0 289:12.0 293:24.0 295:2.0 301:5.0 304:1.0 306:1.0 319:2.0 322:7.0 323:23.0 325:9.0 328:17.0 329:23.0 339:1.0 349:1.0 356:7.0 373:2.0 390:11.0 415:55.0 417:1.0 437:1.0 443:18.0 456:3.0 469:1.0 487:1.0 495:3.0 499:3.0</t>
  </si>
  <si>
    <t>156</t>
  </si>
  <si>
    <t>ribulose-5-phosphate</t>
  </si>
  <si>
    <t>735613</t>
  </si>
  <si>
    <t>357</t>
  </si>
  <si>
    <t>85:54.0 86:53.0 87:29.0 88:15.0 89:657.0 90:45.0 91:45.0 92:20.0 93:28.0 94:1.0 95:10.0 96:5.0 98:9.0 99:8.0 100:47.0 101:488.0 102:58.0 103:654.0 104:16.0 105:66.0 106:3.0 107:5.0 109:9.0 110:8.0 111:2.0 112:23.0 113:57.0 114:154.0 115:23.0 116:143.0 117:65.0 118:10.0 119:32.0 120:6.0 121:4.0 126:53.0 128:85.0 129:316.0 130:51.0 131:130.0 132:10.0 133:464.0 134:4.0 135:41.0 136:13.0 140:5.0 142:41.0 143:21.0 144:1.0 146:4.0 147:786.0 148:82.0 149:109.0 150:1.0 151:12.0 152:5.0 153:1.0 154:5.0 156:13.0 157:3.0 161:3.0 163:11.0 164:12.0 167:1.0 168:50.0 169:1.0 170:5.0 171:6.0 172:19.0 173:7.0 174:32.0 176:4.0 177:4.0 179:5.0 180:1.0 181:8.0 186:6.0 188:1.0 191:42.0 192:1.0 193:10.0 195:29.0 197:1.0 198:6.0 200:27.0 201:30.0 202:4.0 203:1.0 204:16.0 207:31.0 209:4.0 211:166.0 212:16.0 213:8.0 214:12.0 215:7.0 216:2.0 217:86.0 218:20.0 219:6.0 223:3.0 224:8.0 225:51.0 226:7.0 227:23.0 228:39.0 230:8.0 231:2.0 236:3.0 240:1.0 241:5.0 242:13.0 243:5.0 244:17.0 245:6.0 247:2.0 248:3.0 249:3.0 253:9.0 255:1.0 256:18.0 257:7.0 258:1.0 259:5.0 260:3.0 262:13.0 263:1.0 264:1.0 265:2.0 267:1.0 274:2.0 279:1.0 280:5.0 283:2.0 285:3.0 286:1.0 287:1.0 288:3.0 289:4.0 290:1.0 296:2.0 298:9.0 299:301.0 300:74.0 301:27.0 303:2.0 313:2.0 315:71.0 316:13.0 317:8.0 327:4.0 328:1.0 330:4.0 331:1.0 332:9.0 334:1.0 336:1.0 337:3.0 338:4.0 339:4.0 340:1.0 341:48.0 342:4.0 344:3.0 346:2.0 347:12.0 348:8.0 349:2.0 350:3.0 355:2.0 356:48.0 357:1038.0 358:300.0 359:142.0 360:24.0 362:8.0 363:2.0 364:1.0 365:2.0 366:3.0 367:1.0 368:1.0 371:4.0 374:2.0 378:22.0 379:4.0 380:4.0 385:1.0 387:26.0 389:1.0 390:2.0 397:1.0 400:5.0 401:1.0 407:1.0 408:1.0 411:2.0 412:3.0 413:2.0 427:3.0 429:7.0 430:1.0 432:1.0 435:3.0 436:3.0 440:2.0 445:1.0 446:4.0 448:1.0 452:1.0 459:3.0 461:9.0 462:1.0 464:1.0 465:1.0 466:1.0 467:1.0 472:1.0 474:4.0 475:5.0 484:3.0 486:1.0 487:1.0 498:3.0</t>
  </si>
  <si>
    <t>ribose</t>
  </si>
  <si>
    <t>553606</t>
  </si>
  <si>
    <t>85:279.0 86:330.0 87:436.0 88:215.0 89:3091.0 90:348.0 91:46.0 93:7.0 94:28.0 95:7.0 96:14.0 97:34.0 98:83.0 99:241.0 100:887.0 101:1056.0 102:396.0 103:21334.0 104:2049.0 105:1677.0 106:121.0 107:30.0 108:1.0 109:5.0 110:11.0 111:58.0 112:133.0 113:218.0 114:420.0 115:352.0 116:289.0 117:2403.0 118:313.0 119:280.0 120:42.0 121:25.0 122:17.0 123:7.0 125:38.0 126:120.0 127:168.0 128:132.0 129:1920.0 130:565.0 131:1130.0 132:168.0 133:2592.0 134:413.0 135:235.0 136:18.0 137:3.0 138:6.0 140:71.0 141:82.0 142:184.0 143:310.0 144:89.0 145:300.0 146:53.0 147:7280.0 148:1132.0 149:762.0 150:83.0 151:47.0 152:30.0 153:15.0 154:20.0 155:20.0 156:33.0 157:109.0 158:244.0 159:99.0 160:1416.0 161:305.0 162:102.0 163:295.0 164:72.0 165:31.0 166:20.0 167:6.0 168:144.0 169:48.0 170:58.0 171:3.0 172:127.0 173:168.0 174:230.0 175:208.0 176:50.0 177:83.0 178:13.0 179:3.0 180:10.0 181:10.0 182:12.0 183:17.0 184:51.0 185:13.0 186:42.0 187:26.0 188:25.0 189:2138.0 190:408.0 191:494.0 192:125.0 193:21.0 194:11.0 195:11.0 196:6.0 198:83.0 199:5.0 200:84.0 201:163.0 202:53.0 203:124.0 204:557.0 205:607.0 206:201.0 207:105.0 208:24.0 209:25.0 210:6.0 212:3.0 213:9.0 214:26.0 215:46.0 216:198.0 217:6148.0 218:1202.0 219:501.0 220:87.0 221:159.0 222:48.0 223:6.0 224:12.0 226:18.0 227:1.0 228:31.0 229:21.0 230:50.0 231:133.0 232:107.0 233:327.0 234:149.0 235:52.0 236:13.0 237:1.0 240:7.0 241:14.0 242:68.0 243:17.0 244:26.0 245:13.0 246:60.0 247:13.0 248:40.0 249:20.0 250:15.0 251:11.0 252:3.0 254:15.0 255:7.0 256:57.0 257:69.0 258:13.0 259:21.0 260:10.0 261:13.0 262:140.0 263:21.0 264:3.0 265:31.0 266:10.0 270:3.0 271:1.0 272:29.0 273:13.0 274:82.0 275:25.0 276:9.0 277:413.0 278:176.0 279:88.0 280:10.0 281:11.0 282:7.0 283:6.0 284:18.0 285:1.0 286:9.0 287:1.0 288:37.0 289:20.0 290:17.0 291:82.0 292:28.0 293:9.0 296:5.0 297:5.0 298:7.0 299:7.0 300:6.0 304:6.0 305:46.0 306:66.0 307:1528.0 308:423.0 309:245.0 310:28.0 311:6.0 312:3.0 313:11.0 315:9.0 316:13.0 317:1.0 318:6.0 322:3.0 323:3.0 324:3.0 325:7.0 326:3.0 327:1.0 328:11.0 329:5.0 330:20.0 331:19.0 332:9.0 333:20.0 335:1.0 336:1.0 338:3.0 340:7.0 341:3.0 342:10.0 343:3.0 345:3.0 351:3.0 354:11.0 355:7.0 357:5.0 358:3.0 359:3.0 360:6.0 361:12.0 362:36.0 364:7.0 365:5.0 369:3.0 370:3.0 371:3.0 372:7.0 373:6.0 379:12.0 380:7.0 381:10.0 382:3.0 383:7.0 384:3.0 386:14.0 389:3.0 392:20.0 393:7.0 394:6.0 395:5.0 396:7.0 398:5.0 399:5.0 402:3.0 403:3.0 405:7.0 406:3.0 408:3.0 409:6.0 411:5.0 412:1.0 416:3.0 417:19.0 419:7.0 420:20.0 423:14.0 425:11.0 427:10.0 431:10.0 432:5.0 433:7.0 434:1.0 435:7.0 436:3.0 437:6.0 438:3.0 439:3.0 440:3.0 442:3.0 443:5.0 444:6.0 445:3.0 446:3.0 448:6.0 449:3.0 450:15.0 451:7.0 453:6.0 454:7.0 456:7.0 458:7.0 460:3.0 465:3.0 466:5.0 467:6.0 468:3.0 469:1.0 470:7.0 471:7.0 472:6.0 476:10.0 478:5.0 479:3.0 480:10.0 482:7.0 483:1.0 484:14.0 486:7.0 487:7.0 491:5.0 494:6.0 497:3.0 498:3.0 499:1.0 500:9.0</t>
  </si>
  <si>
    <t>pyruvic acid</t>
  </si>
  <si>
    <t>212241</t>
  </si>
  <si>
    <t>85:18315.0 86:5252.0 89:137277.0 90:12340.0 91:5391.0 92:40.0 93:1305.0 94:20.0 98:3485.0 99:46590.0 100:60978.0 101:6580.0 102:218.0 107:2897.0 108:297.0 110:6775.0 111:898.0 113:244.0 114:12290.0 115:64006.0 116:9701.0 118:2388.0 120:110.0 124:251.0 127:345.0 128:3955.0 130:1792.0 134:12084.0 136:1234.0 138:15.0 140:182.0 141:39.0 143:2848.0 154:2394.0 155:60.0 158:12682.0 165:9.0 167:1.0 168:390.0 170:1109.0 172:559.0 174:153873.0 175:16949.0 176:5977.0 184:10195.0 185:1779.0 189:713.0 198:71.0 199:882.0 209:7.0 226:8.0 228:5637.0 229:650.0 230:87.0 242:112.0 258:111.0 323:2.0 327:12.0 329:3.0 331:1.0 341:5.0 402:15.0 458:1.0 491:1.0</t>
  </si>
  <si>
    <t>pyrophosphate</t>
  </si>
  <si>
    <t>327474</t>
  </si>
  <si>
    <t>110</t>
  </si>
  <si>
    <t>86:1834.0 87:272.0 88:13804.0 89:3522.0 90:1153.0 91:9476.0 92:1445.0 93:2124.0 94:486.0 95:66.0 97:134.0 98:1735.0 100:736.0 101:52.0 102:1004.0 103:2495.0 104:687.0 105:3002.0 106:1634.0 107:16695.0 108:1329.0 109:6007.0 110:267845.0 111:10654.0 112:136.0 114:24.0 115:3679.0 116:155.0 117:1274.0 118:192.0 119:4109.0 120:970.0 121:5726.0 122:782.0 123:3399.0 124:207.0 125:1099.0 127:1585.0 131:2807.0 133:16933.0 134:26389.0 135:15432.0 136:3676.0 137:21820.0 138:1986.0 139:2088.0 140:419.0 141:477.0 143:525.0 144:336.0 145:311.0 147:1758.0 148:108.0 149:526.0 150:360.0 151:5033.0 152:584.0 153:770.0 155:543.0 159:3803.0 160:1262.0 161:297.0 163:2144.0 164:677.0 165:799.0 166:165.0 167:877.0 168:152.0 169:372.0 170:111.0 172:245.0 174:13.0 175:46.0 176:13.0 177:310.0 178:265.0 179:665.0 180:111.0 181:2764.0 182:386.0 183:643.0 184:8643.0 185:1046.0 187:32.0 193:29.0 194:2540.0 195:5313.0 196:1033.0 197:945.0 198:227.0 199:1395.0 200:176.0 201:84.0 203:1.0 209:1204.0 210:1616.0 211:18899.0 212:3152.0 213:1692.0 214:196.0 215:288.0 216:1932.0 217:187.0 218:67.0 219:3.0 220:12.0 221:14.0 222:34.0 223:53.0 224:181.0 225:9207.0 226:1902.0 227:11472.0 228:5212.0 229:3790.0 230:526.0 231:335.0 232:99.0 233:327.0 234:15.0 235:43.0 236:1.0 238:1710.0 239:355.0 240:806.0 241:21647.0 242:4004.0 243:3367.0 244:800.0 245:251.0 246:33.0 248:10.0 249:6.0 252:64.0 253:14.0 254:3082.0 255:660.0 256:2870.0 257:539.0 258:275.0 259:70.0 260:145.0 261:13.0 264:85.0 266:25.0 273:11.0 279:11.0 282:1610.0 283:299.0 284:137.0 285:21.0 286:16.0 287:9.0 288:9.0 289:13.0 303:11.0 306:68.0 307:12.0 308:12.0 313:13.0 315:4.0 316:153.0 318:28.0 331:146.0 332:40.0 333:5.0 335:1209.0 336:27226.0 337:5717.0 338:2538.0 339:317.0 340:63.0 343:15.0 345:5.0 350:61.0 351:1236.0 352:294.0 353:136.0 368:1.0 373:4.0 377:3.0 378:1.0 431:1.0</t>
  </si>
  <si>
    <t>putrescine</t>
  </si>
  <si>
    <t>587728</t>
  </si>
  <si>
    <t>85:331.0 86:6063.0 87:737.0 88:266.0 91:114.0 92:10.0 96:18.0 97:51.0 98:192.0 99:771.0 100:3165.0 101:468.0 102:380.0 103:12.0 104:6.0 108:36.0 110:182.0 112:301.0 113:191.0 114:575.0 115:250.0 116:533.0 117:427.0 118:95.0 120:11.0 123:8.0 124:44.0 126:749.0 127:139.0 128:358.0 129:81.0 130:1589.0 131:683.0 132:333.0 134:2.0 136:11.0 138:12.0 139:45.0 140:199.0 141:41.0 142:672.0 143:83.0 144:198.0 146:842.0 151:2.0 156:57.0 158:249.0 159:42.0 160:143.0 161:120.0 162:36.0 166:9.0 170:180.0 171:38.0 172:1630.0 173:368.0 174:20670.0 175:3638.0 176:1683.0 177:165.0 178:4.0 179:1.0 180:9.0 184:59.0 186:115.0 187:204.0 188:89.0 190:43.0 192:1.0 195:16.0 196:31.0 197:6.0 198:63.0 199:108.0 200:1164.0 201:225.0 202:145.0 203:25.0 204:26.0 205:4.0 207:13.0 213:23.0 214:1606.0 215:348.0 216:55.0 220:1.0 221:15.0 222:23.0 224:3.0 226:1.0 227:8.0 228:22.0 230:1.0 234:7.0 237:6.0 239:4.0 241:10.0 243:4.0 244:2.0 248:1.0 249:13.0 250:8.0 252:5.0 256:5.0 264:1.0 265:3.0 266:5.0 267:9.0 268:8.0 269:15.0 270:4.0 272:43.0 273:44.0 274:12.0 278:2.0 279:2.0 280:1.0 282:3.0 283:6.0 286:14.0 288:20.0 289:10.0 290:3.0 292:2.0 293:287.0 294:69.0 295:23.0 298:2.0 299:4.0 303:22.0 310:1.0 311:2.0 312:2.0 315:2.0 318:3.0 324:16.0 331:2.0 336:4.0 337:15.0 339:4.0 340:2.0 342:6.0 345:9.0 346:3.0 348:12.0 350:13.0 351:17.0 355:1.0 356:7.0 358:7.0 359:23.0 360:5.0 361:119.0 362:27.0 363:44.0 364:15.0 365:3.0 367:9.0 369:2.0 370:2.0 372:10.0 373:23.0 376:53.0 377:5.0 378:27.0 379:8.0 380:21.0 381:8.0 382:3.0 383:3.0 384:6.0 385:12.0 386:10.0 387:1.0 390:17.0 391:15.0 392:3.0 393:14.0 397:2.0 398:3.0 399:8.0 400:3.0 401:3.0 402:3.0 403:12.0 404:2.0 409:4.0 414:9.0 415:22.0 419:8.0 420:15.0 425:9.0 427:1.0 428:3.0 429:1.0 431:3.0 432:4.0 434:4.0 436:17.0 437:2.0 445:5.0 446:9.0 447:5.0 448:15.0 450:8.0 451:14.0 453:10.0 454:19.0 455:1.0 456:9.0 459:16.0 461:1.0 463:1.0 465:7.0 466:1.0 471:2.0 472:9.0 475:10.0 476:12.0 477:2.0 478:25.0 481:7.0 483:7.0 485:8.0 490:3.0 492:8.0 493:17.0 495:3.0 499:2.0</t>
  </si>
  <si>
    <t>pseudo uridine</t>
  </si>
  <si>
    <t>813829</t>
  </si>
  <si>
    <t>217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</si>
  <si>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</si>
  <si>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propane-1,3-diol NIST</t>
  </si>
  <si>
    <t>214259</t>
  </si>
  <si>
    <t>177</t>
  </si>
  <si>
    <t>147:136457.0 115:52492.0 130:38771.0 148:21374.0 133:14111.0 177:14086.0 131:12287.0 117:11965.0 103:11744.0 149:11695.0 101:10287.0 85:6165.0 116:5911.0 87:5534.0 205:3619.0 132:3181.0 99:2896.0 178:2292.0 119:1984.0 105:1584.0 134:1567.0 102:1527.0 118:1410.0 123:1299.0 179:1166.0 104:1094.0 95:1047.0 163:1033.0 207:984.0 86:963.0 150:867.0 93:773.0 113:630.0 125:623.0 88:615.0 89:548.0 206:427.0 192:383.0 189:344.0 191:286.0 90:285.0 193:281.0 120:265.0 94:260.0 100:236.0 151:220.0 164:209.0 129:200.0 96:192.0 249:176.0 135:163.0 121:143.0 128:139.0 185:135.0 165:124.0 175:124.0 124:121.0 195:120.0 145:113.0 341:104.0 176:100.0 281:97.0 236:85.0 92:80.0 144:71.0 97:67.0 114:63.0 208:60.0 162:53.0 167:50.0 111:49.0 160:37.0 187:28.0 126:26.0 200:25.0 166:20.0 194:19.0 140:18.0 155:18.0 416:14.0 256:12.0 158:11.0 217:11.0 310:11.0 233:8.0 188:7.0 228:7.0 279:7.0 152:6.0 218:5.0 327:5.0 198:4.0 415:4.0 443:4.0 283:3.0 141:2.0 224:1.0 245:1.0 269:1.0</t>
  </si>
  <si>
    <t>proline</t>
  </si>
  <si>
    <t>364232</t>
  </si>
  <si>
    <t>142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</si>
  <si>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</si>
  <si>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phosphoric acid</t>
  </si>
  <si>
    <t>314</t>
  </si>
  <si>
    <t>342472</t>
  </si>
  <si>
    <t>85:347.0 87:1211.0 88:336.0 89:1551.0 90:130.0 91:976.0 92:23.0 93:381.0 94:86.0 95:150.0 96:135.0 98:118.0 102:197.0 103:5646.0 104:1040.0 105:2917.0 106:556.0 107:1819.0 108:141.0 109:540.0 112:16.0 113:121.0 114:3.0 115:5937.0 116:443.0 117:2476.0 118:325.0 119:3968.0 120:496.0 121:3024.0 122:329.0 123:1403.0 124:73.0 125:24.0 128:189.0 129:54.0 130:26.0 131:3561.0 132:2477.0 133:22872.0 134:3453.0 135:7875.0 136:851.0 137:4356.0 138:420.0 139:417.0 140:24.0 142:5.0 143:58.0 144:515.0 145:327.0 147:6984.0 148:1036.0 149:1181.0 150:189.0 151:3860.0 152:350.0 153:622.0 154:37.0 155:1.0 158:9.0 159:177.0 161:119.0 163:728.0 164:110.0 165:1820.0 166:280.0 167:1536.0 168:241.0 169:132.0 170:1287.0 171:134.0 175:120.0 176:181.0 177:903.0 178:288.0 179:996.0 180:230.0 181:4184.0 182:567.0 183:1486.0 184:171.0 185:85.0 186:42.0 188:42.0 189:1486.0 190:305.0 191:6202.0 192:1237.0 193:7107.0 194:1211.0 195:1755.0 196:237.0 197:389.0 198:87.0 199:36.0 200:19.0 201:38.0 202:51.0 203:27.0 205:1244.0 206:174.0 207:6402.0 208:1269.0 209:1024.0 210:298.0 211:13256.0 212:1905.0 213:1024.0 214:109.0 215:16.0 216:2.0 219:22.0 221:638.0 222:113.0 223:84.0 225:3981.0 226:636.0 227:1224.0 228:144.0 229:31.0 232:3.0 234:4.0 239:45.0 240:38.0 241:43.0 242:34.0 243:9.0 252:1.0 253:258.0 254:16.0 255:221.0 256:48.0 257:16.0 258:12.0 267:286.0 268:95.0 269:500.0 270:115.0 271:30.0 282:29.0 283:4279.0 284:1088.0 285:675.0 286:91.0 287:23.0 289:20.0 297:4.0 298:1198.0 299:58252.0 300:14740.0 301:7852.0 302:1259.0 303:333.0 304:88.0 305:40.0 306:40.0 307:16.0 308:31.0 309:56.0 311:7.0 313:221.0 314:8401.0 315:2188.0 316:1083.0 317:178.0 318:34.0 320:6.0 329:9.0 331:4.0 344:2.0 350:10.0 353:5.0 370:7.0 397:2.0 401:18.0</t>
  </si>
  <si>
    <t>phosphoethanolamine</t>
  </si>
  <si>
    <t>604454</t>
  </si>
  <si>
    <t>100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</si>
  <si>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</si>
  <si>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116</t>
  </si>
  <si>
    <t>phenylethylamine</t>
  </si>
  <si>
    <t>512521</t>
  </si>
  <si>
    <t>174:9076.0 86:7261.0 100:3536.0 91:2022.0 175:1674.0 176:1495.0 130:850.0 87:811.0 250:538.0 102:323.0 162:321.0 121:278.0 105:229.0 101:228.0 110:215.0 117:213.0 116:174.0 148:170.0 160:166.0 118:157.0 158:153.0 144:144.0 131:139.0 135:139.0 107:135.0 92:107.0 177:104.0 251:96.0 149:90.0 172:89.0 134:84.0 99:76.0 104:74.0 184:68.0 88:67.0 252:64.0 299:48.0 120:45.0 159:45.0 114:44.0 106:35.0 127:29.0 143:28.0 146:28.0 173:28.0 500:27.0 113:25.0 140:25.0 89:22.0 254:21.0 379:21.0 98:20.0 304:20.0 469:18.0 198:16.0 467:16.0 85:14.0 432:14.0 494:14.0 497:14.0 312:13.0 109:11.0 318:11.0 388:11.0 129:10.0 199:10.0 258:10.0 374:10.0 223:9.0 394:9.0 402:9.0 419:9.0 141:8.0 289:8.0 293:8.0 157:6.0 303:6.0 349:6.0 353:6.0 291:5.0 111:4.0 213:4.0 275:4.0 474:4.0 485:4.0 166:3.0 200:3.0 288:3.0 333:3.0 448:3.0 300:2.0 344:2.0 434:2.0 444:2.0 481:2.0 108:1.0 128:1.0 139:1.0 259:1.0 278:1.0 311:1.0 423:1.0 459:1.0 464:1.0 476:1.0</t>
  </si>
  <si>
    <t>phenylalanine</t>
  </si>
  <si>
    <t>538016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</si>
  <si>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</si>
  <si>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pelargonic acid</t>
  </si>
  <si>
    <t>399163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</si>
  <si>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</si>
  <si>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pantothenic acid</t>
  </si>
  <si>
    <t>691214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</si>
  <si>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</si>
  <si>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palmitoleic acid</t>
  </si>
  <si>
    <t>706298</t>
  </si>
  <si>
    <t>129</t>
  </si>
  <si>
    <t>85:634.0 86:251.0 87:101.0 88:73.0 89:389.0 90:24.0 91:638.0 92:138.0 93:970.0 94:446.0 95:2278.0 96:2964.0 97:1797.0 98:2172.0 99:487.0 100:94.0 101:210.0 102:34.0 105:514.0 106:53.0 107:496.0 108:235.0 109:940.0 110:1010.0 111:563.0 112:318.0 113:92.0 114:12.0 115:58.0 116:923.0 117:10461.0 118:1002.0 119:716.0 120:75.0 121:367.0 122:123.0 123:663.0 124:350.0 125:149.0 126:18.0 127:68.0 128:55.0 129:7716.0 130:961.0 131:1658.0 132:1335.0 133:554.0 134:228.0 135:179.0 136:51.0 137:373.0 138:299.0 139:92.0 140:27.0 141:100.0 142:22.0 143:405.0 144:32.0 145:2221.0 146:239.0 147:62.0 148:61.0 149:13.0 150:10.0 151:236.0 152:551.0 153:103.0 155:269.0 156:83.0 157:162.0 158:25.0 159:124.0 160:3.0 161:50.0 162:2.0 165:98.0 166:79.0 167:5.0 168:2.0 169:66.0 170:23.0 171:237.0 172:82.0 173:88.0 175:8.0 179:31.0 180:15.0 181:4.0 183:154.0 184:4.0 185:419.0 186:73.0 187:64.0 188:23.0 192:34.0 193:68.0 194:369.0 195:39.0 197:29.0 199:440.0 200:55.0 201:78.0 208:16.0 211:8.0 213:103.0 214:4.0 215:6.0 216:4.0 225:3.0 226:1.0 227:62.0 228:4.0 229:10.0 236:198.0 237:4.0 241:19.0 242:5.0 243:1.0 244:16.0 245:1.0 255:5.0 258:2.0 272:3.0 274:1.0 283:2.0 288:2.0 303:4.0 305:1.0 310:1.0 311:1256.0 312:342.0 313:72.0 314:5.0 326:51.0 327:3.0 329:4.0 336:1.0 347:2.0 349:1.0 362:1.0 366:3.0 372:1.0 373:6.0 375:3.0 384:3.0 388:6.0 392:1.0 399:5.0 410:1.0 411:1.0 412:1.0 426:2.0 428:5.0 432:2.0 438:1.0 455:2.0 471:3.0 472:5.0 473:2.0 476:2.0 482:7.0 483:4.0 485:2.0</t>
  </si>
  <si>
    <t>palmitic acid</t>
  </si>
  <si>
    <t>711066</t>
  </si>
  <si>
    <t>313</t>
  </si>
  <si>
    <t>85:417.0 86:40.0 87:201.0 89:75.0 93:219.0 95:782.0 96:115.0 97:416.0 98:554.0 99:149.0 100:92.0 101:33.0 105:247.0 107:38.0 109:208.0 110:66.0 111:130.0 112:105.0 114:45.0 116:728.0 117:13594.0 118:1183.0 119:294.0 123:10.0 124:16.0 125:29.0 127:100.0 129:5841.0 130:857.0 131:2337.0 132:4614.0 133:569.0 134:74.0 140:42.0 143:334.0 144:22.0 145:2501.0 146:291.0 147:883.0 154:9.0 157:55.0 158:1.0 159:224.0 160:19.0 171:92.0 173:52.0 174:31.0 184:19.0 185:223.0 187:182.0 188:20.0 199:49.0 201:322.0 202:67.0 213:13.0 215:50.0 216:3.0 217:426.0 218:52.0 221:242.0 222:56.0 227:15.0 228:11.0 229:71.0 230:5.0 231:17.0 243:25.0 257:6.0 263:12.0 269:45.0 281:158.0 285:42.0 290:6.0 299:2.0 307:25.0 312:17.0 313:1773.0 314:499.0 315:120.0 328:55.0 332:6.0 355:25.0 396:2.0 428:2.0 438:8.0</t>
  </si>
  <si>
    <t>oxoproline</t>
  </si>
  <si>
    <t>486399</t>
  </si>
  <si>
    <t>85:411.0 86:579.0 88:30.0 89:41.0 90:9.0 91:54.0 92:82.0 94:22.0 95:6.0 96:21.0 97:47.0 98:104.0 99:161.0 100:396.0 101:80.0 102:65.0 103:101.0 104:1.0 105:43.0 108:29.0 109:3.0 110:132.0 111:17.0 112:450.0 113:124.0 114:209.0 115:135.0 116:17.0 117:189.0 118:27.0 119:42.0 120:2.0 122:46.0 124:7.0 125:4.0 126:70.0 127:40.0 128:29.0 129:51.0 130:26.0 131:381.0 132:107.0 133:669.0 134:94.0 135:61.0 136:7.0 137:1.0 139:14.0 140:506.0 141:153.0 142:112.0 145:1.0 146:4.0 147:3626.0 148:570.0 149:338.0 150:14.0 151:4.0 154:127.0 155:86.0 156:17955.0 157:2319.0 158:738.0 159:57.0 160:7.0 165:6.0 166:1.0 167:1.0 168:9.0 169:2.0 170:23.0 172:7.0 174:9.0 175:5.0 180:1.0 182:4.0 184:29.0 186:15.0 190:10.0 191:2.0 193:1.0 194:3.0 195:2.0 196:2.0 197:7.0 198:2.0 204:1.0 207:4.0 208:1.0 209:1.0 213:1.0 214:145.0 215:21.0 216:5.0 218:16.0 220:6.0 221:5.0 222:1.0 224:1.0 226:1.0 227:1.0 228:24.0 229:8.0 230:992.0 231:195.0 232:68.0 233:2.0 234:1.0 235:5.0 236:1.0 237:1.0 238:1.0 239:6.0 240:2.0 241:4.0 243:5.0 244:16.0 245:11.0 248:5.0 251:8.0 252:4.0 253:13.0 255:2.0 256:8.0 257:4.0 258:743.0 259:158.0 260:56.0 261:11.0 263:5.0 264:1.0 272:1.0 273:21.0 274:6.0 278:3.0 279:3.0 280:2.0 284:3.0 286:8.0 287:2.0 289:2.0 290:2.0 291:2.0 295:4.0 297:3.0 298:1.0 299:2.0 300:5.0 301:2.0 302:11.0 303:4.0 305:4.0 308:3.0 309:5.0 311:5.0 312:3.0 314:1.0 316:3.0 317:2.0 318:4.0 319:4.0 320:4.0 321:3.0 322:2.0 323:3.0 324:1.0 325:1.0 329:4.0 330:1.0 332:5.0 333:1.0 335:5.0 337:3.0 340:2.0 342:3.0 343:1.0 344:6.0 345:4.0 346:5.0 348:6.0 349:2.0 350:1.0 351:5.0 352:3.0 355:5.0 356:2.0 357:3.0 358:1.0 362:8.0 364:7.0 366:5.0 368:1.0 369:4.0 370:1.0 372:12.0 375:1.0 376:3.0 377:1.0 378:8.0 379:7.0 380:10.0 382:3.0 385:1.0 386:7.0 387:2.0 388:4.0 390:7.0 391:3.0 393:2.0 394:7.0 395:2.0 396:1.0 398:3.0 400:5.0 402:5.0 403:6.0 405:7.0 407:4.0 408:4.0 410:11.0 413:4.0 414:1.0 415:5.0 417:1.0 419:1.0 420:1.0 421:2.0 422:11.0 423:2.0 424:4.0 428:2.0 430:7.0 431:2.0 433:5.0 434:1.0 436:3.0 438:1.0 439:3.0 441:2.0 443:2.0 445:2.0 447:6.0 449:4.0 450:4.0 451:6.0 453:3.0 454:4.0 455:5.0 457:2.0 459:2.0 461:4.0 462:1.0 463:4.0 465:3.0 466:1.0 467:2.0 468:2.0 469:2.0 470:2.0 471:1.0 474:4.0 475:3.0 476:1.0 477:1.0 478:5.0 479:3.0 480:2.0 481:1.0 483:3.0 485:1.0 486:5.0 487:2.0 488:7.0 489:4.0 490:1.0 491:11.0 492:2.0 494:8.0 495:3.0 496:3.0 498:1.0 500:3.0</t>
  </si>
  <si>
    <t>147</t>
  </si>
  <si>
    <t>orotic acid</t>
  </si>
  <si>
    <t>586943</t>
  </si>
  <si>
    <t>254</t>
  </si>
  <si>
    <t>85:32.0 86:166.0 87:35.0 91:104.0 92:17.0 93:29.0 95:37.0 96:14.0 97:52.0 99:118.0 100:1124.0 102:170.0 103:3.0 104:3.0 107:64.0 108:54.0 110:22.0 111:55.0 112:54.0 116:45.0 117:5.0 122:14.0 124:16.0 126:40.0 127:65.0 131:303.0 132:11.0 133:244.0 134:81.0 137:12.0 138:7.0 140:48.0 144:23.0 147:618.0 148:78.0 149:37.0 154:156.0 156:18.0 158:13.0 159:33.0 160:14.0 166:27.0 167:20.0 172:9.0 173:11.0 174:201.0 175:43.0 184:46.0 196:16.0 199:43.0 201:2.0 210:18.0 214:46.0 216:5.0 224:6.0 225:6.0 226:14.0 227:8.0 232:18.0 238:30.0 239:82.0 240:28.0 241:35.0 244:3.0 248:4.0 253:165.0 254:1946.0 255:452.0 256:137.0 257:14.0 262:4.0 265:29.0 269:177.0 270:122.0 271:294.0 272:45.0 273:32.0 274:10.0 278:1.0 279:1.0 282:8.0 284:6.0 292:1.0 299:21.0 307:10.0 308:6.0 317:1.0 319:16.0 327:14.0 328:12.0 329:35.0 333:4.0 349:2.0 350:1.0 354:6.0 356:8.0 357:529.0 358:154.0 359:61.0 360:13.0 368:8.0 371:37.0 372:4.0 374:2.0 382:11.0 392:10.0 428:2.0 440:4.0 443:5.0 452:6.0 487:1.0 492:1.0 498:9.0</t>
  </si>
  <si>
    <t>ornithine</t>
  </si>
  <si>
    <t>527822</t>
  </si>
  <si>
    <t>85:254.0 86:485.0 88:721.0 89:1363.0 92:45.0 94:28.0 95:63.0 96:358.0 97:703.0 98:933.0 99:328.0 100:2198.0 101:509.0 102:6737.0 103:1070.0 104:759.0 105:138.0 106:44.0 107:9.0 108:201.0 110:280.0 111:224.0 112:387.0 113:303.0 114:655.0 115:2669.0 117:716.0 119:110.0 121:56.0 124:144.0 126:393.0 127:7.0 128:1086.0 129:354.0 132:453.0 133:841.0 135:59.0 138:12.0 139:89.0 140:788.0 141:92.0 142:33467.0 143:3805.0 144:3560.0 145:164.0 146:665.0 147:986.0 148:920.0 149:69.0 150:2.0 151:14.0 152:145.0 153:897.0 154:321.0 155:277.0 156:1501.0 157:557.0 158:88.0 162:2412.0 163:469.0 164:172.0 165:10.0 167:80.0 168:125.0 169:464.0 170:374.0 171:61.0 172:341.0 173:77.0 174:125.0 176:42.0 177:9.0 180:4.0 183:11.0 184:17.0 185:13.0 188:554.0 189:219.0 191:35.0 196:4.0 198:32.0 199:5.0 200:274.0 201:14.0 203:93.0 204:1774.0 205:331.0 206:77.0 214:131.0 216:1442.0 217:566.0 218:961.0 219:478.0 223:9.0 224:4.0 226:11.0 227:114.0 229:93.0 230:1.0 231:272.0 232:249.0 236:37.0 238:2.0 242:5.0 243:748.0 244:391.0 245:107.0 249:7.0 250:4.0 252:1.0 257:18.0 258:154.0 259:356.0 260:79.0 264:1.0 270:6.0 272:2.0 273:4.0 274:8.0 275:6.0 286:3.0 290:1.0 291:3.0 298:2.0 299:4.0 300:4.0 302:1.0 303:9.0 304:18.0 305:3.0 308:1.0 310:2.0 311:5.0 312:3.0 313:3.0 314:2.0 316:1.0 319:15.0 320:12.0 321:4.0 322:4.0 323:4.0 326:7.0 329:1.0 330:7.0 331:37.0 332:14.0 335:1.0 338:3.0 339:1.0 340:1.0 343:1.0 344:1.0 345:2.0 347:11.0 348:859.0 349:269.0 350:106.0 351:26.0 352:12.0 356:3.0 357:1.0 358:3.0 360:7.0 361:4.0 362:7.0 363:18.0 364:12.0 366:2.0 367:1.0 369:2.0 371:3.0 373:2.0 375:3.0 376:1.0 378:6.0 380:1.0 381:5.0 382:5.0 383:4.0 384:3.0 385:6.0 386:9.0 387:2.0 389:2.0 390:1.0 391:7.0 392:3.0 393:7.0 394:2.0 395:2.0 396:4.0 397:2.0 399:4.0 403:5.0 407:5.0 408:5.0 410:2.0 412:4.0 414:5.0 415:2.0 416:3.0 417:1.0 421:2.0 423:1.0 426:4.0 427:1.0 428:3.0 430:1.0 431:7.0 432:1.0 434:10.0 435:2.0 436:2.0 437:1.0 439:1.0 446:6.0 448:4.0 449:1.0 450:4.0 453:8.0 454:4.0 457:6.0 459:1.0 461:6.0 463:3.0 467:2.0 468:6.0 470:2.0 471:4.0 473:6.0 476:5.0 479:4.0 480:4.0 481:5.0 482:6.0 484:1.0 485:2.0 486:3.0 487:3.0 488:10.0 490:3.0 493:3.0 494:1.0 495:11.0 497:4.0 498:1.0 499:6.0</t>
  </si>
  <si>
    <t>oleic acid</t>
  </si>
  <si>
    <t>779154</t>
  </si>
  <si>
    <t>339</t>
  </si>
  <si>
    <t>85:991.0 86:254.0 87:140.0 88:96.0 89:590.0 90:81.0 91:194.0 92:45.0 93:265.0 94:348.0 95:2577.0 96:4488.0 97:2961.0 98:3321.0 99:736.0 100:34.0 101:232.0 102:36.0 103:181.0 104:1.0 105:382.0 106:40.0 107:201.0 109:1411.0 110:1664.0 111:1158.0 112:547.0 113:144.0 114:7.0 115:100.0 116:1440.0 117:14668.0 118:1451.0 119:1036.0 120:85.0 121:386.0 122:30.0 123:1152.0 124:600.0 125:312.0 126:99.0 127:62.0 128:64.0 129:11321.0 130:1441.0 131:2255.0 132:2220.0 133:987.0 134:433.0 135:200.0 137:627.0 138:465.0 139:124.0 140:35.0 141:77.0 142:81.0 143:690.0 144:110.0 145:3765.0 146:454.0 147:403.0 148:193.0 151:404.0 152:465.0 153:96.0 155:473.0 156:94.0 157:274.0 158:69.0 159:237.0 160:91.0 161:70.0 162:14.0 165:129.0 166:251.0 167:90.0 168:40.0 169:313.0 170:104.0 171:473.0 172:146.0 173:80.0 174:10.0 175:19.0 179:66.0 180:425.0 181:98.0 182:18.0 183:250.0 184:32.0 185:919.0 186:158.0 187:150.0 188:54.0 191:5.0 192:4.0 193:57.0 194:41.0 195:9.0 197:18.0 198:1.0 199:1006.0 200:131.0 201:157.0 202:3.0 203:1.0 207:82.0 208:41.0 209:18.0 211:73.0 212:15.0 213:121.0 214:1.0 215:16.0 217:72.0 218:9.0 220:60.0 221:114.0 222:424.0 223:60.0 225:17.0 226:7.0 227:125.0 228:1.0 229:20.0 230:1.0 234:10.0 235:44.0 236:46.0 237:2.0 239:6.0 241:105.0 242:7.0 243:62.0 245:4.0 246:4.0 253:8.0 255:27.0 256:6.0 257:37.0 258:5.0 264:259.0 265:54.0 267:2.0 270:7.0 271:34.0 272:31.0 275:1.0 281:11.0 282:6.0 283:1.0 285:1.0 286:6.0 287:1.0 295:11.0 300:7.0 311:20.0 312:2.0 313:2.0 317:2.0 318:3.0 322:1.0 329:4.0 331:2.0 337:9.0 338:44.0 339:1767.0 340:477.0 341:96.0 342:1.0 345:7.0 346:1.0 349:1.0 352:1.0 353:1.0 354:79.0 355:19.0 357:1.0 367:2.0 372:3.0 373:2.0 380:4.0 382:1.0 386:1.0 395:4.0 397:1.0 401:1.0 402:5.0 405:1.0 406:2.0 425:3.0 426:2.0 427:5.0 445:7.0 452:3.0 464:1.0 466:1.0 478:3.0 491:2.0 493:2.0</t>
  </si>
  <si>
    <t>N-methylalanine</t>
  </si>
  <si>
    <t>286258</t>
  </si>
  <si>
    <t>130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</si>
  <si>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</si>
  <si>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</si>
  <si>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470102</t>
  </si>
  <si>
    <t>90:486.0 91:242.0 92:616.0 93:873.0 94:1910.0 96:193.0 97:201.0 98:310.0 100:26700.0 103:47812.0 104:6064.0 105:13971.0 106:3133.0 107:235.0 108:97.0 109:1311.0 110:573.0 113:208.0 120:254.0 122:766.0 123:425.0 126:287.0 127:26372.0 128:1174.0 129:4948.0 131:280.0 132:165.0 135:469.0 136:26308.0 137:3366.0 138:1036.0 140:1183.0 143:126.0 150:831.0 151:409.0 152:44.0 155:1157.0 156:5130.0 157:1167.0 158:655.0 163:583.0 164:68.0 165:416.0 166:84.0 167:51.0 170:1855.0 171:15509.0 172:868.0 175:13.0 177:802.0 178:69.0 179:68316.0 180:10178.0 181:2978.0 184:3757.0 185:267.0 187:187.0 188:1452.0 191:3937.0 192:660.0 193:5189.0 194:2455.0 195:405.0 196:555.0 213:5.0 215:280.0 217:3539.0 218:847.0 220:22.0 224:357.0 228:907.0 229:325.0 230:4958.0 231:246.0 232:201.0 233:19.0 234:765.0 237:30.0 239:9.0 243:7223.0 244:2963.0 245:660.0 246:140.0 258:678.0 259:797.0 260:925.0 261:451.0 262:181.0 265:15.0 267:6.0 271:971.0 272:32.0 273:162.0 288:1.0 289:11.0 296:80.0 304:4.0 306:5.0 315:64.0 316:20.0 317:3.0 333:43.0 334:10.0 335:14.0 346:208.0 347:27.0 348:2511.0 349:560.0 350:191.0 382:8.0 383:37.0 384:27.0 397:2.0 398:29.0 399:8.0 401:40.0 416:7.0 429:20.0 441:13.0 461:1.0 463:4.0 471:2.0 479:1.0 489:17.0 497:27.0</t>
  </si>
  <si>
    <t>158</t>
  </si>
  <si>
    <t>N-acetylglutamate</t>
  </si>
  <si>
    <t>477593</t>
  </si>
  <si>
    <t>85:894.0 86:85.0 87:42.0 98:52.0 100:126.0 101:42.0 102:4.0 103:263.0 104:42.0 111:26.0 112:51.0 114:54.0 115:6.0 116:379.0 124:16.0 129:33.0 130:234.0 131:37.0 140:347.0 141:46.0 142:78.0 156:173.0 157:662.0 158:1049.0 159:132.0 160:20.0 169:37.0 186:403.0 187:49.0 201:10.0 205:14.0 217:152.0 218:29.0 221:5.0 223:47.0 279:8.0 317:10.0 341:7.0 354:12.0 360:5.0 361:4.0 383:4.0 396:17.0 402:20.0 403:11.0 415:5.0 423:13.0 438:21.0 449:9.0 454:10.0 457:19.0 474:1.0 483:3.0</t>
  </si>
  <si>
    <t>733793</t>
  </si>
  <si>
    <t>85:53.0 86:27.0 87:36.0 88:50.0 89:905.0 90:59.0 91:17.0 92:2.0 93:10.0 94:24.0 95:3.0 96:15.0 97:8.0 98:12.0 99:30.0 100:102.0 101:188.0 102:29.0 103:1838.0 104:167.0 105:164.0 106:12.0 109:2.0 110:6.0 111:10.0 112:7.0 113:45.0 114:281.0 115:56.0 116:42.0 117:836.0 118:70.0 119:86.0 120:9.0 121:3.0 122:3.0 125:3.0 126:13.0 127:5.0 128:11.0 129:863.0 130:118.0 131:244.0 132:20.0 133:647.0 134:47.0 135:17.0 136:4.0 137:6.0 138:4.0 139:12.0 140:6.0 141:16.0 142:27.0 143:61.0 144:12.0 145:13.0 146:6.0 147:2478.0 148:363.0 149:226.0 150:34.0 152:7.0 154:6.0 155:5.0 156:9.0 157:573.0 158:57.0 159:25.0 160:7.0 161:19.0 162:4.0 163:31.0 164:9.0 165:6.0 168:7.0 169:15.0 170:21.0 171:2.0 172:88.0 173:97.0 174:26.0 175:16.0 176:9.0 177:9.0 178:10.0 179:13.0 180:8.0 181:1.0 183:9.0 184:2.0 185:3.0 186:2.0 188:19.0 189:125.0 190:59.0 191:117.0 192:22.0 195:3.0 197:1.0 198:3.0 200:6.0 201:33.0 202:15.0 203:25.0 204:217.0 205:1211.0 206:216.0 207:138.0 209:18.0 210:11.0 214:15.0 215:5.0 216:35.0 217:640.0 218:103.0 219:32.0 220:12.0 221:45.0 222:8.0 223:3.0 224:3.0 225:1.0 226:1.0 229:160.0 230:48.0 231:8.0 232:4.0 233:3.0 234:10.0 236:10.0 237:10.0 238:7.0 240:3.0 242:10.0 244:18.0 245:13.0 246:7.0 247:7.0 248:13.0 249:14.0 250:7.0 251:1.0 254:1.0 255:2.0 256:23.0 257:12.0 258:10.0 259:10.0 260:6.0 261:3.0 262:174.0 263:27.0 264:8.0 265:9.0 266:5.0 268:4.0 270:1.0 271:1.0 272:2.0 273:6.0 275:4.0 276:3.0 277:5.0 278:7.0 280:6.0 282:10.0 283:11.0 286:5.0 287:8.0 291:45.0 292:16.0 293:26.0 294:14.0 295:14.0 296:4.0 297:5.0 298:7.0 300:4.0 301:1.0 302:4.0 303:9.0 304:7.0 305:48.0 306:17.0 307:36.0 308:25.0 309:10.0 310:3.0 311:3.0 312:2.0 314:5.0 315:5.0 316:3.0 318:67.0 319:914.0 320:250.0 321:109.0 322:25.0 323:19.0 324:1.0 325:3.0 326:1.0 327:5.0 328:11.0 329:1.0 330:6.0 331:18.0 332:18.0 333:10.0 335:8.0 338:23.0 339:11.0 340:12.0 341:5.0 342:3.0 343:12.0 345:1.0 346:1.0 347:7.0 349:5.0 350:1.0 352:1.0 353:5.0 355:17.0 356:14.0 357:17.0 359:1.0 361:4.0 362:5.0 363:1.0 364:5.0 365:2.0 368:2.0 370:6.0 373:6.0 375:6.0 376:19.0 377:1.0 378:8.0 379:1.0 380:4.0 382:14.0 386:9.0 387:1.0 388:12.0 389:9.0 390:7.0 391:6.0 392:3.0 393:3.0 394:8.0 396:3.0 397:4.0 398:3.0 400:5.0 402:5.0 403:2.0 404:5.0 405:2.0 406:4.0 411:3.0 415:3.0 416:7.0 417:4.0 418:6.0 419:2.0 421:4.0 422:3.0 423:2.0 424:5.0 427:4.0 428:8.0 429:3.0 431:8.0 432:2.0 433:2.0 434:15.0 435:1.0 436:5.0 437:6.0 438:3.0 439:12.0 440:1.0 442:7.0 443:4.0 444:1.0 445:5.0 446:7.0 447:1.0 448:7.0 450:2.0 452:4.0 453:1.0 454:2.0 456:11.0 457:1.0 459:8.0 460:3.0 461:12.0 462:4.0 463:13.0 465:10.0 467:1.0 471:13.0 472:2.0 474:2.0 475:1.0 477:4.0 479:5.0 480:3.0 481:1.0 482:5.0 483:4.0 484:1.0 485:5.0 486:2.0 487:8.0 488:3.0 489:3.0 490:7.0 492:7.0 495:3.0 498:14.0</t>
  </si>
  <si>
    <t>myristic acid</t>
  </si>
  <si>
    <t>634543</t>
  </si>
  <si>
    <t>285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</si>
  <si>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</si>
  <si>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mevalonic acid NIST</t>
  </si>
  <si>
    <t>498738</t>
  </si>
  <si>
    <t>85:4780.0 86:336.0 87:456.0 88:304.0 92:145.0 95:607.0 97:515.0 99:832.0 101:1539.0 102:335.0 103:12348.0 104:893.0 105:287.0 107:344.0 109:80.0 110:39.0 111:901.0 112:391.0 113:1772.0 114:124.0 115:6285.0 116:1774.0 117:5053.0 118:641.0 119:293.0 120:1.0 125:230.0 126:185.0 128:73.0 129:5534.0 130:1550.0 131:2072.0 132:193.0 133:4156.0 134:2024.0 135:349.0 136:178.0 140:76.0 141:437.0 142:76.0 143:6285.0 144:859.0 145:3008.0 146:404.0 147:14361.0 148:1877.0 149:4072.0 150:440.0 151:171.0 152:71.0 153:103.0 155:134.0 156:3169.0 157:2766.0 158:423.0 159:180.0 160:15.0 161:3.0 163:948.0 164:108.0 169:351.0 170:63.0 172:89.0 173:88.0 175:10.0 176:2.0 177:538.0 178:10.0 179:2.0 184:548.0 185:1903.0 186:192.0 187:95.0 189:648.0 190:138.0 191:256.0 192:35.0 197:11.0 203:1063.0 204:953.0 205:370.0 206:4.0 207:67.0 208:2.0 211:1.0 212:9.0 216:18.0 217:1275.0 218:89.0 219:21.0 220:7.0 221:24.0 223:1.0 230:3.0 231:660.0 232:68.0 233:3407.0 234:624.0 235:188.0 246:142.0 247:7498.0 248:1453.0 249:544.0 250:22.0 254:109.0 256:1.0 258:29.0 259:1416.0 260:235.0 261:83.0 269:2.0 271:5.0 274:80.0 278:1.0 279:1.0 293:3.0 295:2.0 306:12.0 319:98.0 320:34.0 321:2.0 348:9.0 349:265.0 350:12.0 351:7.0 383:13.0 385:8.0 500:6.0</t>
  </si>
  <si>
    <t>128</t>
  </si>
  <si>
    <t>637775</t>
  </si>
  <si>
    <t>86:65.0 87:5.0 88:44.0 89:23.0 90:94.0 91:111.0 94:5.0 96:5.0 97:95.0 98:12.0 99:29.0 100:441.0 101:64.0 102:125.0 104:54.0 105:40.0 106:10.0 107:1.0 108:8.0 110:129.0 112:71.0 113:34.0 114:65.0 115:19.0 118:43.0 119:33.0 120:5.0 121:1.0 125:2.0 126:6.0 128:2805.0 129:420.0 130:130.0 131:25.0 132:30.0 134:18.0 135:11.0 136:16.0 140:983.0 141:35.0 143:4.0 145:31.0 147:459.0 148:56.0 149:10.0 150:12.0 151:7.0 152:2.0 153:4.0 155:15.0 156:140.0 158:21.0 160:39.0 161:6.0 163:8.0 164:6.0 166:8.0 168:6.0 171:2.0 172:50.0 173:24.0 174:62.0 175:29.0 176:4.0 177:23.0 178:1.0 180:5.0 182:13.0 184:4.0 185:3.0 186:8.0 188:49.0 189:23.0 190:11.0 191:58.0 192:14.0 193:9.0 200:8.0 201:9.0 202:99.0 204:29.0 205:40.0 206:31.0 207:30.0 208:2.0 214:7.0 215:3.0 216:8.0 218:89.0 219:12.0 220:11.0 221:30.0 222:6.0 223:3.0 226:1.0 228:1.0 229:5.0 230:6.0 231:23.0 232:10.0 233:2.0 235:5.0 236:1.0 240:3.0 241:1.0 242:3.0 243:7.0 244:13.0 245:2.0 246:5.0 247:2.0 248:21.0 249:1.0 257:2.0 258:2.0 261:5.0 262:14.0 263:19.0 264:5.0 265:4.0 270:2.0 275:1.0 276:23.0 277:27.0 278:18.0 279:12.0 280:3.0 286:1.0 288:6.0 289:2.0 290:1.0 291:19.0 292:4.0 293:2.0 301:358.0 302:49.0 303:44.0 304:2.0 305:4.0 306:6.0 307:32.0 308:45.0 309:8.0 310:7.0 318:5.0 319:7.0 322:5.0 330:2.0 332:2.0 333:5.0 334:9.0 335:13.0 336:4.0 337:2.0 350:1.0 352:14.0 364:12.0 365:10.0 366:4.0 404:16.0 410:1.0 419:1.0 479:6.0</t>
  </si>
  <si>
    <t>methionine sulfoxide</t>
  </si>
  <si>
    <t>methionine</t>
  </si>
  <si>
    <t>483568</t>
  </si>
  <si>
    <t>176</t>
  </si>
  <si>
    <t>85:454.0 87:124.0 88:157.0 89:11837.0 90:886.0 91:406.0 93:55.0 94:473.0 95:65.0 96:347.0 98:34793.0 99:2989.0 100:6157.0 101:942.0 102:1291.0 103:8562.0 104:1156.0 105:1978.0 106:84.0 108:157.0 109:61.0 110:197.0 112:192.0 114:1776.0 115:1420.0 116:6996.0 117:504.0 118:229.0 119:558.0 120:10.0 121:62.0 122:66.0 125:237.0 128:22379.0 129:4727.0 130:3486.0 131:3991.0 132:1067.0 133:5865.0 134:1206.0 136:50.0 138:8.0 139:69.0 142:320.0 143:1794.0 144:8121.0 145:2400.0 146:2142.0 147:18716.0 148:2356.0 149:1666.0 150:445.0 152:38.0 153:7.0 155:82.0 159:246.0 160:769.0 161:12.0 162:47.0 163:34.0 164:11.0 165:17.0 166:42.0 167:83.0 168:406.0 170:657.0 171:344.0 172:1459.0 173:1058.0 174:48.0 175:77.0 176:23998.0 177:4695.0 178:2198.0 179:152.0 180:46.0 182:943.0 184:309.0 185:93.0 186:142.0 187:9.0 188:1689.0 189:1957.0 190:1561.0 191:5.0 194:7.0 195:76.0 197:78.0 198:147.0 199:159.0 200:267.0 201:20.0 202:1449.0 203:825.0 204:324.0 205:143.0 206:42.0 207:182.0 208:156.0 209:34.0 210:9.0 212:16.0 213:22.0 215:85.0 216:92.0 217:8072.0 218:2316.0 219:2673.0 220:567.0 221:1234.0 222:12.0 223:63.0 224:33.0 225:171.0 226:127.0 227:43.0 232:549.0 235:2.0 240:118.0 241:83.0 243:26.0 244:228.0 245:479.0 246:34.0 247:127.0 248:4.0 249:2.0 250:1118.0 251:305.0 252:127.0 253:24.0 255:11.0 256:27.0 263:64.0 264:24.0 265:26.0 266:114.0 267:125.0 268:25.0 269:9.0 271:33.0 272:172.0 273:85.0 274:117.0 276:2500.0 277:1014.0 278:342.0 279:200.0 289:75.0 291:388.0 292:104.0 293:1124.0 294:246.0 295:161.0 296:3.0 297:3.0 298:98.0 299:80.0 301:17.0 303:13.0 305:122.0 306:379.0 307:946.0 308:356.0 309:559.0 310:211.0 311:101.0 312:6.0 313:9.0 314:43.0 317:19.0 318:114.0 319:71.0 320:42.0 321:334.0 322:119.0 324:9.0 326:14.0 327:20.0 329:382.0 330:131.0 331:96.0 333:25.0 335:46.0 339:56.0 342:61.0 343:14.0 345:34.0 346:2.0 347:1.0 349:11.0 352:15.0 353:15.0 354:18.0 355:14.0 357:49.0 358:1.0 360:20.0 361:13.0 362:6.0 364:3.0 368:2.0 376:19.0 377:22.0 379:153.0 380:29.0 381:28.0 382:1.0 383:93.0 384:20.0 385:2.0 397:16.0 398:45.0 400:6.0 401:17.0 405:1.0 408:5.0 409:124.0 410:72.0 411:7.0 422:4.0 423:14.0 425:3.0 429:53.0 433:22.0 434:3.0 438:5.0 440:10.0 444:7.0 445:7.0 447:80.0 448:47.0 449:1.0 450:7.0 453:19.0 455:1.0 456:3.0 458:2.0 459:10.0 460:6.0 462:21.0 464:17.0 465:18.0 468:5.0 473:31.0 474:1.0 477:11.0 481:2.0 487:3.0 492:9.0 493:15.0 496:26.0 500:4.0</t>
  </si>
  <si>
    <t>mannose-6-phosphate NIST</t>
  </si>
  <si>
    <t>822477</t>
  </si>
  <si>
    <t>387</t>
  </si>
  <si>
    <t>86:92.0 87:86.0 89:258.0 98:250.0 101:1244.0 102:42.0 103:3266.0 110:43.0 115:361.0 116:780.0 117:2591.0 118:197.0 123:51.0 129:2109.0 130:252.0 131:270.0 132:112.0 133:1488.0 134:144.0 135:26.0 143:554.0 144:68.0 147:5395.0 148:904.0 149:294.0 151:17.0 153:42.0 155:59.0 157:552.0 163:48.0 165:6.0 168:6.0 169:197.0 177:4.0 181:20.0 182:58.0 183:256.0 184:118.0 189:405.0 190:20.0 191:447.0 192:97.0 193:151.0 195:107.0 197:29.0 203:61.0 204:964.0 205:1398.0 206:250.0 207:371.0 208:78.0 209:130.0 211:827.0 212:103.0 213:65.0 215:177.0 217:2663.0 218:600.0 219:75.0 225:298.0 227:209.0 228:23.0 229:56.0 230:73.0 231:263.0 232:7.0 233:16.0 240:15.0 243:172.0 244:51.0 246:98.0 251:57.0 253:36.0 255:254.0 256:28.0 257:171.0 259:454.0 260:28.0 261:36.0 264:27.0 265:14.0 269:1.0 272:15.0 276:32.0 277:27.0 283:109.0 284:21.0 285:153.0 286:10.0 288:1.0 289:17.0 291:75.0 292:32.0 298:94.0 299:2984.0 300:783.0 301:347.0 302:41.0 304:20.0 305:119.0 306:15.0 307:87.0 308:41.0 310:28.0 311:21.0 313:67.0 314:160.0 315:1974.0 316:523.0 317:291.0 318:93.0 319:273.0 320:87.0 328:113.0 329:32.0 330:32.0 331:109.0 332:59.0 341:157.0 342:2.0 343:33.0 344:47.0 345:58.0 346:8.0 347:55.0 349:104.0 350:22.0 352:2.0 353:10.0 354:19.0 356:43.0 357:810.0 358:225.0 359:102.0 361:10.0 363:1.0 368:1.0 369:37.0 370:68.0 371:48.0 372:24.0 373:108.0 374:32.0 376:7.0 383:4.0 386:176.0 387:2311.0 388:921.0 389:612.0 390:173.0 391:38.0 395:8.0 407:2.0 409:2.0 421:8.0 425:6.0 430:4.0 431:3.0 434:20.0 437:3.0 445:10.0 457:5.0 459:39.0 460:26.0 461:5.0 463:12.0 465:8.0 470:23.0 471:146.0 472:56.0 473:33.0 475:20.0 481:2.0 483:10.0 496:6.0</t>
  </si>
  <si>
    <t>maltotriose</t>
  </si>
  <si>
    <t>1177212</t>
  </si>
  <si>
    <t>85:97.0 86:25.0 87:89.0 88:46.0 89:718.0 90:51.0 94:2.0 95:3.0 97:191.0 98:5.0 99:78.0 100:204.0 101:321.0 102:188.0 103:3032.0 104:267.0 105:350.0 106:25.0 107:18.0 108:2.0 109:138.0 110:4.0 111:63.0 112:17.0 113:80.0 114:74.0 115:93.0 116:165.0 117:1875.0 118:168.0 119:96.0 120:16.0 121:7.0 125:5.0 126:8.0 127:45.0 128:40.0 129:2246.0 130:324.0 131:423.0 132:46.0 133:739.0 134:98.0 135:41.0 136:2.0 139:17.0 140:10.0 141:55.0 142:112.0 143:403.0 144:52.0 145:123.0 146:8.0 147:3899.0 148:599.0 149:449.0 150:44.0 151:24.0 152:6.0 153:64.0 154:14.0 155:285.0 156:48.0 157:407.0 158:71.0 159:66.0 160:626.0 161:128.0 162:20.0 163:95.0 164:1.0 165:39.0 166:1.0 167:22.0 168:12.0 169:1401.0 170:192.0 171:132.0 172:37.0 173:93.0 174:23.0 175:49.0 177:37.0 179:10.0 180:3.0 181:11.0 182:14.0 183:110.0 184:11.0 185:15.0 186:28.0 187:20.0 188:7.0 189:531.0 190:108.0 191:972.0 192:157.0 193:112.0 194:4.0 195:27.0 196:5.0 197:20.0 198:4.0 199:71.0 200:10.0 201:36.0 202:12.0 203:119.0 204:6880.0 205:2090.0 206:691.0 207:247.0 208:21.0 209:9.0 210:77.0 211:24.0 212:6.0 214:7.0 215:51.0 216:51.0 217:2198.0 218:478.0 219:216.0 220:26.0 221:134.0 222:4.0 223:11.0 225:6.0 227:14.0 228:15.0 229:105.0 230:85.0 231:296.0 232:85.0 233:91.0 234:31.0 235:24.0 236:5.0 237:7.0 238:4.0 239:1.0 241:29.0 242:26.0 243:576.0 244:160.0 245:140.0 246:67.0 247:59.0 248:6.0 249:12.0 251:9.0 253:12.0 255:15.0 256:15.0 257:85.0 258:5.0 259:84.0 260:11.0 261:13.0 262:14.0 263:5.0 264:9.0 265:30.0 266:3.0 268:2.0 269:11.0 270:9.0 271:892.0 272:187.0 273:104.0 274:37.0 275:15.0 276:13.0 277:14.0 278:3.0 279:2.0 281:2.0 282:19.0 285:7.0 286:1.0 287:6.0 288:1.0 289:43.0 290:10.0 291:46.0 292:21.0 293:8.0 297:4.0 300:54.0 301:5.0 302:10.0 303:7.0 304:5.0 305:105.0 306:30.0 307:27.0 312:1.0 313:7.0 315:2.0 316:4.0 317:36.0 318:18.0 319:188.0 320:61.0 321:28.0 322:7.0 323:1.0 324:2.0 325:5.0 330:6.0 331:90.0 332:54.0 333:29.0 334:13.0 335:5.0 336:3.0 337:2.0 341:19.0 343:5.0 345:23.0 346:1.0 347:6.0 349:5.0 350:1.0 355:15.0 357:4.0 358:9.0 359:19.0 360:117.0 361:2302.0 362:866.0 363:356.0 364:81.0 365:32.0 366:3.0 368:1.0 375:10.0 380:1.0 382:7.0 384:3.0 386:6.0 390:1.0 391:3.0 392:1.0 394:2.0 399:2.0 401:6.0 403:5.0 404:1.0 405:3.0 406:1.0 412:1.0 413:1.0 414:3.0 415:6.0 416:6.0 417:10.0 418:1.0 421:1.0 422:1.0 425:1.0 429:9.0 432:3.0 433:2.0 435:3.0 436:3.0 438:3.0 441:2.0 445:1.0 447:5.0 448:6.0 450:2.0 451:57.0 452:38.0 453:13.0 455:2.0 457:3.0 458:4.0 459:2.0 464:1.0 466:9.0 469:7.0 470:1.0 471:2.0 473:1.0 474:1.0 475:2.0 478:2.0 479:6.0 480:55.0 481:38.0 482:11.0 484:3.0 489:1.0 492:4.0 494:7.0 498:1.0</t>
  </si>
  <si>
    <t>947786</t>
  </si>
  <si>
    <t>361</t>
  </si>
  <si>
    <t>85:66.0 86:89.0 88:66.0 89:633.0 90:88.0 92:8.0 97:20.0 98:69.0 99:142.0 100:263.0 101:155.0 102:177.0 103:1337.0 104:187.0 105:382.0 106:36.0 109:53.0 111:53.0 113:132.0 114:115.0 115:44.0 116:113.0 117:377.0 118:20.0 121:38.0 122:25.0 125:18.0 126:76.0 127:97.0 128:72.0 129:1039.0 130:340.0 131:406.0 132:79.0 133:635.0 134:97.0 135:118.0 137:3.0 138:2.0 139:43.0 140:49.0 141:54.0 142:100.0 143:657.0 144:104.0 145:147.0 146:34.0 147:3298.0 148:416.0 149:357.0 150:53.0 152:17.0 153:53.0 154:28.0 155:132.0 156:27.0 157:227.0 158:33.0 159:53.0 160:803.0 161:174.0 162:44.0 163:116.0 164:1.0 165:68.0 166:49.0 167:50.0 168:80.0 169:758.0 170:141.0 171:207.0 172:137.0 173:25.0 174:52.0 175:27.0 176:62.0 177:90.0 178:18.0 180:30.0 181:32.0 182:89.0 183:101.0 184:52.0 185:35.0 186:62.0 187:58.0 188:21.0 189:406.0 190:131.0 192:23.0 193:52.0 194:43.0 196:50.0 197:46.0 198:67.0 199:73.0 200:23.0 201:84.0 202:6.0 203:94.0 204:3784.0 205:763.0 206:399.0 207:70.0 208:31.0 210:45.0 211:19.0 212:34.0 214:24.0 215:22.0 216:131.0 217:1760.0 218:549.0 219:411.0 220:50.0 221:159.0 222:46.0 223:39.0 224:23.0 225:16.0 226:46.0 227:48.0 228:62.0 229:119.0 230:37.0 231:191.0 232:67.0 233:89.0 235:40.0 236:27.0 237:20.0 238:3.0 239:17.0 240:64.0 241:33.0 242:70.0 243:251.0 244:46.0 245:247.0 246:70.0 247:75.0 248:14.0 249:20.0 250:22.0 251:54.0 252:6.0 253:30.0 254:6.0 255:20.0 256:65.0 257:116.0 258:3.0 259:25.0 260:23.0 261:108.0 262:49.0 263:72.0 264:26.0 265:9.0 266:70.0 267:70.0 269:60.0 270:46.0 271:281.0 272:99.0 273:15.0 274:43.0 275:32.0 276:22.0 277:32.0 278:7.0 279:33.0 280:8.0 281:38.0 282:33.0 283:34.0 284:70.0 285:60.0 286:79.0 287:26.0 289:38.0 290:23.0 291:107.0 292:99.0 293:56.0 295:18.0 296:5.0 298:28.0 300:69.0 302:27.0 303:2.0 304:47.0 305:61.0 306:79.0 307:45.0 308:2.0 309:15.0 311:39.0 312:71.0 313:12.0 314:91.0 315:12.0 316:67.0 317:12.0 318:41.0 319:111.0 320:27.0 321:36.0 322:44.0 323:16.0 324:33.0 325:18.0 326:5.0 327:24.0 328:9.0 329:54.0 330:19.0 331:40.0 332:25.0 333:147.0 334:76.0 335:71.0 336:20.0 337:44.0 339:3.0 340:9.0 342:8.0 344:59.0 345:101.0 346:34.0 347:60.0 348:37.0 349:26.0 350:27.0 351:16.0 352:29.0 353:11.0 354:71.0 355:17.0 357:37.0 358:13.0 359:15.0 360:91.0 361:923.0 362:210.0 363:158.0 364:34.0 366:37.0 368:37.0 371:45.0 372:47.0 373:36.0 374:27.0 375:55.0 376:37.0 377:48.0 378:51.0 379:49.0 380:25.0 382:27.0 383:36.0 384:28.0 386:35.0 387:13.0 388:73.0 389:13.0 390:37.0 391:40.0 392:71.0 393:19.0 394:23.0 395:16.0 396:41.0 400:35.0 401:23.0 402:9.0 404:25.0 405:18.0 406:18.0 407:31.0 408:31.0 409:22.0 410:32.0 411:37.0 412:52.0 413:32.0 414:25.0 415:74.0 416:32.0 417:53.0 418:19.0 419:35.0 420:2.0 421:12.0 422:16.0 423:60.0 424:26.0 425:14.0 426:31.0 427:46.0 428:58.0 429:33.0 430:26.0 431:8.0 432:15.0 434:26.0 436:58.0 437:16.0 438:29.0 439:35.0 440:31.0 441:24.0 442:60.0 443:30.0 444:56.0 446:9.0 447:49.0 448:20.0 449:13.0 450:22.0 451:103.0 452:83.0 453:54.0 455:44.0 456:22.0 457:19.0 458:33.0 459:61.0 460:14.0 461:8.0 462:68.0 463:12.0 464:39.0 465:20.0 467:19.0 468:5.0 469:3.0 470:35.0 471:31.0 472:32.0 473:23.0 474:26.0 475:11.0 476:41.0 477:2.0 478:27.0 479:27.0 480:12.0 481:42.0 482:19.0 483:13.0 486:26.0 487:32.0 488:13.0 489:17.0 490:25.0 491:51.0 492:38.0 493:31.0 494:104.0 495:82.0 496:34.0 497:38.0 498:11.0 499:26.0</t>
  </si>
  <si>
    <t>malic acid</t>
  </si>
  <si>
    <t>461034</t>
  </si>
  <si>
    <t>233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</si>
  <si>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</si>
  <si>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</si>
  <si>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244928</t>
  </si>
  <si>
    <t>154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</si>
  <si>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</si>
  <si>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540208</t>
  </si>
  <si>
    <t>86:647.0 87:140.0 88:193.0 89:1957.0 90:207.0 91:31.0 97:220.0 100:631.0 101:576.0 103:12445.0 104:1077.0 105:670.0 106:250.0 107:404.0 113:148.0 114:124.0 115:128.0 116:132.0 117:1156.0 118:145.0 119:95.0 127:106.0 129:1044.0 130:497.0 131:639.0 133:989.0 134:540.0 135:220.0 138:9.0 143:249.0 145:69.0 146:171.0 147:2009.0 148:618.0 149:639.0 150:47.0 157:73.0 158:20.0 160:651.0 161:188.0 162:7.0 163:84.0 166:25.0 170:1.0 172:35.0 173:15.0 174:65.0 175:67.0 185:50.0 186:25.0 187:4.0 188:77.0 189:1051.0 190:160.0 191:137.0 192:5.0 193:25.0 198:3.0 199:78.0 201:60.0 203:45.0 204:256.0 205:417.0 206:55.0 207:147.0 214:5.0 215:3.0 216:7.0 217:4400.0 218:743.0 219:371.0 220:31.0 224:1.0 231:17.0 233:219.0 234:79.0 235:9.0 236:1.0 238:9.0 239:12.0 240:10.0 241:10.0 244:9.0 245:11.0 248:10.0 253:3.0 256:12.0 262:38.0 266:5.0 275:24.0 277:296.0 278:40.0 279:19.0 287:32.0 294:12.0 303:11.0 307:1269.0 308:307.0 309:154.0 310:17.0 318:2.0 324:8.0 325:22.0 336:20.0 340:1.0 341:11.0 352:12.0 362:15.0 370:7.0 373:17.0 379:15.0 383:20.0 389:5.0 400:8.0 401:2.0 406:6.0 407:4.0 408:5.0 409:2.0 413:19.0 414:5.0 417:3.0 419:7.0 421:2.0 427:2.0 429:16.0 431:8.0 437:1.0 448:21.0 456:1.0 459:6.0 460:3.0 470:8.0 488:1.0 491:1.0 494:2.0 495:16.0 498:3.0</t>
  </si>
  <si>
    <t>lysine</t>
  </si>
  <si>
    <t>663816</t>
  </si>
  <si>
    <t>85:70.0 86:263.0 87:37.0 88:156.0 89:59.0 90:9.0 91:501.0 92:1739.0 93:88.0 94:6.0 95:10.0 96:3.0 97:9.0 99:103.0 100:324.0 101:240.0 102:98.0 103:267.0 104:33.0 105:28.0 106:3.0 107:27.0 108:6.0 110:21.0 111:2.0 112:67.0 113:21.0 114:28.0 115:192.0 116:39.0 117:90.0 118:19.0 119:61.0 122:4.0 123:4.0 124:4.0 126:24.0 127:37.0 128:271.0 129:74.0 130:109.0 131:231.0 132:34.0 133:587.0 134:121.0 135:77.0 136:3.0 137:34.0 138:35.0 139:2.0 140:47.0 141:13.0 142:63.0 143:30.0 144:12.0 145:3.0 146:53.0 147:1148.0 148:214.0 149:223.0 150:52.0 151:65.0 152:2.0 153:21.0 154:71.0 155:28.0 156:861.0 157:44.0 158:3.0 160:69.0 161:7.0 164:4.0 165:9.0 167:5.0 169:3.0 172:72.0 173:7.0 174:638.0 175:111.0 176:38.0 177:6.0 178:7.0 181:6.0 183:1.0 184:1.0 185:3.0 186:2.0 187:6.0 188:6.0 189:26.0 190:5.0 193:3.0 195:7.0 197:6.0 198:1.0 199:2.0 200:42.0 201:87.0 202:31.0 203:5.0 206:4.0 207:17.0 208:15.0 211:23.0 212:14.0 213:7.0 214:8.0 215:43.0 216:56.0 217:208.0 218:37.0 219:30.0 220:15.0 221:49.0 222:4.0 223:5.0 224:8.0 225:5.0 226:8.0 227:6.0 228:41.0 230:116.0 231:13.0 232:14.0 233:1.0 234:6.0 235:15.0 236:13.0 237:2.0 238:20.0 239:15.0 241:18.0 243:9.0 244:6.0 245:20.0 246:4.0 248:14.0 249:9.0 250:12.0 251:10.0 252:15.0 253:15.0 254:15.0 255:10.0 257:21.0 266:9.0 267:8.0 268:2.0 269:2.0 270:2.0 271:3.0 272:27.0 273:13.0 274:19.0 275:7.0 278:4.0 281:12.0 282:14.0 283:7.0 284:17.0 285:9.0 286:6.0 287:15.0 288:2.0 289:25.0 290:17.0 291:6.0 294:16.0 295:6.0 296:8.0 297:7.0 298:12.0 299:4.0 300:6.0 301:7.0 302:7.0 304:75.0 305:2507.0 306:715.0 307:106.0 308:43.0 311:13.0 312:14.0 313:13.0 314:26.0 315:6.0 316:12.0 317:142.0 318:48.0 319:19.0 322:3.0 323:12.0 324:4.0 325:5.0 326:1.0 327:19.0 328:14.0 329:29.0 330:5.0 334:8.0 336:4.0 337:11.0 338:21.0 339:12.0 340:17.0 341:16.0 342:24.0 343:23.0 344:2.0 346:12.0 347:6.0 348:22.0 349:1.0 350:9.0 351:13.0 352:20.0 353:4.0 354:14.0 355:6.0 356:15.0 357:7.0 358:2.0 359:24.0 360:4.0 362:1.0 363:1.0 364:15.0 367:6.0 368:28.0 369:11.0 370:32.0 371:9.0 372:23.0 373:19.0 374:16.0 375:9.0 376:13.0 377:4.0 378:8.0 379:30.0 380:31.0 381:9.0 382:15.0 383:17.0 384:17.0 385:17.0 386:5.0 387:14.0 388:22.0 389:9.0 390:9.0 391:19.0 392:20.0 393:2.0 394:6.0 395:12.0 396:4.0 397:14.0 398:1.0 399:27.0 400:11.0 401:13.0 402:11.0 403:10.0 404:6.0 405:5.0 406:4.0 407:22.0 408:21.0 409:27.0 410:21.0 411:6.0 412:8.0 413:20.0 414:2.0 415:19.0 416:6.0 417:5.0 418:11.0 419:42.0 420:31.0 421:7.0 422:4.0 423:4.0 424:9.0 426:12.0 427:16.0 428:1.0 430:10.0 431:4.0 432:8.0 433:9.0 434:23.0 435:8.0 436:8.0 438:5.0 439:4.0 440:17.0 441:15.0 442:21.0 443:7.0 444:13.0 445:14.0 446:20.0 447:15.0 448:4.0 449:2.0 450:18.0 451:19.0 452:9.0 453:17.0 455:12.0 456:11.0 457:22.0 458:10.0 459:17.0 460:10.0 461:14.0 462:13.0 463:15.0 464:6.0 465:13.0 466:9.0 467:6.0 468:8.0 469:15.0 470:8.0 472:12.0 473:5.0 474:11.0 475:10.0 476:8.0 477:2.0 478:4.0 479:6.0 480:6.0 481:9.0 482:8.0 483:8.0 484:4.0 486:25.0 487:8.0 488:11.0 489:13.0 491:7.0 492:2.0 493:11.0 494:11.0 495:14.0 497:8.0 499:1.0 500:3.0</t>
  </si>
  <si>
    <t>levoglucosan</t>
  </si>
  <si>
    <t>569799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</si>
  <si>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</si>
  <si>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</si>
  <si>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346072</t>
  </si>
  <si>
    <t>85:34512.0 86:149407.0 87:41792.0 88:23086.0 89:13601.0 90:4836.0 91:2533.0 92:1249.0 93:1251.0 94:8767.0 95:5569.0 96:19664.0 97:16211.0 98:33287.0 99:57259.0 100:617018.0 101:90578.0 102:1134578.0 103:183427.0 104:49957.0 105:28416.0 106:2960.0 108:364.0 109:877.0 110:13183.0 111:5382.0 112:20993.0 113:15106.0 114:46145.0 115:130234.0 116:200134.0 117:44507.0 118:22908.0 119:28038.0 120:4759.0 121:1802.0 122:1062.0 123:1160.0 124:3679.0 125:2629.0 126:17565.0 127:2111.0 128:118697.0 129:44660.0 130:208310.0 131:99879.0 132:107328.0 133:165830.0 134:23753.0 135:15384.0 136:2115.0 137:1426.0 138:1449.0 139:1868.0 140:5377.0 141:2920.0 142:76030.0 143:19825.0 144:20688.0 145:5146.0 146:14913.0 147:438753.0 148:66211.0 149:33766.0 150:4276.0 151:640.0 152:3740.0 153:1698.0 154:7980.0 155:2071.0 156:17475.0 157:11032.0 158:3910272.0 159:665680.0 160:177698.0 161:20896.0 162:3380.0 163:7543.0 164:2376.0 165:1779.0 166:876.0 167:392.0 168:1929.0 169:1518.0 170:47154.0 171:15019.0 172:10350.0 173:3305.0 175:1048.0 176:13297.0 177:13145.0 178:3521.0 179:822.0 182:214.0 183:276.0 185:660.0 186:4809.0 187:1383.0 188:5269.0 189:1250.0 190:2598.0 191:10365.0 192:2993.0 193:381.0 194:183.0 195:61.0 196:452.0 197:283.0 198:312.0 200:866.0 201:143.0 202:5094.0 203:12010.0 204:6464.0 210:271.0 211:1712.0 212:310.0 213:63.0 214:746.0 215:475.0 216:4840.0 217:2059.0 218:108516.0 219:27282.0 220:10663.0 221:651.0 222:225.0 226:256.0 227:177.0 228:72.0 229:117.0 230:1472.0 231:7795.0 232:139732.0 233:37491.0 234:14661.0 235:2523.0 236:550.0 237:151.0 238:246.0 239:89.0 241:7.0 242:1069.0 243:489.0 244:357.0 245:335.0 246:834.0 247:481.0 248:239.0 250:29.0 251:144.0 252:114.0 253:160.0 254:37.0 255:39.0 257:2600.0 258:1402.0 259:479.0 260:36336.0 261:8328.0 262:3321.0 263:356.0 264:32.0 274:333.0 275:424.0 276:194.0 277:70.0 278:3.0 281:10.0 282:16.0 285:337.0 286:132.0 290:42.0 300:534.0 302:171.0 305:2.0 306:36.0 309:27.0 318:31.0 320:13.0 323:58.0 328:7.0 331:3.0 332:3.0 335:59.0 338:4.0 344:7.0 347:1.0 351:10.0 352:23.0 359:5.0 365:2.0 367:13.0 371:23.0 376:10.0 386:5.0 388:41.0 390:2.0 392:29.0 399:5.0 402:4.0 405:1.0 406:25.0 407:1.0 410:2.0 413:17.0 414:35.0 417:10.0 420:12.0 424:4.0 427:2.0 434:12.0 435:6.0 437:30.0 439:63.0 441:24.0 447:3.0 449:5.0 452:22.0 453:21.0 455:3.0 457:4.0 462:2.0 463:11.0 468:16.0 470:28.0 471:11.0 474:3.0 476:24.0 481:27.0 483:26.0 492:28.0 495:30.0</t>
  </si>
  <si>
    <t>lactic acid</t>
  </si>
  <si>
    <t>216442</t>
  </si>
  <si>
    <t>86:203.0 87:2389.0 88:3792.0 89:684.0 90:27.0 93:18.0 94:152.0 96:152.0 97:684.0 98:431.0 99:171.0 100:80.0 101:2248.0 102:1625.0 103:1433.0 104:247.0 105:490.0 106:42.0 107:103.0 108:21.0 113:82.0 114:5.0 115:1043.0 116:486.0 117:36844.0 118:3990.0 119:1944.0 120:129.0 121:22.0 122:8.0 123:8.0 124:20.0 125:714.0 126:12.0 129:687.0 130:173.0 131:2485.0 132:397.0 133:5026.0 134:757.0 135:417.0 136:36.0 139:69.0 143:14.0 144:2.0 145:44.0 146:40.0 147:41150.0 148:6507.0 149:3640.0 150:331.0 152:3.0 153:8.0 154:160.0 159:3.0 160:8.0 161:16.0 162:19.0 163:22.0 164:3.0 171:1.0 172:5.0 173:6.0 175:258.0 176:48.0 177:16.0 181:1.0 182:1.0 184:53.0 185:12.0 186:7.0 187:9.0 188:3.0 189:1.0 190:3826.0 191:6387.0 192:1351.0 193:459.0 194:65.0 195:12.0 196:5.0 197:9.0 198:15.0 199:15.0 203:186.0 204:30.0 205:15.0 206:11.0 207:1.0 208:9.0 210:3.0 211:1.0 212:1.0 217:24.0 218:10.0 219:1348.0 220:245.0 221:92.0 222:17.0 223:9.0 224:5.0 232:6.0 233:7.0 234:17.0 235:6.0 236:2.0 239:1.0 241:2.0 242:5.0 246:5.0 247:2.0 248:1.0 256:6.0 257:1.0 259:1.0 260:4.0 267:8.0 268:8.0 269:5.0 270:2.0 272:10.0 273:2.0 277:2.0 278:2.0 279:3.0 281:1.0 283:3.0 284:9.0 286:3.0 287:4.0 288:3.0 289:2.0 290:1.0 291:4.0 293:4.0 295:2.0 296:2.0 298:1.0 300:5.0 301:2.0 302:6.0 305:1.0 306:2.0 310:7.0 311:1.0 312:4.0 315:1.0 316:2.0 317:4.0 319:2.0 321:2.0 322:8.0 326:10.0 327:7.0 329:6.0 332:5.0 334:3.0 335:1.0 336:5.0 337:5.0 340:1.0 342:1.0 343:2.0 348:6.0 351:1.0 353:4.0 354:8.0 356:1.0 357:2.0 358:1.0 359:1.0 361:3.0 363:2.0 366:9.0 367:4.0 368:3.0 370:8.0 372:7.0 373:2.0 376:1.0 380:1.0 381:2.0 384:1.0 385:6.0 386:2.0 387:3.0 388:3.0 389:2.0 390:1.0 394:1.0 397:2.0 398:5.0 399:2.0 400:1.0 408:15.0 409:3.0 413:3.0 414:7.0 415:2.0 416:5.0 417:8.0 418:1.0 423:4.0 425:1.0 426:2.0 427:5.0 429:2.0 430:3.0 433:1.0 434:2.0 437:2.0 441:3.0 449:3.0 450:1.0 453:1.0 454:3.0 455:10.0 456:5.0 458:2.0 459:1.0 461:6.0 462:1.0 464:3.0 466:2.0 467:2.0 468:4.0 471:1.0 475:5.0 476:5.0 478:1.0 481:7.0 483:1.0 484:7.0 489:3.0 490:1.0 491:5.0 493:4.0 496:7.0 497:3.0</t>
  </si>
  <si>
    <t>isothreonic acid</t>
  </si>
  <si>
    <t>489846</t>
  </si>
  <si>
    <t>85:155.0 86:70.0 89:322.0 90:41.0 91:85.0 92:73.0 93:234.0 96:28.0 98:28.0 99:31.0 101:76.0 102:1447.0 103:1824.0 104:203.0 105:115.0 106:38.0 108:13.0 110:10.0 112:44.0 113:75.0 114:25.0 116:110.0 117:2303.0 118:235.0 119:183.0 120:24.0 126:17.0 127:15.0 128:10.0 129:277.0 130:1049.0 131:693.0 132:124.0 133:1049.0 134:148.0 135:93.0 140:32.0 141:15.0 142:3.0 143:122.0 144:19.0 145:53.0 146:61.0 147:6589.0 148:987.0 149:550.0 150:64.0 151:21.0 152:18.0 155:11.0 157:53.0 158:38.0 159:12.0 160:15.0 161:16.0 162:12.0 163:41.0 164:11.0 165:26.0 170:5.0 173:12.0 175:42.0 176:12.0 177:215.0 178:42.0 179:15.0 180:5.0 181:1.0 186:25.0 189:241.0 190:59.0 191:159.0 192:53.0 193:50.0 194:17.0 196:2.0 198:9.0 199:4.0 200:54.0 201:18.0 203:68.0 204:150.0 205:969.0 206:205.0 207:595.0 208:121.0 209:94.0 210:17.0 212:2.0 213:3.0 217:687.0 218:150.0 219:92.0 220:917.0 221:1657.0 222:442.0 223:243.0 224:53.0 225:11.0 226:1.0 231:10.0 233:6.0 235:9.0 236:20.0 238:10.0 239:8.0 241:1.0 242:1.0 245:86.0 246:7.0 247:7.0 248:26.0 249:24.0 250:18.0 251:19.0 252:19.0 253:3.0 254:1.0 255:3.0 256:2.0 257:1.0 260:6.0 261:1.0 262:4.0 263:15.0 264:4.0 265:27.0 266:11.0 267:126.0 268:28.0 269:15.0 270:5.0 271:4.0 272:6.0 274:2.0 275:5.0 276:27.0 277:28.0 278:17.0 279:24.0 281:116.0 282:30.0 283:9.0 284:5.0 285:9.0 286:3.0 287:11.0 288:9.0 289:8.0 290:16.0 291:157.0 292:1226.0 293:388.0 294:178.0 295:264.0 296:80.0 297:28.0 298:3.0 299:2.0 300:4.0 301:2.0 303:9.0 305:13.0 307:10.0 308:1.0 309:5.0 310:6.0 311:21.0 312:9.0 315:4.0 316:7.0 317:3.0 318:9.0 319:96.0 320:25.0 321:29.0 322:8.0 323:19.0 324:16.0 325:116.0 326:42.0 327:25.0 328:19.0 329:3.0 330:8.0 331:9.0 332:3.0 333:6.0 334:1.0 335:4.0 336:1.0 337:10.0 338:8.0 339:14.0 340:16.0 341:194.0 342:46.0 343:38.0 344:14.0 345:6.0 346:3.0 347:3.0 349:6.0 351:5.0 352:8.0 353:8.0 354:11.0 355:100.0 356:39.0 357:21.0 358:19.0 359:3.0 360:6.0 361:12.0 362:7.0 363:7.0 364:5.0 365:4.0 366:2.0 367:14.0 368:9.0 369:12.0 370:6.0 371:7.0 372:8.0 373:9.0 374:4.0 375:4.0 376:4.0 377:8.0 378:12.0 379:29.0 380:9.0 381:16.0 382:12.0 383:5.0 384:7.0 386:3.0 387:5.0 388:3.0 389:2.0 390:5.0 391:2.0 392:2.0 393:9.0 394:13.0 395:6.0 398:6.0 399:2.0 400:9.0 401:7.0 402:5.0 404:4.0 405:13.0 406:7.0 407:5.0 408:10.0 409:39.0 410:26.0 411:7.0 412:4.0 413:1.0 414:10.0 415:7.0 416:10.0 417:4.0 418:6.0 419:6.0 420:8.0 421:4.0 422:5.0 423:7.0 424:2.0 425:6.0 426:11.0 427:3.0 428:5.0 429:18.0 430:12.0 431:4.0 432:1.0 433:2.0 434:11.0 435:1.0 436:14.0 437:5.0 438:8.0 439:6.0 440:4.0 441:5.0 442:13.0 443:4.0 444:7.0 446:14.0 447:12.0 448:6.0 449:6.0 450:2.0 451:12.0 452:3.0 453:4.0 454:10.0 455:8.0 456:7.0 457:2.0 458:7.0 459:12.0 460:5.0 461:4.0 462:6.0 463:6.0 464:12.0 465:14.0 466:6.0 467:8.0 468:6.0 469:6.0 470:5.0 471:14.0 473:10.0 474:1.0 475:10.0 476:14.0 477:2.0 479:2.0 481:18.0 483:11.0 484:8.0 486:11.0 490:11.0 491:4.0 492:1.0 493:6.0 494:7.0 496:5.0 497:1.0 498:8.0 499:4.0 500:1.0</t>
  </si>
  <si>
    <t>isonicotinic acid</t>
  </si>
  <si>
    <t>367074</t>
  </si>
  <si>
    <t>180</t>
  </si>
  <si>
    <t>86:33.0 90:179.0 91:54.0 92:2.0 94:27.0 102:8.0 105:112.0 106:3319.0 107:261.0 109:41.0 111:4.0 112:36.0 114:8.0 120:46.0 121:16.0 122:20.0 123:12.0 135:1.0 136:3703.0 137:519.0 138:137.0 144:5.0 153:1.0 161:4.0 162:12.0 163:1.0 164:24.0 167:48.0 174:8.0 175:180.0 176:24.0 180:3575.0 181:457.0 182:141.0 183:11.0 187:1.0 191:14.0 192:17.0 193:1.0 195:117.0 196:9.0 199:1.0 200:12.0 201:13.0 202:24.0 204:29.0 205:75.0 211:25.0 212:14.0 216:27.0 217:15.0 218:25.0 222:10.0 223:43.0 225:3.0 226:8.0 229:13.0 230:9.0 231:10.0 232:5.0 239:7.0 248:6.0 254:1.0 255:11.0 257:7.0 258:10.0 260:13.0 261:1.0 262:4.0 264:1.0 267:19.0 268:11.0 269:17.0 271:1.0 277:21.0 278:7.0 279:5.0 280:6.0 281:25.0 282:14.0 283:40.0 284:33.0 285:26.0 286:50.0 288:32.0 289:3.0 290:29.0 291:11.0 292:20.0 293:28.0 294:30.0 295:42.0 296:34.0 297:58.0 298:23.0 299:21.0 300:39.0 301:25.0 302:28.0 304:12.0 309:1.0 313:6.0 314:3.0 315:4.0 321:3.0 325:3.0 328:11.0 329:14.0 330:12.0 331:5.0 333:4.0 335:3.0 340:10.0 341:10.0 342:1.0 353:4.0 355:3.0 359:20.0 361:8.0 362:10.0 363:34.0 364:65.0 365:12.0 366:54.0 367:3.0 368:2.0 373:29.0 374:13.0 375:26.0 376:28.0 379:27.0 380:10.0 381:3.0 382:41.0 383:41.0 384:41.0 385:1.0 386:1.0 390:31.0 392:26.0 393:8.0 397:1.0 398:17.0 399:14.0 400:6.0 405:10.0 411:8.0 412:1.0 413:1.0 417:4.0 418:1.0 419:4.0 421:2.0 423:17.0 426:1.0 428:4.0 430:6.0 435:4.0 437:2.0 441:1.0 442:13.0 443:3.0 446:2.0 450:1.0 451:26.0 452:11.0 456:1.0 457:19.0 458:20.0 460:8.0 462:14.0 463:25.0 465:4.0 466:4.0 467:26.0 472:12.0 473:3.0 476:26.0 477:8.0 478:14.0 480:8.0 481:10.0 482:25.0 483:2.0 484:6.0 485:14.0 486:25.0 487:1.0 490:13.0 494:10.0 495:9.0 496:1.0 498:3.0 499:8.0</t>
  </si>
  <si>
    <t>isoleucine</t>
  </si>
  <si>
    <t>359190</t>
  </si>
  <si>
    <t>85:521.0 86:2031.0 87:426.0 88:181.0 89:69.0 90:359.0 91:42.0 92:20.0 93:3.0 94:26.0 95:31.0 96:196.0 97:173.0 98:426.0 99:324.0 100:6015.0 101:998.0 102:1882.0 103:987.0 104:136.0 105:161.0 106:33.0 107:5.0 108:17.0 109:12.0 110:57.0 111:21.0 112:228.0 113:118.0 114:927.0 115:446.0 116:409.0 117:556.0 118:163.0 119:221.0 120:18.0 121:15.0 122:7.0 123:9.0 124:20.0 125:3.0 126:91.0 127:90.0 128:977.0 129:586.0 130:809.0 131:780.0 132:1209.0 133:1302.0 134:230.0 135:76.0 136:14.0 138:3.0 140:15.0 141:6.0 142:589.0 143:350.0 144:214.0 145:39.0 146:290.0 147:5096.0 148:789.0 149:443.0 150:33.0 151:11.0 152:5.0 154:5.0 155:15.0 156:192.0 157:72.0 158:29017.0 159:4322.0 160:1453.0 161:176.0 162:31.0 163:165.0 164:42.0 165:11.0 168:1.0 169:3.0 170:392.0 171:80.0 172:53.0 173:59.0 174:134.0 175:41.0 176:25.0 177:13.0 180:12.0 183:3.0 185:7.0 186:20.0 187:3.0 188:22.0 190:3.0 191:3.0 192:13.0 193:3.0 194:1.0 195:1.0 197:7.0 198:5.0 200:1.0 202:7.0 203:243.0 204:41.0 205:7.0 215:1.0 216:19.0 217:14.0 218:4375.0 219:813.0 220:343.0 221:50.0 222:12.0 223:12.0 230:10.0 231:3.0 232:981.0 233:313.0 234:127.0 235:26.0 236:12.0 237:7.0 238:5.0 239:1.0 240:3.0 246:18.0 247:5.0 248:3.0 258:1.0 260:156.0 261:36.0 262:13.0 265:1.0 267:1.0 274:11.0 275:3.0 278:6.0 280:1.0 284:3.0 288:1.0 289:3.0 291:3.0 294:3.0 296:1.0 297:1.0 299:1.0 300:3.0 301:3.0 304:3.0 305:1.0 309:1.0 317:3.0 322:3.0 326:10.0 328:5.0 330:5.0 333:5.0 334:1.0 341:1.0 344:1.0 345:3.0 348:3.0 356:3.0 359:5.0 361:3.0 362:9.0 364:5.0 365:3.0 368:1.0 371:1.0 372:1.0 377:1.0 379:1.0 384:5.0 386:3.0 388:3.0 389:1.0 391:3.0 392:3.0 399:1.0 401:3.0 403:3.0 409:5.0 410:3.0 413:1.0 414:11.0 415:1.0 416:3.0 417:1.0 418:3.0 424:1.0 425:7.0 426:3.0 427:7.0 428:7.0 429:3.0 430:3.0 434:1.0 435:11.0 437:3.0 444:3.0 448:7.0 456:1.0 461:1.0 463:1.0 465:5.0 468:3.0 470:1.0 471:3.0 472:5.0 475:7.0 477:3.0 478:1.0 480:1.0 482:1.0 483:3.0 484:3.0 488:5.0 491:3.0 494:1.0 498:3.0 500:3.0</t>
  </si>
  <si>
    <t>isobutene glycol NIST</t>
  </si>
  <si>
    <t>229031</t>
  </si>
  <si>
    <t>85:2152.0 86:315.0 87:40.0 88:88.0 92:376.0 93:56.0 97:942.0 98:95.0 99:259.0 101:860.0 102:569.0 103:1800.0 104:317.0 105:551.0 106:6.0 107:589.0 108:1.0 111:7.0 112:392.0 113:2587.0 114:172.0 115:826.0 116:333.0 117:1962.0 118:98.0 119:433.0 120:73.0 121:142.0 122:180.0 125:177.0 127:768.0 128:12.0 129:7519.0 130:1473.0 131:678.0 133:2167.0 134:460.0 141:25.0 143:72.0 144:4682.0 145:537.0 147:10987.0 148:249.0 149:1525.0 150:205.0 151:30.0 160:41.0 162:242.0 163:82.0 167:180.0 168:44.0 172:60.0 173:28.0 174:1.0 176:51.0 178:49.0 181:18.0 183:43.0 185:45.0 186:100.0 187:510.0 188:64.0 194:20.0 195:10.0 199:99.0 201:678.0 202:92.0 203:32.0 205:135.0 206:26.0 207:1.0 212:131.0 219:158.0 220:18.0 222:32.0 223:43.0 225:4.0 227:18.0 237:43.0 252:14.0 253:2.0 255:151.0 256:21.0 270:55.0 271:16.0 284:4.0 288:31.0 295:13.0 305:71.0 311:20.0 317:9.0 329:4.0 334:24.0 351:11.0 352:4.0 355:28.0 359:20.0 367:26.0 374:10.0 378:13.0 410:6.0 414:23.0 418:5.0 450:12.0 451:7.0 478:8.0 480:31.0 484:44.0 486:14.0 495:40.0</t>
  </si>
  <si>
    <t>inositol myo-</t>
  </si>
  <si>
    <t>725902</t>
  </si>
  <si>
    <t>305</t>
  </si>
  <si>
    <t>85:19465.0 86:3211.0 87:25429.0 88:7681.0 89:13988.0 90:1589.0 91:2734.0 92:647.0 93:1678.0 94:1471.0 95:3824.0 96:1496.0 97:6022.0 98:4414.0 99:26477.0 100:3864.0 101:57645.0 102:24285.0 103:580989.0 104:58129.0 105:37193.0 106:3058.0 107:1970.0 108:872.0 109:15801.0 110:1184.0 111:34202.0 112:5702.0 113:30968.0 114:6276.0 115:30862.0 116:41623.0 117:67631.0 118:10845.0 119:41412.0 120:5613.0 121:4250.0 122:842.0 123:1562.0 124:981.0 125:8653.0 126:4834.0 127:31162.0 128:8154.0 129:729393.0 130:85670.0 131:247765.0 132:36971.0 133:564741.0 134:76803.0 135:49565.0 136:5055.0 137:3658.0 138:1322.0 139:7634.0 140:3443.0 141:18507.0 142:15514.0 143:176744.0 144:24662.0 145:25389.0 146:8265.0 147:2394412.0 148:402105.0 149:247471.0 150:27955.0 151:17382.0 152:3451.0 153:13077.0 154:4442.0 155:18033.0 156:16167.0 157:65927.0 158:9801.0 159:17912.0 160:3765.0 161:51340.0 162:9552.0 163:21199.0 164:3654.0 165:3285.0 166:1728.0 167:3480.0 168:2099.0 169:16660.0 170:3941.0 171:5563.0 172:2245.0 173:11801.0 174:2673.0 175:34782.0 176:6527.0 177:68099.0 178:12295.0 179:8289.0 180:2126.0 181:10831.0 182:2667.0 183:4998.0 184:974.0 185:8303.0 186:2521.0 187:6888.0 188:1952.0 189:96776.0 190:75788.0 191:1016292.0 192:186799.0 193:92869.0 194:12816.0 195:4219.0 196:1604.0 197:3020.0 198:1514.0 199:3603.0 200:1940.0 201:11712.0 202:3511.0 203:41024.0 204:368114.0 205:107474.0 206:40222.0 207:58084.0 208:12762.0 209:7559.0 210:1429.0 211:2280.0 212:854.0 213:3963.0 214:1529.0 215:27212.0 216:10560.0 217:1616442.0 218:336919.0 219:154116.0 220:22083.0 221:203661.0 222:48761.0 223:27952.0 224:5392.0 225:2488.0 226:1108.0 227:5318.0 228:5783.0 229:11000.0 230:39020.0 231:28020.0 232:8419.0 233:4310.0 234:1367.0 235:6420.0 236:1881.0 237:3280.0 238:1450.0 239:9396.0 240:2873.0 241:4365.0 242:2976.0 243:48242.0 244:12874.0 245:15421.0 246:4707.0 247:3049.0 248:1427.0 249:3939.0 250:1742.0 251:1890.0 252:1277.0 253:1953.0 254:1754.0 255:11481.0 256:3642.0 257:7039.0 258:2506.0 259:1843.0 260:938.0 261:1220.0 262:835.0 263:3086.0 264:2257.0 265:300929.0 266:77706.0 267:41894.0 268:8537.0 269:3820.0 270:3648.0 271:11491.0 272:3470.0 273:1992.0 274:798.0 275:2064.0 276:1005.0 277:6001.0 278:6915.0 279:6090.0 280:2124.0 281:1347.0 282:628.0 283:512.0 284:397.0 285:510.0 286:322.0 287:611.0 288:518.0 289:3480.0 290:1901.0 291:79423.0 292:25463.0 293:31118.0 294:8332.0 295:3579.0 296:964.0 297:631.0 298:338.0 299:496.0 300:350.0 301:1174.0 302:1112.0 303:5207.0 304:18481.0 305:737888.0 306:236260.0 307:123232.0 308:27874.0 309:8114.0 310:1697.0 311:916.0 312:654.0 313:1611.0 314:1027.0 315:1634.0 316:3673.0 317:20756.0 318:519633.0 319:226468.0 320:100219.0 321:27140.0 322:6599.0 323:1523.0 324:516.0 325:446.0 326:392.0 327:3755.0 328:1601.0 329:5280.0 330:2228.0 331:8036.0 332:2937.0 333:1432.0 334:520.0 335:387.0 336:275.0 337:278.0 338:264.0 339:414.0 340:343.0 341:675.0 342:2634.0 343:27111.0 344:10105.0 345:11176.0 346:3386.0 347:1446.0 348:422.0 349:202.0 350:140.0 351:221.0 352:896.0 353:533.0 354:313.0 355:183.0 356:177.0 357:241.0 358:208.0 359:1150.0 360:1103.0 361:625.0 362:251.0 363:277.0 364:240.0 365:2145.0 366:1991.0 367:66286.0 368:25801.0 369:14129.0 370:3839.0 371:1204.0 372:324.0 373:132.0 374:125.0 375:128.0 376:129.0 377:622.0 378:2285.0 379:6329.0 380:3066.0 381:1790.0 382:637.0 383:309.0 384:184.0 385:126.0 386:111.0 387:131.0 388:158.0 389:308.0 390:367.0 391:1918.0 392:7103.0 393:38715.0 394:18800.0 395:9329.0 396:3042.0 397:903.0 398:229.0 399:199.0 400:120.0 401:282.0 402:203.0 403:406.0 404:1009.0 405:2322.0 406:4626.0 407:4328.0 408:1958.0 409:752.0 410:233.0 411:81.0 412:23.0 414:42.0 415:59.0 416:412.0 417:6736.0 418:4289.0 419:15058.0 420:7537.0 421:3813.0 422:1269.0 423:386.0 424:96.0 425:57.0 426:11.0 427:60.0 428:75.0 429:118.0 430:416.0 431:5515.0 432:93270.0 433:81615.0 434:42305.0 435:17080.0 436:5569.0 437:1571.0 438:330.0 439:111.0 440:97.0 441:69.0 442:38.0 443:55.0 444:37.0 446:51.0 448:14.0 449:43.0 450:60.0 451:43.0 452:18.0 453:146.0 454:87.0 455:42.0 456:22.0 457:39.0 458:39.0 459:16.0 460:27.0 461:30.0 462:28.0 464:13.0 466:16.0 469:5.0 470:60.0 472:25.0 473:12.0 474:8.0 479:228.0 480:161.0 481:96.0 482:30.0 491:24.0 492:8.0 493:29.0 494:95.0 495:59.0 496:16.0 497:7.0</t>
  </si>
  <si>
    <t>inositol allo-</t>
  </si>
  <si>
    <t>675911</t>
  </si>
  <si>
    <t>318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</si>
  <si>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</si>
  <si>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inosine</t>
  </si>
  <si>
    <t>897806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</si>
  <si>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</si>
  <si>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hypoxanthine</t>
  </si>
  <si>
    <t>619737</t>
  </si>
  <si>
    <t>265</t>
  </si>
  <si>
    <t>85:1158.0 86:586.0 87:125.0 88:43.0 89:50.0 90:30.0 91:70.0 92:109.0 93:158.0 94:104.0 95:455.0 96:251.0 97:177.0 98:379.0 99:393.0 100:1029.0 101:144.0 102:58.0 103:24.0 104:20.0 106:17.0 107:113.0 108:36.0 109:58.0 110:417.0 111:651.0 112:241.0 113:89.0 114:38.0 115:62.0 116:13.0 117:56.0 118:43.0 119:41.0 120:17.0 121:6.0 122:42.0 123:339.0 124:202.0 125:851.0 126:145.0 127:93.0 128:93.0 129:10.0 130:114.0 131:641.0 132:155.0 133:148.0 134:119.0 135:10.0 136:69.0 137:49.0 138:212.0 139:196.0 140:28.0 141:30.0 142:56.0 143:37.0 144:6.0 145:4.0 146:3.0 147:688.0 148:124.0 149:32.0 150:108.0 151:57.0 152:229.0 153:105.0 154:51.0 155:45.0 156:47.0 157:28.0 158:670.0 159:129.0 160:71.0 162:2.0 163:45.0 164:40.0 165:184.0 166:750.0 167:113.0 168:55.0 169:24.0 170:42.0 171:40.0 172:712.0 173:315.0 174:74.0 175:27.0 176:3.0 177:131.0 178:15.0 179:44.0 180:185.0 181:667.0 182:100.0 183:51.0 184:50.0 185:4.0 190:1.0 191:206.0 192:182.0 193:811.0 194:99.0 195:44.0 196:23.0 197:87.0 198:29.0 199:3.0 202:1.0 204:1.0 205:20.0 206:1039.0 207:544.0 208:241.0 209:45.0 210:12.0 211:96.0 212:38.0 213:3.0 214:1.0 215:1.0 217:5.0 221:12.0 222:111.0 223:103.0 224:59.0 225:15.0 226:4.0 227:1.0 228:2.0 232:3.0 233:1.0 234:6.0 235:67.0 236:42.0 237:34.0 238:327.0 239:130.0 240:39.0 241:3.0 242:2.0 247:2.0 249:182.0 250:22.0 251:24.0 252:23.0 253:4.0 254:1.0 258:3.0 260:1.0 263:14.0 264:68.0 265:8073.0 266:1908.0 267:704.0 268:100.0 269:10.0 274:2.0 275:1.0 276:1.0 277:1.0 279:213.0 280:2547.0 281:564.0 282:211.0 283:15.0 284:3.0 286:2.0 287:2.0 296:2.0 299:1.0 302:1.0 304:2.0 312:1.0 315:2.0 319:3.0 321:1.0 329:2.0 333:3.0 334:3.0 335:2.0 341:1.0 342:2.0 343:1.0 344:1.0 345:1.0 348:2.0 349:3.0 359:5.0 366:2.0 372:2.0 373:1.0 374:2.0 379:2.0 380:4.0 392:1.0 396:1.0 403:1.0 409:1.0 414:1.0 422:2.0 426:1.0 428:4.0 429:5.0 434:2.0 436:2.0 457:1.0 467:2.0 474:2.0 475:1.0 478:5.0 483:3.0 491:1.0 494:2.0 495:6.0 497:1.0</t>
  </si>
  <si>
    <t>hydroxylamine</t>
  </si>
  <si>
    <t>255769</t>
  </si>
  <si>
    <t>86:6104.0 87:2301.0 88:1283.0 89:429.0 90:45.0 91:133.0 95:123.0 97:603.0 98:23.0 99:336.0 100:3906.0 101:603.0 102:1282.0 103:592.0 104:219.0 105:156.0 107:2.0 108:5.0 110:197.0 113:942.0 114:789.0 115:611.0 116:879.0 117:1173.0 118:588.0 119:9932.0 120:1132.0 121:707.0 123:25.0 128:13.0 130:4139.0 131:2134.0 132:1553.0 133:12847.0 134:2272.0 135:710.0 136:69.0 141:395.0 143:201.0 144:89.0 146:8895.0 147:5752.0 148:1233.0 149:40.0 150:15.0 158:134.0 160:499.0 161:787.0 162:181.0 171:96.0 172:29.0 174:60.0 176:23.0 177:57.0 187:36.0 188:149.0 189:21.0 190:33.0 204:180.0 205:357.0 206:34.0 229:14.0 231:901.0 232:107.0 233:39.0 234:19.0 235:9.0 249:2116.0 250:566.0 251:240.0 252:12.0 301:9.0 305:10.0 316:28.0 353:7.0 364:4.0 377:3.0 388:10.0 411:12.0 417:2.0 431:5.0 481:6.0</t>
  </si>
  <si>
    <t>hydroxycarbamate NIST</t>
  </si>
  <si>
    <t>325357</t>
  </si>
  <si>
    <t>278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</si>
  <si>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</si>
  <si>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homoserine</t>
  </si>
  <si>
    <t>443389</t>
  </si>
  <si>
    <t>85:1317.0 86:597.0 87:3016.0 88:9536.0 89:19744.0 90:1902.0 91:200.0 92:38.0 98:2412.0 99:586.0 100:15567.0 101:7440.0 102:30037.0 103:60435.0 104:6606.0 105:3220.0 106:54.0 108:68.0 112:1027.0 113:1369.0 114:9249.0 115:6350.0 116:3253.0 117:15624.0 118:2816.0 119:5390.0 120:152.0 121:41.0 123:116.0 124:1278.0 127:2642.0 128:82115.0 129:23279.0 130:11936.0 131:7865.0 132:6475.0 133:15529.0 134:2786.0 135:3031.0 136:677.0 138:106.0 139:517.0 141:478.0 142:8608.0 143:4995.0 144:8177.0 145:1779.0 146:3880.0 147:40635.0 148:8015.0 149:7761.0 150:1204.0 151:554.0 152:17.0 153:35.0 156:724.0 157:3347.0 158:15224.0 159:2510.0 160:2243.0 161:760.0 162:719.0 163:7304.0 164:1077.0 165:568.0 167:65.0 168:7.0 170:86.0 171:53.0 172:3066.0 173:1257.0 174:2253.0 175:411.0 176:902.0 177:403.0 179:23.0 180:59.0 182:59.0 185:319.0 186:1195.0 187:476.0 188:3023.0 189:9268.0 190:2530.0 191:933.0 192:229.0 193:238.0 197:11.0 198:222.0 199:10.0 200:1625.0 201:544.0 202:5742.0 203:2595.0 206:194.0 214:311.0 215:249.0 216:9956.0 217:14585.0 218:56101.0 219:12277.0 220:5871.0 221:7530.0 222:1275.0 223:491.0 226:5.0 227:6.0 229:99.0 230:2234.0 231:883.0 232:2673.0 236:327.0 237:39.0 240:4.0 241:2.0 244:130.0 245:103.0 246:7537.0 247:3009.0 248:24994.0 249:5107.0 250:2175.0 255:116.0 256:110.0 257:3476.0 258:590.0 259:416.0 260:1074.0 261:474.0 262:151.0 263:1.0 268:10.0 270:1110.0 271:519.0 272:241.0 274:396.0 275:110.0 276:78.0 282:18.0 283:9.0 286:39.0 288:140.0 289:145.0 290:153.0 292:1226.0 293:433.0 294:143.0 297:70.0 301:4.0 304:8.0 313:230.0 317:17.0 318:1064.0 319:708.0 320:1119.0 321:14958.0 322:4737.0 323:2154.0 324:409.0 325:136.0 328:241.0 329:38.0 330:2.0 334:109.0 335:102.0 336:39.0 338:224.0 346:193.0 347:24.0 349:149.0 361:205.0 362:23.0 364:1.0 369:1.0 379:25.0 382:24.0 383:1.0 392:19.0 414:16.0 433:40.0 457:10.0</t>
  </si>
  <si>
    <t>homocystine</t>
  </si>
  <si>
    <t>874579</t>
  </si>
  <si>
    <t>85:248.0 87:2.0 88:1138.0 89:329.0 90:94.0 91:21.0 98:99.0 99:116.0 100:1876.0 101:351.0 102:174.0 103:3266.0 104:712.0 105:285.0 107:377.0 112:2.0 114:831.0 115:83.0 116:257.0 117:2050.0 118:234.0 119:33.0 128:16996.0 129:4351.0 130:938.0 131:261.0 132:55.0 133:511.0 135:92.0 136:22.0 140:36.0 144:81.0 146:136.0 147:4643.0 148:456.0 149:123.0 150:10.0 151:65.0 153:3.0 155:37.0 156:41.0 157:42.0 159:216.0 160:5592.0 161:872.0 162:419.0 163:253.0 164:29.0 172:69.0 173:26.0 174:163.0 184:62.0 186:36.0 187:94.0 188:687.0 189:357.0 190:187.0 191:270.0 192:17.0 197:22.0 202:638.0 203:255.0 204:329.0 205:885.0 206:271.0 208:58.0 209:50.0 214:1.0 216:135.0 217:858.0 218:773.0 219:2536.0 220:501.0 221:71.0 230:492.0 231:187.0 232:458.0 233:89.0 234:65.0 235:6.0 236:7.0 241:5.0 243:201.0 244:484.0 245:446.0 246:411.0 247:170.0 249:87.0 251:21.0 253:35.0 255:2.0 261:61.0 262:152.0 265:5.0 266:16.0 267:208.0 269:40.0 276:18.0 277:692.0 278:1617.0 279:458.0 280:177.0 282:36.0 283:52.0 291:5.0 292:13.0 295:5.0 305:31.0 306:28.0 307:38.0 308:17.0 311:33.0 312:22.0 316:65.0 317:67.0 318:3.0 320:8.0 321:14.0 326:25.0 328:39.0 341:1.0 342:26.0 352:16.0 355:33.0 359:2.0 364:4.0 387:253.0 388:44.0 390:3.0 395:10.0 401:75.0 415:20.0 416:7.0 433:9.0 437:7.0 439:4.0 448:6.0 476:13.0</t>
  </si>
  <si>
    <t>histidine</t>
  </si>
  <si>
    <t>663898</t>
  </si>
  <si>
    <t>85:11302.0 87:7365.0 88:16874.0 89:1443.0 90:1874.0 91:100.0 92:354.0 93:1026.0 94:1770.0 95:1547.0 96:2935.0 97:3104.0 98:9456.0 99:4603.0 100:62016.0 101:11846.0 102:12230.0 103:4472.0 104:1828.0 105:1469.0 106:240.0 107:750.0 108:1045.0 109:1578.0 110:6661.0 111:3178.0 112:15242.0 113:4424.0 114:10806.0 115:14997.0 116:6329.0 117:5840.0 118:2598.0 119:2674.0 120:939.0 121:664.0 122:177.0 123:1230.0 124:2355.0 125:2432.0 126:8568.0 127:2346.0 129:7979.0 130:21247.0 131:14294.0 132:15288.0 133:13996.0 134:3003.0 135:2026.0 136:956.0 137:1221.0 138:1528.0 139:3325.0 140:7138.0 141:2372.0 142:5436.0 143:1505.0 144:2079.0 145:1185.0 146:10066.0 147:47489.0 148:9355.0 149:4665.0 150:2429.0 151:2831.0 152:1246.0 153:16161.0 154:378202.0 155:78029.0 156:158381.0 157:14743.0 158:6744.0 159:2457.0 160:3148.0 161:936.0 162:487.0 163:1383.0 164:1042.0 165:1056.0 166:8980.0 167:3529.0 168:2181.0 169:944.0 170:1859.0 171:546.0 172:5486.0 173:853.0 174:105675.0 175:13057.0 176:5175.0 177:608.0 178:374.0 179:481.0 180:855.0 181:1059.0 182:6216.0 183:1798.0 184:2190.0 185:495.0 186:3160.0 187:797.0 188:1694.0 189:1825.0 190:1065.0 191:2730.0 192:777.0 193:657.0 194:503.0 195:196.0 196:278.0 197:322.0 198:598.0 199:506.0 200:8646.0 201:1014.0 202:4495.0 203:2261.0 204:3866.0 206:983.0 207:893.0 208:310.0 209:177.0 210:67.0 211:938.0 212:1364.0 213:1452.0 214:2912.0 215:952.0 216:1345.0 218:20219.0 219:5622.0 220:2484.0 221:958.0 222:115.0 223:521.0 224:315.0 225:703.0 226:4087.0 227:1844.0 228:6000.0 229:1937.0 230:14727.0 231:2363.0 232:1906.0 233:256.0 234:194.0 236:432.0 237:330.0 238:13517.0 239:3835.0 240:1682.0 241:583.0 242:284.0 243:277.0 244:127.0 245:389.0 246:343.0 247:121.0 248:249.0 249:10.0 250:96.0 251:26.0 252:272.0 253:366.0 254:53032.0 255:12949.0 256:5684.0 257:3490.0 258:1248.0 259:395.0 260:542.0 262:241.0 264:54.0 265:205.0 266:2907.0 267:546.0 268:414.0 269:144.0 270:117.0 271:292.0 272:822.0 273:895.0 274:442.0 276:121.0 280:110.0 282:285.0 283:69.0 284:115.0 285:34.0 286:40.0 288:86.0 289:111.0 290:114.0 291:215.0 292:122.0 294:55.0 297:73.0 298:10.0 299:358.0 300:134.0 301:163.0 302:369.0 304:26.0 306:89.0 308:153.0 312:21.0 313:69.0 316:351.0 317:14641.0 318:5247.0 319:1908.0 320:1584.0 321:805.0 322:67.0 323:44.0 326:137.0 327:63.0 328:1648.0 329:2218.0 330:949.0 331:338.0 332:171.0 333:60.0 336:8.0 337:7.0 338:565.0 339:252.0 340:35.0 342:15.0 343:65.0 344:77.0 345:60.0 347:6.0 348:38.0 349:27.0 351:11.0 353:26.0 354:21.0 355:295.0 356:3983.0 357:1335.0 358:698.0 359:168.0 360:117.0 363:20.0 370:40.0 371:1200.0 372:327.0 373:139.0 374:18.0 379:23.0 390:74.0 391:309.0 393:18.0 394:38.0 395:3.0 402:10.0 404:10.0 415:5.0 420:87.0 422:124.0 432:16.0 433:74.0 434:1017.0 435:534.0 436:19.0 439:8.0 500:1.0</t>
  </si>
  <si>
    <t>hexuronic acid</t>
  </si>
  <si>
    <t>680828</t>
  </si>
  <si>
    <t>333</t>
  </si>
  <si>
    <t>85:5455.0 86:329.0 87:1385.0 88:4.0 89:1028.0 95:230.0 97:848.0 99:2025.0 101:42.0 102:587.0 103:6030.0 104:380.0 108:335.0 110:395.0 113:1388.0 114:878.0 117:2233.0 118:19.0 123:98.0 124:25.0 127:325.0 128:419.0 129:2870.0 130:652.0 131:346.0 132:61.0 133:1748.0 140:36.0 143:1098.0 145:47.0 147:9983.0 148:1086.0 149:518.0 150:310.0 151:142.0 152:75.0 153:95.0 154:350.0 155:313.0 157:843.0 159:46.0 161:37.0 166:51.0 169:106.0 171:257.0 172:335.0 173:22.0 174:181.0 184:277.0 185:127.0 186:13.0 189:1063.0 190:136.0 205:1715.0 206:69.0 210:62.0 215:131.0 216:198.0 217:3830.0 218:844.0 219:531.0 220:165.0 221:530.0 222:60.0 229:312.0 230:122.0 231:1106.0 232:302.0 239:8.0 240:29.0 243:115.0 245:101.0 246:191.0 250:14.0 254:1.0 257:33.0 271:25.0 273:2.0 277:252.0 278:117.0 279:81.0 285:157.0 287:22.0 288:93.0 289:9.0 291:20.0 292:2340.0 293:482.0 294:160.0 295:64.0 299:258.0 300:117.0 305:970.0 306:254.0 307:316.0 308:51.0 309:7.0 310:2.0 317:6.0 318:68.0 319:1005.0 320:242.0 321:85.0 323:2.0 331:93.0 332:35.0 333:2976.0 334:896.0 335:407.0 336:4.0 338:3.0 345:25.0 359:317.0 360:73.0 369:9.0 373:32.0 374:10.0 393:43.0 394:2.0 412:27.0 415:25.0 416:1.0 423:158.0 424:91.0 425:8.0 433:267.0 434:61.0 435:144.0 436:63.0 439:3.0</t>
  </si>
  <si>
    <t>guanosine</t>
  </si>
  <si>
    <t>955097</t>
  </si>
  <si>
    <t>324</t>
  </si>
  <si>
    <t>85:530.0 86:375.0 87:203.0 88:96.0 89:1191.0 90:147.0 91:2557.0 92:540.0 93:2569.0 94:816.0 95:2386.0 96:277.0 97:623.0 98:314.0 99:1216.0 100:697.0 101:2522.0 102:610.0 103:13091.0 104:1382.0 105:1908.0 106:537.0 107:1105.0 108:1376.0 109:751.0 110:154.0 111:587.0 112:56.0 113:587.0 114:152.0 115:2149.0 116:1280.0 117:3352.0 118:589.0 119:1221.0 120:404.0 121:1094.0 122:305.0 123:219.0 124:132.0 125:228.0 126:98.0 127:145.0 128:123.0 129:9511.0 130:2627.0 131:3516.0 132:1020.0 133:3847.0 134:795.0 135:1099.0 136:179.0 137:235.0 138:163.0 139:187.0 140:133.0 141:491.0 142:197.0 143:1026.0 144:339.0 145:850.0 146:1148.0 147:13193.0 148:2127.0 149:1827.0 150:274.0 151:182.0 152:134.0 153:386.0 154:58.0 155:358.0 156:202.0 157:871.0 158:553.0 159:616.0 160:575.0 161:596.0 162:223.0 163:411.0 164:109.0 165:269.0 166:569.0 167:230.0 168:105.0 169:1927.0 170:407.0 171:834.0 172:318.0 173:1079.0 174:189.0 175:507.0 176:236.0 177:248.0 178:188.0 179:243.0 180:189.0 181:156.0 182:171.0 183:155.0 184:58.0 185:118.0 186:10.0 187:247.0 188:182.0 189:1875.0 190:615.0 191:956.0 192:259.0 193:293.0 194:143.0 195:100.0 196:100.0 197:134.0 198:159.0 199:102.0 200:63.0 201:303.0 202:178.0 203:1497.0 204:5558.0 205:2706.0 206:884.0 207:523.0 208:534.0 209:232.0 210:128.0 211:171.0 212:76.0 213:83.0 214:58.0 215:213.0 216:119.0 217:3450.0 218:1042.0 219:601.0 220:233.0 221:465.0 222:222.0 223:168.0 224:94.0 225:154.0 226:52.0 227:41.0 228:95.0 229:173.0 230:2337.0 231:859.0 232:313.0 233:527.0 234:215.0 235:127.0 236:104.0 237:144.0 238:213.0 239:145.0 240:130.0 241:105.0 242:123.0 243:1893.0 244:371.0 245:4677.0 246:974.0 247:452.0 248:177.0 249:131.0 250:95.0 251:240.0 252:86.0 253:79.0 254:58.0 255:35.0 256:68.0 257:195.0 258:139.0 259:801.0 260:381.0 261:248.0 262:127.0 263:204.0 264:890.0 265:354.0 266:183.0 267:215.0 268:66.0 269:25.0 270:26.0 271:135.0 272:98.0 273:103.0 274:81.0 275:72.0 276:89.0 277:425.0 278:591.0 279:303.0 280:3892.0 281:1231.0 282:530.0 283:123.0 284:43.0 285:100.0 286:87.0 287:68.0 288:49.0 289:77.0 290:58.0 291:74.0 292:150.0 293:246.0 294:586.0 295:861.0 296:1123.0 297:325.0 298:173.0 299:315.0 300:81.0 301:50.0 302:53.0 303:266.0 304:154.0 305:80.0 306:128.0 307:6.0 308:209.0 309:119.0 310:80.0 311:26.0 312:40.0 313:38.0 314:63.0 315:93.0 316:70.0 317:107.0 318:232.0 320:107.0 321:95.0 322:139.0 323:143.0 324:4927.0 325:1347.0 326:506.0 327:245.0 328:37.0 329:82.0 330:19.0 331:324.0 332:145.0 333:119.0 334:87.0 335:75.0 336:75.0 337:105.0 338:93.0 339:45.0 340:37.0 341:121.0 342:102.0 343:50.0 344:114.0 345:64.0 346:69.0 347:66.0 348:203.0 349:75.0 350:81.0 351:134.0 352:443.0 353:221.0 354:117.0 355:46.0 356:61.0 357:70.0 358:52.0 359:67.0 360:51.0 361:508.0 362:207.0 363:130.0 364:63.0 365:55.0 366:118.0 367:231.0 368:1111.0 369:392.0 370:214.0 371:131.0 372:67.0 373:57.0 374:79.0 375:67.0 376:37.0 377:25.0 378:60.0 379:51.0 380:78.0 381:51.0 382:13.0 383:42.0 384:59.0 385:66.0 386:57.0 387:45.0 388:53.0 389:100.0 390:43.0 391:80.0 392:71.0 393:313.0 394:601.0 395:243.0 396:160.0 397:46.0 398:37.0 399:25.0 400:52.0 401:77.0 402:52.0 403:20.0 404:38.0 405:10.0 406:149.0 407:64.0 408:80.0 409:144.0 410:590.0 411:304.0 412:167.0 413:101.0 414:43.0 415:49.0 416:18.0 417:24.0 418:47.0 419:41.0 420:38.0 421:67.0 422:180.0 423:111.0 424:77.0 425:168.0 426:84.0 427:65.0 428:27.0 429:38.0 430:7.0 431:34.0 432:65.0 433:82.0 434:31.0 435:43.0 436:48.0 437:58.0 438:62.0 439:43.0 440:32.0 441:15.0 442:45.0 443:17.0 444:42.0 445:67.0 446:53.0 447:52.0 448:73.0 449:35.0 450:44.0 451:48.0 452:40.0 453:15.0 454:81.0 455:79.0 456:81.0 457:32.0 458:57.0 459:59.0 460:54.0 461:90.0 462:87.0 463:45.0 464:48.0 465:54.0 466:46.0 467:41.0 468:48.0 469:50.0 470:42.0 471:53.0 472:33.0 473:53.0 474:19.0 475:34.0 476:28.0 477:64.0 478:27.0 479:41.0 480:45.0 481:131.0 482:140.0 483:81.0 484:52.0 485:54.0 486:29.0 487:11.0 488:40.0 489:43.0 490:96.0 491:46.0 492:64.0 493:47.0 494:36.0 495:10.0 496:39.0 497:42.0 498:63.0 499:10.0 500:41.0</t>
  </si>
  <si>
    <t>guanine</t>
  </si>
  <si>
    <t>744267</t>
  </si>
  <si>
    <t>352</t>
  </si>
  <si>
    <t>85:25.0 88:35.0 89:81.0 90:66.0 98:51.0 99:740.0 100:310.0 101:39.0 102:85.0 103:63.0 104:119.0 107:19.0 111:126.0 115:86.0 124:725.0 125:191.0 127:276.0 129:166.0 131:347.0 132:230.0 134:54.0 141:35.0 142:148.0 147:67.0 148:101.0 150:29.0 151:18.0 155:44.0 158:350.0 159:72.0 160:2.0 166:94.0 167:17.0 169:80.0 170:80.0 171:229.0 172:14.0 173:120.0 178:45.0 180:40.0 181:1.0 182:36.0 184:32.0 189:151.0 190:157.0 198:61.0 203:5.0 204:84.0 205:21.0 207:13.0 214:2.0 220:33.0 221:1.0 222:175.0 226:2.0 237:80.0 238:274.0 239:34.0 263:82.0 264:468.0 265:51.0 266:2.0 269:18.0 278:149.0 279:109.0 280:152.0 293:15.0 294:104.0 305:36.0 323:16.0 331:46.0 333:41.0 334:4.0 336:49.0 351:69.0 352:3341.0 353:1299.0 354:659.0 355:168.0 356:8.0 366:9.0 367:703.0 368:284.0 369:62.0 370:13.0 416:12.0</t>
  </si>
  <si>
    <t>glycolic acid</t>
  </si>
  <si>
    <t>227487</t>
  </si>
  <si>
    <t>87:86.0 88:302.0 89:143.0 90:3.0 91:318.0 92:406.0 95:243.0 97:12.0 99:2.0 100:91.0 101:2.0 102:60.0 103:275.0 104:34.0 106:32.0 107:9.0 111:380.0 113:1.0 115:112.0 117:275.0 118:40.0 119:57.0 121:4.0 124:1.0 125:2.0 131:339.0 132:14.0 133:702.0 147:7173.0 148:1214.0 149:760.0 150:48.0 154:3.0 161:325.0 162:14.0 171:7.0 177:1137.0 178:133.0 179:43.0 184:6.0 187:1.0 205:452.0 206:32.0 213:1.0 222:1.0 231:1.0 232:1.0 258:1.0 259:10.0 261:1.0 268:4.0 271:1.0 278:2.0 284:1.0 301:1.0 307:1.0 370:1.0 391:1.0 399:3.0 405:1.0 409:2.0 418:1.0 446:1.0 451:1.0 459:5.0 461:2.0 480:1.0</t>
  </si>
  <si>
    <t>glycine</t>
  </si>
  <si>
    <t>364262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</si>
  <si>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</si>
  <si>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glycerol-alpha-phosphate</t>
  </si>
  <si>
    <t>591357</t>
  </si>
  <si>
    <t>299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</si>
  <si>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</si>
  <si>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</si>
  <si>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803554</t>
  </si>
  <si>
    <t>85:124.0 89:669.0 99:195.0 101:2858.0 102:90.0 103:11903.0 104:601.0 105:217.0 109:189.0 111:216.0 113:217.0 115:113.0 116:1129.0 117:2765.0 119:18.0 124:4.0 129:5225.0 130:291.0 131:1903.0 133:1995.0 142:58.0 143:525.0 147:7954.0 148:644.0 149:699.0 151:38.0 152:20.0 155:140.0 157:234.0 158:16.0 169:622.0 170:196.0 171:84.0 172:12.0 173:47.0 174:9.0 175:154.0 177:31.0 183:52.0 189:1122.0 190:183.0 191:1247.0 192:82.0 195:7.0 197:116.0 203:612.0 204:19859.0 205:4025.0 206:1657.0 207:348.0 209:10.0 210:9.0 214:25.0 215:17.0 217:3539.0 218:1106.0 219:1524.0 220:302.0 221:213.0 222:6.0 225:17.0 227:36.0 229:51.0 230:65.0 231:291.0 232:13.0 233:64.0 243:306.0 244:95.0 245:64.0 246:295.0 247:143.0 248:54.0 249:115.0 252:18.0 256:18.0 258:17.0 259:17.0 263:5.0 267:4.0 268:4.0 269:2.0 271:230.0 272:84.0 273:29.0 274:25.0 275:4.0 284:41.0 289:10.0 290:2.0 291:225.0 292:40.0 293:93.0 294:56.0 296:15.0 304:40.0 305:226.0 306:61.0 307:64.0 313:17.0 317:32.0 318:17.0 319:94.0 320:34.0 321:10.0 322:2.0 323:117.0 324:8.0 330:7.0 331:44.0 332:112.0 336:2.0 337:1618.0 338:593.0 339:293.0 340:42.0 346:34.0 350:105.0 353:22.0 361:585.0 362:99.0 363:79.0 367:1.0 378:15.0 386:2.0 391:3.0 394:14.0 401:48.0 403:10.0 415:20.0 435:6.0 437:6.0 451:6.0 453:17.0 468:2.0 491:16.0 492:4.0</t>
  </si>
  <si>
    <t>glyceric acid</t>
  </si>
  <si>
    <t>373972</t>
  </si>
  <si>
    <t>189</t>
  </si>
  <si>
    <t>85:1195.0 86:478.0 87:434.0 88:161.0 89:1066.0 90:229.0 94:1.0 96:9.0 99:243.0 100:283.0 101:1791.0 102:6647.0 103:5903.0 104:836.0 105:324.0 106:59.0 107:480.0 108:13.0 109:43.0 110:37.0 112:44.0 113:165.0 114:56.0 115:300.0 116:271.0 117:3735.0 118:267.0 119:455.0 123:17.0 127:363.0 128:40.0 129:120.0 130:2214.0 131:1339.0 132:173.0 133:6426.0 134:1083.0 135:566.0 137:18.0 141:1.0 143:111.0 145:18.0 146:111.0 147:14620.0 148:2337.0 149:1292.0 150:109.0 151:31.0 152:24.0 157:4.0 162:1.0 171:33.0 173:51.0 175:564.0 176:81.0 177:244.0 179:5.0 180:61.0 184:193.0 189:7841.0 190:1509.0 191:676.0 192:68.0 195:23.0 198:5.0 199:117.0 203:2.0 204:164.0 205:1593.0 206:207.0 207:50.0 208:16.0 209:27.0 211:7.0 213:7.0 217:470.0 218:49.0 219:115.0 220:15.0 221:412.0 222:67.0 223:27.0 232:11.0 248:1.0 249:7.0 267:28.0 268:33.0 281:149.0 291:30.0 292:2542.0 293:668.0 294:324.0 295:45.0 299:42.0 307:446.0 308:103.0 309:17.0 310:8.0 322:14.0 323:3.0 326:8.0 341:24.0 355:15.0 357:7.0 425:2.0 429:41.0 443:10.0 490:7.0</t>
  </si>
  <si>
    <t>glutamic acid</t>
  </si>
  <si>
    <t>527101</t>
  </si>
  <si>
    <t>246</t>
  </si>
  <si>
    <t>85:357.0 86:526.0 87:203.0 88:137.0 91:2.0 95:16.0 96:64.0 98:361.0 99:127.0 100:1856.0 101:834.0 102:139.0 106:42.0 110:308.0 112:138.0 113:259.0 114:407.0 115:392.0 116:128.0 117:786.0 119:204.0 126:14.0 128:6367.0 129:1190.0 130:1088.0 131:692.0 132:559.0 133:968.0 134:416.0 135:125.0 139:47.0 140:569.0 141:18.0 142:90.0 143:123.0 144:284.0 147:4706.0 148:711.0 149:648.0 150:2.0 151:28.0 156:3653.0 157:609.0 158:785.0 159:234.0 160:51.0 170:1.0 172:69.0 174:335.0 175:55.0 181:1.0 184:88.0 185:15.0 186:44.0 187:23.0 188:8.0 189:88.0 190:25.0 198:18.0 199:10.0 201:10.0 202:133.0 203:67.0 204:2009.0 205:182.0 206:132.0 212:1.0 214:85.0 215:7.0 216:42.0 217:24.0 218:396.0 219:124.0 230:1456.0 231:287.0 232:181.0 233:21.0 235:13.0 241:2.0 245:604.0 246:7193.0 247:1587.0 248:658.0 258:124.0 259:20.0 260:28.0 262:1001.0 263:210.0 264:100.0 274:50.0 288:6.0 291:28.0 292:10.0 294:6.0 300:2.0 305:12.0 322:6.0 332:22.0 333:43.0 334:15.0 348:236.0 349:49.0 350:55.0 363:155.0 380:2.0 426:6.0 431:3.0 437:1.0 497:9.0 498:2.0</t>
  </si>
  <si>
    <t>806065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</si>
  <si>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</si>
  <si>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glucose-1-phosphate</t>
  </si>
  <si>
    <t>594823</t>
  </si>
  <si>
    <t>85:269.0 86:53.0 87:340.0 88:128.0 90:16.0 91:60.0 92:39.0 93:4.0 94:12.0 95:129.0 96:6.0 97:28.0 99:345.0 100:23.0 101:954.0 102:82.0 103:1518.0 104:100.0 105:139.0 107:22.0 109:58.0 110:7.0 111:252.0 112:8.0 113:466.0 114:44.0 115:401.0 116:421.0 117:1411.0 118:142.0 119:325.0 120:31.0 121:1.0 124:3.0 125:43.0 127:224.0 128:79.0 129:1683.0 130:207.0 131:914.0 132:129.0 133:1804.0 134:243.0 135:221.0 136:12.0 137:4.0 138:2.0 139:39.0 140:2.0 141:101.0 142:147.0 143:668.0 144:221.0 145:128.0 146:31.0 147:7750.0 148:1255.0 149:1126.0 150:100.0 151:111.0 152:13.0 153:82.0 154:26.0 155:185.0 156:78.0 157:143.0 158:6.0 159:132.0 160:15.0 161:52.0 162:16.0 163:188.0 164:17.0 165:26.0 166:2.0 167:31.0 168:13.0 169:778.0 170:96.0 171:58.0 173:23.0 174:6.0 175:57.0 176:9.0 177:91.0 179:1.0 181:35.0 182:10.0 183:51.0 184:19.0 185:32.0 186:6.0 187:14.0 188:8.0 189:102.0 190:12.0 191:1035.0 192:150.0 193:112.0 194:12.0 195:21.0 196:3.0 199:14.0 201:11.0 202:1.0 203:401.0 204:99.0 205:95.0 206:12.0 207:50.0 208:13.0 209:5.0 210:2.0 211:35.0 212:1.0 213:14.0 215:78.0 216:27.0 217:17998.0 218:4180.0 219:1690.0 220:238.0 221:111.0 222:23.0 223:5.0 224:9.0 225:26.0 226:11.0 227:44.0 229:32.0 230:49.0 231:130.0 232:1447.0 233:333.0 234:147.0 235:24.0 236:1.0 237:9.0 238:6.0 239:23.0 241:7.0 242:7.0 243:199.0 244:39.0 245:159.0 246:48.0 248:5.0 252:2.0 253:1.0 255:60.0 256:7.0 257:420.0 258:96.0 259:46.0 260:1.0 261:1.0 262:1.0 264:3.0 265:2.0 270:20.0 271:38.0 272:8.0 273:3.0 274:6.0 275:2.0 279:2.0 285:2.0 287:1.0 288:1.0 289:10.0 290:3.0 291:25.0 299:87.0 300:23.0 303:5.0 304:1.0 305:369.0 306:133.0 307:42.0 308:13.0 309:14.0 315:9.0 316:2.0 317:57.0 318:56.0 319:25.0 320:13.0 322:2.0 324:2.0 325:1.0 329:2.0 331:32.0 332:3.0 336:4.0 337:3.0 339:1.0 340:9.0 342:3.0 345:32.0 346:11.0 347:13.0 348:2.0 349:13.0 350:4.0 353:7.0 356:2.0 357:55.0 358:17.0 360:12.0 361:12.0 362:9.0 363:3.0 366:9.0 368:1.0 370:7.0 371:7.0 374:3.0 375:3.0 376:2.0 378:4.0 379:4.0 380:6.0 383:6.0 385:1.0 394:3.0 396:2.0 398:2.0 400:1.0 401:1.0 402:1.0 405:1.0 406:2.0 407:14.0 420:4.0 425:1.0 426:3.0 431:1.0 433:1.0 435:13.0 436:1.0 437:3.0 438:5.0 441:5.0 442:4.0 444:5.0 446:3.0 447:8.0 448:1.0 449:44.0 450:305.0 451:198.0 452:92.0 453:39.0 454:12.0 455:2.0 456:2.0 461:2.0 464:1.0 467:1.0 472:3.0 475:5.0 476:7.0 478:1.0 481:1.0 483:4.0 484:2.0 488:1.0 493:5.0 494:11.0 498:8.0 499:1.0 500:1.0</t>
  </si>
  <si>
    <t>649920</t>
  </si>
  <si>
    <t>85:964.0 86:1948.0 87:1513.0 88:1191.0 89:16220.0 90:1652.0 91:1276.0 92:179.0 93:3.0 94:111.0 96:156.0 97:607.0 98:429.0 99:1137.0 100:3374.0 101:4971.0 102:2519.0 103:32578.0 104:3210.0 105:8248.0 106:830.0 107:399.0 108:206.0 110:157.0 111:625.0 112:459.0 113:1035.0 114:3331.0 115:2184.0 116:1939.0 117:22832.0 118:2307.0 119:2418.0 120:154.0 121:45.0 122:45.0 125:57.0 126:417.0 127:1227.0 128:915.0 129:24931.0 130:4553.0 131:6532.0 132:1186.0 133:14998.0 134:1948.0 135:1432.0 136:119.0 137:35.0 138:125.0 139:144.0 140:209.0 141:357.0 142:1077.0 143:2495.0 144:394.0 145:1504.0 146:446.0 147:68231.0 148:9944.0 149:6014.0 150:687.0 151:348.0 152:170.0 153:107.0 154:195.0 155:281.0 156:306.0 157:15274.0 158:2971.0 159:1312.0 160:31580.0 161:5505.0 162:1670.0 163:2071.0 164:303.0 165:181.0 166:58.0 167:81.0 168:272.0 169:521.0 170:319.0 171:243.0 172:566.0 173:844.0 174:417.0 175:913.0 176:182.0 177:939.0 178:221.0 179:90.0 180:208.0 181:148.0 182:130.0 183:68.0 184:144.0 185:95.0 186:482.0 187:209.0 188:225.0 189:6360.0 190:1706.0 191:3253.0 192:604.0 193:308.0 194:90.0 195:72.0 196:152.0 197:75.0 198:125.0 199:114.0 200:228.0 201:1627.0 202:444.0 203:955.0 204:8033.0 205:31362.0 206:6623.0 207:3297.0 208:528.0 209:158.0 210:494.0 211:122.0 212:95.0 213:46.0 214:202.0 215:495.0 216:1610.0 217:18027.0 218:3925.0 219:1850.0 220:307.0 221:1109.0 222:282.0 223:173.0 224:89.0 225:75.0 226:79.0 227:33.0 228:197.0 229:4027.0 230:1352.0 231:1798.0 232:793.0 233:856.0 234:529.0 235:203.0 236:98.0 237:75.0 238:39.0 239:27.0 240:176.0 241:71.0 242:121.0 243:296.0 244:335.0 245:307.0 246:431.0 247:316.0 248:162.0 249:83.0 250:25.0 251:54.0 252:55.0 253:47.0 254:50.0 255:61.0 256:231.0 257:37.0 258:38.0 259:117.0 260:141.0 261:111.0 262:753.0 263:223.0 264:81.0 265:115.0 266:49.0 267:46.0 268:184.0 269:286.0 270:128.0 271:27.0 272:40.0 273:39.0 274:697.0 275:219.0 276:157.0 277:794.0 278:383.0 279:164.0 280:42.0 282:19.0 284:30.0 286:54.0 287:65.0 288:12.0 289:25.0 290:86.0 291:1546.0 292:436.0 293:274.0 294:77.0 295:39.0 296:6.0 297:8.0 298:2.0 299:4.0 300:276.0 301:104.0 302:151.0 304:55.0 305:894.0 306:425.0 307:940.0 308:287.0 309:142.0 310:29.0 312:32.0 313:10.0 314:45.0 315:22.0 316:18.0 317:43.0 318:491.0 319:20047.0 320:6992.0 321:3252.0 322:725.0 323:173.0 324:49.0 325:30.0 326:13.0 328:70.0 329:12.0 330:92.0 332:74.0 333:8.0 334:17.0 335:26.0 336:12.0 337:15.0 338:33.0 339:18.0 341:21.0 342:81.0 343:195.0 344:206.0 345:111.0 346:81.0 347:9.0 349:35.0 350:41.0 351:21.0 352:30.0 353:16.0 354:26.0 355:5.0 356:34.0 357:34.0 358:64.0 359:58.0 360:18.0 361:29.0 364:467.0 365:231.0 366:116.0 367:43.0 368:28.0 370:11.0 371:34.0 372:20.0 374:194.0 375:123.0 376:181.0 377:92.0 378:27.0 379:24.0 380:24.0 381:7.0 382:2.0 384:13.0 385:11.0 386:1.0 388:14.0 389:14.0 390:50.0 391:60.0 392:9.0 393:9.0 394:35.0 395:19.0 400:6.0 402:22.0 403:16.0 405:32.0 408:12.0 409:41.0 410:21.0 411:14.0 412:15.0 413:2.0 414:23.0 415:10.0 417:17.0 418:7.0 419:9.0 420:28.0 421:28.0 423:19.0 424:35.0 425:16.0 426:16.0 427:9.0 428:3.0 429:12.0 430:4.0 431:4.0 432:20.0 433:6.0 434:15.0 435:15.0 436:6.0 441:9.0 442:34.0 443:27.0 444:13.0 446:7.0 447:15.0 448:39.0 449:30.0 450:2.0 451:28.0 453:21.0 454:11.0 456:9.0 457:9.0 459:16.0 460:14.0 461:16.0 462:11.0 463:18.0 464:64.0 465:25.0 466:53.0 467:70.0 468:36.0 469:36.0 470:7.0 471:7.0 472:1.0 473:19.0 474:18.0 475:10.0 476:2.0 477:18.0 478:6.0 479:5.0 482:16.0 483:15.0 485:14.0 486:8.0 487:5.0 490:21.0 491:14.0 492:13.0 493:8.0 494:9.0 495:4.0 496:10.0 497:1.0 498:9.0 499:14.0 500:20.0</t>
  </si>
  <si>
    <t>203</t>
  </si>
  <si>
    <t>817783</t>
  </si>
  <si>
    <t>85:593.0 86:299.0 88:18.0 89:1084.0 90:82.0 91:33.0 92:47.0 93:20.0 94:2.0 95:121.0 97:122.0 98:553.0 99:233.0 100:149.0 101:1020.0 102:177.0 103:1393.0 104:106.0 105:225.0 106:67.0 107:38.0 109:61.0 110:8.0 111:58.0 112:61.0 113:117.0 114:59.0 115:58.0 116:738.0 117:421.0 118:41.0 119:99.0 120:4.0 121:25.0 123:27.0 124:5.0 125:5.0 126:18.0 127:146.0 128:17.0 129:1361.0 130:279.0 131:615.0 132:70.0 133:875.0 134:91.0 135:148.0 136:11.0 137:23.0 138:8.0 139:2.0 140:6.0 141:29.0 142:22.0 143:86.0 144:2.0 145:17.0 146:11.0 147:1745.0 148:271.0 149:174.0 150:17.0 151:58.0 152:9.0 153:8.0 154:44.0 155:14.0 156:16.0 157:404.0 158:59.0 159:69.0 160:447.0 161:172.0 162:10.0 163:46.0 164:4.0 165:7.0 167:7.0 168:16.0 169:61.0 170:6.0 171:5.0 172:10.0 173:52.0 174:12.0 175:15.0 176:73.0 177:19.0 178:7.0 179:21.0 181:39.0 182:4.0 183:10.0 186:12.0 187:9.0 188:7.0 189:142.0 190:16.0 191:133.0 192:10.0 193:67.0 194:31.0 195:54.0 196:17.0 197:5.0 198:3.0 200:4.0 201:10.0 203:27.0 204:191.0 205:77.0 206:6.0 207:182.0 208:25.0 209:4.0 210:21.0 211:386.0 212:50.0 213:14.0 215:5.0 216:2.0 217:411.0 218:92.0 219:31.0 220:6.0 221:19.0 222:5.0 225:109.0 226:11.0 227:84.0 228:34.0 229:31.0 230:25.0 231:36.0 232:5.0 233:14.0 234:7.0 235:2.0 236:4.0 238:3.0 239:66.0 240:9.0 243:49.0 244:13.0 245:1.0 246:9.0 247:192.0 248:48.0 249:18.0 253:22.0 254:1.0 256:3.0 257:1.0 258:1.0 259:12.0 260:4.0 261:3.0 262:2.0 266:1.0 268:7.0 269:29.0 270:8.0 272:1.0 273:8.0 274:3.0 276:6.0 277:3.0 279:3.0 281:4.0 283:25.0 285:29.0 286:11.0 287:7.0 289:5.0 290:3.0 291:8.0 293:1.0 296:1.0 298:33.0 299:1140.0 300:254.0 301:154.0 302:16.0 303:4.0 304:1.0 305:27.0 309:1.0 312:2.0 313:25.0 314:54.0 315:510.0 316:126.0 317:62.0 318:10.0 319:7.0 320:8.0 321:2.0 322:3.0 324:1.0 328:13.0 330:4.0 331:38.0 332:13.0 333:14.0 334:4.0 336:5.0 337:3.0 338:3.0 341:40.0 342:27.0 343:15.0 345:3.0 352:2.0 353:2.0 355:3.0 356:15.0 357:369.0 358:122.0 359:51.0 360:6.0 365:2.0 368:1.0 369:1.0 370:16.0 371:6.0 372:5.0 373:9.0 374:8.0 375:6.0 377:4.0 378:2.0 379:1.0 380:1.0 381:4.0 385:5.0 386:105.0 387:1311.0 388:511.0 389:275.0 390:70.0 391:20.0 392:2.0 393:1.0 396:2.0 397:1.0 401:1.0 403:7.0 404:3.0 405:2.0 406:3.0 410:1.0 411:1.0 418:1.0 419:1.0 421:4.0 423:2.0 425:1.0 426:1.0 427:2.0 428:4.0 429:8.0 432:4.0 440:1.0 441:1.0 446:1.0 447:3.0 449:2.0 451:3.0 454:1.0 458:1.0 459:1.0 460:5.0 461:9.0 465:4.0 467:2.0 469:5.0 470:1.0 471:100.0 472:50.0 473:16.0 474:4.0 475:2.0 476:1.0 477:1.0 479:4.0 490:1.0 491:2.0 492:3.0 499:1.0 500:6.0</t>
  </si>
  <si>
    <t>1018547</t>
  </si>
  <si>
    <t>85:205.0 86:75.0 87:194.0 88:80.0 89:287.0 90:31.0 91:28.0 92:12.0 93:17.0 94:22.0 95:39.0 96:21.0 97:102.0 98:45.0 99:171.0 100:40.0 101:731.0 102:156.0 103:4860.0 104:446.0 105:231.0 106:17.0 107:21.0 108:16.0 109:176.0 110:25.0 111:157.0 112:31.0 113:243.0 114:59.0 115:193.0 116:446.0 117:949.0 118:102.0 119:166.0 120:18.0 121:16.0 122:13.0 123:37.0 124:4.0 125:40.0 126:28.0 127:166.0 128:56.0 129:5073.0 130:566.0 131:996.0 132:146.0 133:1674.0 134:223.0 135:148.0 136:27.0 137:19.0 138:12.0 139:65.0 141:95.0 142:141.0 143:1046.0 144:139.0 145:199.0 146:36.0 147:8991.0 148:1482.0 149:1069.0 150:113.0 151:84.0 152:31.0 153:126.0 154:38.0 155:229.0 156:91.0 157:389.0 158:67.0 159:93.0 160:22.0 161:134.0 162:32.0 163:168.0 164:57.0 165:21.0 166:14.0 167:45.0 168:18.0 169:593.0 170:120.0 171:92.0 172:21.0 173:142.0 174:55.0 175:158.0 176:32.0 177:204.0 178:45.0 179:33.0 180:10.0 181:65.0 182:37.0 183:85.0 184:23.0 185:48.0 186:16.0 187:59.0 188:20.0 189:834.0 190:416.0 191:4767.0 192:890.0 193:449.0 194:70.0 195:27.0 196:26.0 197:45.0 198:46.0 199:52.0 200:22.0 201:80.0 202:28.0 203:281.0 204:24360.0 205:4785.0 206:2178.0 207:492.0 208:119.0 209:61.0 210:26.0 211:42.0 212:25.0 213:31.0 214:5.0 215:133.0 216:44.0 217:4391.0 218:1156.0 219:470.0 220:102.0 221:578.0 222:131.0 223:89.0 224:28.0 225:15.0 226:16.0 227:47.0 228:12.0 229:120.0 230:831.0 231:357.0 232:125.0 233:187.0 234:69.0 235:44.0 236:25.0 237:20.0 238:17.0 239:73.0 240:26.0 241:44.0 242:47.0 243:475.0 244:124.0 245:128.0 246:73.0 247:73.0 248:24.0 249:40.0 250:17.0 251:4.0 252:6.0 253:10.0 254:4.0 255:67.0 256:23.0 257:68.0 258:23.0 259:52.0 260:30.0 261:23.0 262:20.0 263:44.0 264:20.0 265:380.0 266:113.0 267:78.0 268:21.0 269:24.0 270:21.0 271:231.0 272:78.0 273:51.0 274:35.0 275:23.0 276:19.0 277:30.0 278:37.0 279:38.0 280:10.0 281:36.0 282:3.0 283:5.0 284:6.0 285:10.0 286:10.0 287:16.0 288:25.0 289:48.0 290:27.0 291:190.0 292:69.0 293:293.0 294:83.0 295:49.0 296:19.0 297:2.0 298:4.0 299:16.0 300:7.0 301:13.0 302:25.0 303:18.0 304:91.0 305:514.0 306:237.0 307:119.0 308:30.0 309:18.0 310:4.0 311:20.0 312:6.0 313:21.0 314:1.0 315:6.0 316:14.0 317:84.0 318:340.0 319:317.0 320:122.0 321:56.0 322:17.0 323:22.0 324:10.0 325:14.0 326:3.0 327:10.0 328:5.0 329:22.0 330:14.0 331:87.0 332:83.0 333:51.0 334:26.0 335:13.0 336:13.0 337:6.0 338:6.0 339:16.0 340:3.0 341:18.0 342:18.0 343:103.0 344:76.0 345:90.0 346:36.0 347:18.0 348:23.0 349:12.0 350:20.0 351:11.0 352:9.0 353:11.0 354:9.0 355:5.0 356:20.0 357:12.0 358:9.0 359:41.0 360:55.0 361:449.0 362:176.0 363:89.0 364:17.0 365:31.0 366:18.0 367:31.0 368:22.0 369:3.0 370:10.0 371:10.0 372:11.0 373:12.0 374:6.0 375:7.0 376:15.0 377:3.0 379:17.0 380:7.0 381:28.0 382:21.0 383:16.0 384:14.0 385:18.0 386:13.0 387:10.0 388:8.0 389:23.0 390:10.0 391:15.0 392:9.0 393:23.0 394:25.0 395:17.0 396:8.0 397:5.0 398:16.0 399:19.0 400:7.0 401:12.0 402:12.0 403:22.0 404:18.0 405:17.0 406:14.0 407:19.0 408:16.0 409:6.0 410:13.0 411:22.0 412:12.0 413:19.0 414:8.0 415:9.0 416:12.0 417:41.0 418:23.0 419:26.0 420:17.0 421:14.0 422:7.0 423:26.0 424:12.0 425:5.0 426:21.0 427:4.0 428:9.0 429:13.0 430:9.0 431:7.0 432:50.0 433:259.0 434:142.0 435:98.0 436:48.0 437:22.0 438:9.0 439:8.0 440:15.0 441:10.0 442:10.0 443:16.0 444:15.0 445:10.0 446:11.0 447:4.0 448:18.0 449:17.0 450:23.0 451:12.0 452:16.0 453:9.0 454:10.0 455:4.0 456:7.0 457:11.0 458:14.0 459:13.0 460:9.0 461:16.0 462:10.0 463:25.0 464:12.0 465:16.0 466:8.0 467:11.0 468:17.0 469:15.0 470:14.0 471:6.0 472:14.0 473:8.0 474:16.0 475:9.0 476:5.0 477:8.0 478:10.0 479:5.0 480:22.0 481:13.0 482:10.0 483:10.0 484:11.0 485:13.0 486:13.0 487:6.0 488:7.0 489:6.0 490:4.0 491:4.0 492:19.0 493:28.0 494:21.0 495:6.0 496:20.0 497:14.0 498:5.0 499:6.0 500:11.0</t>
  </si>
  <si>
    <t>102</t>
  </si>
  <si>
    <t>GABA</t>
  </si>
  <si>
    <t>485288</t>
  </si>
  <si>
    <t>85:13625.0 86:211009.0 87:16974.0 88:9386.0 89:5162.0 90:529.0 92:118.0 95:238.0 96:840.0 97:1633.0 98:8486.0 99:15066.0 100:117323.0 101:20416.0 102:16543.0 103:7055.0 104:1419.0 105:2291.0 106:340.0 107:513.0 108:154.0 109:58.0 110:1284.0 111:631.0 112:8901.0 113:8413.0 114:16061.0 115:12943.0 116:15928.0 117:21055.0 118:4543.0 119:5903.0 120:741.0 121:454.0 122:153.0 123:182.0 124:1463.0 125:458.0 126:2066.0 127:815.0 128:7887.0 129:6889.0 130:41694.0 131:32688.0 132:11250.0 133:48685.0 134:7300.0 135:4191.0 136:565.0 137:379.0 138:355.0 139:399.0 140:12580.0 141:2070.0 142:43320.0 143:44854.0 144:12557.0 145:5431.0 146:19240.0 147:286972.0 148:45386.0 149:25733.0 150:3023.0 151:714.0 152:266.0 153:43.0 154:1059.0 155:433.0 156:15463.0 157:4422.0 158:7772.0 159:1533.0 160:1837.0 161:1403.0 162:314.0 163:8.0 164:105.0 166:45.0 167:17.0 168:347.0 169:165.0 170:2526.0 171:203.0 172:23111.0 173:5234.0 174:507270.0 175:93480.0 176:41847.0 177:5294.0 178:947.0 180:89.0 181:68.0 182:362.0 184:337.0 186:1859.0 187:1784.0 188:1425.0 189:449.0 190:624.0 192:30.0 194:21.0 196:120.0 197:91.0 198:809.0 199:211.0 200:2206.0 201:755.0 202:342.0 203:207.0 204:1514.0 205:767.0 206:171.0 210:111.0 211:45.0 212:178.0 213:361.0 214:8294.0 215:1899.0 216:36118.0 217:6928.0 218:3334.0 219:2534.0 220:1156.0 224:18.0 225:73.0 226:23.0 227:97.0 228:428.0 229:104.0 230:3922.0 231:745.0 232:1265.0 233:305.0 234:74.0 235:74.0 236:153.0 237:22.0 239:83.0 240:67.0 241:39.0 242:93.0 243:340.0 244:152.0 245:160.0 246:15241.0 247:3350.0 248:1425.0 249:305.0 250:48.0 252:12.0 253:82.0 254:47.0 255:40.0 256:32.0 257:5.0 258:36.0 260:36.0 261:37.0 263:18.0 270:5.0 271:23.0 272:8.0 274:96.0 275:172.0 276:74.0 277:41.0 278:11.0 286:2.0 288:864.0 289:252.0 290:154.0 291:34.0 293:24.0 294:18.0 298:1.0 299:32.0 300:7.0 301:17.0 302:263.0 303:755.0 304:68157.0 305:21825.0 306:10522.0 307:2050.0 308:457.0 309:55.0 310:9.0 311:33.0 312:11.0 313:33.0 314:6.0 319:36.0 324:8.0 328:10.0 329:32.0 352:17.0 358:2.0 361:17.0 379:12.0 386:17.0 388:22.0 389:19.0 398:8.0 399:35.0 400:14.0 401:10.0 406:8.0 414:10.0 415:40.0 416:28.0 417:1.0 419:35.0 420:25.0 422:2.0 425:9.0 428:15.0 431:41.0 432:14.0 439:4.0 441:12.0 444:14.0 447:33.0 450:10.0 455:22.0 459:17.0 462:14.0 472:10.0 476:3.0 479:4.0 481:11.0 482:9.0 484:5.0 485:10.0 486:28.0 495:4.0 500:8.0</t>
  </si>
  <si>
    <t>fumaric acid</t>
  </si>
  <si>
    <t>390853</t>
  </si>
  <si>
    <t>245</t>
  </si>
  <si>
    <t>85:1985.0 86:59.0 99:531.0 100:151.0 107:833.0 110:34.0 112:33.0 113:459.0 114:7.0 115:613.0 118:101.0 124:1480.0 126:160.0 127:383.0 128:46.0 129:1.0 130:343.0 131:236.0 132:56.0 133:486.0 140:3.0 141:719.0 143:588.0 144:8.0 147:5757.0 148:441.0 149:335.0 150:15.0 153:24.0 155:283.0 157:212.0 159:1304.0 160:85.0 163:105.0 184:614.0 185:210.0 203:29.0 208:27.0 217:21.0 228:83.0 229:14.0 233:118.0 245:2220.0 246:409.0 247:894.0 248:98.0 249:799.0 250:44.0 259:145.0 260:32.0 263:186.0 264:71.0 275:52.0 300:9.0 352:16.0 353:6.0 355:51.0 372:9.0 464:5.0 486:10.0 490:5.0</t>
  </si>
  <si>
    <t>577861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</si>
  <si>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</si>
  <si>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fructose-6-phosphate</t>
  </si>
  <si>
    <t>804605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</si>
  <si>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</si>
  <si>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640798</t>
  </si>
  <si>
    <t>85:1834.0 86:744.0 87:1240.0 88:1039.0 89:18724.0 90:1456.0 91:540.0 92:62.0 94:170.0 98:359.0 99:847.0 100:2729.0 101:3894.0 102:1200.0 103:108806.0 104:10099.0 105:6342.0 106:240.0 107:69.0 109:39.0 110:208.0 111:287.0 112:75.0 113:1440.0 114:7962.0 115:2103.0 116:1660.0 117:13810.0 118:1806.0 119:2417.0 120:251.0 121:46.0 124:68.0 125:93.0 126:344.0 127:456.0 128:918.0 129:9598.0 130:2066.0 131:5259.0 132:690.0 133:12636.0 134:1413.0 135:811.0 138:40.0 140:330.0 141:148.0 142:1363.0 143:1775.0 144:437.0 145:851.0 146:149.0 147:41696.0 148:6524.0 149:4255.0 150:393.0 151:118.0 152:70.0 153:49.0 154:126.0 155:114.0 156:527.0 157:1703.0 158:548.0 159:441.0 160:75.0 161:268.0 162:10.0 163:1526.0 164:148.0 165:75.0 166:56.0 167:21.0 168:361.0 169:123.0 170:544.0 171:163.0 172:1681.0 173:2863.0 174:878.0 175:1305.0 176:184.0 177:425.0 178:61.0 179:84.0 180:256.0 181:56.0 182:101.0 183:43.0 184:109.0 185:47.0 186:282.0 187:162.0 189:5409.0 190:1324.0 191:3592.0 192:620.0 193:244.0 194:42.0 195:31.0 196:318.0 197:40.0 198:596.0 199:156.0 200:338.0 201:1493.0 202:1334.0 203:1013.0 204:3461.0 205:4965.0 206:1141.0 207:697.0 208:99.0 209:23.0 210:26.0 212:50.0 214:328.0 215:158.0 216:1146.0 217:49387.0 218:10355.0 219:4621.0 220:611.0 221:1349.0 222:292.0 223:141.0 224:19.0 226:28.0 227:2.0 228:124.0 229:291.0 230:321.0 231:981.0 232:365.0 233:141.0 234:28.0 235:40.0 236:9.0 239:14.0 240:195.0 241:58.0 242:73.0 243:163.0 244:923.0 245:385.0 246:204.0 247:110.0 248:64.0 249:4.0 251:63.0 253:61.0 254:97.0 255:77.0 256:353.0 257:95.0 258:38.0 259:32.0 260:236.0 261:83.0 262:2576.0 263:1273.0 264:437.0 265:183.0 266:55.0 267:48.0 268:259.0 269:14.0 270:242.0 271:64.0 272:103.0 273:49.0 274:38.0 275:126.0 276:269.0 277:3585.0 278:957.0 279:470.0 280:70.0 281:65.0 282:7.0 284:22.0 286:82.0 287:3.0 288:168.0 289:53.0 290:5.0 291:547.0 292:175.0 293:95.0 294:40.0 297:38.0 298:8.0 299:31.0 300:149.0 301:67.0 302:94.0 303:94.0 304:111.0 305:283.0 306:270.0 307:15689.0 308:4613.0 309:2190.0 310:388.0 311:107.0 312:2.0 314:6.0 315:7.0 316:13.0 317:2.0 318:190.0 319:474.0 320:120.0 321:48.0 323:22.0 326:10.0 327:26.0 328:63.0 329:5.0 330:208.0 331:67.0 332:74.0 333:378.0 334:334.0 335:753.0 336:328.0 337:112.0 338:32.0 339:8.0 341:18.0 342:35.0 343:25.0 344:70.0 345:61.0 346:32.0 348:21.0 350:131.0 351:82.0 352:16.0 355:22.0 356:8.0 358:87.0 359:44.0 360:100.0 363:24.0 364:1796.0 365:551.0 366:303.0 367:39.0 369:4.0 375:10.0 376:127.0 377:86.0 378:37.0 379:19.0 380:4.0 384:11.0 387:5.0 388:13.0 389:37.0 390:103.0 391:67.0 392:34.0 393:9.0 394:9.0 399:7.0 401:13.0 404:18.0 405:3.0 406:2.0 407:2.0 408:16.0 410:14.0 417:16.0 420:9.0 421:3.0 427:23.0 432:26.0 433:53.0 434:62.0 435:42.0 436:3.0 437:22.0 442:5.0 443:6.0 445:2.0 448:23.0 463:25.0 464:87.0 465:47.0 466:86.0 467:18.0 468:22.0 470:11.0 472:7.0 476:6.0 488:5.0 489:7.0 492:19.0 495:9.0</t>
  </si>
  <si>
    <t>erythrose</t>
  </si>
  <si>
    <t>443286</t>
  </si>
  <si>
    <t>85:798.0 86:1162.0 87:574.0 88:313.0 89:10653.0 90:490.0 91:369.0 95:62.0 97:63.0 98:570.0 99:420.0 100:3483.0 101:3431.0 102:1852.0 103:8845.0 104:801.0 105:2092.0 106:293.0 107:187.0 108:375.0 110:418.0 111:134.0 112:377.0 113:148.0 114:1104.0 115:1620.0 116:966.0 117:26761.0 118:2990.0 119:1971.0 122:14.0 123:588.0 124:542.0 126:190.0 127:546.0 128:205.0 129:1597.0 130:4243.0 131:4265.0 132:445.0 133:8464.0 134:1589.0 135:19.0 140:491.0 141:3.0 142:468.0 143:597.0 144:173.0 146:231.0 147:37625.0 148:5273.0 149:3681.0 150:97.0 151:195.0 154:53.0 155:46.0 156:174.0 157:249.0 158:437.0 159:69.0 160:1068.0 161:6709.0 162:764.0 163:1204.0 164:107.0 170:70.0 172:107.0 173:171.0 174:233.0 175:269.0 177:525.0 178:4.0 180:1.0 182:73.0 184:603.0 185:125.0 186:528.0 187:26.0 188:78.0 189:687.0 190:76.0 191:3.0 193:761.0 194:57.0 196:3.0 200:235.0 201:448.0 202:182.0 203:700.0 204:544.0 205:14402.0 206:2711.0 207:987.0 214:89.0 216:552.0 217:552.0 218:167.0 219:29.0 220:72.0 221:1227.0 222:284.0 223:145.0 228:143.0 230:36.0 231:276.0 232:10.0 233:539.0 234:174.0 235:45.0 237:1.0 243:1.0 244:140.0 246:106.0 247:21.0 255:5.0 257:170.0 258:43.0 260:274.0 261:55.0 262:343.0 270:166.0 281:33.0 290:14.0 291:62.0 292:21.0 300:3.0 301:1.0 304:6.0 313:17.0 316:15.0 318:427.0 319:250.0 320:118.0 323:1.0 346:108.0 350:86.0 351:55.0 361:64.0 362:18.0 433:1.0 495:12.0</t>
  </si>
  <si>
    <t>erythritol</t>
  </si>
  <si>
    <t>471274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</si>
  <si>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</si>
  <si>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elaidic acid</t>
  </si>
  <si>
    <t>780799</t>
  </si>
  <si>
    <t>85:2151.0 86:797.0 87:573.0 88:397.0 89:1577.0 90:207.0 91:2424.0 92:549.0 93:3414.0 94:1799.0 95:8497.0 96:9929.0 97:6494.0 98:6521.0 99:1786.0 100:274.0 101:745.0 102:140.0 103:279.0 104:38.0 105:1778.0 106:396.0 107:1700.0 108:972.0 109:3692.0 110:3528.0 111:2465.0 112:1218.0 113:334.0 114:57.0 115:256.0 116:3241.0 117:28379.0 118:3045.0 119:2239.0 120:443.0 121:1566.0 122:487.0 123:2175.0 124:1408.0 125:839.0 126:310.0 127:199.0 128:247.0 129:24020.0 130:3086.0 131:5575.0 132:5188.0 133:2358.0 134:1042.0 135:970.0 136:253.0 137:1257.0 138:954.0 139:397.0 140:94.0 141:189.0 142:136.0 143:1510.0 144:235.0 145:7718.0 146:1067.0 147:889.0 148:404.0 149:421.0 150:200.0 151:840.0 152:1041.0 153:270.0 154:49.0 155:660.0 156:164.0 157:604.0 158:184.0 159:595.0 160:82.0 161:241.0 162:92.0 163:114.0 164:119.0 165:392.0 166:545.0 167:193.0 168:98.0 169:536.0 170:156.0 171:1189.0 172:336.0 173:389.0 174:133.0 175:149.0 176:47.0 177:33.0 178:45.0 179:220.0 180:823.0 181:235.0 182:42.0 183:551.0 184:126.0 185:1830.0 186:338.0 187:337.0 188:175.0 189:104.0 190:14.0 191:97.0 192:5.0 193:179.0 194:93.0 195:25.0 196:1.0 197:91.0 198:8.0 199:1762.0 200:285.0 201:429.0 202:191.0 203:92.0 204:43.0 205:1.0 206:2.0 207:156.0 208:86.0 209:10.0 210:1.0 211:109.0 212:9.0 213:295.0 214:49.0 215:88.0 216:15.0 217:43.0 218:1.0 219:21.0 220:142.0 221:275.0 222:891.0 223:157.0 224:1.0 225:47.0 227:252.0 228:72.0 229:67.0 230:33.0 231:2.0 232:2.0 235:113.0 236:134.0 237:2.0 238:2.0 239:31.0 240:5.0 241:219.0 242:44.0 243:67.0 244:5.0 245:4.0 246:51.0 249:2.0 253:15.0 254:2.0 255:161.0 256:10.0 257:103.0 258:41.0 259:3.0 264:684.0 265:128.0 267:14.0 269:65.0 271:55.0 272:53.0 273:5.0 274:4.0 281:26.0 283:20.0 285:16.0 286:21.0 287:1.0 291:7.0 295:56.0 296:16.0 297:1.0 299:49.0 300:4.0 304:2.0 309:4.0 310:1.0 311:83.0 312:29.0 313:12.0 314:1.0 318:1.0 323:5.0 324:2.0 325:1.0 335:14.0 337:4.0 338:122.0 339:3572.0 340:1510.0 341:344.0 342:62.0 343:2.0 352:2.0 354:194.0 355:81.0 356:13.0 357:55.0 358:7.0 359:2.0 366:1.0 370:1.0 372:1.0 373:1.0 375:1.0 381:1.0 382:1.0 386:1.0 390:1.0 397:1.0 402:1.0 405:1.0 407:2.0 421:1.0 424:1.0 431:1.0 435:1.0 446:1.0 449:3.0 450:1.0 456:1.0 457:2.0 459:1.0 462:3.0 471:1.0 491:1.0 495:2.0 498:2.0</t>
  </si>
  <si>
    <t>dodecanol</t>
  </si>
  <si>
    <t>508488</t>
  </si>
  <si>
    <t>243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</si>
  <si>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</si>
  <si>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dodecane</t>
  </si>
  <si>
    <t>247379</t>
  </si>
  <si>
    <t>98</t>
  </si>
  <si>
    <t>85:7706.0 86:1554.0 87:672.0 88:810.0 89:230.0 93:103.0 94:200.0 95:91.0 96:489.0 97:374.0 98:3532.0 99:315.0 100:1610.0 101:263.0 102:140.0 103:534.0 105:279.0 107:79.0 108:33.0 109:6.0 110:3339.0 111:97.0 112:212.0 113:1715.0 117:32.0 120:258.0 121:117.0 122:12.0 125:19.0 126:174.0 127:718.0 130:2.0 131:1128.0 132:536.0 133:163.0 147:7143.0 155:2979.0 156:233.0 167:28.0 170:1.0 174:52.0 182:313.0 184:23.0 187:73.0 200:6.0 201:2.0 209:65.0 228:9.0 360:1.0 384:1.0 386:4.0 426:6.0 441:5.0 452:3.0 498:5.0</t>
  </si>
  <si>
    <t>dihydroabietic acid</t>
  </si>
  <si>
    <t>849610</t>
  </si>
  <si>
    <t>239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</si>
  <si>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</si>
  <si>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cytidine</t>
  </si>
  <si>
    <t>932851</t>
  </si>
  <si>
    <t>223</t>
  </si>
  <si>
    <t>85:546.0 86:955.0 87:745.0 88:77.0 89:2074.0 90:115.0 93:449.0 94:260.0 95:1092.0 96:674.0 97:1250.0 98:3141.0 99:2406.0 100:7224.0 101:4943.0 102:887.0 103:8337.0 104:238.0 105:1246.0 106:573.0 107:1086.0 109:316.0 110:406.0 111:519.0 112:445.0 113:973.0 114:479.0 115:749.0 116:589.0 117:2079.0 119:1316.0 120:286.0 121:506.0 122:636.0 123:225.0 124:698.0 125:1905.0 126:485.0 127:1642.0 129:6991.0 130:1523.0 131:2653.0 133:5063.0 134:506.0 136:60.0 137:559.0 138:394.0 139:335.0 140:1142.0 141:614.0 143:2720.0 144:18.0 145:530.0 146:343.0 147:12579.0 148:2136.0 149:2527.0 150:307.0 151:1491.0 152:550.0 153:1457.0 155:660.0 157:1456.0 159:342.0 161:223.0 166:671.0 167:3701.0 168:9116.0 169:6012.0 170:1986.0 171:738.0 172:24.0 173:496.0 175:14.0 177:61.0 180:62.0 181:416.0 182:1920.0 183:664.0 184:7119.0 185:707.0 187:62.0 189:1912.0 191:4838.0 192:1228.0 193:157.0 195:4096.0 196:1349.0 198:608.0 203:314.0 204:12492.0 205:2230.0 206:1101.0 208:867.0 210:370.0 211:66.0 212:418.0 214:202.0 215:889.0 217:17792.0 218:3758.0 219:2713.0 220:121.0 222:521.0 223:22351.0 224:4075.0 225:1790.0 226:333.0 227:59.0 229:400.0 230:1049.0 231:299.0 232:370.0 233:41.0 236:179.0 237:177.0 238:330.0 239:296.0 240:4935.0 241:1443.0 242:719.0 243:6069.0 244:1563.0 245:11504.0 246:2509.0 247:711.0 248:110.0 249:28.0 250:60.0 251:153.0 252:215.0 253:533.0 254:1279.0 255:433.0 256:4446.0 257:1784.0 259:870.0 260:14.0 261:74.0 262:56.0 263:9.0 266:358.0 267:164.0 268:774.0 269:485.0 270:216.0 271:690.0 272:103.0 273:381.0 274:47.0 277:156.0 279:200.0 280:107.0 283:310.0 284:898.0 285:1040.0 286:118.0 288:125.0 289:113.0 293:61.0 296:166.0 298:805.0 299:269.0 300:578.0 301:15.0 302:30.0 305:216.0 306:72.0 307:228.0 309:502.0 310:188.0 312:517.0 313:1225.0 314:1311.0 315:260.0 318:244.0 319:463.0 320:152.0 321:19.0 322:153.0 323:25.0 325:29.0 326:41.0 328:38.0 329:42.0 330:60.0 332:135.0 336:1.0 337:53.0 338:163.0 339:7.0 341:664.0 342:278.0 344:25.0 345:120.0 347:25.0 348:1104.0 349:219.0 350:26.0 351:167.0 352:65.0 353:58.0 354:50.0 355:217.0 357:124.0 358:252.0 361:2635.0 362:707.0 363:270.0 369:333.0 370:293.0 371:209.0 373:65.0 374:65.0 375:73.0 376:49.0 377:86.0 382:10.0 384:174.0 385:153.0 388:5.0 391:10.0 397:18.0 399:86.0 400:8.0 401:110.0 403:47.0 404:79.0 405:53.0 408:83.0 415:410.0 418:44.0 419:49.0 420:21.0 421:59.0 426:13.0 428:59.0 430:137.0 431:146.0 432:74.0 433:19.0 434:46.0 435:56.0 436:209.0 437:9.0 438:46.0 439:7.0 441:99.0 442:23.0 443:73.0 450:37.0 456:10.0 457:9.0 458:35.0 461:142.0 473:8.0 475:245.0 476:45.0 477:21.0 484:34.0 485:18.0 488:25.0 490:391.0 494:10.0 495:25.0</t>
  </si>
  <si>
    <t>cysteine-glycine</t>
  </si>
  <si>
    <t>715639</t>
  </si>
  <si>
    <t>220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</si>
  <si>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</si>
  <si>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</si>
  <si>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499495</t>
  </si>
  <si>
    <t>85:121.0 86:701.0 90:5.0 91:8.0 99:42.0 100:3938.0 101:418.0 102:407.0 109:65.0 110:215.0 111:289.0 112:341.0 113:261.0 114:357.0 115:440.0 116:751.0 117:18.0 119:105.0 124:17.0 127:32.0 128:839.0 129:223.0 130:214.0 131:935.0 132:988.0 133:9.0 134:155.0 139:123.0 140:1315.0 144:181.0 146:324.0 147:1536.0 148:384.0 150:28.0 151:40.0 152:3.0 155:28.0 156:136.0 157:233.0 158:124.0 159:564.0 160:221.0 170:63.0 172:45.0 174:99.0 182:87.0 184:244.0 185:22.0 186:223.0 188:5.0 191:354.0 200:159.0 202:7.0 204:303.0 212:210.0 214:21.0 217:94.0 218:4577.0 219:725.0 220:4590.0 221:607.0 222:500.0 223:3.0 228:12.0 232:99.0 242:9.0 246:12.0 256:25.0 258:39.0 294:162.0 295:25.0 297:56.0 313:119.0 447:22.0 448:7.0</t>
  </si>
  <si>
    <t>772889</t>
  </si>
  <si>
    <t>86:110.0 90:127.0 100:1278.0 101:143.0 104:67.0 107:123.0 114:122.0 116:267.0 125:4.0 128:3001.0 129:332.0 139:14.0 155:169.0 156:68.0 157:11.0 160:498.0 162:35.0 167:2.0 172:21.0 174:30.0 182:32.0 188:170.0 202:254.0 204:11.0 207:84.0 216:126.0 218:2279.0 219:443.0 220:70.0 226:12.0 230:36.0 232:45.0 233:25.0 234:34.0 236:14.0 241:5.0 242:19.0 245:215.0 246:64.0 249:6.0 253:6.0 254:6.0 260:3.0 263:13.0 264:24.0 265:21.0 271:5.0 273:3.0 274:51.0 275:7.0 278:461.0 279:143.0 282:8.0 283:43.0 288:36.0 291:150.0 292:115.0 293:39.0 294:38.0 298:1.0 299:86.0 300:4.0 301:22.0 312:1.0 324:4.0 348:20.0 381:6.0 386:1.0 390:3.0 396:23.0 404:3.0 409:6.0 416:18.0 421:2.0 429:3.0 441:27.0 469:14.0 482:5.0 486:9.0</t>
  </si>
  <si>
    <t>cyclohexylamine NIST</t>
  </si>
  <si>
    <t>227666</t>
  </si>
  <si>
    <t>85:73383.0 86:84888.0 87:14174.0 88:114377.0 89:10867.0 90:10893.0 91:2430.0 92:1524.0 93:2756.0 94:5369.0 95:7370.0 96:51492.0 97:46221.0 98:203842.0 99:54608.0 100:931898.0 101:90045.0 102:92913.0 103:2924.0 104:1653.0 105:526.0 106:247.0 107:9238.0 108:2854.0 109:3414.0 110:39385.0 111:13333.0 112:102440.0 113:24323.0 114:120098.0 115:353528.0 116:35814.0 117:10312.0 119:268.0 122:705.0 123:282.0 124:3900.0 125:9644.0 126:47655.0 127:12491.0 128:3604226.0 129:476395.0 130:155348.0 133:584.0 136:513.0 137:198.0 138:3453.0 139:1262.0 140:15346.0 141:6159.0 142:183439.0 143:25842.0 144:6869.0 149:33.0 150:944.0 152:2531.0 153:480.0 154:129854.0 155:21296.0 156:475847.0 157:64485.0 158:19020.0 159:300.0 161:1000.0 162:74.0 163:36.0 165:72.0 168:1130.0 169:1627.0 170:28271.0 171:287711.0 172:43212.0 173:13905.0 177:4247.0 178:620.0 179:141.0 182:777.0 184:1748.0 186:80.0 191:8.0 193:61.0 194:12.0 201:798.0 205:2877.0 206:424.0 207:26.0 208:13.0 218:18.0 225:8.0 243:2.0 255:244.0 269:1.0 270:126.0 273:1.0 288:3.0 295:2.0 302:2.0 303:7.0 304:4.0 309:2.0 313:2.0 315:2.0 324:3.0 335:3.0 345:1.0 348:1.0 370:2.0 386:3.0 398:2.0 427:1.0 437:6.0 444:2.0 445:1.0 448:2.0 454:3.0 458:1.0 469:3.0 491:1.0</t>
  </si>
  <si>
    <t>conduritol-beta-epoxide</t>
  </si>
  <si>
    <t>700238</t>
  </si>
  <si>
    <t>85:3045.0 86:698.0 87:4291.0 88:1623.0 89:9.0 91:316.0 92:41.0 93:111.0 94:182.0 95:395.0 96:8.0 97:447.0 98:450.0 99:3560.0 101:9039.0 102:3125.0 103:68511.0 104:6828.0 105:4251.0 106:314.0 107:65.0 108:77.0 109:1187.0 111:3861.0 112:1588.0 113:3478.0 114:587.0 115:4142.0 116:6020.0 117:6169.0 118:1029.0 119:4277.0 120:503.0 121:398.0 122:25.0 123:150.0 124:105.0 125:1002.0 126:331.0 127:3486.0 128:764.0 129:60315.0 130:6996.0 131:26026.0 132:3634.0 133:56621.0 134:8107.0 135:5293.0 136:484.0 137:258.0 138:90.0 139:492.0 140:363.0 141:2113.0 142:1513.0 143:23211.0 144:2844.0 145:2568.0 146:659.0 147:244278.0 148:35962.0 149:22511.0 150:2744.0 151:1759.0 152:366.0 153:848.0 154:295.0 155:1215.0 156:1387.0 157:7776.0 158:1241.0 159:1839.0 160:183.0 161:3775.0 162:731.0 163:1875.0 164:279.0 165:229.0 166:55.0 167:260.0 168:41.0 169:1336.0 170:239.0 171:374.0 173:1018.0 174:213.0 175:3889.0 176:622.0 177:3852.0 178:610.0 179:446.0 180:131.0 181:568.0 182:146.0 183:301.0 185:835.0 186:129.0 187:597.0 188:169.0 189:13166.0 190:9129.0 191:104491.0 192:18603.0 193:9272.0 194:1012.0 195:338.0 196:60.0 197:341.0 198:213.0 199:338.0 200:113.0 201:1061.0 202:401.0 203:4156.0 204:63291.0 205:14888.0 206:5879.0 207:5607.0 208:948.0 209:661.0 210:119.0 211:159.0 212:30.0 213:301.0 214:60.0 215:3340.0 216:1035.0 217:148351.0 218:30074.0 219:13397.0 221:13309.0 222:3128.0 223:1715.0 224:279.0 225:114.0 226:43.0 227:341.0 228:434.0 229:832.0 230:3765.0 231:2411.0 232:784.0 233:120.0 234:9.0 235:356.0 236:88.0 237:152.0 238:119.0 239:732.0 240:149.0 241:239.0 242:131.0 243:2398.0 244:588.0 245:1533.0 246:524.0 247:141.0 248:1.0 249:276.0 250:81.0 251:13.0 252:15.0 253:36.0 254:78.0 255:452.0 256:244.0 257:450.0 258:103.0 261:76.0 262:25.0 263:206.0 264:164.0 265:9624.0 266:2515.0 267:1193.0 268:261.0 269:100.0 270:132.0 271:599.0 272:156.0 273:54.0 275:113.0 277:509.0 278:525.0 279:442.0 280:115.0 281:43.0 282:12.0 283:24.0 284:38.0 285:3.0 288:32.0 289:310.0 290:177.0 291:7437.0 292:2566.0 293:5524.0 294:1567.0 295:650.0 296:139.0 297:1.0 298:19.0 299:14.0 300:5.0 301:88.0 302:110.0 303:538.0 304:2218.0 305:90372.0 306:29106.0 307:14854.0 308:3280.0 309:781.0 310:127.0 311:70.0 312:26.0 313:79.0 314:73.0 315:125.0 316:324.0 317:3679.0 318:117560.0 319:42571.0 320:19332.0 321:4761.0 322:1147.0 323:129.0 324:67.0 326:10.0 327:130.0 328:105.0 329:268.0 330:60.0 331:458.0 332:152.0 333:23.0 334:26.0 335:3.0 337:10.0 338:8.0 339:14.0 340:13.0 341:40.0 342:57.0 343:1525.0 344:503.0 345:462.0 346:106.0 347:18.0 350:1.0 351:15.0 352:5.0 357:2.0 359:64.0 360:38.0 361:13.0 365:13.0 366:75.0 367:1879.0 368:666.0 369:464.0 370:69.0 371:20.0 378:65.0 379:284.0 380:157.0 381:48.0 382:19.0 391:79.0 392:582.0 393:5466.0 394:2606.0 395:1335.0 396:374.0 397:87.0 398:8.0 399:1.0 401:15.0 403:56.0 404:28.0 405:82.0 406:405.0 407:385.0 408:143.0 409:37.0 417:302.0 418:206.0 419:1098.0 420:633.0 421:330.0 422:34.0 431:182.0 432:1558.0 433:1669.0 434:881.0 435:373.0 436:100.0 437:7.0 447:22.0 450:1.0 451:2.0 475:3.0 478:4.0 488:1.0</t>
  </si>
  <si>
    <t>citrulline</t>
  </si>
  <si>
    <t>622308</t>
  </si>
  <si>
    <t>157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</si>
  <si>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</si>
  <si>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273</t>
  </si>
  <si>
    <t>capric acid</t>
  </si>
  <si>
    <t>451122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</si>
  <si>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</si>
  <si>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butyrolactam NIST</t>
  </si>
  <si>
    <t>277000</t>
  </si>
  <si>
    <t>85:517.0 86:1069.0 87:115.0 88:10.0 89:106.0 90:30.0 91:2470.0 92:2177.0 93:54.0 94:15.0 96:87.0 97:268.0 98:542.0 99:876.0 100:5600.0 101:617.0 102:271.0 104:17.0 105:12.0 107:50.0 108:7.0 111:20.0 112:594.0 113:125.0 114:104.0 115:414.0 116:114.0 118:46.0 120:1.0 124:30.0 125:14.0 126:100.0 127:43.0 128:25.0 131:16.0 136:13.0 139:14.0 140:474.0 142:19027.0 143:2398.0 144:886.0 145:33.0 147:65.0 149:22.0 152:48.0 154:2.0 155:31.0 156:1029.0 157:2812.0 158:315.0 159:74.0 160:7.0 162:7.0 165:7.0 166:5.0 173:2.0 180:3.0 184:206.0 190:7.0 193:5.0 194:5.0 195:17.0 197:2.0 199:2.0 200:7.0 203:2.0 212:5.0 213:5.0 218:10.0 223:2.0 226:5.0 230:1.0 232:5.0 235:5.0 245:5.0 248:5.0 253:2.0 254:2.0 257:13.0 258:7.0 259:5.0 262:2.0 263:2.0 269:2.0 273:5.0 280:2.0 283:5.0 297:5.0 298:5.0 301:2.0 302:2.0 309:2.0 312:12.0 313:5.0 316:5.0 322:16.0 324:10.0 331:2.0 333:5.0 334:11.0 337:8.0 340:8.0 344:2.0 346:5.0 350:5.0 352:1.0 356:10.0 360:5.0 369:3.0 370:2.0 371:10.0 373:4.0 374:2.0 379:2.0 382:5.0 383:2.0 384:1.0 390:6.0 391:2.0 403:7.0 404:2.0 406:1.0 408:5.0 409:5.0 411:8.0 417:7.0 419:7.0 421:2.0 429:3.0 433:5.0 437:2.0 439:2.0 441:1.0 445:5.0 448:5.0 449:2.0 459:2.0 464:2.0 466:3.0 471:2.0 475:2.0 481:2.0 489:7.0 494:5.0 496:10.0 497:8.0 498:7.0 500:13.0</t>
  </si>
  <si>
    <t>204284</t>
  </si>
  <si>
    <t>85:654.0 86:65.0 87:19667.0 88:8625.0 89:2818.0 90:1236.0 91:2300.0 92:18.0 94:823.0 98:1095.0 99:980.0 100:4736.0 101:19228.0 102:13705.0 103:12357.0 104:5503.0 105:2866.0 106:1070.0 107:1107.0 108:589.0 113:1977.0 114:387.0 115:14035.0 116:11875.0 117:477933.0 118:52514.0 119:22296.0 120:1816.0 121:172.0 123:13.0 124:30.0 128:700.0 129:8244.0 130:1715.0 131:21042.0 132:4655.0 133:43294.0 135:3549.0 136:637.0 138:77.0 139:327.0 140:1.0 141:92.0 142:98.0 143:663.0 144:10663.0 145:2290.0 147:158517.0 148:20959.0 149:21925.0 150:2804.0 151:1206.0 152:779.0 156:47.0 161:277.0 166:197.0 170:112.0 172:711.0 173:315.0 174:594.0 175:353.0 176:66.0 183:1.0 188:48.0 190:226.0 200:412.0 201:229.0 203:304.0 209:1.0 216:180.0 217:264.0 218:44.0 219:6371.0 220:1325.0 221:151.0 228:28.0 231:97.0 232:170.0 233:111.0 297:64.0 301:41.0 339:4.0 340:17.0 346:2.0 361:2.0 367:1.0 415:20.0 469:26.0</t>
  </si>
  <si>
    <t>975549</t>
  </si>
  <si>
    <t>85:2659.0 86:1555.0 87:1603.0 88:587.0 89:19146.0 90:1687.0 91:1410.0 92:122.0 93:491.0 94:265.0 95:671.0 97:1318.0 98:320.0 99:2749.0 100:5371.0 101:17294.0 102:4413.0 103:57192.0 104:5129.0 105:10006.0 106:668.0 107:808.0 108:27.0 109:1680.0 110:16.0 111:1818.0 112:846.0 113:2809.0 114:2329.0 115:3871.0 116:7957.0 117:27935.0 118:2820.0 119:3369.0 120:599.0 121:700.0 122:100.0 123:269.0 124:538.0 125:301.0 126:261.0 127:917.0 128:1153.0 129:49109.0 130:7303.0 131:11775.0 132:1871.0 133:23679.0 134:2928.0 135:4246.0 136:375.0 137:93.0 138:273.0 139:522.0 140:368.0 141:1455.0 142:3882.0 143:9569.0 144:1574.0 145:3480.0 146:1230.0 147:76362.0 148:12393.0 149:10328.0 150:998.0 151:880.0 152:407.0 153:1131.0 154:485.0 155:6457.0 156:1693.0 157:7782.0 158:2316.0 159:1721.0 160:23136.0 161:17474.0 162:3027.0 163:3378.0 164:573.0 165:599.0 166:101.0 167:222.0 168:451.0 169:23832.0 170:3789.0 171:2716.0 172:1249.0 173:2753.0 174:1073.0 175:2053.0 176:361.0 177:1876.0 178:434.0 179:980.0 180:303.0 181:313.0 182:228.0 183:1026.0 184:488.0 185:504.0 186:2194.0 187:763.0 188:277.0 189:13025.0 190:3262.0 191:45368.0 192:8068.0 193:9888.0 194:1726.0 195:1143.0 196:497.0 197:505.0 198:405.0 199:582.0 200:487.0 201:1138.0 202:311.0 203:3101.0 204:83747.0 205:26185.0 206:8768.0 207:9450.0 208:2410.0 209:998.0 210:689.0 211:245.0 212:128.0 213:126.0 214:303.0 215:1292.0 216:1954.0 217:56937.0 218:13485.0 219:6387.0 220:1061.0 221:1370.0 222:99.0 223:148.0 224:45.0 225:17.0 226:32.0 227:703.0 228:3198.0 229:2984.0 230:1702.0 231:3530.0 232:1360.0 233:2360.0 234:855.0 235:495.0 236:141.0 237:263.0 238:150.0 239:194.0 240:161.0 241:735.0 242:353.0 243:8107.0 244:2757.0 245:2111.0 246:2116.0 247:1750.0 248:497.0 249:914.0 250:107.0 251:547.0 252:102.0 253:1018.0 254:222.0 255:322.0 256:474.0 257:657.0 258:197.0 259:2892.0 260:669.0 261:554.0 262:885.0 263:555.0 264:57.0 265:516.0 266:331.0 267:861.0 268:603.0 269:1869.0 270:840.0 271:6433.0 272:1551.0 273:1057.0 274:911.0 275:837.0 276:497.0 277:852.0 278:331.0 279:293.0 280:115.0 281:231.0 282:15.0 283:227.0 284:25.0 285:39.0 286:84.0 287:119.0 288:105.0 289:213.0 290:186.0 291:2302.0 292:759.0 293:502.0 294:150.0 295:164.0 298:89.0 299:28.0 300:4877.0 301:1110.0 302:574.0 303:285.0 304:281.0 305:3751.0 306:1226.0 307:4812.0 308:1445.0 309:779.0 310:240.0 311:387.0 312:85.0 313:404.0 314:78.0 315:104.0 316:36.0 317:516.0 318:596.0 319:6583.0 320:2025.0 321:986.0 322:147.0 323:19.0 324:100.0 325:243.0 326:222.0 327:1902.0 328:570.0 329:294.0 330:173.0 331:1955.0 332:929.0 333:642.0 334:161.0 335:281.0 336:55.0 337:54.0 338:1.0 340:11.0 341:948.0 342:432.0 343:388.0 344:176.0 345:378.0 346:146.0 347:146.0 348:103.0 349:285.0 350:69.0 351:88.0 352:2.0 353:8.0 355:224.0 357:163.0 358:129.0 359:393.0 360:1135.0 361:22594.0 362:8106.0 363:3760.0 364:1186.0 365:345.0 366:68.0 367:87.0 371:52.0 373:72.0 374:61.0 376:51.0 377:144.0 378:83.0 379:47.0 382:26.0 383:77.0 384:43.0 385:190.0 386:65.0 387:366.0 388:76.0 389:212.0 390:2666.0 391:1031.0 392:428.0 393:119.0 394:62.0 395:24.0 396:1.0 397:4.0 398:5.0 399:100.0 400:105.0 401:880.0 402:322.0 403:149.0 404:1.0 405:41.0 406:31.0 409:126.0 410:19.0 411:4.0 414:33.0 415:789.0 416:548.0 417:334.0 418:79.0 419:28.0 420:37.0 421:16.0 423:65.0 424:64.0 432:55.0 433:53.0 435:65.0 436:48.0 438:18.0 445:29.0 446:44.0 448:242.0 449:204.0 450:233.0 451:518.0 452:222.0 453:116.0 456:11.0 457:11.0 459:63.0 460:61.0 461:376.0 462:322.0 463:43.0 464:43.0 465:17.0 466:61.0 467:74.0 468:44.0 471:3.0 474:102.0 475:591.0 476:313.0 477:150.0 478:126.0 479:226.0 480:2078.0 481:1273.0 482:560.0 483:149.0 484:12.0 487:4.0 488:48.0 489:500.0 490:437.0 491:284.0 492:26.0 493:106.0 494:19.0 496:5.0</t>
  </si>
  <si>
    <t>beta-alanine</t>
  </si>
  <si>
    <t>435375</t>
  </si>
  <si>
    <t>248</t>
  </si>
  <si>
    <t>86:21789.0 87:7246.0 88:5778.0 89:4138.0 90:624.0 91:11715.0 92:587.0 93:1760.0 97:3377.0 98:1347.0 99:5303.0 100:17860.0 101:5739.0 102:5352.0 103:7699.0 104:22951.0 105:3353.0 106:134.0 107:3441.0 108:294.0 109:5375.0 110:4964.0 113:3606.0 114:774.0 115:3726.0 116:5435.0 117:9899.0 118:5074.0 119:2195.0 120:1029.0 121:86.0 123:906.0 124:2343.0 125:467.0 127:802.0 128:3624.0 129:2296.0 130:10682.0 131:4364.0 132:2046.0 133:17475.0 134:10254.0 135:44.0 136:1945.0 137:301.0 138:421.0 140:425.0 141:245.0 142:2047.0 143:944.0 144:313.0 146:966.0 147:28461.0 148:5122.0 149:3406.0 150:407.0 151:18.0 152:11.0 156:1302.0 157:1465.0 158:339.0 159:16.0 160:2247.0 161:777.0 162:1277.0 163:346.0 164:126.0 165:89.0 166:199.0 167:1021.0 169:343.0 170:382.0 171:121.0 172:1067.0 173:15.0 174:19451.0 175:4600.0 176:2771.0 177:1408.0 178:170.0 181:5688.0 182:577.0 183:86.0 185:673.0 187:210.0 188:1546.0 189:3200.0 190:636.0 191:1511.0 192:285.0 193:236.0 194:69.0 195:1037.0 196:287.0 197:2293.0 198:495.0 200:1608.0 201:321.0 202:1410.0 203:2912.0 204:621.0 205:347.0 206:250.0 207:3701.0 208:616.0 210:49.0 211:485.0 213:165.0 215:228.0 216:97.0 217:703.0 218:570.0 219:8950.0 220:1350.0 221:551.0 222:1721.0 223:119.0 224:102.0 225:21.0 229:20.0 230:186.0 231:955.0 232:980.0 233:2404.0 234:450.0 235:269.0 236:95.0 237:138.0 238:120.0 239:20406.0 240:4050.0 241:1129.0 242:771.0 244:14.0 245:480.0 246:582.0 247:131.0 248:15803.0 249:3812.0 250:1340.0 251:229.0 252:116.0 253:239.0 254:43.0 255:32.0 258:45.0 261:112.0 262:51.0 263:18.0 264:9.0 265:288.0 266:39.0 268:33.0 271:26.0 275:63.0 276:38.0 277:493.0 278:73.0 279:19.0 283:265.0 285:20.0 286:49.0 287:14.0 288:48.0 289:149.0 290:3153.0 291:1171.0 292:22.0 293:1265.0 294:330.0 295:138.0 301:358.0 302:188.0 303:50.0 304:213.0 306:16.0 307:333.0 308:62.0 310:4.0 311:10.0 314:89.0 315:514.0 316:132.0 317:41.0 319:1.0 321:265.0 322:112.0 323:23.0 325:3.0 330:37.0 332:97.0 333:79.0 334:31.0 335:25.0 336:38.0 342:84.0 346:19.0 349:118.0 350:11.0 358:27.0 362:5.0 377:30.0 378:5.0 441:18.0 446:16.0 485:18.0</t>
  </si>
  <si>
    <t>338714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</si>
  <si>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</si>
  <si>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aspartic acid</t>
  </si>
  <si>
    <t>478092</t>
  </si>
  <si>
    <t>232</t>
  </si>
  <si>
    <t>85:2063.0 86:5075.0 87:2324.0 88:1379.0 89:1552.0 90:66.0 91:612.0 94:23.0 97:10.0 98:4313.0 99:3117.0 100:120984.0 101:14861.0 102:6717.0 103:6663.0 104:839.0 105:1167.0 106:77.0 107:388.0 109:48.0 110:186.0 111:58.0 112:352.0 113:625.0 114:2006.0 115:9369.0 116:3590.0 117:26224.0 118:3189.0 119:4914.0 120:554.0 121:200.0 122:14.0 124:126.0 125:10.0 126:348.0 127:226.0 128:4903.0 129:2251.0 130:9518.0 131:9886.0 132:7219.0 133:20286.0 134:3468.0 135:2331.0 136:166.0 139:84.0 140:178.0 141:191.0 142:6374.0 143:2607.0 144:2676.0 145:788.0 146:1591.0 147:58764.0 148:10145.0 149:9495.0 150:1366.0 151:412.0 152:33.0 153:27.0 154:251.0 156:180.0 157:176.0 158:1672.0 159:812.0 161:637.0 162:195.0 163:6526.0 164:1136.0 165:582.0 166:42.0 167:18.0 170:349.0 171:665.0 172:3586.0 173:1215.0 174:5062.0 175:1060.0 176:946.0 177:1283.0 178:270.0 179:7.0 184:521.0 185:92.0 186:296.0 187:36.0 188:16849.0 189:3951.0 190:2632.0 191:1090.0 192:211.0 193:227.0 194:62.0 199:95.0 200:468.0 201:205.0 202:17373.0 203:3407.0 204:4571.0 205:1310.0 206:549.0 207:180.0 208:62.0 212:19.0 213:3.0 214:225.0 215:395.0 216:7332.0 217:1166.0 218:28032.0 219:5363.0 220:2374.0 221:1428.0 222:327.0 223:63.0 228:32.0 230:643.0 231:592.0 232:129037.0 233:27468.0 234:11961.0 235:1897.0 236:344.0 237:42.0 242:2.0 243:1019.0 244:1444.0 245:1352.0 246:746.0 247:171.0 248:80.0 260:13.0 261:22.0 262:371.0 263:87.0 264:82.0 289:31.0 290:58.0 291:34.0 292:1674.0 293:435.0 294:249.0 305:29.0 306:3225.0 307:1045.0 308:397.0 309:75.0 314:7.0 316:70.0 332:1.0 333:17.0 334:1135.0 335:359.0 336:159.0 337:19.0 349:608.0 350:187.0 351:67.0 368:8.0 447:9.0</t>
  </si>
  <si>
    <t>476542</t>
  </si>
  <si>
    <t>85:52.0 86:126.0 87:10.0 88:1.0 89:8.0 91:233.0 92:2.0 93:107.0 94:2.0 95:9.0 97:1.0 98:80.0 99:21.0 100:2700.0 101:199.0 102:110.0 103:3.0 106:1.0 107:3.0 108:4.0 110:12.0 114:32.0 115:1891.0 116:482.0 117:12.0 118:5.0 119:2.0 123:5.0 126:6.0 127:10.0 128:1085.0 129:70.0 130:57.0 131:129.0 132:9.0 133:9.0 134:14.0 136:1.0 139:1.0 142:80.0 144:5.0 147:133.0 148:7.0 149:9.0 150:2.0 153:2.0 158:140.0 159:3.0 160:9.0 161:3.0 166:1.0 167:10.0 168:1.0 174:3.0 190:2.0 193:2.0 199:1.0 201:89.0 202:6.0 215:3.0 217:3.0 227:1.0 233:3.0 241:1.0 243:694.0 244:146.0 245:35.0 248:1.0 250:1.0 266:2.0 273:3.0 274:5.0 275:1.0 279:2.0 288:2.0 289:2.0 294:1.0 297:2.0 302:1.0 313:1.0 316:1.0 317:1.0 318:4.0 324:3.0 362:1.0 364:2.0 370:6.0 383:1.0 385:1.0 390:2.0 400:2.0 401:2.0 410:2.0 418:1.0 438:1.0 440:1.0 445:2.0 461:2.0 465:2.0 481:2.0 483:1.0 486:1.0 494:2.0 498:1.0</t>
  </si>
  <si>
    <t>arginine + ornithine</t>
  </si>
  <si>
    <t>619420</t>
  </si>
  <si>
    <t>85:16.0 86:326.0 87:20.0 89:2.0 90:3.0 91:42.0 92:24.0 93:6.0 94:2.0 95:5.0 96:10.0 99:8.0 100:288.0 101:27.0 102:107.0 103:10.0 104:2.0 105:1.0 107:15.0 108:5.0 109:3.0 110:11.0 112:6.0 113:27.0 114:51.0 115:4.0 116:25.0 117:19.0 118:8.0 119:3.0 122:6.0 123:4.0 124:2.0 125:3.0 126:35.0 127:4.0 128:62.0 129:9.0 130:115.0 131:61.0 132:37.0 133:20.0 134:67.0 135:3.0 136:2.0 137:6.0 139:1.0 140:9.0 141:40.0 142:1746.0 143:203.0 144:84.0 145:9.0 146:53.0 147:175.0 148:26.0 149:32.0 150:5.0 152:15.0 153:1.0 154:2.0 156:23.0 157:2.0 158:4.0 159:2.0 160:9.0 161:4.0 162:3.0 165:1.0 167:4.0 168:6.0 169:5.0 170:6.0 172:54.0 173:6.0 174:511.0 175:77.0 176:29.0 177:2.0 178:2.0 182:6.0 184:6.0 187:6.0 188:4.0 189:18.0 190:2.0 191:2.0 192:3.0 194:3.0 195:2.0 196:5.0 199:3.0 200:88.0 201:19.0 202:5.0 204:13.0 207:1.0 208:6.0 209:6.0 211:2.0 214:38.0 215:10.0 216:52.0 217:8.0 218:9.0 222:1.0 223:4.0 225:1.0 226:8.0 227:2.0 229:4.0 230:6.0 232:12.0 233:2.0 236:1.0 237:5.0 240:3.0 241:4.0 242:10.0 243:2.0 244:2.0 245:2.0 246:3.0 247:1.0 249:4.0 251:1.0 253:6.0 254:2.0 255:1.0 256:9.0 258:26.0 259:29.0 260:5.0 261:3.0 262:6.0 263:1.0 264:8.0 265:2.0 266:1.0 267:2.0 268:4.0 271:6.0 273:1.0 274:2.0 275:3.0 279:1.0 282:18.0 284:3.0 285:2.0 286:2.0 287:3.0 288:3.0 289:5.0 290:11.0 291:2.0 292:3.0 293:6.0 294:3.0 295:4.0 296:4.0 298:2.0 299:3.0 303:2.0 304:1.0 305:6.0 307:1.0 309:2.0 310:2.0 312:2.0 313:1.0 314:2.0 315:6.0 316:4.0 319:1.0 323:3.0 324:4.0 325:1.0 326:6.0 328:4.0 332:1.0 337:3.0 340:1.0 343:9.0 344:2.0 351:4.0 353:2.0 354:4.0 357:6.0 358:2.0 359:5.0 360:1.0 361:3.0 363:2.0 364:2.0 365:2.0 367:3.0 368:1.0 369:10.0 372:2.0 375:1.0 376:2.0 377:3.0 379:5.0 380:2.0 381:4.0 383:3.0 384:2.0 385:10.0 386:5.0 387:1.0 388:3.0 389:1.0 392:2.0 393:4.0 394:1.0 395:1.0 396:13.0 397:2.0 399:6.0 401:5.0 402:1.0 403:6.0 405:2.0 406:3.0 408:5.0 410:11.0 412:6.0 413:3.0 414:4.0 415:1.0 417:2.0 418:1.0 419:4.0 420:8.0 421:2.0 422:9.0 423:1.0 424:8.0 425:6.0 426:5.0 429:8.0 431:5.0 432:2.0 433:2.0 434:3.0 436:5.0 438:1.0 439:1.0 440:3.0 442:5.0 443:4.0 445:6.0 446:4.0 448:2.0 449:3.0 450:5.0 451:2.0 452:1.0 453:2.0 454:1.0 455:2.0 456:4.0 457:1.0 459:3.0 460:6.0 461:4.0 462:3.0 466:8.0 467:1.0 468:6.0 469:1.0 472:3.0 473:5.0 474:2.0 475:4.0 477:9.0 482:4.0 484:4.0 485:2.0 487:4.0 488:6.0 489:1.0 494:1.0 495:4.0 496:4.0 498:2.0 499:4.0</t>
  </si>
  <si>
    <t>arabitol</t>
  </si>
  <si>
    <t>573417</t>
  </si>
  <si>
    <t>85:664.0 86:53.0 87:73.0 88:11.0 89:94.0 94:5.0 95:1.0 96:12.0 97:25.0 98:17.0 99:233.0 100:59.0 101:100.0 102:6.0 103:875.0 104:92.0 105:35.0 110:2.0 111:8.0 112:69.0 113:206.0 114:14.0 115:29.0 116:12.0 117:1423.0 118:153.0 119:87.0 125:4.0 126:39.0 127:66.0 128:60.0 129:385.0 130:27.0 131:281.0 132:31.0 133:330.0 134:33.0 135:9.0 141:7.0 142:1.0 143:13.0 144:2.0 145:65.0 147:3005.0 148:462.0 149:242.0 150:3.0 154:10.0 155:40.0 160:166.0 161:47.0 163:23.0 164:1.0 169:2.0 170:2.0 171:2.0 175:6.0 177:13.0 178:1.0 179:4.0 182:4.0 183:3.0 184:3.0 189:117.0 190:18.0 191:79.0 192:9.0 193:37.0 197:7.0 198:2.0 200:12.0 201:8.0 203:47.0 204:131.0 205:333.0 206:43.0 207:303.0 208:52.0 209:23.0 211:1.0 217:692.0 218:162.0 219:108.0 220:14.0 221:1061.0 222:282.0 223:169.0 224:3.0 225:1.0 233:1.0 234:1.0 236:3.0 239:2.0 243:3.0 244:5.0 246:4.0 249:10.0 251:19.0 253:1.0 259:3.0 260:78.0 261:6.0 262:3.0 265:12.0 267:45.0 269:4.0 271:1.0 277:26.0 278:16.0 279:9.0 281:159.0 282:35.0 283:29.0 285:3.0 295:46.0 296:14.0 297:23.0 298:1.0 299:4.0 307:81.0 308:11.0 309:1.0 310:1.0 311:3.0 313:3.0 314:6.0 315:1.0 317:9.0 318:1.0 319:57.0 320:14.0 321:7.0 322:6.0 323:7.0 325:48.0 326:18.0 327:70.0 328:3.0 333:3.0 334:5.0 337:1.0 339:7.0 341:157.0 342:41.0 343:19.0 345:2.0 355:147.0 356:43.0 357:35.0 358:5.0 360:1.0 370:4.0 372:3.0 373:2.0 378:1.0 379:2.0 381:3.0 382:1.0 384:9.0 385:53.0 386:17.0 387:13.0 392:5.0 393:3.0 395:2.0 397:8.0 399:4.0 400:31.0 401:240.0 402:108.0 403:85.0 404:14.0 405:10.0 407:1.0 408:3.0 409:5.0 415:16.0 416:4.0 418:1.0 419:5.0 425:1.0 427:11.0 428:1.0 429:38.0 430:4.0 431:7.0 437:1.0 439:1.0 440:2.0 441:1.0 443:12.0 444:14.0 445:10.0 447:1.0 450:1.0 458:18.0 459:152.0 460:64.0 461:46.0 462:17.0 463:5.0 466:1.0 474:32.0 475:168.0 476:85.0 477:64.0 478:19.0 479:3.0 485:2.0 488:2.0 489:45.0 490:17.0 491:7.0 492:4.0 493:2.0 494:1.0 496:2.0 500:3.0</t>
  </si>
  <si>
    <t>arabinose</t>
  </si>
  <si>
    <t>546892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</si>
  <si>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</si>
  <si>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</si>
  <si>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455266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</si>
  <si>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</si>
  <si>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alpha ketoglutaric acid</t>
  </si>
  <si>
    <t>507734</t>
  </si>
  <si>
    <t>198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</si>
  <si>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</si>
  <si>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alanine</t>
  </si>
  <si>
    <t>236539</t>
  </si>
  <si>
    <t>86:386.0 88:13.0 89:45.0 90:32.0 95:15.0 99:6.0 100:445.0 101:56.0 102:231.0 103:119.0 106:12.0 107:9.0 108:70.0 110:129.0 114:1.0 116:7840.0 117:911.0 118:162.0 126:78.0 128:258.0 130:365.0 131:55.0 146:337.0 147:3533.0 148:255.0 149:173.0 151:8.0 162:22.0 184:129.0 190:155.0 217:2.0 218:42.0 439:1.0 450:3.0</t>
  </si>
  <si>
    <t>adipic acid</t>
  </si>
  <si>
    <t>475399</t>
  </si>
  <si>
    <t>111</t>
  </si>
  <si>
    <t>85:15.0 86:93.0 94:8.0 95:78.0 96:4.0 99:123.0 102:79.0 107:140.0 109:4.0 111:2899.0 112:116.0 113:68.0 114:100.0 116:84.0 117:256.0 120:3.0 121:6.0 123:9.0 124:32.0 125:23.0 126:70.0 129:429.0 130:50.0 131:111.0 132:49.0 135:6.0 136:2.0 139:26.0 140:7.0 141:1155.0 142:126.0 143:86.0 144:25.0 145:58.0 147:257.0 148:18.0 149:40.0 151:32.0 155:1.0 156:14.0 157:226.0 159:205.0 164:4.0 165:3.0 170:51.0 171:78.0 172:499.0 173:83.0 174:33.0 180:11.0 181:8.0 184:58.0 185:304.0 186:88.0 189:2.0 191:13.0 192:3.0 193:3.0 196:2.0 201:1.0 208:1.0 215:42.0 217:102.0 218:4.0 221:31.0 222:3.0 228:1.0 233:1.0 236:2.0 238:2.0 241:3.0 248:1.0 249:2.0 253:1.0 254:1.0 255:1.0 258:80.0 259:36.0 265:1.0 271:3.0 272:10.0 273:1.0 274:11.0 275:141.0 276:48.0 282:2.0 283:1.0 284:1.0 285:6.0 286:1.0 287:1.0 295:8.0 296:7.0 304:2.0 306:8.0 307:8.0 313:8.0 314:2.0 328:1.0 330:3.0 331:1.0 340:12.0 341:2.0 352:1.0 356:1.0 390:6.0 392:8.0 421:1.0 433:1.0 472:4.0 485:10.0 491:2.0</t>
  </si>
  <si>
    <t>adenosine-5-phosphate</t>
  </si>
  <si>
    <t>1038945</t>
  </si>
  <si>
    <t>169</t>
  </si>
  <si>
    <t>90:9.0 95:11.0 96:118.0 111:23.0 112:44.0 114:9.0 121:215.0 122:17.0 123:64.0 125:16.0 129:50.0 133:46.0 136:54.0 137:18.0 140:49.0 141:43.0 142:27.0 147:102.0 149:99.0 150:27.0 151:126.0 153:28.0 155:44.0 156:36.0 157:18.0 163:47.0 165:190.0 169:1531.0 170:260.0 171:128.0 173:79.0 175:61.0 177:44.0 178:84.0 179:11.0 180:14.0 181:28.0 183:1.0 185:48.0 191:15.0 192:419.0 193:217.0 194:79.0 195:17.0 197:75.0 198:55.0 203:10.0 204:109.0 205:2.0 206:132.0 207:350.0 208:259.0 209:88.0 210:1.0 211:460.0 212:64.0 216:42.0 217:170.0 218:24.0 219:60.0 220:1.0 221:105.0 222:19.0 223:12.0 224:34.0 225:59.0 226:24.0 227:62.0 230:660.0 231:129.0 232:83.0 235:15.0 236:240.0 238:35.0 241:20.0 243:258.0 244:10.0 245:96.0 246:21.0 248:30.0 249:50.0 250:9.0 254:36.0 255:55.0 258:240.0 259:64.0 260:25.0 263:3.0 264:16.0 265:89.0 266:50.0 267:26.0 268:53.0 269:9.0 270:24.0 271:7.0 272:14.0 275:16.0 278:34.0 279:42.0 280:71.0 281:110.0 282:70.0 283:26.0 284:18.0 285:76.0 287:27.0 288:11.0 297:39.0 298:12.0 299:265.0 300:98.0 301:24.0 302:17.0 306:44.0 307:65.0 308:35.0 311:45.0 312:6.0 314:53.0 315:882.0 316:220.0 317:124.0 319:33.0 322:7.0 325:20.0 326:5.0 331:2.0 337:75.0 338:16.0 339:25.0 341:129.0 342:80.0 344:45.0 346:12.0 347:17.0 349:4.0 354:33.0 355:17.0 356:6.0 357:32.0 358:29.0 366:4.0 367:62.0 370:37.0 371:34.0 374:42.0 375:1.0 376:29.0 382:114.0 385:4.0 387:27.0 391:6.0 392:12.0 401:45.0 407:2.0 409:33.0 419:14.0 421:7.0 422:15.0 423:52.0 425:3.0 427:20.0 430:5.0 431:10.0 433:9.0 435:12.0 466:27.0 475:10.0 477:2.0 479:20.0 489:67.0 495:10.0</t>
  </si>
  <si>
    <t>adenosine</t>
  </si>
  <si>
    <t>917818</t>
  </si>
  <si>
    <t>236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</si>
  <si>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</si>
  <si>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</si>
  <si>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646959</t>
  </si>
  <si>
    <t>264</t>
  </si>
  <si>
    <t>85:141.0 86:135.0 88:11.0 89:9.0 95:5.0 96:3.0 98:6.0 99:195.0 100:362.0 103:21.0 106:1.0 107:3.0 109:16.0 110:84.0 111:99.0 112:14.0 115:12.0 118:16.0 119:23.0 120:4.0 122:15.0 124:11.0 125:9.0 126:4.0 128:6.0 130:47.0 134:2.0 138:28.0 140:10.0 141:38.0 142:9.0 143:23.0 144:1.0 145:1.0 146:2.0 147:122.0 148:68.0 152:11.0 155:20.0 159:14.0 160:7.0 161:3.0 163:4.0 164:11.0 165:94.0 168:4.0 170:1.0 171:30.0 172:50.0 174:16.0 175:5.0 176:37.0 179:16.0 180:10.0 182:5.0 184:5.0 186:17.0 187:14.0 188:310.0 189:42.0 190:6.0 191:48.0 192:282.0 193:30.0 194:9.0 198:2.0 199:36.0 200:7.0 201:10.0 204:9.0 206:32.0 212:12.0 215:2.0 216:1.0 218:5.0 223:1.0 231:16.0 232:4.0 237:15.0 238:2.0 242:6.0 245:4.0 246:4.0 247:4.0 250:4.0 253:1.0 255:1.0 256:6.0 262:1.0 263:1.0 264:1306.0 265:268.0 266:76.0 273:1.0 276:5.0 279:211.0 280:16.0 281:1.0 288:130.0 289:17.0 290:2.0 291:6.0 293:4.0 295:4.0 306:2.0 309:7.0 310:2.0 311:5.0 314:6.0 316:458.0 317:127.0 318:58.0 320:23.0 321:8.0 322:7.0 323:1.0 328:3.0 330:5.0 331:4.0 334:5.0 339:6.0 345:5.0 351:5.0 354:3.0 360:5.0 362:1.0 365:4.0 371:5.0 384:2.0 387:1.0 394:3.0 404:9.0 407:4.0 409:10.0 413:16.0 422:1.0 428:24.0 429:29.0 430:1.0 431:19.0 433:6.0 434:11.0 438:14.0 457:9.0 466:1.0 469:1.0 473:7.0 476:2.0 480:12.0 484:3.0 485:1.0 486:1.0 487:1.0 491:5.0 492:10.0 498:1.0 500:5.0</t>
  </si>
  <si>
    <t>5-methoxytryptamine</t>
  </si>
  <si>
    <t>863982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</si>
  <si>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</si>
  <si>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5'-deoxy-5'-methylthioadenosine</t>
  </si>
  <si>
    <t>967673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</si>
  <si>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</si>
  <si>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170</t>
  </si>
  <si>
    <t>5-aminovaleric acid</t>
  </si>
  <si>
    <t>536304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</si>
  <si>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</si>
  <si>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5,6-dihydrouracil</t>
  </si>
  <si>
    <t>469713</t>
  </si>
  <si>
    <t>85:251.0 86:356.0 93:625.0 94:105.0 99:400.0 100:1186.0 104:1523.0 113:8.0 114:208.0 124:36.0 126:106.0 130:122.0 134:147.0 136:80.0 140:12.0 141:405.0 147:2813.0 148:209.0 157:26.0 161:96.0 166:16.0 170:10.0 171:27.0 174:49.0 178:44.0 182:49.0 186:1.0 195:85.0 201:1034.0 202:128.0 203:74.0 241:128.0 243:1965.0 244:455.0 245:73.0 246:4.0 248:8.0 257:345.0 258:183.0 259:40.0 275:4.0 290:1.0 299:35.0 300:20.0 308:12.0 319:5.0 321:8.0 323:21.0 324:4.0 334:5.0 340:5.0 348:2.0 349:4.0 350:6.0 352:13.0 363:2.0 367:1.0 370:11.0 373:16.0 380:5.0 383:4.0 396:1.0 397:2.0 399:25.0 400:3.0 407:2.0 408:9.0 410:16.0 412:13.0 419:3.0 420:3.0 421:8.0 423:15.0 426:21.0 431:4.0 432:2.0 437:5.0 442:7.0 444:3.0 446:1.0 448:4.0 449:11.0 453:6.0 466:8.0 470:3.0 473:5.0 477:9.0 479:1.0 480:5.0 484:2.0 489:6.0 491:27.0 497:6.0</t>
  </si>
  <si>
    <t>257</t>
  </si>
  <si>
    <t>159</t>
  </si>
  <si>
    <t>230</t>
  </si>
  <si>
    <t>410624</t>
  </si>
  <si>
    <t>631669</t>
  </si>
  <si>
    <t>85:32439.0 86:619395.0 87:62752.0 88:76501.0 89:7521.0 90:2592.0 92:104.0 94:323.0 95:1791.0 96:1816.0 97:7693.0 98:27085.0 99:31904.0 100:342248.0 101:48570.0 102:65453.0 103:14703.0 104:3975.0 105:875.0 106:2929.0 107:206.0 109:1057.0 110:4999.0 111:3173.0 112:97628.0 113:31402.0 114:43936.0 115:29407.0 116:50807.0 117:51161.0 118:12815.0 119:4128.0 120:804.0 121:464.0 122:441.0 123:1078.0 124:8872.0 125:2161.0 126:24602.0 127:4030.0 128:30076.0 129:15973.0 130:178259.0 131:84305.0 132:41830.0 133:8404.0 134:1994.0 135:979.0 136:869.0 137:610.0 138:8145.0 139:2670.0 140:45735.0 141:8305.0 142:25317.0 143:14830.0 144:18735.0 145:5984.0 146:63025.0 147:3632.0 148:4114.0 149:126.0 150:722.0 151:390.0 152:729.0 153:1290.0 154:34031.0 155:9500.0 156:25117.0 157:6651.0 158:48740.0 159:9212.0 160:47325.0 161:8349.0 162:3626.0 163:415.0 164:270.0 165:11.0 166:209.0 167:108.0 168:909.0 169:442.0 170:5942.0 171:1624.0 172:37506.0 173:10005.0 174:2063486.0 175:457069.0 176:206940.0 177:28035.0 178:5287.0 179:320.0 180:5926.0 181:315.0 182:1699.0 184:8752.0 185:3420.0 186:74160.0 187:16462.0 188:20547.0 189:4204.0 190:2251.0 191:333.0 192:239.0 193:17.0 194:162.0 195:124.0 196:980.0 197:693.0 198:9199.0 199:3239.0 200:42246.0 201:9376.0 202:7093.0 203:2157.0 204:1907.0 205:544.0 206:182.0 209:43.0 210:337.0 211:858.0 212:9396.0 213:7307.0 214:15299.0 215:3999.0 216:17741.0 217:3897.0 218:3156.0 219:830.0 220:259.0 222:38.0 223:50.0 224:92.0 225:279.0 226:864.0 227:9929.0 228:8287.0 229:39931.0 230:10799.0 231:3921.0 232:1042.0 233:195.0 234:139.0 235:48.0 236:111.0 237:25.0 238:75.0 239:19.0 240:4.0 241:359.0 242:565.0 243:330.0 244:350.0 246:109.0 247:21.0 248:78.0 249:37.0 250:63.0 251:38.0 252:45.0 253:63.0 254:132.0 255:158.0 256:159.0 257:125.0 258:171.0 259:383.0 260:281.0 261:268.0 262:227.0 263:150.0 264:202.0 265:234.0 266:156.0 267:132.0 268:161.0 269:222.0 270:247.0 271:380.0 272:284.0 273:235.0 274:264.0 275:253.0 276:249.0 277:229.0 278:255.0 279:170.0 280:193.0 281:171.0 282:230.0 283:154.0 284:232.0 285:356.0 286:245.0 287:913.0 288:453.0 289:241.0 290:263.0 291:253.0 292:228.0 293:207.0 294:263.0 295:216.0 296:208.0 297:259.0 298:230.0 299:166.0 300:304.0 301:517.0 302:330.0 303:1151.0 304:449.0 305:393.0 306:223.0 307:341.0 308:259.0 309:221.0 310:187.0 311:181.0 312:120.0 313:130.0 314:96.0 315:369.0 316:222.0 317:305.0 318:198.0 319:102.0 320:64.0 321:80.0 322:42.0 323:38.0 324:93.0 325:50.0 326:23.0 327:125.0 328:14.0 329:38.0 330:51.0 331:46.0 332:45.0 333:43.0 334:51.0 335:13.0 336:66.0 337:58.0 339:25.0 341:59.0 343:88.0 344:25.0 345:63.0 347:1.0 348:16.0 351:37.0 353:38.0 355:24.0 361:43.0 363:22.0 364:22.0 367:2.0 368:22.0 369:10.0 370:1.0 372:56.0 373:177.0 374:1205.0 375:58014.0 376:24713.0 377:13143.0 378:3533.0 379:1139.0 380:147.0 381:95.0 382:61.0 384:26.0 385:7.0 388:117.0 389:2810.0 390:5904.0 391:2676.0 392:1237.0 393:371.0 394:43.0 395:52.0 396:44.0 397:64.0 398:36.0 399:34.0 400:48.0 401:11.0 404:6.0 411:34.0 412:20.0 413:38.0 414:16.0 415:20.0 416:36.0 418:3.0 423:14.0 425:13.0 427:41.0 428:7.0 429:10.0 430:30.0 431:20.0 432:4.0 433:12.0 434:17.0 435:11.0 436:26.0 442:35.0 445:24.0 446:51.0 447:16.0 448:3.0 449:29.0 451:18.0 452:12.0 455:21.0 458:16.0 459:27.0 462:11.0 463:20.0 464:6.0 465:12.0 466:24.0 467:28.0 468:36.0 470:9.0 473:19.0 475:1.0 480:9.0 483:28.0 485:25.0 486:19.0 490:37.0 491:18.0 493:4.0 495:28.0 496:19.0 497:19.0 499:20.0 500:3.0</t>
  </si>
  <si>
    <t>409627</t>
  </si>
  <si>
    <t>885259</t>
  </si>
  <si>
    <t>272</t>
  </si>
  <si>
    <t>85:63.0 88:29.0 89:895.0 90:14.0 91:7.0 92:1.0 93:18.0 94:62.0 95:57.0 96:748.0 97:8.0 98:59.0 99:97.0 100:403.0 101:361.0 102:676.0 103:4977.0 104:359.0 105:133.0 106:124.0 107:28.0 108:88.0 109:49.0 110:118.0 111:97.0 112:124.0 113:176.0 114:279.0 115:57.0 116:157.0 117:2168.0 118:231.0 119:10.0 121:7.0 123:509.0 124:101.0 125:103.0 126:76.0 128:1251.0 129:897.0 130:222.0 131:374.0 132:53.0 133:545.0 135:224.0 137:59.0 138:6.0 139:49.0 140:101.0 142:1151.0 143:137.0 144:361.0 145:70.0 146:41.0 147:4230.0 148:423.0 149:468.0 150:56.0 151:6.0 152:81.0 153:38.0 154:608.0 155:65.0 156:634.0 157:55.0 159:101.0 160:38.0 161:96.0 163:35.0 165:12.0 166:11.0 167:121.0 168:233.0 169:159.0 170:134.0 171:38.0 172:311.0 173:489.0 178:18.0 179:73.0 180:11.0 181:18.0 182:179.0 183:227.0 184:447.0 185:441.0 186:285.0 187:62.0 189:489.0 190:24.0 191:216.0 194:96.0 196:9.0 197:134.0 198:27.0 199:128.0 200:1635.0 201:812.0 202:244.0 204:29.0 205:809.0 206:110.0 207:31.0 208:37.0 209:88.0 210:11.0 212:36.0 213:155.0 214:335.0 215:109.0 216:16.0 217:1028.0 218:403.0 219:153.0 220:60.0 221:43.0 222:46.0 223:21.0 224:58.0 225:171.0 226:14.0 228:351.0 229:159.0 230:174.0 231:10.0 232:51.0 233:35.0 234:3.0 237:155.0 241:9.0 242:46.0 244:93.0 246:37.0 248:34.0 249:28.0 250:2.0 252:57.0 253:23.0 254:2.0 256:164.0 257:212.0 258:161.0 259:11.0 261:1.0 263:3.0 270:13.0 272:2384.0 273:570.0 274:246.0 275:50.0 277:92.0 281:45.0 282:38.0 286:4.0 287:34.0 288:4.0 292:35.0 297:3.0 298:5.0 299:52.0 303:14.0 305:2.0 306:8.0 307:67.0 308:2.0 309:13.0 310:3.0 311:30.0 312:18.0 313:7.0 315:138.0 316:84.0 317:19.0 318:4.0 319:9.0 320:1.0 322:2.0 323:11.0 324:6.0 325:38.0 326:5.0 327:1.0 329:5.0 331:8.0 332:2.0 333:1.0 337:17.0 338:1.0 339:36.0 341:1.0 344:28.0 346:2.0 347:76.0 349:7.0 350:1.0 353:28.0 354:10.0 355:7.0 356:10.0 365:4.0 366:14.0 390:5.0 394:1.0 397:2.0 401:1.0 407:1.0 409:8.0 412:1.0 414:6.0 416:2.0 421:2.0 429:6.0 432:11.0 442:10.0 443:51.0 444:38.0 445:6.0 446:15.0 448:3.0 456:41.0 457:17.0 463:25.0 467:36.0 468:33.0 470:1.0 490:9.0 491:1.0 492:3.0 493:1.0 495:1.0 500:14.0</t>
  </si>
  <si>
    <t>409621</t>
  </si>
  <si>
    <t>878484</t>
  </si>
  <si>
    <t>86:234.0 89:561.0 90:18.0 91:463.0 93:55.0 94:55.0 100:405.0 102:195.0 103:1354.0 104:89.0 105:793.0 115:2.0 117:788.0 118:97.0 122:2.0 129:244.0 130:353.0 131:101.0 132:5069.0 133:868.0 139:58.0 140:1.0 141:1.0 142:317.0 143:74.0 145:98.0 147:1579.0 148:226.0 149:205.0 150:33.0 151:1.0 153:174.0 156:1701.0 157:262.0 158:2414.0 159:345.0 160:72.0 168:28.0 169:17.0 170:21.0 172:121.0 173:30.0 174:476.0 177:68.0 181:43.0 185:2.0 186:57.0 188:36.0 189:20.0 190:41.0 191:73.0 192:5.0 193:3.0 194:50.0 201:54.0 202:64.0 203:35.0 204:985.0 205:399.0 206:111.0 207:65.0 208:6.0 209:28.0 214:54.0 216:92.0 217:138.0 218:152.0 224:1.0 227:35.0 228:24.0 230:43.0 231:4.0 232:141.0 234:72.0 241:37.0 242:110.0 243:38.0 244:51.0 245:18.0 246:24.0 253:15.0 254:68.0 255:1.0 258:43.0 267:108.0 273:78.0 274:20.0 278:35.0 279:13.0 281:16.0 282:8.0 293:20.0 294:27.0 298:3.0 299:1.0 300:37.0 304:10.0 308:27.0 310:14.0 317:17.0 318:1.0 322:290.0 323:61.0 329:41.0 332:1.0 341:23.0 342:38.0 345:18.0 347:5.0 350:2.0 351:1.0 357:168.0 358:46.0 359:21.0 366:9.0 367:4.0 370:6.0 380:47.0 381:8.0 385:15.0 386:4.0 390:28.0 391:10.0 402:19.0 403:7.0 406:10.0 408:13.0 409:8.0 411:8.0 417:3.0 418:5.0 420:7.0 422:6.0 427:19.0 431:19.0 434:10.0 439:6.0 440:27.0 441:5.0 444:2.0 445:3.0 447:58.0 448:32.0 450:1.0 452:1.0 458:27.0 466:15.0 473:2.0 477:2.0 482:17.0 484:2.0 489:16.0 490:27.0 493:26.0</t>
  </si>
  <si>
    <t>409620</t>
  </si>
  <si>
    <t>790264</t>
  </si>
  <si>
    <t>197</t>
  </si>
  <si>
    <t>90:66.0 91:1235.0 92:129.0 98:108.0 99:111.0 100:608.0 102:131.0 103:342.0 104:536.0 107:160.0 108:17.0 109:23.0 110:47.0 111:1.0 113:15.0 118:34.0 124:18.0 125:104.0 127:47.0 128:75.0 131:82.0 132:8.0 137:11.0 140:16.0 142:25.0 147:27.0 152:12.0 153:213.0 154:129.0 155:34.0 156:268.0 157:13.0 160:99.0 170:227.0 172:12.0 174:772.0 175:96.0 181:113.0 182:59.0 189:24.0 196:36.0 197:4085.0 198:588.0 199:243.0 200:129.0 201:111.0 204:14.0 209:729.0 210:125.0 212:4.0 216:29.0 221:94.0 222:22.0 224:24.0 225:3237.0 226:585.0 227:107.0 228:18.0 232:31.0 237:20.0 245:12.0 246:48.0 273:79.0 281:94.0 289:11.0 295:65.0 297:39.0 301:308.0 302:70.0 308:5.0 316:428.0 317:157.0 320:17.0 325:53.0 327:11.0 339:12.0 341:24.0 342:8.0 344:7.0 347:35.0 370:10.0 373:9.0 375:5.0 376:9.0 378:9.0 379:11.0 380:10.0 382:7.0 396:1.0 398:30.0 401:28.0 418:13.0 426:2.0 427:2.0 428:7.0 432:11.0 437:6.0 443:21.0 453:31.0 461:15.0 466:5.0 467:2.0 469:5.0 478:2.0 482:28.0 483:12.0 492:19.0 497:53.0</t>
  </si>
  <si>
    <t>409597</t>
  </si>
  <si>
    <t>863690</t>
  </si>
  <si>
    <t>86:174.0 95:46.0 98:9.0 99:44.0 100:55.0 102:40.0 110:20.0 114:1.0 116:18.0 129:3.0 130:29.0 134:2.0 140:15.0 143:15.0 144:2422.0 145:276.0 153:13.0 156:386.0 162:1.0 170:3.0 177:9.0 180:1.0 186:99.0 194:4.0 198:18.0 208:74.0 209:29.0 214:10.0 215:1.0 226:3.0 236:11.0 238:23.0 244:7.0 256:6.0 264:38.0 265:4.0 301:12.0 321:9.0 327:3.0 338:1.0 351:14.0 355:60.0 358:7.0 365:15.0 375:6.0 397:46.0 400:15.0 411:12.0 428:3.0 429:10.0 431:2.0 433:10.0 436:3.0 437:18.0 442:22.0 466:20.0 467:7.0 469:5.0 481:12.0 495:2.0 499:13.0</t>
  </si>
  <si>
    <t>409596</t>
  </si>
  <si>
    <t>770165</t>
  </si>
  <si>
    <t>86:217.0 98:66.0 100:213.0 102:189.0 107:7.0 109:37.0 114:40.0 115:21.0 116:77.0 117:246.0 128:26.0 140:43.0 141:10.0 142:28.0 144:68.0 147:382.0 148:3.0 149:9.0 152:9.0 153:113.0 156:416.0 157:75.0 158:3418.0 159:483.0 160:172.0 161:2.0 163:20.0 166:11.0 167:3.0 168:21.0 170:28.0 174:289.0 179:450.0 181:49.0 182:6.0 188:12.0 195:3.0 198:2.0 199:38.0 204:2.0 208:64.0 211:12.0 217:8.0 218:34.0 221:80.0 226:2.0 228:4.0 229:116.0 230:70.0 232:3.0 236:21.0 242:7.0 244:47.0 246:4.0 253:1.0 259:19.0 262:2.0 270:20.0 272:29.0 275:17.0 282:12.0 294:1.0 295:3.0 296:7.0 299:17.0 300:25.0 312:1.0 314:45.0 317:14.0 322:3.0 326:20.0 334:7.0 337:31.0 342:1.0 343:16.0 344:4.0 349:4.0 351:2.0 354:16.0 355:82.0 356:22.0 357:30.0 360:24.0 367:15.0 369:31.0 372:1.0 377:15.0 380:3.0 386:2.0 387:27.0 391:1.0 396:17.0 405:6.0 406:3.0 407:2.0 413:5.0 414:22.0 415:17.0 420:1.0 425:5.0 426:16.0 428:7.0 429:87.0 430:14.0 431:21.0 434:18.0 436:17.0 437:10.0 440:19.0 451:6.0 454:3.0 461:1.0 462:32.0 464:1.0 466:3.0 469:7.0 473:49.0 485:13.0 493:1.0 494:11.0 495:8.0 496:22.0 499:2.0</t>
  </si>
  <si>
    <t>409593</t>
  </si>
  <si>
    <t>872752</t>
  </si>
  <si>
    <t>85:247.0 86:2133.0 87:110.0 88:457.0 89:994.0 90:115.0 91:538.0 94:48.0 96:429.0 97:134.0 98:2783.0 99:316.0 100:1158.0 101:553.0 102:836.0 103:3895.0 104:234.0 105:92.0 107:15.0 109:126.0 110:99.0 111:3.0 112:222.0 113:132.0 114:351.0 115:92.0 116:367.0 117:2202.0 118:261.0 119:134.0 123:66.0 126:230.0 127:175.0 128:507.0 129:781.0 130:634.0 131:563.0 132:104.0 133:897.0 135:22.0 137:48.0 138:14.0 140:299.0 141:87.0 142:559.0 143:122.0 144:355.0 145:112.0 146:357.0 147:3964.0 148:510.0 149:518.0 150:24.0 153:17.0 154:502.0 155:241.0 156:4880.0 157:622.0 158:443.0 159:51.0 160:129.0 161:119.0 162:54.0 165:4.0 167:139.0 168:176.0 169:129.0 170:119.0 171:94.0 172:292.0 173:623.0 174:3150.0 175:671.0 176:154.0 177:23.0 178:10.0 179:202.0 182:29.0 183:93.0 184:73.0 185:54.0 186:235.0 187:35.0 189:426.0 190:18.0 191:125.0 195:13.0 196:36.0 197:35.0 200:198.0 201:643.0 202:70.0 203:51.0 204:170.0 205:803.0 206:99.0 207:183.0 208:63.0 209:90.0 212:28.0 213:39.0 214:277.0 217:1157.0 218:253.0 219:120.0 220:14.0 221:70.0 224:4.0 225:71.0 226:115.0 227:62.0 228:208.0 229:26.0 232:36.0 233:6.0 237:25.0 239:82.0 240:55.0 241:54.0 242:74.0 243:32.0 244:32.0 246:45.0 251:138.0 252:25.0 253:35.0 256:100.0 257:92.0 258:138.0 259:44.0 260:26.0 261:51.0 269:197.0 270:4.0 277:12.0 281:32.0 283:23.0 294:181.0 298:9.0 300:25.0 310:68.0 311:276.0 312:65.0 313:14.0 315:7.0 317:47.0 318:23.0 322:2.0 329:1.0 341:57.0 343:16.0 345:12.0 347:8.0 355:65.0 356:30.0 382:80.0 384:10.0 386:8.0 388:23.0 389:10.0 400:192.0 401:68.0 402:29.0 412:65.0 413:8.0 430:92.0 431:48.0 433:2.0 442:15.0 445:3.0 446:18.0 491:4.0</t>
  </si>
  <si>
    <t>409521</t>
  </si>
  <si>
    <t>722520</t>
  </si>
  <si>
    <t>114</t>
  </si>
  <si>
    <t>85:53.0 86:118.0 87:57.0 88:5.0 91:50.0 94:27.0 95:53.0 96:19.0 100:186.0 101:48.0 102:219.0 107:30.0 110:24.0 111:46.0 112:115.0 113:141.0 114:3114.0 115:300.0 116:179.0 117:23.0 124:26.0 126:65.0 128:25.0 129:206.0 130:86.0 141:262.0 142:183.0 143:279.0 144:53.0 151:19.0 153:41.0 154:30.0 157:298.0 159:67.0 165:52.0 167:150.0 169:55.0 170:194.0 174:218.0 182:38.0 184:55.0 185:41.0 186:70.0 189:10.0 198:692.0 199:84.0 200:28.0 201:154.0 204:84.0 205:3.0 209:755.0 210:48.0 211:9.0 212:34.0 217:101.0 224:289.0 225:36.0 239:212.0 240:35.0 244:3.0 252:14.0 264:3.0 283:28.0 287:7.0 294:51.0 295:22.0 299:394.0 300:22.0 314:156.0 315:19.0 338:22.0 365:3.0 372:17.0 380:18.0 382:163.0 383:30.0 398:9.0 407:6.0 409:22.0 451:1.0 460:3.0 467:21.0 470:5.0 477:17.0 489:13.0 495:17.0</t>
  </si>
  <si>
    <t>409349</t>
  </si>
  <si>
    <t>762401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</si>
  <si>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</si>
  <si>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409263</t>
  </si>
  <si>
    <t>979656</t>
  </si>
  <si>
    <t>85:61.0 86:195.0 88:36.0 89:111.0 93:137.0 97:6.0 99:180.0 100:254.0 101:73.0 103:149.0 106:44.0 111:70.0 112:72.0 113:237.0 114:123.0 115:66.0 116:225.0 118:63.0 120:33.0 122:3.0 124:60.0 126:25.0 127:83.0 128:28.0 129:197.0 130:94.0 135:60.0 137:59.0 138:17.0 139:7.0 140:152.0 141:89.0 142:637.0 143:129.0 144:137.0 150:33.0 152:42.0 153:48.0 154:116.0 155:167.0 156:7246.0 157:1528.0 158:422.0 159:77.0 160:114.0 162:1.0 164:51.0 170:29.0 174:8.0 179:92.0 180:17.0 181:42.0 182:33.0 183:24.0 184:10.0 189:71.0 193:26.0 195:62.0 196:19.0 198:26.0 201:1.0 204:186.0 205:8.0 206:85.0 207:106.0 208:54.0 209:172.0 211:44.0 212:10.0 214:13.0 217:232.0 218:2.0 221:60.0 225:75.0 226:31.0 227:12.0 230:82.0 231:21.0 232:30.0 233:7.0 237:86.0 239:67.0 240:13.0 245:10.0 250:41.0 251:74.0 253:618.0 254:82.0 255:50.0 260:6.0 265:59.0 267:132.0 268:20.0 274:30.0 275:16.0 280:91.0 281:350.0 282:88.0 283:135.0 286:24.0 291:30.0 295:26.0 299:173.0 303:40.0 314:49.0 318:14.0 327:74.0 328:4.0 332:7.0 335:22.0 337:8.0 339:16.0 340:8.0 341:58.0 342:59.0 344:28.0 346:2.0 347:16.0 350:21.0 351:12.0 361:31.0 363:4.0 366:9.0 371:66.0 372:33.0 374:1.0 375:49.0 384:32.0 393:6.0 396:28.0 398:26.0 400:107.0 401:33.0 410:7.0 416:49.0 418:28.0 419:17.0 421:4.0 429:3.0 434:13.0 443:14.0 446:1.0 448:11.0 453:15.0 462:38.0 465:10.0 468:59.0 470:3.0 477:19.0 490:19.0 492:22.0 497:21.0 500:15.0</t>
  </si>
  <si>
    <t>409212</t>
  </si>
  <si>
    <t>748068</t>
  </si>
  <si>
    <t>85:401.0 86:117.0 89:561.0 90:28.0 95:15.0 96:13.0 98:201.0 99:331.0 100:64.0 101:2827.0 102:406.0 103:4644.0 104:463.0 105:182.0 106:11.0 107:174.0 109:144.0 110:277.0 111:142.0 113:367.0 114:170.0 115:532.0 116:1752.0 117:2178.0 118:210.0 119:360.0 121:52.0 123:10.0 125:4.0 127:313.0 128:113.0 129:5631.0 130:807.0 131:1560.0 132:227.0 133:2675.0 134:253.0 135:324.0 137:139.0 138:21.0 139:17.0 141:49.0 142:219.0 143:241.0 145:129.0 147:5297.0 148:769.0 149:880.0 150:34.0 151:259.0 152:11.0 153:74.0 154:36.0 155:382.0 156:103.0 157:699.0 158:191.0 159:98.0 161:34.0 163:159.0 164:11.0 168:3.0 169:147.0 170:763.0 171:430.0 172:89.0 173:168.0 175:21.0 177:318.0 178:21.0 179:34.0 181:141.0 183:103.0 184:41.0 185:94.0 187:20.0 188:28.0 189:427.0 190:156.0 191:704.0 192:108.0 193:355.0 194:62.0 195:201.0 200:23.0 201:48.0 203:242.0 204:493.0 205:359.0 207:207.0 208:68.0 209:81.0 211:829.0 212:96.0 213:1.0 215:56.0 216:21.0 217:4686.0 218:1286.0 219:539.0 220:118.0 221:52.0 224:1.0 225:241.0 226:45.0 227:163.0 228:6.0 230:25.0 231:18.0 232:58.0 234:7.0 236:5.0 242:131.0 243:539.0 244:103.0 245:48.0 246:84.0 247:225.0 248:23.0 253:10.0 256:10.0 261:48.0 267:38.0 269:56.0 271:43.0 274:17.0 278:2.0 283:130.0 284:20.0 285:95.0 286:9.0 287:15.0 289:8.0 292:5.0 298:7.0 299:3657.0 300:1034.0 301:474.0 302:95.0 303:17.0 304:7.0 306:38.0 307:70.0 308:9.0 310:23.0 313:53.0 314:432.0 315:1919.0 316:531.0 317:246.0 318:19.0 323:1.0 328:18.0 329:7.0 332:28.0 333:3.0 341:32.0 348:13.0 350:9.0 351:17.0 356:51.0 357:718.0 358:245.0 359:79.0 363:3.0 364:1.0 366:1.0 369:42.0 370:201.0 371:23.0 372:66.0 374:37.0 375:8.0 385:15.0 386:34.0 387:645.0 388:216.0 389:168.0 390:17.0 394:21.0 396:28.0 399:23.0 403:6.0 414:8.0 417:33.0 426:7.0 431:7.0 432:20.0 434:2.0 440:2.0 443:30.0 444:24.0 445:14.0 447:12.0 449:20.0 454:3.0 456:14.0 459:51.0 460:5.0 468:8.0 471:7.0 472:11.0 477:14.0 485:44.0 490:1.0 500:33.0</t>
  </si>
  <si>
    <t>409131</t>
  </si>
  <si>
    <t>735592</t>
  </si>
  <si>
    <t>85:52.0 86:269.0 90:3.0 95:30.0 96:13.0 97:94.0 99:121.0 100:551.0 101:68.0 102:5.0 103:123.0 104:3.0 108:24.0 112:577.0 113:23.0 114:90.0 116:185.0 117:270.0 124:25.0 127:209.0 128:26.0 129:447.0 130:164.0 131:249.0 133:59.0 140:112.0 142:382.0 143:77.0 144:31.0 147:1550.0 148:132.0 149:136.0 154:185.0 155:136.0 156:4046.0 157:566.0 158:328.0 167:9.0 168:173.0 170:80.0 172:66.0 174:56.0 181:50.0 182:43.0 184:99.0 185:7.0 188:46.0 195:55.0 196:50.0 197:11.0 203:4.0 204:22.0 205:49.0 209:123.0 211:30.0 214:63.0 217:141.0 222:51.0 223:61.0 224:55.0 225:177.0 226:3.0 228:175.0 229:388.0 230:368.0 231:8.0 232:26.0 238:319.0 239:203.0 240:45.0 241:39.0 254:1.0 256:66.0 257:28.0 258:4.0 267:6.0 269:199.0 270:52.0 273:2.0 274:516.0 275:60.0 283:29.0 286:81.0 293:17.0 299:29.0 325:2.0 341:137.0 343:31.0 345:7.0 356:48.0 371:26.0 382:12.0 387:109.0 388:6.0 400:9.0 415:182.0 416:16.0 417:29.0 443:61.0 459:24.0 464:5.0</t>
  </si>
  <si>
    <t>409052</t>
  </si>
  <si>
    <t>841135</t>
  </si>
  <si>
    <t>341</t>
  </si>
  <si>
    <t>86:55.0 98:18.0 99:62.0 100:465.0 101:178.0 102:43.0 103:23.0 109:59.0 110:47.0 111:12.0 112:70.0 114:57.0 115:373.0 116:344.0 117:57.0 121:2.0 124:2.0 125:7.0 128:100.0 129:470.0 130:65.0 137:101.0 138:35.0 140:47.0 142:378.0 143:45.0 144:82.0 146:5.0 147:644.0 149:79.0 156:688.0 157:99.0 158:10.0 159:275.0 160:42.0 168:21.0 169:2.0 172:10.0 173:11.0 174:212.0 175:2.0 179:12.0 181:49.0 182:12.0 183:1.0 184:81.0 191:5.0 194:5.0 195:69.0 196:2.0 197:196.0 200:8.0 207:100.0 208:2.0 209:90.0 211:157.0 217:5.0 223:31.0 224:8.0 228:20.0 229:28.0 230:23.0 232:7.0 233:5.0 235:5.0 237:10.0 239:60.0 241:15.0 242:23.0 244:66.0 245:17.0 246:20.0 248:4.0 253:33.0 254:28.0 256:10.0 258:20.0 260:5.0 261:21.0 265:20.0 276:4.0 281:2.0 287:11.0 299:61.0 306:42.0 308:8.0 309:10.0 313:27.0 317:2.0 325:35.0 327:123.0 328:156.0 329:59.0 330:5.0 337:25.0 340:73.0 341:2787.0 342:730.0 343:262.0 344:27.0 346:25.0 347:10.0 350:14.0 360:10.0 362:17.0 365:19.0 367:17.0 390:27.0 401:10.0 402:2.0 411:20.0 420:1.0 422:8.0 423:5.0 425:10.0 429:5.0 434:17.0 436:10.0 437:10.0 442:1.0 455:31.0 456:16.0 467:21.0 476:21.0 482:23.0 488:2.0 494:27.0</t>
  </si>
  <si>
    <t>409045</t>
  </si>
  <si>
    <t>668679</t>
  </si>
  <si>
    <t>85:401.0 86:23.0 89:456.0 90:9.0 91:93.0 93:14.0 94:21.0 95:334.0 96:141.0 99:1.0 100:547.0 101:1182.0 102:121.0 103:1076.0 104:80.0 105:97.0 107:199.0 108:62.0 110:293.0 111:347.0 113:133.0 114:231.0 115:715.0 116:164.0 117:424.0 118:85.0 119:19.0 121:32.0 122:72.0 123:5.0 126:54.0 127:21.0 128:601.0 129:1330.0 130:351.0 131:814.0 132:86.0 133:405.0 134:65.0 135:21.0 136:7.0 138:64.0 140:56.0 141:41.0 142:134.0 143:1692.0 144:18.0 145:2.0 147:2287.0 148:240.0 149:237.0 151:69.0 157:343.0 158:243.0 159:1612.0 160:154.0 161:7.0 162:3.0 163:24.0 164:17.0 165:22.0 167:10.0 168:81.0 169:30.0 170:40.0 171:80.0 173:62.0 175:80.0 176:41.0 177:85.0 178:10.0 182:79.0 184:196.0 185:563.0 188:150.0 189:206.0 190:22.0 191:76.0 192:31.0 193:15.0 195:31.0 196:29.0 199:112.0 201:154.0 202:58.0 203:4098.0 204:948.0 205:1275.0 206:184.0 207:96.0 213:91.0 214:58.0 215:50.0 216:482.0 217:840.0 219:74.0 223:24.0 225:23.0 227:404.0 229:188.0 231:50.0 232:73.0 234:26.0 235:14.0 237:14.0 238:27.0 239:111.0 240:32.0 241:221.0 242:11.0 244:67.0 256:19.0 258:18.0 270:559.0 272:34.0 278:24.0 291:25.0 296:17.0 297:5.0 302:29.0 304:144.0 305:63.0 306:78.0 316:25.0 317:2.0 319:344.0 320:5.0 321:58.0 323:36.0 330:24.0 332:20.0 345:4.0 355:17.0 357:9.0 361:7.0 373:12.0 380:4.0 382:1.0 386:18.0 400:6.0 408:5.0 413:35.0 416:29.0 432:39.0 436:8.0 443:48.0 447:2.0 449:2.0 468:17.0 476:17.0 477:10.0 487:20.0 489:1.0</t>
  </si>
  <si>
    <t>409031</t>
  </si>
  <si>
    <t>478576</t>
  </si>
  <si>
    <t>85:352.0 87:382.0 91:55.0 93:15.0 95:641.0 96:599.0 97:6298.0 98:418.0 99:791.0 101:247.0 103:108.0 109:904.0 110:219.0 111:1465.0 112:91.0 113:613.0 115:77.0 116:499.0 117:3557.0 118:266.0 119:36.0 121:394.0 122:23.0 124:20.0 125:1552.0 126:66.0 127:1242.0 128:14.0 129:1851.0 130:482.0 131:299.0 132:418.0 134:30.0 137:204.0 139:1826.0 140:154.0 141:472.0 143:4348.0 144:562.0 145:702.0 146:110.0 153:62.0 155:4158.0 156:366.0 157:248.0 159:7758.0 160:1137.0 161:218.0 172:50.0 173:187.0 181:7.0 182:5.0 183:13.0 184:49.0 185:140.0 186:41.0 195:2.0 200:7.0 201:166.0 209:7.0 210:6.0 211:2.0 213:608.0 214:145.0 215:1054.0 216:1304.0 217:240.0 218:45.0 229:192.0 230:33.0 231:415.0 233:21.0 243:9.0 245:926.0 246:203.0 247:15.0 263:6.0 268:9.0 293:19.0 299:107.0 300:5.0 315:18.0 320:6.0 388:1.0 410:11.0 426:4.0 431:1.0 443:10.0 453:14.0 459:4.0 497:9.0</t>
  </si>
  <si>
    <t>408912</t>
  </si>
  <si>
    <t>1030113</t>
  </si>
  <si>
    <t>86:42.0 91:87.0 100:120.0 103:15.0 109:10.0 110:67.0 111:28.0 114:21.0 117:85.0 123:8.0 128:10.0 129:434.0 142:47.0 143:33.0 144:2289.0 145:255.0 146:87.0 147:363.0 150:10.0 151:10.0 156:158.0 161:81.0 165:46.0 174:221.0 176:4.0 177:35.0 178:41.0 179:25.0 183:42.0 186:10.0 192:57.0 193:214.0 195:3.0 198:16.0 207:477.0 208:243.0 209:38.0 211:71.0 217:46.0 221:265.0 222:29.0 226:33.0 227:55.0 237:23.0 243:62.0 251:25.0 252:15.0 253:13.0 263:8.0 265:73.0 267:80.0 271:1.0 281:21.0 289:2.0 295:19.0 297:19.0 299:37.0 301:39.0 326:4.0 333:10.0 341:87.0 344:10.0 355:65.0 368:6.0 371:1.0 414:3.0 416:8.0 430:21.0 454:4.0 459:5.0 488:13.0 489:26.0</t>
  </si>
  <si>
    <t>408911</t>
  </si>
  <si>
    <t>1046745</t>
  </si>
  <si>
    <t>114:63.0 116:19.0 125:12.0 129:28.0 130:112.0 136:7.0 141:43.0 142:33.0 143:48.0 154:24.0 155:21.0 156:310.0 157:63.0 158:82.0 169:50.0 189:32.0 191:50.0 193:60.0 194:2.0 198:1.0 200:83.0 201:40.0 202:2298.0 203:406.0 204:470.0 206:55.0 207:643.0 208:283.0 209:254.0 214:11.0 215:9.0 223:28.0 224:10.0 228:13.0 233:5.0 237:27.0 239:46.0 242:34.0 248:10.0 249:45.0 252:41.0 253:34.0 255:19.0 256:1.0 265:31.0 267:39.0 280:8.0 281:22.0 298:11.0 313:38.0 316:28.0 327:92.0 329:29.0 330:14.0 331:207.0 332:58.0 333:27.0 337:6.0 341:6.0 342:33.0 357:35.0 362:68.0 365:6.0 369:1.0 384:15.0 386:4.0 388:39.0 389:25.0 397:1.0 400:7.0 409:11.0 410:24.0 418:22.0 440:10.0 459:24.0 461:11.0 462:9.0 464:7.0 469:6.0 475:14.0 478:43.0 480:1.0 490:16.0</t>
  </si>
  <si>
    <t>408892</t>
  </si>
  <si>
    <t>686321</t>
  </si>
  <si>
    <t>86:95.0 89:3.0 90:5.0 94:313.0 98:236.0 99:1.0 100:842.0 102:33.0 103:986.0 113:338.0 114:63.0 115:160.0 117:84.0 120:3.0 122:65.0 123:48.0 125:111.0 127:358.0 128:403.0 131:2.0 132:5.0 133:10.0 134:46.0 140:262.0 141:51.0 142:23919.0 143:3399.0 144:1383.0 147:1585.0 149:893.0 151:87.0 152:92.0 153:61.0 154:464.0 155:150.0 156:45.0 157:458.0 158:743.0 159:11.0 160:123.0 166:197.0 167:29.0 173:108.0 181:118.0 182:57.0 188:54.0 197:1.0 198:2.0 200:799.0 201:63.0 202:82.0 205:205.0 217:10.0 227:1.0 229:8.0 232:91.0 236:45.0 237:21.0 238:27.0 241:64.0 244:40.0 267:57.0 268:1.0 269:154.0 271:24.0 272:507.0 273:86.0 280:50.0 282:23.0 284:4.0 288:54.0 290:17.0 292:1.0 298:4.0 299:34.0 309:32.0 313:7.0 314:61.0 319:138.0 321:10.0 331:8.0 337:2.0 340:5.0 345:15.0 355:9.0 357:62.0 368:51.0 369:52.0 370:30.0 385:1.0 402:41.0 409:4.0 410:7.0 421:55.0 423:10.0 439:35.0 444:38.0 449:6.0 452:13.0 459:26.0 465:20.0 472:42.0 480:34.0 483:17.0 495:12.0</t>
  </si>
  <si>
    <t>408886</t>
  </si>
  <si>
    <t>924648</t>
  </si>
  <si>
    <t>85:252.0 86:1410.0 88:240.0 89:1045.0 90:106.0 94:101.0 95:107.0 96:565.0 97:127.0 99:90.0 100:807.0 101:342.0 102:363.0 103:4887.0 104:407.0 105:151.0 106:118.0 107:153.0 110:48.0 112:297.0 113:60.0 114:220.0 115:66.0 116:343.0 117:1592.0 118:265.0 123:127.0 126:82.0 128:795.0 129:756.0 130:404.0 131:276.0 132:24.0 133:848.0 134:131.0 138:10.0 139:177.0 140:116.0 141:44.0 142:606.0 143:210.0 144:235.0 145:136.0 146:150.0 147:2823.0 148:120.0 149:445.0 151:14.0 152:53.0 153:56.0 154:319.0 155:150.0 156:3714.0 157:568.0 158:344.0 159:66.0 160:72.0 162:5.0 163:114.0 164:4.0 165:72.0 167:78.0 168:147.0 169:73.0 170:68.0 171:63.0 172:294.0 173:394.0 174:2113.0 175:381.0 176:190.0 177:43.0 181:69.0 182:5.0 183:16.0 184:68.0 186:210.0 188:22.0 189:225.0 190:72.0 191:46.0 192:12.0 195:34.0 197:97.0 198:11.0 199:26.0 200:586.0 201:400.0 202:103.0 204:337.0 205:548.0 206:98.0 207:142.0 208:156.0 209:1.0 211:66.0 212:14.0 213:21.0 214:265.0 215:43.0 216:101.0 217:1338.0 218:190.0 219:85.0 221:131.0 222:3.0 225:11.0 226:22.0 227:60.0 228:123.0 229:82.0 230:37.0 239:5.0 240:36.0 241:12.0 243:91.0 244:16.0 246:73.0 255:5.0 256:188.0 257:20.0 258:128.0 259:41.0 260:47.0 262:8.0 265:10.0 267:23.0 269:97.0 270:11.0 272:66.0 273:2.0 277:43.0 283:17.0 287:23.0 290:31.0 293:35.0 295:7.0 299:53.0 300:13.0 301:40.0 303:17.0 307:35.0 311:42.0 315:99.0 327:33.0 328:36.0 331:3.0 340:14.0 342:8.0 344:16.0 355:28.0 357:1.0 361:10.0 369:19.0 375:8.0 387:65.0 388:12.0 410:7.0 422:4.0 433:10.0 442:5.0 462:5.0 475:5.0 483:1.0</t>
  </si>
  <si>
    <t>408856</t>
  </si>
  <si>
    <t>921483</t>
  </si>
  <si>
    <t>85:1.0 86:22.0 89:1.0 101:69.0 103:236.0 104:1.0 111:1.0 113:1.0 115:2.0 126:87.0 129:34.0 133:3.0 142:3013.0 143:342.0 144:113.0 147:10.0 148:1.0 149:102.0 155:18.0 162:10.0 165:2.0 176:89.0 177:10.0 178:261.0 179:238.0 181:51.0 189:1.0 191:3.0 192:10.0 193:49.0 204:24.0 206:19.0 207:211.0 208:6.0 217:81.0 218:2.0 219:18.0 221:149.0 235:20.0 237:3.0 238:1.0 243:6.0 253:13.0 258:1.0 259:1.0 264:1.0 279:36.0 280:2.0 281:76.0 295:23.0 306:1.0 312:1.0 322:1.0 341:35.0 343:7.0 358:6.0 359:7.0 361:27.0 383:31.0 387:17.0 445:7.0</t>
  </si>
  <si>
    <t>408855</t>
  </si>
  <si>
    <t>833642</t>
  </si>
  <si>
    <t>86:255.0 93:9.0 98:143.0 100:206.0 101:135.0 102:76.0 103:71.0 110:80.0 113:51.0 114:136.0 116:216.0 117:74.0 123:222.0 124:12.0 128:166.0 129:138.0 130:99.0 131:90.0 140:31.0 141:21.0 142:119.0 144:2.0 149:67.0 152:46.0 154:3.0 155:33.0 156:3637.0 157:739.0 158:1124.0 159:76.0 167:111.0 170:13.0 174:926.0 175:107.0 176:41.0 184:64.0 201:48.0 204:39.0 208:18.0 218:14.0 238:39.0 240:118.0 241:15.0 253:57.0 254:28.0 258:125.0 330:76.0 332:2.0 389:19.0</t>
  </si>
  <si>
    <t>408852</t>
  </si>
  <si>
    <t>442612</t>
  </si>
  <si>
    <t>85:39.0 86:1900.0 87:141.0 88:2194.0 90:13.0 92:103.0 93:18.0 94:5.0 95:18.0 98:2.0 99:7.0 100:1547.0 101:179.0 102:233.0 103:94.0 106:116.0 108:163.0 110:72.0 112:15.0 113:153.0 114:149.0 116:6.0 117:93.0 122:2.0 128:365.0 129:128.0 130:377.0 134:299.0 136:28.0 140:60.0 146:10.0 147:13.0 157:20.0 158:14.0 161:45.0 163:1.0 170:3.0 171:1.0 172:109.0 173:5.0 174:4161.0 175:635.0 176:243.0 184:670.0 185:43.0 188:2.0 198:2.0 199:44.0 201:1.0 205:49.0 216:4.0 245:5.0 247:6.0 253:7.0 299:316.0 300:56.0 301:8.0 344:1.0 363:1.0 367:31.0 405:23.0 408:9.0 410:11.0 421:24.0 447:11.0 493:1.0</t>
  </si>
  <si>
    <t>408849</t>
  </si>
  <si>
    <t>659067</t>
  </si>
  <si>
    <t>86:112.0 89:145.0 98:46.0 99:110.0 101:1.0 102:107.0 103:472.0 107:128.0 114:20.0 116:82.0 117:296.0 118:9.0 128:30.0 129:464.0 130:34.0 133:261.0 134:189.0 142:7137.0 143:1296.0 144:687.0 147:1218.0 148:99.0 149:51.0 154:35.0 156:33.0 157:214.0 158:384.0 159:57.0 160:340.0 169:69.0 170:60.0 171:101.0 173:24.0 174:260.0 175:31.0 185:3.0 189:62.0 203:344.0 204:268.0 205:462.0 206:49.0 215:13.0 217:509.0 229:29.0 231:39.0 232:9.0 233:18.0 253:27.0 281:18.0 299:9.0 304:31.0 305:15.0 315:29.0 318:4.0 319:245.0 320:60.0 321:7.0 325:6.0 333:39.0 342:2.0 343:14.0 344:19.0 348:9.0 350:6.0 363:18.0 368:7.0 386:24.0 407:3.0 412:30.0 418:7.0 425:17.0 436:16.0 439:26.0 450:4.0 473:5.0 479:2.0 488:16.0 490:5.0</t>
  </si>
  <si>
    <t>408836</t>
  </si>
  <si>
    <t>796000</t>
  </si>
  <si>
    <t>85:183.0 86:107.0 89:130.0 95:4.0 98:160.0 99:41.0 100:118.0 101:74.0 103:592.0 107:165.0 114:46.0 115:15.0 116:137.0 117:117.0 126:192.0 127:17.0 128:9.0 129:410.0 130:67.0 131:53.0 133:128.0 134:47.0 136:156.0 140:12.0 141:23.0 142:3310.0 143:469.0 144:194.0 146:19.0 147:1362.0 148:142.0 151:29.0 153:122.0 154:289.0 157:6.0 166:112.0 168:31.0 169:131.0 173:1.0 174:172.0 179:66.0 181:18.0 184:62.0 193:47.0 195:9.0 197:97.0 203:13.0 204:26.0 205:106.0 210:22.0 211:30.0 217:832.0 218:130.0 219:19.0 223:6.0 224:75.0 225:184.0 226:37.0 240:51.0 241:24.0 243:10.0 252:3.0 255:5.0 257:30.0 258:24.0 269:672.0 270:94.0 282:16.0 290:18.0 293:25.0 308:25.0 321:4.0 332:7.0 340:45.0 356:44.0 368:79.0 408:4.0 409:72.0 410:27.0 429:14.0 431:1.0 440:6.0</t>
  </si>
  <si>
    <t>408831</t>
  </si>
  <si>
    <t>599656</t>
  </si>
  <si>
    <t>152</t>
  </si>
  <si>
    <t>85:380.0 86:353.0 87:253.0 88:60.0 89:889.0 90:104.0 91:92.0 92:2.0 93:117.0 94:115.0 98:298.0 99:250.0 100:9310.0 101:2009.0 102:2467.0 103:13642.0 104:1212.0 105:664.0 106:16.0 109:56.0 111:2.0 112:46.0 113:228.0 114:385.0 115:519.0 116:512.0 117:4274.0 118:574.0 119:631.0 120:74.0 121:91.0 124:63.0 125:77.0 126:210.0 127:57.0 128:660.0 129:2478.0 130:2365.0 131:2233.0 132:628.0 133:3635.0 135:299.0 136:4.0 137:42.0 139:308.0 140:168.0 141:360.0 142:271.0 143:1920.0 144:372.0 145:395.0 146:275.0 147:19124.0 148:2806.0 149:2305.0 150:315.0 151:196.0 152:7959.0 153:513.0 154:177.0 155:2007.0 156:4809.0 157:1578.0 158:398.0 159:78.0 160:66.0 161:123.0 163:205.0 165:4.0 167:21.0 168:189.0 169:68.0 170:53.0 171:296.0 172:99.0 173:260.0 175:341.0 177:48.0 179:107.0 180:367.0 181:36.0 182:2.0 183:8.0 184:83.0 185:92.0 189:3219.0 190:1566.0 191:1511.0 192:272.0 193:183.0 194:23.0 196:29.0 197:19.0 199:89.0 200:27.0 201:140.0 202:54.0 203:486.0 204:2017.0 205:2518.0 206:623.0 207:290.0 208:80.0 209:49.0 210:14.0 212:25.0 213:20.0 215:205.0 216:137.0 217:8400.0 218:1865.0 219:1150.0 220:304.0 221:840.0 222:221.0 223:79.0 224:35.0 226:12.0 227:47.0 229:290.0 230:177.0 231:282.0 232:73.0 233:69.0 234:13.0 238:2.0 239:1.0 243:28.0 245:519.0 246:139.0 247:74.0 248:5.0 253:18.0 254:12.0 255:5.0 256:5.0 257:479.0 258:96.0 259:75.0 260:56.0 261:3.0 263:19.0 264:26.0 265:154.0 266:20.0 268:12.0 269:190.0 270:50.0 272:5.0 273:24.0 274:21.0 275:3.0 277:791.0 278:277.0 279:85.0 280:17.0 283:25.0 284:5.0 285:18.0 286:1.0 287:6.0 288:1.0 289:21.0 291:167.0 292:7241.0 293:2011.0 294:1000.0 295:110.0 296:22.0 298:7.0 300:43.0 303:60.0 305:1136.0 306:362.0 307:1112.0 308:327.0 309:116.0 310:42.0 312:1.0 313:36.0 314:5.0 318:14.0 319:181.0 320:66.0 321:74.0 322:21.0 323:32.0 325:67.0 330:25.0 331:437.0 332:157.0 333:1013.0 334:237.0 335:166.0 337:50.0 338:5.0 339:47.0 341:106.0 342:71.0 343:2.0 344:21.0 347:92.0 348:6.0 350:13.0 353:5.0 357:4.0 358:1.0 368:13.0 370:23.0 372:8.0 373:16.0 374:3.0 375:1.0 377:21.0 379:64.0 382:2.0 384:51.0 385:6.0 386:23.0 387:4.0 389:23.0 390:8.0 391:5.0 392:1.0 393:161.0 394:25.0 395:24.0 396:14.0 397:2.0 400:5.0 408:6.0 410:5.0 411:21.0 412:2.0 415:79.0 416:7.0 418:10.0 421:139.0 422:29.0 423:83.0 424:1.0 425:3.0 432:3.0 434:12.0 437:3.0 439:35.0 441:38.0 444:45.0 445:12.0 447:1.0 451:16.0 458:56.0 461:13.0 462:13.0 463:21.0 467:1.0 469:2.0 471:5.0 472:2.0 481:15.0 485:14.0 494:2.0 500:21.0</t>
  </si>
  <si>
    <t>408797</t>
  </si>
  <si>
    <t>561840</t>
  </si>
  <si>
    <t>178</t>
  </si>
  <si>
    <t>86:128.0 89:85.0 93:157.0 95:88.0 99:150.0 100:551.0 101:131.0 102:11.0 103:1.0 104:14.0 105:141.0 106:532.0 107:132.0 108:24.0 113:44.0 128:12.0 130:669.0 132:135.0 134:171.0 142:13.0 144:213.0 145:5.0 146:106.0 147:100.0 149:1896.0 150:206.0 151:71.0 153:38.0 155:48.0 156:18.0 158:36.0 162:147.0 163:26.0 169:4.0 171:261.0 172:121.0 173:10.0 174:399.0 176:126.0 178:3884.0 179:610.0 180:198.0 187:1.0 200:8.0 201:9.0 202:6.0 204:28.0 214:32.0 215:18.0 217:162.0 218:556.0 219:118.0 221:102.0 230:71.0 244:40.0 252:39.0 254:25.0 264:19.0 274:9.0 275:8.0 281:23.0 291:32.0 293:18.0 294:26.0 314:13.0 317:16.0 333:51.0 334:2.0 336:20.0 337:3.0 348:1.0 350:9.0 360:22.0 372:6.0 393:8.0 399:2.0 405:13.0 408:9.0 433:7.0 442:5.0 460:10.0 462:11.0 478:9.0 490:6.0 496:9.0 498:45.0 500:1.0</t>
  </si>
  <si>
    <t>408790</t>
  </si>
  <si>
    <t>718148</t>
  </si>
  <si>
    <t>85:758.0 86:860.0 87:497.0 88:24.0 89:2.0 94:171.0 95:181.0 97:173.0 98:173.0 99:310.0 100:810.0 101:987.0 102:329.0 103:181.0 107:19.0 108:62.0 111:162.0 112:148.0 113:315.0 114:218.0 115:838.0 116:293.0 117:21510.0 118:1942.0 119:892.0 121:46.0 124:32.0 125:34.0 127:50.0 128:268.0 129:1353.0 130:1242.0 131:1059.0 132:386.0 133:1506.0 134:8.0 135:106.0 137:3.0 139:8.0 140:291.0 141:232.0 142:392.0 143:690.0 144:224.0 145:187.0 146:54.0 147:4290.0 148:736.0 149:643.0 151:118.0 152:201.0 153:193.0 154:132.0 155:75.0 157:6.0 158:214.0 159:90.0 161:6.0 166:110.0 167:267.0 168:307.0 169:467.0 170:102.0 171:27.0 172:142.0 173:110.0 174:936.0 175:24.0 176:89.0 179:162.0 180:23.0 181:117.0 182:313.0 183:231.0 184:95.0 185:149.0 186:12.0 190:41.0 193:33.0 194:24.0 195:181.0 196:68.0 198:60.0 207:44.0 211:510.0 212:84.0 213:77.0 214:33.0 215:39.0 217:787.0 218:1538.0 219:252.0 220:55.0 221:44.0 223:46.0 225:137.0 226:131.0 227:273.0 228:59.0 229:60.0 230:84.0 231:54.0 232:8.0 237:67.0 239:244.0 240:136.0 241:3109.0 242:940.0 243:409.0 244:36.0 251:9.0 253:124.0 254:10.0 255:341.0 256:131.0 257:7635.0 258:1974.0 259:697.0 260:25.0 267:293.0 268:48.0 269:463.0 270:182.0 271:188.0 272:31.0 281:30.0 282:6.0 283:176.0 284:88.0 285:108.0 286:4.0 293:3.0 294:3.0 295:17.0 297:637.0 298:139.0 299:94.0 311:1933.0 312:495.0 313:244.0 314:95.0 315:54.0 323:2.0 329:434.0 330:215.0 331:55.0 339:392.0 340:87.0 341:18.0 371:99.0 373:14.0 385:46.0 386:14.0 387:87.0 399:25.0 400:99.0 401:2709.0 402:2044.0 403:763.0 404:211.0 405:29.0 413:113.0 459:29.0</t>
  </si>
  <si>
    <t>408756</t>
  </si>
  <si>
    <t>691686</t>
  </si>
  <si>
    <t>85:212.0 86:303.0 87:179.0 88:18.0 89:67.0 94:21.0 95:82.0 97:219.0 98:113.0 99:137.0 100:1772.0 101:408.0 102:167.0 103:142.0 105:26.0 108:4.0 110:72.0 111:369.0 112:48.0 113:102.0 114:35.0 115:10.0 116:155.0 117:153.0 118:37.0 122:25.0 123:3.0 125:36.0 127:56.0 128:46.0 129:353.0 130:210.0 131:234.0 132:48.0 135:12.0 138:104.0 139:31.0 141:36.0 143:82.0 144:49.0 150:6.0 153:39.0 157:89.0 158:170.0 159:140.0 160:163.0 161:8.0 166:60.0 169:79.0 170:3.0 171:108.0 172:159.0 173:57.0 175:70.0 176:25.0 179:13.0 181:39.0 182:47.0 183:4.0 184:15.0 185:143.0 186:50.0 188:16.0 192:7.0 195:16.0 196:27.0 199:6.0 202:6.0 203:3.0 210:53.0 211:89.0 212:13.0 213:9.0 220:9.0 222:10.0 223:59.0 224:35.0 225:41.0 226:30.0 227:58.0 228:84.0 229:204.0 230:6.0 231:13.0 234:8.0 235:48.0 237:22.0 238:116.0 239:13.0 240:38.0 242:26.0 243:44.0 247:20.0 251:13.0 252:15.0 253:114.0 254:48.0 255:31.0 256:20.0 258:3.0 259:2.0 262:31.0 263:22.0 264:5.0 265:190.0 266:94.0 267:31.0 268:5.0 272:12.0 273:1.0 275:30.0 277:13.0 278:5.0 279:30.0 280:55.0 281:100.0 282:41.0 283:22.0 284:44.0 285:15.0 286:6.0 287:1.0 291:33.0 294:14.0 295:74.0 296:58.0 298:11.0 300:4.0 303:3.0 304:34.0 306:33.0 307:2.0 308:13.0 309:42.0 310:26.0 312:67.0 314:26.0 315:11.0 321:4.0 322:1.0 323:18.0 324:12.0 326:9.0 329:36.0 330:1.0 333:35.0 334:13.0 335:32.0 337:18.0 339:11.0 343:31.0 344:26.0 347:15.0 349:3.0 351:53.0 352:132.0 353:2757.0 354:932.0 355:391.0 356:123.0 357:48.0 358:2.0 359:18.0 360:12.0 363:65.0 364:9.0 367:74.0 368:562.0 369:145.0 370:125.0 371:44.0 375:25.0 376:28.0 379:28.0 381:22.0 388:8.0 395:7.0 396:26.0 398:28.0 401:22.0 402:4.0 403:29.0 406:2.0 410:16.0 413:1.0 415:7.0 417:14.0 418:16.0 421:20.0 428:2.0 429:4.0 431:14.0 432:1.0 434:10.0 435:20.0 437:21.0 439:13.0 440:43.0 442:9.0 443:7.0 446:3.0 447:20.0 449:5.0 450:13.0 451:17.0 455:6.0 457:8.0 458:17.0 463:34.0 465:14.0 468:40.0 471:8.0 473:31.0 476:16.0 477:24.0 479:18.0 480:8.0 482:13.0 483:4.0 485:32.0 488:2.0 497:8.0 498:14.0 499:16.0</t>
  </si>
  <si>
    <t>408731</t>
  </si>
  <si>
    <t>397310</t>
  </si>
  <si>
    <t>97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</si>
  <si>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</si>
  <si>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408701</t>
  </si>
  <si>
    <t>551257</t>
  </si>
  <si>
    <t>409</t>
  </si>
  <si>
    <t>85:108.0 88:58.0 89:973.0 90:239.0 91:32.0 93:85.0 94:37.0 95:197.0 96:3760.0 97:222.0 99:113.0 100:396.0 101:581.0 103:277.0 106:120.0 107:716.0 108:370.0 109:191.0 110:3164.0 111:126.0 112:93.0 114:28.0 116:187.0 117:809.0 118:62.0 119:163.0 120:220.0 121:4.0 122:81.0 123:20.0 128:911.0 129:514.0 130:3335.0 131:412.0 132:139.0 133:777.0 134:319.0 135:30.0 136:80.0 138:83.0 142:15.0 143:36.0 144:30.0 145:34.0 147:867.0 148:442.0 149:196.0 150:41.0 151:35.0 152:19.0 156:20.0 157:7.0 168:67.0 170:21.0 172:104.0 173:37.0 174:15.0 177:14.0 184:397.0 188:67.0 189:31.0 190:25.0 200:1.0 201:75.0 202:56.0 203:49.0 204:365.0 205:452.0 206:24.0 207:10.0 210:344.0 211:42.0 219:34.0 225:57.0 227:5.0 230:4.0 231:17.0 234:349.0 235:49.0 237:33.0 238:2.0 239:65.0 247:113.0 248:6.0 264:69.0 267:167.0 285:63.0 299:58.0 305:66.0 351:27.0 352:24.0 389:1128.0 390:170.0 391:38.0 408:58.0 409:1750.0 410:549.0 411:183.0 412:19.0 413:9.0 464:6.0 465:15.0 497:6.0</t>
  </si>
  <si>
    <t>408638</t>
  </si>
  <si>
    <t>540770</t>
  </si>
  <si>
    <t>85:250.0 86:14411.0 87:1326.0 88:894.0 90:421.0 91:285.0 92:111.0 93:108.0 94:648.0 95:329.0 96:33.0 97:191.0 98:606.0 99:891.0 100:10054.0 101:609.0 102:2039.0 104:461.0 106:777.0 107:75.0 109:7.0 111:121.0 112:633.0 113:1191.0 114:876.0 116:721.0 117:592.0 118:247.0 120:72.0 121:421.0 122:3.0 124:30.0 126:2166.0 128:688.0 129:929.0 130:2297.0 131:1351.0 132:770.0 134:147.0 135:232.0 136:208.0 138:194.0 139:61.0 140:467.0 141:447.0 142:1061.0 143:238.0 144:30.0 146:1498.0 147:3562.0 148:1177.0 149:390.0 150:132.0 151:102.0 152:279.0 154:5.0 155:17.0 156:790.0 157:19.0 158:1738.0 159:362.0 160:452.0 161:144.0 162:378.0 163:70.0 164:1276.0 169:262.0 170:76.0 172:432.0 174:35730.0 175:6592.0 176:2450.0 177:303.0 178:154.0 179:338.0 185:55.0 186:162.0 187:56.0 192:1075.0 194:13.0 195:9.0 198:4.0 199:48.0 200:150.0 201:93.0 203:170.0 216:124.0 218:1020.0 219:389.0 220:261.0 221:4.0 223:5.0 229:65.0 230:243.0 237:234.0 243:162.0 244:17.0 257:68.0 258:5.0 259:88.0 260:19.0 266:68.0 267:27.0 268:10.0 269:1.0 272:2.0 273:57.0 278:1.0 295:3.0 296:1.0 306:30.0 308:5.0 327:295.0 334:68.0 346:13.0 377:5.0 401:47.0 487:1.0</t>
  </si>
  <si>
    <t>408611</t>
  </si>
  <si>
    <t>574677</t>
  </si>
  <si>
    <t>269</t>
  </si>
  <si>
    <t>85:72.0 86:502.0 87:485.0 88:588.0 90:681.0 92:189.0 94:437.0 95:214.0 96:300.0 97:144.0 98:473.0 99:215.0 100:4933.0 101:941.0 102:1175.0 104:357.0 105:404.0 106:21.0 107:92.0 108:70.0 109:79.0 110:401.0 111:136.0 112:489.0 113:196.0 114:606.0 115:453.0 116:444.0 117:757.0 118:3143.0 119:315.0 120:432.0 121:236.0 124:658.0 126:1106.0 127:207.0 128:1189.0 129:413.0 130:769.0 131:1073.0 132:948.0 133:887.0 134:243.0 135:133.0 137:49.0 138:8.0 139:52.0 140:115.0 141:135.0 142:196.0 144:379.0 146:220.0 147:5041.0 148:488.0 149:389.0 150:121.0 151:459.0 152:6944.0 153:395.0 156:88.0 158:100.0 159:50.0 161:157.0 162:218.0 164:5.0 166:90.0 168:57.0 170:202.0 171:232.0 174:216.0 176:51.0 178:34.0 179:3164.0 180:27738.0 181:2331.0 182:131.0 183:177.0 184:308.0 185:353.0 191:3.0 192:218.0 194:28.0 196:56.0 197:272.0 199:178.0 200:101.0 201:78.0 202:243.0 207:63.0 208:15.0 209:1.0 211:196.0 214:18.0 215:5.0 218:577.0 219:359.0 222:16.0 223:76.0 226:1.0 227:15.0 232:33.0 233:15.0 237:71.0 241:34.0 242:52.0 243:339.0 244:82.0 245:15.0 249:22.0 251:4.0 257:11.0 258:121.0 259:72.0 264:45.0 265:19.0 268:7.0 269:17004.0 270:2962.0 271:604.0 272:263.0 277:33.0 278:26.0 280:10.0 281:101.0 282:12.0 285:70.0 286:39.0 289:51.0 290:6.0 291:1.0 292:6.0 293:36.0 298:6.0 299:122.0 300:154.0 302:10.0 305:39.0 306:15.0 308:35.0 315:68.0 317:17.0 320:40.0 321:8.0 323:4.0 329:13.0 332:25.0 333:2.0 336:1.0 338:3.0 343:979.0 344:261.0 345:102.0 349:2.0 355:2.0 357:33.0 367:1.0 371:31.0 375:4.0 388:7.0 392:10.0 397:4.0 400:26.0 414:4.0 416:71.0 422:8.0 429:1.0 433:2.0 437:28.0 440:8.0 447:16.0 450:15.0 452:6.0 454:51.0 458:1.0 461:8.0 462:1.0 473:1.0 475:6.0 476:1.0 482:2.0 484:3.0 486:12.0 487:1.0 488:76.0 498:1.0</t>
  </si>
  <si>
    <t>408607</t>
  </si>
  <si>
    <t>567002</t>
  </si>
  <si>
    <t>85:2502.0 86:54754.0 87:5833.0 88:4008.0 89:913.0 90:491.0 91:366.0 92:1065.0 93:195.0 94:1516.0 95:394.0 96:703.0 97:880.0 98:1682.0 99:1948.0 100:35642.0 101:5135.0 102:6072.0 103:2749.0 104:2797.0 105:619.0 106:2063.0 107:591.0 108:236.0 109:179.0 110:894.0 111:525.0 112:3469.0 113:2788.0 114:4138.0 115:2098.0 116:2643.0 117:3227.0 118:1663.0 119:666.0 120:840.0 121:804.0 122:282.0 123:174.0 124:349.0 125:117.0 126:2071.0 127:717.0 128:1966.0 129:2425.0 130:8606.0 131:5337.0 132:3313.0 133:1851.0 134:1815.0 135:809.0 136:250.0 137:254.0 138:498.0 139:521.0 140:2188.0 141:927.0 142:8809.0 143:1583.0 144:1518.0 145:454.0 146:3548.0 147:6043.0 148:1572.0 149:631.0 150:408.0 151:753.0 152:7274.0 153:810.0 154:2348.0 155:841.0 156:4243.0 157:1043.0 158:3652.0 159:690.0 160:2288.0 161:618.0 162:548.0 163:474.0 164:1119.0 165:163.0 166:86.0 167:304.0 168:324.0 169:455.0 170:961.0 171:592.0 172:4578.0 173:862.0 174:152655.0 175:29386.0 176:12766.0 177:1582.0 178:3380.0 179:498.0 180:750.0 181:4.0 182:455.0 183:826.0 184:4698.0 185:1055.0 186:1133.0 187:597.0 188:522.0 189:515.0 190:635.0 191:139.0 192:412.0 193:27.0 194:61.0 196:81.0 197:46.0 198:676.0 199:181.0 200:7051.0 201:2687.0 202:1659.0 203:416.0 204:399.0 205:670.0 206:162.0 208:6.0 210:169.0 211:294.0 212:237.0 213:165.0 214:1062.0 215:568.0 216:480.0 217:2570.0 218:610.0 219:249.0 220:39.0 224:159.0 225:28.0 227:358.0 228:101.0 229:303.0 230:522.0 231:197.0 232:34.0 233:246.0 234:235.0 235:53.0 236:70.0 237:109.0 238:165.0 239:71.0 240:95.0 241:29.0 242:8.0 243:142.0 244:12.0 246:22.0 247:31.0 248:286.0 249:40.0 251:133.0 252:55.0 253:474.0 254:67.0 255:73.0 257:994.0 258:209.0 259:254.0 260:36.0 261:51.0 262:69.0 263:9.0 264:10.0 267:6.0 274:13.0 276:37.0 278:15.0 288:9.0 289:13.0 290:12.0 295:25.0 299:45.0 300:29.0 302:21.0 303:36.0 305:6.0 307:132.0 308:42.0 309:26.0 313:3.0 314:17.0 319:18.0 322:9.0 325:26.0 326:4.0 327:123.0 328:25.0 340:19.0 341:512.0 342:140.0 343:19.0 345:2.0 353:15.0 363:9.0 366:4.0 369:4.0 374:43.0 379:13.0 380:4.0 387:7.0 394:24.0 395:52.0 396:53.0 398:16.0 399:1153.0 400:454.0 401:192.0 402:24.0 403:11.0 413:62.0 414:781.0 415:293.0 416:70.0 438:5.0 441:19.0 445:6.0 447:4.0 453:9.0 465:10.0 469:5.0 476:7.0 482:1.0 486:6.0 488:11.0 498:4.0</t>
  </si>
  <si>
    <t>408593</t>
  </si>
  <si>
    <t>408385</t>
  </si>
  <si>
    <t>85:240.0 86:52.0 88:21.0 89:2.0 93:80.0 95:46.0 97:121.0 99:908.0 100:517.0 101:231.0 102:167.0 104:23.0 108:50.0 109:21.0 111:29.0 113:98.0 114:29.0 115:1480.0 116:284.0 117:76.0 120:37.0 122:17.0 127:4.0 130:425.0 132:42.0 136:16.0 141:146.0 143:26.0 145:54.0 148:235.0 155:18.0 157:36.0 158:20.0 169:42.0 170:23.0 171:3996.0 172:693.0 173:259.0 175:3.0 177:4.0 181:5.0 185:43.0 186:85.0 187:32.0 188:78.0 189:35.0 219:23.0 221:4.0 230:960.0 231:199.0 232:97.0 257:51.0 267:5.0 275:8.0 282:4.0 284:163.0 285:17.0 286:5.0 287:104.0 289:9.0 291:8.0 299:17.0 300:59.0 302:36.0 309:10.0 314:9.0 326:18.0 337:1.0 345:16.0 348:3.0 354:6.0 357:18.0 372:6.0 375:34.0 409:3.0 410:11.0 427:1.0 433:5.0 438:6.0 446:5.0 450:15.0 451:13.0 467:1.0 473:8.0 482:15.0 483:5.0 484:6.0 488:19.0 495:2.0 497:8.0</t>
  </si>
  <si>
    <t>408504</t>
  </si>
  <si>
    <t>848671</t>
  </si>
  <si>
    <t>85:40.0 86:294.0 91:22.0 95:232.0 98:150.0 99:52.0 100:562.0 102:76.0 107:164.0 108:15.0 109:11.0 110:41.0 112:36.0 113:84.0 114:154.0 115:585.0 116:161.0 117:20.0 122:33.0 124:136.0 125:168.0 126:242.0 129:153.0 131:88.0 132:157.0 139:190.0 140:81.0 141:340.0 142:10838.0 143:1415.0 144:592.0 146:83.0 147:868.0 148:462.0 149:313.0 152:66.0 154:90.0 156:554.0 157:75.0 167:66.0 168:742.0 169:520.0 170:212.0 174:23.0 175:12.0 178:4.0 182:117.0 183:17.0 184:1332.0 185:171.0 186:61.0 197:1.0 208:8.0 209:36.0 210:25.0 215:8.0 216:32.0 230:39.0 240:169.0 241:139.0 242:2.0 243:799.0 244:197.0 245:75.0 249:6.0 255:37.0 256:1217.0 257:218.0 258:167.0 259:2.0 268:22.0 270:2.0 287:5.0 294:2.0 299:40.0 311:35.0 313:25.0 354:30.0 366:20.0 382:110.0 383:4.0 426:4.0</t>
  </si>
  <si>
    <t>408490</t>
  </si>
  <si>
    <t>968624</t>
  </si>
  <si>
    <t>185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</si>
  <si>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</si>
  <si>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404736</t>
  </si>
  <si>
    <t>255866</t>
  </si>
  <si>
    <t>85:61.0 86:347.0 87:771.0 88:368.0 89:37.0 91:37.0 93:97.0 100:221.0 101:254.0 102:14725.0 103:2538.0 104:770.0 105:408.0 106:34.0 107:143.0 108:1.0 109:59.0 111:2.0 114:105.0 117:154.0 119:26.0 122:1.0 123:4.0 124:20.0 125:4.0 130:202.0 132:252.0 133:120.0 134:27.0 137:425.0 138:22.0 139:489.0 140:60.0 141:2.0 147:3665.0 148:753.0 149:164.0 150:69.0 153:1.0 158:6.0 163:54.0 165:1.0 167:551.0 168:30.0 169:494.0 170:16.0 175:1.0 176:623.0 177:51.0 178:9.0 204:640.0 205:25.0 206:22.0 209:31.0 210:2.0 219:1.0 264:2.0 267:4.0 269:28.0 275:11.0 317:2.0 340:1.0 344:4.0 355:4.0 356:1.0 357:7.0 365:5.0 379:16.0 386:8.0 397:5.0 411:5.0 437:3.0 451:15.0 464:2.0 475:7.0 492:4.0</t>
  </si>
  <si>
    <t>3-phosphoglycerate</t>
  </si>
  <si>
    <t>609618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</si>
  <si>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</si>
  <si>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3-phenyllactic acid</t>
  </si>
  <si>
    <t>516416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</si>
  <si>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</si>
  <si>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3-hydroxypropionic acid</t>
  </si>
  <si>
    <t>269559</t>
  </si>
  <si>
    <t>87:277.0 90:65.0 93:10.0 94:10.0 98:62.0 100:5.0 101:462.0 102:52.0 105:17.0 107:58.0 110:19.0 113:1.0 116:366.0 121:3.0 122:20.0 125:29.0 129:92.0 130:108.0 140:89.0 146:28.0 147:6230.0 148:971.0 149:461.0 169:36.0 177:1596.0 178:145.0 179:77.0 184:13.0 203:1.0 219:798.0 232:6.0 233:2.0 267:11.0 317:3.0 345:9.0 404:2.0 431:2.0 453:2.0 456:7.0</t>
  </si>
  <si>
    <t>398950</t>
  </si>
  <si>
    <t>729998</t>
  </si>
  <si>
    <t>442</t>
  </si>
  <si>
    <t>85:1795.0 86:3180.0 87:1428.0 88:287.0 89:83.0 90:120.0 94:119.0 98:1437.0 99:2314.0 100:18381.0 101:2011.0 102:1604.0 103:1481.0 105:875.0 110:567.0 111:888.0 112:692.0 113:1005.0 114:1313.0 115:1300.0 116:919.0 117:3705.0 118:491.0 119:928.0 120:72.0 121:177.0 122:63.0 123:85.0 125:937.0 126:427.0 127:1118.0 128:467.0 129:1149.0 130:2164.0 131:10236.0 132:2367.0 133:4836.0 134:794.0 135:238.0 136:11.0 137:159.0 138:123.0 139:380.0 140:521.0 141:2257.0 142:923.0 143:643.0 144:937.0 145:480.0 146:466.0 147:39309.0 148:6931.0 149:2490.0 150:454.0 151:526.0 152:335.0 153:546.0 155:524.0 156:913.0 157:1218.0 158:4153.0 159:1051.0 160:1722.0 161:117.0 164:215.0 165:92.0 167:532.0 168:646.0 169:884.0 170:420.0 171:4567.0 172:4977.0 173:817.0 174:3072.0 175:757.0 176:377.0 177:192.0 178:103.0 179:175.0 180:89.0 181:647.0 182:965.0 183:935.0 184:539.0 185:797.0 186:599.0 187:364.0 188:1000.0 189:125.0 190:282.0 191:682.0 193:146.0 194:28.0 195:742.0 196:394.0 197:468.0 198:642.0 199:2223.0 200:572.0 201:547.0 202:70.0 203:336.0 204:881.0 205:377.0 206:345.0 207:396.0 208:578.0 210:370.0 211:496.0 212:284.0 213:386.0 214:298.0 215:406.0 216:472.0 217:844.0 220:139.0 221:552.0 222:239.0 223:398.0 224:827.0 225:60.0 226:435.0 227:83.0 228:331.0 229:130.0 231:359.0 232:74.0 233:90.0 234:75.0 235:153.0 236:42.0 237:87.0 238:388.0 239:9.0 240:347.0 241:212.0 242:98.0 244:63.0 245:1056.0 246:181.0 247:142.0 248:34.0 249:31.0 251:185.0 252:911.0 253:301.0 254:442.0 255:523.0 256:270.0 258:68.0 262:113.0 264:2.0 265:301.0 266:781.0 267:378.0 268:480.0 269:493.0 270:337.0 271:151.0 272:120.0 273:3.0 274:96.0 275:19.0 276:103.0 277:33.0 278:142.0 279:826.0 280:258.0 281:363.0 282:115.0 283:177.0 284:183.0 285:222.0 289:78.0 291:153.0 292:86.0 293:252.0 294:437.0 295:472.0 296:338.0 297:246.0 298:103.0 300:128.0 304:254.0 306:457.0 308:284.0 309:499.0 310:509.0 311:386.0 312:372.0 313:10.0 314:255.0 315:196.0 316:14.0 317:35.0 318:433.0 319:209.0 321:34.0 323:288.0 324:204.0 325:599.0 326:1974.0 327:800.0 328:1242.0 329:502.0 330:211.0 334:68.0 335:8.0 336:95.0 338:102.0 339:177.0 340:217.0 341:422.0 342:265.0 343:212.0 345:53.0 346:92.0 351:1171.0 352:631.0 353:2587.0 354:1015.0 355:566.0 356:266.0 359:16.0 361:56.0 362:73.0 363:42.0 364:70.0 365:51.0 366:1291.0 367:7818.0 368:4022.0 369:2072.0 370:1046.0 371:152.0 372:26.0 373:57.0 374:331.0 376:10.0 377:198.0 378:97.0 380:266.0 381:456.0 382:11085.0 383:4924.0 384:2629.0 385:1193.0 386:81.0 387:62.0 391:36.0 392:123.0 394:70.0 398:28.0 400:8.0 401:43.0 402:9.0 404:124.0 406:45.0 407:71.0 408:58.0 410:133.0 411:77.0 412:222.0 413:252.0 414:17.0 415:87.0 416:2.0 417:141.0 419:187.0 421:23.0 422:31.0 423:70.0 424:175.0 425:713.0 426:469.0 427:58.0 429:50.0 432:86.0 435:123.0 436:33.0 437:49.0 438:90.0 439:259.0 440:2673.0 441:28012.0 442:16087.0 443:7571.0 444:2943.0 445:1062.0 446:328.0 447:116.0 448:69.0 449:225.0 450:358.0 451:89.0 452:197.0 453:140.0 454:62.0 455:3090.0 456:20627.0 457:11032.0 458:5206.0 459:2033.0 460:515.0 461:269.0 464:30.0 485:2.0</t>
  </si>
  <si>
    <t>140</t>
  </si>
  <si>
    <t>228</t>
  </si>
  <si>
    <t>379862</t>
  </si>
  <si>
    <t>538900</t>
  </si>
  <si>
    <t>291</t>
  </si>
  <si>
    <t>85:136.0 86:890.0 87:12.0 89:902.0 90:676.0 91:3995.0 92:629.0 93:186.0 99:87.0 100:5898.0 101:4799.0 102:2202.0 103:1490.0 104:364.0 107:1406.0 110:347.0 112:105.0 113:28.0 114:63.0 117:3229.0 119:289.0 120:948.0 121:1.0 128:1160.0 129:1962.0 130:3874.0 131:904.0 132:606.0 133:1392.0 134:2325.0 142:2678.0 143:1282.0 144:498.0 145:245.0 146:671.0 147:13431.0 148:585.0 149:655.0 156:115.0 157:14.0 160:295.0 162:66.0 163:252.0 174:234.0 176:58.0 189:699.0 190:226.0 202:69.0 203:561.0 204:1322.0 205:120.0 206:50.0 215:653.0 216:311.0 217:1228.0 218:7290.0 219:2245.0 220:380.0 221:120.0 222:6.0 223:81.0 230:3.0 231:944.0 232:101.0 233:3.0 244:22.0 245:254.0 246:948.0 247:200.0 248:1078.0 249:188.0 259:421.0 260:105.0 266:12.0 276:37.0 291:2320.0 292:592.0 293:308.0 294:65.0 322:56.0 364:44.0 465:2.0</t>
  </si>
  <si>
    <t>374786</t>
  </si>
  <si>
    <t>678641</t>
  </si>
  <si>
    <t>85:450.0 86:66.0 87:2218.0 88:237.0 89:1422.0 90:319.0 91:629.0 94:293.0 95:86.0 97:613.0 98:4035.0 99:650.0 100:171.0 101:2356.0 102:409.0 103:10831.0 104:801.0 105:458.0 108:135.0 109:293.0 110:1577.0 111:552.0 112:59.0 113:477.0 114:252.0 115:732.0 116:1042.0 117:6463.0 118:1054.0 119:1294.0 120:38.0 122:115.0 124:6.0 127:7.0 128:67.0 129:7652.0 130:769.0 131:3071.0 132:852.0 133:6118.0 134:1117.0 135:406.0 136:17.0 138:36.0 140:842.0 141:344.0 142:342.0 143:4277.0 144:912.0 145:686.0 146:330.0 147:16781.0 148:2478.0 149:1911.0 150:157.0 151:158.0 152:16.0 153:153.0 154:55.0 155:2181.0 156:329.0 157:1762.0 158:154.0 159:691.0 161:433.0 162:36.0 163:81.0 167:86.0 168:114.0 169:1335.0 170:538.0 171:265.0 172:20.0 173:166.0 174:78.0 175:487.0 177:201.0 178:36.0 180:116.0 182:147.0 183:51.0 184:403.0 186:61.0 187:158.0 188:129.0 189:5756.0 190:1784.0 191:26226.0 192:5030.0 193:2047.0 194:134.0 195:104.0 197:204.0 198:119.0 199:287.0 200:245.0 201:501.0 202:132.0 203:1405.0 204:52407.0 205:12119.0 206:4700.0 207:407.0 209:1.0 211:71.0 212:169.0 213:129.0 214:12.0 215:253.0 217:10339.0 218:2714.0 219:1343.0 220:182.0 221:246.0 222:248.0 224:21.0 227:120.0 228:93.0 229:424.0 230:322.0 231:1363.0 232:626.0 233:197.0 235:72.0 238:115.0 239:39.0 241:86.0 242:177.0 243:860.0 244:198.0 245:212.0 246:55.0 247:163.0 248:11.0 252:139.0 255:4.0 256:24.0 257:168.0 258:7.0 259:368.0 260:91.0 261:57.0 262:52.0 263:131.0 266:137.0 268:142.0 269:55.0 270:60.0 271:448.0 272:71.0 273:266.0 274:123.0 275:76.0 277:101.0 278:122.0 279:125.0 280:24.0 287:90.0 288:958.0 289:137.0 290:170.0 291:652.0 292:810.0 293:325.0 294:67.0 296:1.0 297:15.0 300:51.0 301:175.0 302:53.0 303:76.0 304:32.0 305:820.0 306:245.0 307:363.0 308:51.0 313:3.0 314:55.0 315:43.0 316:139.0 317:471.0 318:188.0 319:1007.0 320:154.0 321:121.0 324:14.0 330:16.0 331:156.0 332:233.0 333:829.0 334:276.0 335:157.0 336:33.0 337:73.0 339:13.0 341:1.0 342:129.0 345:323.0 346:171.0 347:98.0 349:9.0 350:3.0 353:29.0 357:54.0 359:62.0 361:228.0 362:67.0 365:30.0 372:1.0 374:25.0 376:50.0 377:24.0 379:152.0 380:43.0 389:5.0 391:13.0 393:119.0 394:13.0 395:59.0 400:311.0 401:95.0 402:39.0 405:28.0 407:8.0 418:1.0 420:3.0 421:16.0 422:12.0 424:24.0 425:2.0 427:11.0 433:77.0 434:14.0 435:396.0 436:164.0 437:111.0 438:8.0 439:15.0 440:4.0 443:23.0 450:5.0 453:21.0 462:25.0 468:21.0 470:6.0</t>
  </si>
  <si>
    <t>369728</t>
  </si>
  <si>
    <t>600172</t>
  </si>
  <si>
    <t>85:123.0 86:66.0 87:76.0 90:71.0 98:12.0 100:643.0 101:1206.0 102:394.0 103:1893.0 105:4.0 110:15.0 113:76.0 114:92.0 115:429.0 116:903.0 117:463.0 119:64.0 121:197.0 128:41.0 129:454.0 130:672.0 131:701.0 132:84.0 133:2964.0 134:253.0 135:769.0 136:22.0 137:335.0 139:35.0 142:208.0 143:1444.0 144:226.0 145:1.0 146:309.0 147:4498.0 148:325.0 149:794.0 150:139.0 151:109.0 154:11.0 155:295.0 156:840.0 157:93.0 158:53.0 160:13.0 165:15.0 166:37.0 167:12.0 169:14.0 172:13.0 174:147.0 177:58.0 179:1.0 181:512.0 182:29.0 183:179.0 185:21.0 188:19.0 189:354.0 191:390.0 193:304.0 195:390.0 196:54.0 197:53.0 203:34.0 204:336.0 205:21.0 207:580.0 208:19.0 209:22.0 210:2.0 211:2670.0 212:363.0 213:294.0 214:45.0 215:32.0 216:9.0 217:2268.0 218:992.0 219:287.0 220:115.0 221:14.0 225:459.0 226:26.0 227:361.0 230:97.0 231:84.0 232:79.0 238:18.0 243:124.0 245:121.0 247:6.0 252:121.0 253:54.0 254:54.0 255:86.0 256:19.0 269:162.0 270:20.0 273:39.0 281:30.0 283:38.0 285:593.0 286:140.0 287:99.0 291:5.0 292:82.0 293:20.0 298:488.0 299:3386.0 300:1130.0 301:509.0 302:75.0 309:5.0 314:33.0 315:1567.0 316:284.0 317:264.0 318:9.0 319:24.0 330:3.0 334:9.0 341:160.0 342:60.0 343:42.0 345:3.0 357:65.0 358:19.0 361:1.0 368:48.0 369:1375.0 370:403.0 371:292.0 372:39.0 373:63.0 374:19.0 384:15.0 386:107.0 387:874.0 388:341.0 389:244.0 390:2.0 391:16.0 415:9.0 416:74.0 417:54.0 418:23.0 431:25.0 432:4.0 434:50.0 436:1.0 444:180.0 445:20.0 449:11.0 450:1.0 451:2.0 458:79.0 459:861.0 460:390.0 461:180.0</t>
  </si>
  <si>
    <t>369638</t>
  </si>
  <si>
    <t>644843</t>
  </si>
  <si>
    <t>86:92.0 89:698.0 95:264.0 96:629.0 100:191.0 101:58.0 103:174.0 104:98.0 109:139.0 113:13.0 116:137.0 117:423.0 125:7.0 129:372.0 130:144.0 135:35.0 136:82.0 137:142.0 138:47.0 140:4.0 143:150.0 149:308.0 151:34.0 153:2029.0 154:531.0 155:160.0 156:125.0 157:938.0 158:133.0 159:5.0 166:30.0 167:76.0 168:295.0 169:15.0 172:54.0 173:1157.0 174:443.0 180:138.0 181:11.0 183:43.0 184:111.0 194:25.0 196:26.0 199:26.0 204:239.0 218:123.0 220:51.0 227:117.0 239:30.0 244:20.0 245:138.0 246:87.0 254:39.0 258:72.0 260:32.0 262:7.0 265:17.0 267:35.0 271:6.0 274:79.0 276:11.0 277:60.0 278:2677.0 279:512.0 280:142.0 283:24.0 284:4.0 285:2.0 292:29.0 299:33.0 303:92.0 307:76.0 308:21.0 310:17.0 312:2.0 314:19.0 316:152.0 317:41.0 326:7.0 330:17.0 336:7.0 364:26.0 367:10.0 373:1.0 380:249.0 381:13.0 382:33.0 395:59.0 396:20.0 398:4.0 427:15.0 471:4.0 474:2.0 500:5.0</t>
  </si>
  <si>
    <t>367932</t>
  </si>
  <si>
    <t>380080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</si>
  <si>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</si>
  <si>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367905</t>
  </si>
  <si>
    <t>663715</t>
  </si>
  <si>
    <t>85:2348.0 86:3547.0 87:54.0 90:316.0 92:486.0 93:154.0 94:463.0 95:54.0 96:628.0 97:28.0 98:2643.0 99:903.0 100:17525.0 101:3329.0 102:823.0 103:2040.0 104:144.0 105:129.0 107:543.0 108:286.0 110:325.0 111:1505.0 112:3820.0 113:683.0 114:707.0 116:1014.0 117:7701.0 119:687.0 120:273.0 123:544.0 124:659.0 125:984.0 126:3122.0 128:1373.0 129:2891.0 131:2344.0 132:6601.0 133:2555.0 135:140.0 136:11.0 137:242.0 138:436.0 139:1312.0 140:322.0 141:979.0 142:137.0 144:545.0 145:1146.0 146:183.0 147:10465.0 148:832.0 149:1.0 150:739.0 151:266.0 152:475.0 153:7047.0 154:268852.0 155:57937.0 156:18008.0 157:2639.0 158:895.0 160:244.0 162:138.0 163:287.0 164:11.0 165:311.0 166:4156.0 167:1486.0 168:372.0 169:205.0 170:86.0 171:96.0 172:213.0 173:111.0 174:4165.0 175:815.0 176:72.0 178:26.0 179:3.0 180:397.0 181:398.0 182:2431.0 183:1166.0 186:354.0 188:47.0 189:474.0 192:20.0 194:86.0 197:133.0 201:288.0 202:617.0 203:376.0 205:369.0 206:239.0 208:26.0 211:648.0 212:209.0 213:240.0 214:237.0 215:115.0 217:362.0 218:13322.0 219:2200.0 220:839.0 222:48.0 223:118.0 224:234.0 225:466.0 226:3717.0 227:1051.0 228:888.0 229:520.0 230:1321.0 233:45.0 234:53.0 236:56.0 237:286.0 238:8653.0 239:2429.0 240:864.0 241:508.0 242:27.0 243:54.0 244:7.0 247:66.0 248:40.0 252:186.0 253:121.0 254:46427.0 255:11001.0 256:4638.0 257:3279.0 258:730.0 259:172.0 265:35.0 266:2305.0 267:515.0 268:141.0 269:92.0 270:11.0 273:112.0 274:61.0 276:104.0 278:13.0 280:46.0 282:156.0 284:73.0 285:38.0 286:48.0 288:42.0 291:48.0 296:5.0 298:48.0 299:1018.0 300:139.0 301:48.0 312:1.0 314:166.0 318:33.0 319:669.0 320:49.0 321:88.0 328:1213.0 329:327.0 330:359.0 331:88.0 333:21.0 335:5.0 338:433.0 339:176.0 340:82.0 349:2.0 356:4222.0 357:1585.0 358:782.0 360:1.0 362:22.0 363:167.0 369:1.0 371:934.0 372:418.0 373:173.0 374:17.0 386:2.0 394:3.0 405:3.0 408:2.0 412:2.0 419:17.0 425:1.0 427:1.0 432:2.0 441:2.0 445:1.0 466:25.0 469:1.0 471:3.0 480:2.0 485:1.0 487:1.0</t>
  </si>
  <si>
    <t>186</t>
  </si>
  <si>
    <t>362036</t>
  </si>
  <si>
    <t>400863</t>
  </si>
  <si>
    <t>85:1.0 87:22.0 92:41.0 100:624.0 101:174.0 102:85.0 103:20.0 105:29.0 106:52.0 107:86.0 108:24.0 109:3.0 110:78.0 112:2.0 114:115.0 115:35.0 116:3.0 117:6.0 118:93.0 119:52.0 125:6.0 126:62.0 127:247.0 128:16.0 129:41.0 130:699.0 131:52.0 133:54.0 134:505.0 135:5.0 136:2.0 137:6.0 143:1.0 144:5148.0 145:448.0 146:238.0 148:62.0 149:1.0 152:47.0 158:4.0 159:25.0 163:6.0 171:14.0 173:11.0 174:4.0 175:9.0 180:15.0 181:9.0 183:88.0 184:110.0 189:1.0 190:3.0 191:19.0 196:1.0 199:16.0 211:37.0 216:5.0 218:34.0 224:18.0 227:20.0 245:49.0 246:19.0 263:16.0 264:12.0 271:6.0 284:2.0 288:3.0 290:18.0 299:51.0 300:14.0 301:29.0 310:1.0 357:9.0 374:10.0 392:9.0 393:3.0 412:4.0 447:10.0 475:9.0</t>
  </si>
  <si>
    <t>211</t>
  </si>
  <si>
    <t>362023</t>
  </si>
  <si>
    <t>783611</t>
  </si>
  <si>
    <t>85:297.0 86:175.0 87:222.0 88:30.0 89:12.0 90:10.0 94:57.0 97:5.0 98:74.0 99:23.0 100:589.0 101:1385.0 102:554.0 103:71.0 104:162.0 105:3.0 111:132.0 112:183.0 113:79.0 114:451.0 115:187.0 116:261.0 117:1851.0 118:307.0 120:2.0 121:7.0 123:41.0 128:1503.0 129:1777.0 130:1225.0 131:318.0 132:270.0 133:397.0 134:63.0 138:1.0 140:132.0 141:191.0 142:332.0 143:28.0 145:217.0 146:169.0 147:1808.0 148:101.0 149:149.0 151:32.0 154:8.0 155:122.0 156:122.0 157:556.0 158:291.0 159:193.0 163:6.0 167:43.0 168:49.0 169:182.0 170:87.0 171:64.0 172:83.0 173:75.0 174:66.0 175:113.0 177:15.0 181:24.0 182:10.0 183:30.0 186:151.0 190:3.0 191:214.0 192:129.0 195:84.0 197:61.0 199:11.0 200:18.0 201:86.0 202:487.0 203:262.0 204:101.0 205:75.0 206:41.0 208:11.0 209:1.0 210:63.0 211:334.0 212:74.0 213:80.0 214:25.0 215:30.0 217:524.0 218:9394.0 219:2169.0 220:985.0 221:143.0 222:60.0 223:29.0 224:26.0 225:71.0 226:1.0 230:136.0 231:28.0 232:44.0 238:57.0 239:304.0 240:2.0 242:2.0 243:41.0 244:84.0 246:43.0 249:24.0 250:7.0 251:7.0 254:22.0 255:47.0 256:11.0 257:6.0 258:86.0 259:26.0 261:94.0 265:13.0 267:45.0 268:24.0 272:55.0 273:43.0 274:601.0 275:277.0 276:98.0 277:6.0 278:5.0 282:2.0 283:24.0 284:42.0 285:79.0 286:55.0 287:7.0 288:33.0 290:56.0 292:290.0 293:39.0 295:7.0 299:42.0 300:1.0 301:48.0 308:66.0 310:36.0 313:44.0 314:46.0 315:53.0 316:7.0 317:4.0 322:1.0 324:10.0 328:14.0 329:95.0 330:152.0 331:3.0 334:1.0 336:20.0 337:7.0 339:45.0 341:101.0 342:3.0 344:9.0 348:61.0 352:9.0 357:53.0 358:4.0 361:34.0 362:6.0 363:1.0 365:1.0 366:43.0 370:1.0 372:11.0 374:1.0 375:1.0 376:7.0 377:4.0 380:27.0 387:32.0 388:1.0 391:4.0 398:29.0 400:1.0 404:7.0 405:74.0 406:54.0 412:3.0 415:2.0 417:1.0 418:14.0 419:465.0 420:719.0 421:427.0 422:133.0 423:19.0 429:5.0 430:1.0 432:21.0 434:4.0 435:21.0 437:2.0 443:7.0 448:14.0 450:27.0 453:5.0 461:1.0 464:16.0 468:20.0 471:59.0 473:10.0 487:1.0 489:26.0 492:49.0 493:31.0 494:21.0</t>
  </si>
  <si>
    <t>362010</t>
  </si>
  <si>
    <t>778295</t>
  </si>
  <si>
    <t>85:635.0 86:2222.0 87:214.0 88:508.0 89:440.0 90:92.0 94:38.0 95:40.0 97:142.0 98:180.0 99:313.0 100:2564.0 101:1020.0 102:1206.0 103:387.0 106:87.0 107:30.0 110:162.0 111:122.0 112:232.0 113:155.0 114:923.0 115:832.0 116:15403.0 117:1911.0 118:794.0 120:34.0 123:22.0 124:32.0 125:84.0 126:107.0 128:598.0 129:2519.0 130:578.0 131:380.0 132:2315.0 133:1103.0 134:249.0 135:45.0 137:11.0 139:175.0 140:370.0 141:260.0 142:608.0 143:390.0 144:399.0 145:89.0 147:770.0 148:334.0 149:565.0 150:43.0 151:3.0 152:12.0 153:76.0 154:33.0 155:139.0 156:1206.0 157:608.0 158:19697.0 159:3305.0 160:1603.0 161:229.0 162:58.0 163:24.0 167:190.0 168:100.0 169:208.0 170:313.0 171:14.0 172:190.0 173:61.0 174:636.0 175:138.0 176:35.0 177:57.0 179:69.0 180:26.0 181:26.0 183:56.0 184:112.0 185:10.0 186:143.0 187:56.0 188:738.0 189:131.0 190:187.0 191:71.0 193:112.0 194:9.0 195:82.0 196:29.0 197:196.0 198:65.0 199:87.0 200:140.0 201:83.0 202:150.0 203:677.0 204:15346.0 205:3037.0 206:1934.0 207:62.0 208:156.0 209:6.0 210:6.0 211:203.0 212:119.0 213:41.0 214:164.0 216:765.0 217:232.0 218:72.0 220:19.0 221:18.0 224:33.0 225:78.0 227:16.0 229:75.0 230:236.0 231:82.0 232:104.0 233:10.0 234:11.0 236:27.0 239:267.0 240:31.0 241:55.0 242:90.0 243:78.0 244:41.0 245:55.0 247:44.0 252:1.0 253:22.0 255:13.0 256:34.0 257:104.0 258:106.0 259:33.0 260:65.0 261:2.0 262:4.0 269:23.0 270:23.0 271:6.0 273:101.0 274:316.0 275:234.0 276:156.0 277:46.0 278:8.0 279:20.0 282:10.0 285:36.0 286:75.0 287:124.0 288:16.0 290:2.0 291:1.0 299:93.0 300:49.0 301:102.0 302:40.0 304:27.0 306:2.0 310:14.0 311:103.0 312:5.0 313:60.0 315:32.0 316:11.0 317:17.0 318:25.0 323:8.0 324:69.0 325:42.0 326:35.0 327:37.0 328:35.0 329:219.0 330:67.0 337:31.0 341:9.0 343:7.0 345:6.0 346:8.0 347:36.0 348:12.0 349:8.0 353:7.0 354:10.0 355:13.0 357:40.0 359:35.0 361:8.0 362:4.0 372:3.0 373:27.0 376:41.0 377:7.0 382:25.0 385:25.0 387:10.0 390:56.0 392:34.0 397:3.0 400:21.0 401:2.0 402:5.0 417:45.0 418:88.0 419:568.0 420:214.0 421:94.0 422:19.0 423:6.0 427:7.0 434:1.0 435:1.0 442:23.0 446:19.0 461:285.0 462:67.0 469:8.0 472:33.0 473:2.0 489:4.0 492:15.0 494:18.0 496:4.0</t>
  </si>
  <si>
    <t>360205</t>
  </si>
  <si>
    <t>597501</t>
  </si>
  <si>
    <t>85:5339.0 86:366.0 87:3888.0 88:5042.0 89:99300.0 90:8285.0 91:5450.0 92:422.0 93:271.0 94:337.0 95:1692.0 96:145.0 97:2076.0 98:1023.0 99:8145.0 100:580.0 101:15454.0 102:5167.0 103:160445.0 104:15729.0 105:10846.0 106:650.0 107:710.0 108:212.0 109:3491.0 110:305.0 111:6926.0 112:1072.0 113:11359.0 114:1585.0 115:7376.0 116:7990.0 117:31260.0 118:3521.0 119:13175.0 120:1116.0 121:794.0 122:96.0 123:162.0 124:154.0 125:1244.0 126:586.0 127:11832.0 128:1333.0 129:62081.0 130:8743.0 131:31512.0 132:4517.0 133:98823.0 134:12116.0 135:7735.0 136:745.0 137:510.0 138:80.0 139:876.0 140:2671.0 141:6063.0 142:6149.0 143:28467.0 144:4054.0 145:6203.0 146:2642.0 147:138117.0 148:20664.0 149:21559.0 150:2753.0 151:2016.0 152:324.0 153:1309.0 154:282.0 155:3320.0 156:334.0 157:18037.0 158:3011.0 159:44480.0 160:6089.0 161:9048.0 162:1178.0 163:10989.0 164:1962.0 165:1301.0 166:245.0 167:439.0 168:149.0 169:28021.0 170:4616.0 171:5422.0 172:867.0 173:3936.0 174:188.0 175:3209.0 176:506.0 177:6866.0 178:1110.0 179:685.0 180:230.0 181:504.0 182:381.0 183:2753.0 184:275.0 185:13152.0 186:1897.0 187:6682.0 188:987.0 189:17818.0 190:3483.0 191:12473.0 192:2151.0 193:1434.0 194:214.0 195:131.0 196:110.0 197:502.0 198:267.0 199:34177.0 200:5560.0 201:5574.0 202:1164.0 203:3684.0 204:4816.0 205:4132.0 206:1027.0 207:2992.0 208:511.0 209:370.0 210:81.0 211:70.0 212:66.0 213:1914.0 214:469.0 215:15265.0 216:4021.0 217:370989.0 218:81612.0 219:42139.0 220:7331.0 221:3613.0 222:1190.0 223:117.0 224:327.0 226:199.0 227:312.0 228:305.0 229:9143.0 230:18505.0 231:8537.0 232:3058.0 233:9028.0 234:2356.0 235:12583.0 236:2606.0 237:1067.0 238:252.0 239:366.0 240:74.0 241:237.0 242:145.0 243:4646.0 244:1181.0 245:6029.0 246:1691.0 247:5926.0 248:1998.0 249:1104.0 250:250.0 251:108.0 252:99.0 254:74.0 255:4798.0 256:1245.0 257:114900.0 258:28180.0 259:13417.0 260:3034.0 261:2218.0 262:641.0 263:3240.0 264:733.0 265:564.0 266:66.0 267:40.0 269:21.0 270:283.0 271:5203.0 272:2018.0 273:6638.0 274:1934.0 275:1737.0 276:585.0 277:553.0 278:367.0 279:275.0 280:186.0 281:80.0 285:76.0 286:11.0 287:6275.0 288:1712.0 289:36272.0 290:9689.0 291:4896.0 292:2383.0 293:630.0 294:264.0 295:102.0 297:26.0 299:30.0 301:145.0 302:43.0 303:1325.0 304:401.0 305:935.0 306:595.0 307:431.0 308:139.0 311:13.0 314:28.0 317:683.0 318:372.0 319:1052.0 320:641.0 321:541.0 322:109.0 323:118.0 324:32.0 325:76.0 326:30.0 327:79.0 328:74.0 329:23.0 330:71.0 331:330.0 332:276.0 333:456.0 334:230.0 335:337.0 336:136.0 337:57.0 338:112.0 339:92.0 340:80.0 341:12.0 342:7.0 343:91.0 344:77.0 345:1966.0 346:678.0 347:1268.0 348:456.0 349:340.0 350:97.0 351:135.0 352:76.0 353:35.0 354:50.0 356:13.0 357:36.0 358:1.0 360:51.0 361:5137.0 362:1948.0 363:864.0 364:192.0 365:115.0 376:12.0 377:1011.0 378:865.0 379:32503.0 380:12034.0 381:5825.0 382:1337.0 383:416.0 384:58.0 385:53.0 386:13.0 387:17.0 391:26.0 393:1002.0 394:380.0 395:148.0 398:22.0 404:1.0 407:9.0 416:1.0 417:5.0 418:12.0 423:11.0 435:26.0 436:24.0 443:24.0 449:7.0 450:381.0 451:180.0 452:107.0 454:31.0 459:4.0 465:13.0 486:34.0 498:12.0</t>
  </si>
  <si>
    <t>359713</t>
  </si>
  <si>
    <t>731359</t>
  </si>
  <si>
    <t>86:171.0 93:8.0 100:33.0 101:10.0 116:93.0 126:28.0 128:19.0 129:478.0 136:26.0 140:60.0 141:26.0 142:85.0 143:81.0 147:85.0 155:5.0 156:4581.0 157:786.0 158:793.0 159:5.0 160:15.0 161:14.0 168:24.0 171:15.0 173:3.0 181:11.0 184:19.0 188:86.0 195:6.0 199:10.0 208:7.0 211:106.0 216:14.0 217:231.0 218:66.0 227:30.0 245:2.0 246:8.0 247:27.0 251:20.0 262:6.0 269:119.0 270:34.0 277:9.0 289:35.0 290:219.0 291:79.0 292:5.0 299:238.0 300:40.0 301:7.0 314:30.0 315:357.0 316:87.0 317:45.0 325:13.0 330:31.0 331:1.0 350:2.0 357:41.0 360:5.0 371:33.0 388:14.0 395:20.0 417:17.0 426:3.0 435:4.0</t>
  </si>
  <si>
    <t>359697</t>
  </si>
  <si>
    <t>759397</t>
  </si>
  <si>
    <t>85:5.0 86:517.0 87:31.0 90:3.0 97:12.0 98:20.0 99:131.0 100:516.0 102:248.0 106:17.0 112:12.0 113:12.0 116:346.0 117:60.0 118:11.0 122:3.0 125:3.0 127:6.0 128:127.0 129:228.0 130:30.0 133:262.0 135:4.0 139:28.0 140:107.0 141:199.0 142:160.0 144:91.0 145:1.0 147:223.0 148:3.0 151:3.0 152:2.0 154:117.0 155:159.0 156:5346.0 157:1154.0 158:661.0 159:17.0 165:2.0 167:12.0 168:67.0 169:80.0 170:4.0 171:24.0 172:84.0 173:15.0 174:3042.0 175:533.0 176:614.0 177:4.0 179:1.0 181:137.0 182:49.0 183:115.0 184:4.0 188:34.0 192:4.0 193:39.0 194:40.0 195:101.0 196:146.0 197:30.0 202:26.0 203:25.0 207:50.0 208:2.0 209:488.0 210:108.0 211:251.0 212:93.0 213:3.0 214:28.0 215:1.0 216:41.0 217:157.0 218:199.0 223:17.0 224:14.0 225:323.0 226:123.0 227:20.0 229:66.0 230:5.0 231:69.0 232:25.0 233:2.0 236:33.0 237:46.0 239:139.0 240:65.0 242:23.0 243:42.0 244:17.0 245:94.0 247:1.0 253:14.0 255:24.0 256:24.0 259:39.0 261:1.0 265:873.0 266:209.0 267:9.0 268:29.0 269:1.0 270:1.0 272:1.0 273:24.0 274:21.0 275:31.0 277:12.0 278:1.0 280:235.0 281:37.0 283:81.0 284:91.0 285:62.0 287:9.0 291:10.0 296:2.0 297:54.0 299:125.0 300:143.0 301:29.0 302:29.0 305:37.0 306:13.0 307:1.0 308:14.0 310:78.0 311:30.0 312:7.0 314:21.0 315:162.0 316:39.0 317:26.0 321:2.0 324:4.0 331:1.0 332:7.0 336:5.0 338:1.0 342:32.0 343:8.0 347:1.0 350:1.0 353:1.0 356:44.0 371:15.0 372:6.0 373:4.0 374:12.0 375:30.0 385:3.0 386:2.0 395:1.0 398:31.0 401:2.0 402:24.0 413:2.0 417:125.0 419:24.0 427:4.0 430:1.0 435:11.0 437:1.0 446:5.0 447:5.0 449:1.0 451:3.0 459:1.0 463:104.0 464:111.0 465:17.0 469:9.0 472:26.0 473:1.0 477:1.0 498:1.0</t>
  </si>
  <si>
    <t>359687</t>
  </si>
  <si>
    <t>920316</t>
  </si>
  <si>
    <t>86:2075.0 88:52.0 90:3.0 91:116.0 100:764.0 101:99.0 102:318.0 113:61.0 114:65.0 117:17.0 118:51.0 130:87.0 142:177.0 144:20.0 145:21.0 146:251.0 151:79.0 154:14.0 156:147.0 158:154.0 159:9.0 161:12.0 163:125.0 165:11.0 166:9.0 167:10.0 172:151.0 174:8282.0 175:1576.0 176:1261.0 177:472.0 178:92.0 179:1226.0 180:43.0 181:13.0 185:40.0 187:74.0 190:27.0 191:12.0 192:48.0 193:1.0 201:5.0 202:138.0 205:78.0 214:51.0 217:122.0 218:57.0 219:110.0 220:68.0 226:1.0 234:58.0 236:11.0 239:3.0 241:8.0 249:10.0 251:22.0 255:49.0 256:14.0 264:39.0 273:1.0 276:34.0 281:35.0 283:2.0 285:17.0 293:167.0 294:22.0 301:36.0 305:21.0 307:17.0 308:932.0 309:197.0 310:87.0 311:18.0 314:2.0 315:1.0 325:17.0 327:21.0 328:12.0 342:8.0 347:30.0 357:19.0 374:4.0 393:2.0 409:3.0 429:9.0 432:1.0 499:1.0</t>
  </si>
  <si>
    <t>359567</t>
  </si>
  <si>
    <t>876296</t>
  </si>
  <si>
    <t>89:5.0 91:376.0 96:47.0 100:2.0 101:68.0 103:49.0 104:109.0 105:6.0 116:206.0 120:3.0 124:16.0 131:30.0 140:67.0 141:3.0 142:42.0 147:427.0 154:27.0 155:168.0 156:5930.0 157:1425.0 158:1287.0 159:89.0 166:51.0 169:17.0 170:44.0 171:49.0 177:48.0 181:18.0 182:36.0 183:49.0 184:11.0 188:37.0 192:5.0 194:35.0 196:9.0 207:30.0 208:52.0 211:6.0 212:19.0 213:2.0 214:12.0 215:120.0 217:30.0 219:55.0 220:9.0 222:45.0 224:14.0 231:47.0 233:26.0 236:23.0 239:8.0 240:2.0 243:106.0 244:80.0 249:49.0 254:52.0 263:7.0 271:9.0 281:16.0 290:14.0 296:14.0 297:29.0 298:1.0 299:275.0 300:51.0 301:21.0 303:234.0 304:31.0 305:17.0 306:5.0 309:2.0 310:6.0 315:30.0 329:38.0 332:3.0 336:5.0 347:1.0 357:10.0 358:38.0 371:4.0 372:20.0 373:1.0 375:4.0 383:4.0 387:12.0 389:2.0 405:135.0 406:9.0 415:14.0 420:45.0 421:25.0 422:16.0 424:10.0 447:5.0 466:1.0</t>
  </si>
  <si>
    <t>359513</t>
  </si>
  <si>
    <t>678220</t>
  </si>
  <si>
    <t>86:245.0 89:3.0 93:13.0 100:173.0 102:97.0 107:72.0 110:43.0 114:26.0 116:1405.0 118:113.0 128:3.0 129:12.0 130:15.0 131:29.0 134:85.0 140:82.0 142:74.0 144:75.0 147:134.0 156:4082.0 157:709.0 158:1743.0 159:221.0 160:28.0 169:5.0 172:34.0 173:14.0 176:28.0 182:13.0 183:9.0 184:122.0 191:1.0 197:9.0 204:61.0 211:48.0 216:7.0 227:145.0 232:70.0 234:27.0 239:7.0 246:39.0 247:3.0 248:5.0 258:4.0 275:16.0 277:3.0 296:64.0 299:56.0 300:9.0 301:38.0 329:79.0 330:25.0 367:22.0 382:1.0 404:22.0 408:9.0 412:4.0 419:3.0 422:3.0 425:1.0 474:4.0 494:13.0</t>
  </si>
  <si>
    <t>359486</t>
  </si>
  <si>
    <t>755645</t>
  </si>
  <si>
    <t>85:240.0 86:493.0 89:226.0 91:1.0 96:29.0 97:215.0 98:117.0 99:13.0 100:360.0 102:91.0 103:242.0 114:150.0 116:360.0 124:66.0 128:348.0 129:796.0 130:525.0 131:53.0 132:101.0 138:104.0 139:57.0 140:156.0 141:5.0 142:112.0 143:263.0 144:8652.0 145:1141.0 146:1305.0 147:235.0 149:18.0 152:41.0 153:36.0 154:23.0 155:46.0 156:356.0 157:256.0 158:12.0 167:3.0 168:41.0 169:47.0 170:100.0 172:44.0 174:29.0 183:10.0 186:272.0 193:34.0 197:11.0 201:87.0 202:40.0 203:143.0 206:7.0 207:1.0 209:4.0 212:93.0 213:3.0 214:17.0 215:46.0 217:276.0 218:68.0 219:10.0 220:17.0 223:57.0 225:2.0 229:19.0 230:120.0 231:135.0 239:31.0 240:27.0 241:18.0 242:29.0 243:35.0 245:52.0 248:1.0 249:5.0 251:22.0 255:23.0 257:58.0 259:6.0 261:2.0 264:1.0 266:4.0 269:1.0 272:9.0 273:1.0 275:4.0 276:2.0 287:17.0 292:4.0 300:4.0 304:2.0 305:5.0 308:8.0 315:12.0 326:23.0 327:50.0 328:13.0 329:49.0 331:9.0 332:6.0 360:3.0 361:3.0 364:3.0 412:12.0 419:24.0 447:27.0 458:2.0</t>
  </si>
  <si>
    <t>359483</t>
  </si>
  <si>
    <t>720102</t>
  </si>
  <si>
    <t>85:118.0 86:402.0 88:60.0 90:35.0 95:32.0 98:2.0 100:765.0 101:216.0 103:95.0 108:49.0 110:18.0 112:45.0 113:107.0 114:203.0 115:43.0 116:16110.0 117:1817.0 118:1715.0 119:104.0 122:12.0 128:343.0 129:664.0 130:206.0 131:324.0 132:133.0 135:13.0 137:73.0 139:35.0 140:120.0 142:98.0 143:107.0 144:73.0 147:805.0 149:338.0 150:7.0 152:19.0 154:69.0 155:84.0 156:239.0 157:128.0 158:267.0 159:164.0 168:56.0 169:48.0 170:109.0 171:20.0 173:1144.0 174:162.0 175:40.0 183:84.0 184:210.0 185:34.0 186:167.0 187:43.0 189:82.0 190:9.0 194:50.0 196:28.0 197:15.0 200:11.0 202:70.0 203:11.0 204:15.0 211:79.0 212:12.0 213:14.0 214:51.0 215:8.0 217:201.0 218:254.0 220:11.0 221:45.0 224:2.0 227:96.0 230:127.0 231:9.0 233:272.0 234:74.0 235:1.0 238:9.0 239:10.0 240:16.0 242:6.0 243:36.0 244:7.0 245:25.0 246:94.0 247:24.0 249:20.0 256:22.0 258:119.0 259:59.0 265:1.0 267:9.0 271:15.0 274:40.0 276:105.0 277:36.0 281:32.0 283:41.0 286:68.0 288:28.0 290:3.0 293:1.0 295:4.0 297:44.0 298:4.0 299:24.0 300:73.0 301:53.0 303:28.0 305:71.0 307:48.0 310:4.0 311:2.0 314:21.0 316:22.0 317:9.0 318:5.0 319:57.0 330:24.0 331:9.0 332:22.0 333:4.0 341:22.0 346:15.0 348:11.0 355:48.0 381:13.0 391:9.0 392:21.0 394:5.0 399:2.0 410:4.0 416:3.0 419:108.0 420:52.0 421:46.0 424:7.0 425:1.0 447:2.0 458:11.0 459:39.0 474:12.0 476:10.0 477:23.0 482:1.0 492:16.0</t>
  </si>
  <si>
    <t>357162</t>
  </si>
  <si>
    <t>356498</t>
  </si>
  <si>
    <t>85:192.0 87:373.0 88:80.0 89:1626.0 91:42.0 93:955.0 94:614.0 98:708.0 100:3772.0 101:1989.0 102:92.0 103:2850.0 104:76.0 105:252.0 107:380.0 110:2885.0 111:224.0 112:39.0 113:155.0 114:370.0 115:1001.0 116:6726.0 117:15384.0 118:1881.0 119:76.0 121:842.0 122:221.0 123:63.0 124:17.0 125:1.0 126:250.0 127:3837.0 128:267.0 129:2021.0 130:11370.0 132:14.0 135:4009.0 136:1.0 137:3557.0 138:59.0 139:2.0 140:16.0 141:66.0 142:193.0 143:1107.0 144:423.0 145:206.0 146:358.0 147:7943.0 148:1473.0 149:1059.0 151:134.0 152:198.0 154:3.0 155:566.0 156:658.0 157:133.0 158:40.0 160:633.0 161:694.0 162:57.0 163:277.0 164:40.0 167:240.0 169:174.0 170:283.0 171:4295.0 175:139.0 176:40.0 179:1448.0 181:4587.0 182:3.0 183:352.0 184:751.0 187:3.0 189:63.0 190:79.0 193:349.0 194:908.0 195:1872.0 199:154.0 204:906.0 205:2191.0 206:73.0 207:4610.0 208:656.0 209:880.0 210:321.0 211:13356.0 212:1937.0 216:250.0 217:914.0 218:189.0 219:759.0 220:105.0 221:530.0 223:59.0 225:3732.0 226:665.0 227:867.0 230:3.0 232:64.0 233:72.0 234:30.0 239:5.0 240:7.0 241:48.0 245:631.0 246:342.0 247:40.0 253:141.0 254:68.0 255:210.0 256:26.0 261:2.0 262:31.0 263:33.0 267:212.0 268:96.0 269:581.0 270:61.0 272:14.0 278:12.0 282:10.0 283:4884.0 284:1183.0 285:1002.0 286:194.0 287:56.0 297:24.0 298:1260.0 299:59087.0 300:14980.0 301:8337.0 302:1373.0 303:635.0 304:14.0 305:50.0 306:49.0 309:23.0 310:11.0 311:38.0 312:7.0 313:263.0 314:9469.0 315:2871.0 316:1272.0 317:226.0 318:45.0 328:4.0 329:2.0 341:6.0 343:41.0 344:15.0 349:11.0 358:10.0 359:2.0 361:23.0 362:49.0 363:28.0 364:27.0 372:27.0 373:391.0 375:16.0 377:13.0 378:22.0 379:2.0 393:22.0 395:15.0 396:14.0 401:38.0 408:1.0 410:5.0 412:5.0 416:21.0 417:9.0 419:1.0 426:9.0 447:2.0 451:9.0 456:9.0 468:19.0 472:14.0 474:8.0 475:3.0 483:21.0 484:2.0 485:8.0 496:11.0 498:5.0 500:6.0</t>
  </si>
  <si>
    <t>357010</t>
  </si>
  <si>
    <t>877637</t>
  </si>
  <si>
    <t>85:268.0 86:5352.0 87:128.0 93:6.0 95:38.0 97:83.0 99:5.0 100:364.0 103:55.0 106:102.0 112:70.0 113:8.0 114:32.0 117:176.0 123:4.0 124:18.0 125:4.0 131:250.0 133:276.0 134:101.0 141:33.0 145:64.0 149:108.0 155:48.0 156:20.0 157:25.0 163:3.0 165:15.0 167:15.0 183:8.0 187:94.0 202:12.0 209:12.0 211:28.0 219:14.0 224:23.0 225:27.0 229:9.0 252:7.0 292:1.0 297:9.0 314:10.0 327:2.0 335:4.0 339:36.0 396:8.0 418:5.0 454:4.0</t>
  </si>
  <si>
    <t>356938</t>
  </si>
  <si>
    <t>895137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</si>
  <si>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</si>
  <si>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356925</t>
  </si>
  <si>
    <t>648085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</si>
  <si>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</si>
  <si>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354038</t>
  </si>
  <si>
    <t>319018</t>
  </si>
  <si>
    <t>91:59.0 93:49.0 100:45.0 104:86.0 109:71.0 118:312.0 119:13.0 120:192.0 126:31.0 127:296.0 130:159.0 134:30.0 144:25.0 146:7.0 149:69.0 150:22.0 158:4.0 176:24.0 178:2194.0 179:310.0 180:19.0 184:25.0 193:379.0 194:15.0 247:18.0 492:2.0</t>
  </si>
  <si>
    <t>352980</t>
  </si>
  <si>
    <t>795269</t>
  </si>
  <si>
    <t>290</t>
  </si>
  <si>
    <t>86:57.0 89:530.0 97:4.0 99:31.0 101:166.0 102:36.0 103:958.0 104:104.0 111:1.0 113:3.0 115:8.0 117:508.0 119:1.0 125:7.0 126:59.0 127:1.0 129:266.0 130:270.0 133:1563.0 134:58.0 140:69.0 141:33.0 142:51.0 143:70.0 147:1599.0 151:25.0 154:23.0 156:381.0 157:422.0 158:12.0 160:13.0 163:2.0 170:32.0 172:185.0 173:1.0 182:2.0 185:1.0 186:99.0 189:116.0 190:145.0 191:16.0 192:36.0 200:84.0 203:12.0 204:352.0 205:602.0 206:171.0 214:97.0 215:28.0 216:1.0 217:633.0 218:47.0 219:45.0 224:16.0 228:5.0 229:87.0 230:35.0 232:10.0 233:1.0 234:58.0 240:28.0 244:24.0 246:259.0 247:49.0 249:30.0 250:65.0 255:4.0 257:14.0 259:18.0 261:40.0 262:1.0 265:1.0 271:12.0 273:39.0 277:5.0 288:23.0 290:1689.0 291:401.0 292:169.0 293:106.0 305:63.0 306:22.0 307:25.0 312:15.0 315:1.0 316:6.0 318:1.0 319:643.0 320:112.0 321:114.0 331:6.0 340:13.0 341:64.0 342:3.0 345:1.0 349:4.0 358:27.0 363:19.0 364:44.0 386:5.0 391:5.0 392:65.0 404:72.0 405:28.0 406:27.0 420:6.0 426:10.0 447:8.0 491:10.0 492:1.0</t>
  </si>
  <si>
    <t>352812</t>
  </si>
  <si>
    <t>743646</t>
  </si>
  <si>
    <t>85:448.0 86:19.0 88:227.0 89:3286.0 90:360.0 92:10.0 94:42.0 97:130.0 98:117.0 99:215.0 100:450.0 101:752.0 102:163.0 103:9120.0 104:768.0 105:1091.0 106:26.0 110:173.0 112:13.0 113:209.0 114:2299.0 115:557.0 116:305.0 117:4583.0 118:468.0 119:385.0 124:435.0 125:68.0 128:102.0 129:5619.0 130:961.0 131:1115.0 132:112.0 133:2942.0 134:727.0 135:229.0 140:48.0 141:113.0 142:391.0 143:638.0 144:142.0 145:199.0 146:45.0 147:13163.0 148:1732.0 149:1464.0 150:44.0 151:31.0 152:55.0 153:1.0 154:177.0 155:73.0 156:118.0 157:4565.0 158:985.0 159:286.0 160:25.0 161:92.0 162:36.0 163:473.0 164:52.0 166:29.0 169:257.0 170:373.0 171:137.0 172:410.0 173:534.0 174:319.0 175:251.0 176:35.0 177:94.0 178:27.0 179:31.0 180:40.0 181:79.0 182:70.0 183:40.0 185:35.0 186:10.0 187:14.0 188:72.0 189:1364.0 190:344.0 191:629.0 192:129.0 193:40.0 196:13.0 198:155.0 199:28.0 200:25.0 201:215.0 202:288.0 203:157.0 204:1279.0 205:8140.0 206:1862.0 207:970.0 208:97.0 209:13.0 211:5.0 212:10.0 213:62.0 214:79.0 215:96.0 216:169.0 217:4912.0 218:1203.0 219:323.0 220:102.0 221:346.0 222:99.0 224:10.0 226:35.0 228:60.0 229:1195.0 230:448.0 231:472.0 232:112.0 233:53.0 234:10.0 235:37.0 236:15.0 239:64.0 240:90.0 241:68.0 242:74.0 243:62.0 244:128.0 246:79.0 247:81.0 248:72.0 249:17.0 251:33.0 252:16.0 253:49.0 255:20.0 256:81.0 257:2.0 258:60.0 259:55.0 260:71.0 261:44.0 262:1977.0 263:362.0 264:259.0 265:1.0 266:5.0 268:33.0 270:23.0 273:11.0 274:7.0 275:3.0 277:229.0 278:78.0 279:82.0 284:3.0 288:158.0 289:53.0 290:21.0 291:385.0 292:99.0 293:33.0 295:51.0 297:3.0 298:8.0 300:49.0 301:27.0 302:66.0 303:9.0 304:75.0 305:346.0 306:86.0 307:266.0 308:57.0 309:90.0 310:14.0 312:13.0 314:13.0 315:12.0 318:100.0 319:7907.0 320:2778.0 321:1488.0 322:276.0 323:58.0 324:29.0 325:64.0 326:17.0 327:42.0 329:52.0 331:54.0 332:48.0 333:118.0 334:57.0 335:25.0 336:186.0 337:34.0 338:8.0 340:36.0 341:24.0 343:38.0 345:9.0 346:6.0 347:95.0 348:21.0 350:14.0 351:11.0 353:50.0 354:89.0 355:31.0 357:3.0 358:31.0 359:6.0 360:20.0 362:14.0 364:29.0 365:30.0 366:35.0 367:72.0 368:87.0 370:6.0 372:55.0 373:25.0 374:4.0 376:117.0 377:15.0 378:19.0 379:32.0 382:2.0 383:9.0 384:11.0 386:14.0 387:11.0 389:3.0 390:79.0 392:3.0 393:14.0 396:39.0 397:12.0 400:1.0 402:24.0 403:30.0 404:33.0 407:10.0 408:2.0 412:11.0 415:8.0 417:13.0 418:4.0 420:20.0 422:24.0 424:22.0 425:9.0 426:16.0 429:2.0 432:17.0 433:14.0 434:11.0 435:38.0 437:31.0 440:32.0 442:7.0 445:13.0 446:14.0 448:2.0 452:27.0 453:4.0 454:10.0 456:21.0 457:8.0 458:23.0 459:37.0 460:83.0 462:44.0 463:7.0 466:36.0 467:56.0 468:29.0 470:37.0 474:33.0 475:56.0 476:25.0 477:16.0 478:41.0 479:4.0 481:9.0 482:23.0 484:25.0 485:29.0 487:17.0 491:20.0 492:28.0 493:1.0 494:28.0 495:39.0 498:30.0 499:39.0</t>
  </si>
  <si>
    <t>319899</t>
  </si>
  <si>
    <t>85:58.0 88:217.0 89:49.0 91:8.0 94:37.0 96:145.0 97:47.0 98:30.0 100:1141.0 101:6.0 102:93.0 103:436.0 104:62.0 106:2.0 107:526.0 111:34.0 112:87.0 113:18.0 114:7.0 115:286.0 116:128.0 117:231.0 118:148.0 121:9.0 122:1.0 125:5.0 128:58.0 129:1027.0 130:573.0 133:61.0 134:267.0 135:3.0 136:39.0 139:22.0 143:303.0 144:124.0 147:1427.0 149:421.0 151:1.0 152:98.0 156:6503.0 157:858.0 158:2639.0 159:131.0 160:23.0 161:3.0 162:1.0 163:23.0 169:62.0 171:1.0 172:64.0 173:9.0 174:652.0 175:73.0 177:477.0 178:2.0 184:818.0 186:457.0 189:3.0 190:2.0 191:2.0 193:847.0 194:105.0 201:1.0 203:13.0 205:303.0 206:23.0 219:37.0 225:5.0 227:25.0 231:12.0 232:42.0 233:119.0 234:1.0 240:16.0 247:424.0 248:44.0 255:146.0 256:22.0 278:1.0 318:20.0 340:2.0 446:3.0 452:3.0</t>
  </si>
  <si>
    <t>330609</t>
  </si>
  <si>
    <t>475526</t>
  </si>
  <si>
    <t>85:372.0 86:495.0 87:839.0 88:97.0 89:2335.0 90:218.0 91:515.0 92:120.0 95:461.0 97:161.0 98:68.0 99:2118.0 100:1119.0 101:15163.0 102:945.0 103:22841.0 104:2006.0 105:952.0 107:181.0 108:124.0 109:27.0 110:1861.0 111:2122.0 113:1314.0 114:701.0 115:498.0 116:10842.0 117:4923.0 118:151.0 119:425.0 120:435.0 121:117.0 122:2648.0 123:84.0 124:20.0 125:2.0 126:51.0 127:609.0 128:304.0 129:31403.0 130:4292.0 131:8191.0 132:1224.0 133:8681.0 134:1513.0 135:1169.0 137:52.0 138:39.0 141:1223.0 142:499.0 143:4182.0 144:549.0 145:621.0 146:49.0 147:25383.0 148:2689.0 149:4423.0 150:639.0 151:462.0 152:17.0 153:8.0 154:33.0 155:1256.0 156:804.0 160:56.0 161:204.0 163:422.0 164:15.0 165:148.0 166:57.0 169:1236.0 170:7368.0 171:3021.0 172:3303.0 173:680.0 174:1301.0 175:516.0 176:1167.0 177:3722.0 178:609.0 179:440.0 181:92.0 184:201.0 185:301.0 186:280.0 187:2.0 188:45.0 189:2280.0 190:567.0 191:4105.0 192:879.0 193:208.0 195:5.0 196:130.0 197:62.0 198:7.0 201:195.0 202:109.0 203:1502.0 204:2513.0 205:435.0 206:204.0 207:446.0 208:945.0 209:405.0 210:66.0 211:5.0 212:92.0 215:159.0 216:89.0 217:31815.0 218:8102.0 219:4266.0 220:553.0 221:45.0 222:34.0 223:1236.0 224:299.0 225:105.0 227:30.0 228:99.0 230:57.0 234:20.0 237:15.0 238:38.0 239:63.0 240:68.0 241:6.0 243:259.0 244:47.0 245:423.0 246:42.0 247:1456.0 248:303.0 249:35.0 251:34.0 252:25.0 253:121.0 254:5.0 255:54.0 258:14.0 260:232.0 261:793.0 262:78.0 263:52.0 264:54.0 267:46.0 268:74.0 269:146.0 270:10.0 271:4.0 277:59.0 278:15.0 280:3.0 282:31.0 283:33.0 284:225.0 286:19.0 288:2.0 304:1.0 305:2.0 306:158.0 307:61.0 309:8.0 311:147.0 312:22.0 313:7.0 315:6.0 325:22.0 326:86.0 328:10.0 329:266.0 332:7.0 333:6.0 335:96.0 349:90.0 353:3.0 358:1.0 366:14.0 367:18.0 368:34.0 369:143.0 370:25.0 387:2.0 388:1.0 398:2.0 403:67.0 418:62.0 419:18.0 421:9.0 422:2.0 423:3.0 433:1.0 434:1.0 435:2.0 436:2.0 440:1.0 452:2.0 467:8.0 469:1.0 477:10.0 492:1.0 494:1.0 500:4.0</t>
  </si>
  <si>
    <t>314770</t>
  </si>
  <si>
    <t>700265</t>
  </si>
  <si>
    <t>85:107.0 86:452.0 89:2406.0 91:183.0 93:9.0 94:148.0 98:232.0 99:231.0 100:1912.0 101:452.0 102:611.0 103:2032.0 105:49.0 108:294.0 109:114.0 112:2.0 113:241.0 114:93.0 116:174.0 117:884.0 118:33.0 124:2.0 128:64.0 129:2126.0 130:259.0 131:117.0 132:627.0 133:1240.0 134:330.0 135:161.0 136:33.0 137:30.0 142:60.0 143:680.0 144:7.0 145:359.0 146:291.0 147:2187.0 148:1166.0 149:475.0 150:64.0 152:1.0 153:11.0 154:22.0 155:1.0 157:791.0 158:207.0 161:20.0 162:26.0 169:352.0 170:45.0 172:225.0 173:57.0 182:22.0 183:28.0 187:84.0 189:1166.0 190:225.0 191:240.0 193:153.0 195:89.0 196:54.0 197:214.0 198:17.0 200:54.0 202:82.0 203:89.0 204:12382.0 205:3186.0 206:1346.0 207:3.0 209:43.0 217:2686.0 218:743.0 219:506.0 220:2441.0 222:188.0 223:29.0 227:4.0 229:51.0 230:13.0 231:128.0 233:368.0 234:80.0 235:42.0 237:6.0 239:56.0 241:54.0 242:10.0 243:139.0 244:11.0 245:62.0 247:21.0 255:2.0 259:81.0 261:20.0 262:9.0 265:104.0 269:62.0 271:96.0 273:2.0 287:4.0 292:14.0 293:3.0 296:4.0 304:16.0 305:37.0 306:26.0 307:132.0 309:58.0 313:3.0 318:33.0 319:1639.0 320:480.0 321:131.0 322:2.0 329:3.0 330:17.0 331:6.0 333:11.0 338:6.0 341:40.0 344:15.0 350:12.0 352:17.0 355:2.0 357:151.0 361:8.0 364:24.0 382:6.0 388:4.0 391:22.0 395:7.0 398:25.0 403:10.0 404:4.0 406:52.0 407:11.0 410:3.0 415:4.0 416:26.0 418:59.0 422:5.0 427:5.0 428:5.0 431:27.0 438:1.0 440:1.0 441:6.0 450:5.0 452:8.0 458:6.0 460:4.0 474:15.0 478:4.0 479:43.0 481:23.0 482:4.0 484:3.0 491:3.0 495:2.0 497:3.0 498:2.0 500:8.0</t>
  </si>
  <si>
    <t>312139</t>
  </si>
  <si>
    <t>742841</t>
  </si>
  <si>
    <t>85:253.0 86:998.0 89:20.0 94:39.0 95:46.0 98:350.0 99:501.0 100:59.0 102:354.0 107:141.0 110:250.0 112:360.0 113:27.0 115:76.0 116:949.0 117:1379.0 118:191.0 123:106.0 129:613.0 135:214.0 136:17.0 139:51.0 140:1135.0 141:405.0 142:671.0 143:1012.0 144:502.0 145:169.0 152:20.0 154:387.0 155:536.0 156:46742.0 157:8414.0 158:7150.0 159:986.0 161:57.0 162:25.0 167:194.0 168:79.0 169:104.0 170:116.0 171:301.0 172:97.0 173:82.0 174:338.0 183:179.0 186:100.0 196:1.0 197:84.0 198:67.0 199:25.0 200:83.0 201:69.0 202:49.0 203:15.0 204:571.0 206:16.0 212:32.0 213:13.0 214:83.0 218:45.0 219:66.0 220:3.0 225:81.0 226:12.0 229:121.0 230:98.0 231:150.0 232:6.0 234:13.0 243:47.0 245:120.0 246:82.0 247:3.0 253:45.0 259:47.0 261:30.0 263:51.0 264:22.0 266:43.0 269:2586.0 270:539.0 271:136.0 272:1.0 273:57.0 274:22.0 283:22.0 285:72.0 286:12.0 287:12.0 288:146.0 289:28.0 291:10.0 296:45.0 299:7.0 301:32.0 302:5.0 304:50.0 305:422.0 306:113.0 307:64.0 308:77.0 310:56.0 311:54.0 312:2.0 313:1.0 317:35.0 318:16.0 319:78.0 320:49.0 326:4.0 331:176.0 338:7.0 341:94.0 342:88.0 344:18.0 345:213.0 346:114.0 349:6.0 351:7.0 352:711.0 353:322.0 354:102.0 357:13.0 362:27.0 363:5.0 365:1.0 368:49.0 369:52.0 370:5.0 371:542.0 372:118.0 373:254.0 383:9.0 386:125.0 387:93.0 388:43.0 391:10.0 392:23.0 395:18.0 397:20.0 399:2.0 402:3.0 403:65.0 405:7.0 406:2.0 407:12.0 408:4.0 411:5.0 412:25.0 414:25.0 416:13.0 418:1.0 421:6.0 423:5.0 426:10.0 428:21.0 433:29.0 435:92.0 436:47.0 437:50.0 445:20.0 447:5.0 448:44.0 449:4.0 453:30.0 454:3.0 456:4.0 457:1.0 458:7.0 459:22.0 461:1.0 463:75.0 464:39.0 465:7.0 467:10.0 477:25.0 495:27.0</t>
  </si>
  <si>
    <t>310006</t>
  </si>
  <si>
    <t>422523</t>
  </si>
  <si>
    <t>219</t>
  </si>
  <si>
    <t>85:401.0 87:154.0 88:117.0 92:23.0 94:8.0 99:270.0 100:67.0 101:2071.0 102:474.0 103:37562.0 104:3393.0 105:1516.0 106:13.0 107:117.0 108:1.0 111:8.0 112:21.0 113:143.0 114:55.0 115:897.0 116:124.0 117:1664.0 118:30.0 119:490.0 125:91.0 126:7.0 127:287.0 128:5.0 129:6983.0 130:1849.0 131:2267.0 132:194.0 133:3635.0 134:1225.0 135:256.0 140:278.0 141:120.0 142:2.0 143:1643.0 144:232.0 145:338.0 147:12538.0 148:1019.0 149:2088.0 150:18.0 151:11.0 153:121.0 157:145.0 158:14.0 159:142.0 163:86.0 171:3.0 174:5.0 175:296.0 177:907.0 178:140.0 179:44.0 184:383.0 185:23.0 188:1.0 189:647.0 190:361.0 191:177.0 199:24.0 200:1.0 203:1080.0 204:243.0 205:88.0 206:11.0 209:2.0 211:49.0 215:1287.0 216:194.0 217:2116.0 218:454.0 219:7281.0 220:2345.0 221:1057.0 222:175.0 223:57.0 227:36.0 229:45.0 230:438.0 231:266.0 232:13.0 233:107.0 235:25.0 236:10.0 237:19.0 239:262.0 240:38.0 241:47.0 246:71.0 254:180.0 259:8.0 262:1.0 263:48.0 270:2.0 272:8.0 278:5.0 291:209.0 292:34.0 293:156.0 294:12.0 309:1.0 311:3.0 321:434.0 322:89.0 323:41.0 330:1.0 332:1.0 339:13.0 343:5.0 347:16.0 357:5.0 362:1.0 387:1.0 391:7.0 412:6.0 413:4.0 449:19.0 469:10.0 499:6.0</t>
  </si>
  <si>
    <t>309703</t>
  </si>
  <si>
    <t>424647</t>
  </si>
  <si>
    <t>85:1677.0 86:15343.0 87:967.0 89:4156.0 90:975.0 91:909.0 92:135.0 93:111.0 95:3168.0 96:900.0 97:520.0 98:910.0 99:1766.0 100:21031.0 101:3030.0 102:1151.0 106:15.0 107:820.0 110:195.0 111:2421.0 112:1833.0 113:329.0 114:779.0 116:1442.0 117:1955.0 118:153.0 120:27.0 123:83.0 124:183.0 126:331.0 127:234.0 128:1477.0 129:1929.0 130:1637.0 131:1368.0 134:425.0 135:117.0 136:257.0 137:27.0 139:371.0 140:3487.0 141:2393.0 142:3586.0 143:1907.0 144:424.0 145:2238.0 146:299.0 151:300.0 153:1088.0 154:1.0 156:115.0 157:1248.0 158:2649.0 159:2100.0 160:313.0 161:2.0 162:33.0 165:553.0 166:44.0 167:105.0 168:14.0 169:89.0 170:14.0 171:544.0 172:2050.0 173:403.0 174:13183.0 175:2097.0 176:912.0 180:158.0 181:1160.0 182:166.0 183:4.0 184:371.0 185:2680.0 186:652.0 187:1045.0 188:191.0 190:267.0 194:71.0 195:205.0 196:6222.0 197:976.0 198:185.0 199:543.0 200:289.0 201:307.0 202:1.0 203:17.0 205:54.0 206:34.0 207:5.0 208:27.0 209:71.0 210:152.0 211:1971.0 212:187.0 213:876.0 214:196.0 223:189.0 224:64.0 226:1013.0 227:238.0 228:73.0 229:10.0 233:6.0 234:19.0 235:12.0 236:10.0 238:14.0 239:2354.0 240:267.0 241:1.0 242:88.0 243:839.0 244:319.0 245:113.0 247:27.0 249:17.0 250:8.0 252:11.0 254:1512.0 255:376.0 258:158.0 259:104.0 260:61.0 261:176.0 262:21.0 263:2.0 264:11.0 266:1.0 272:11.0 273:2.0 274:25.0 275:6.0 276:2.0 277:4.0 279:9.0 282:6.0 284:4.0 285:3.0 286:9.0 290:95.0 291:39.0 293:54.0 295:16.0 300:4.0 303:1.0 305:7.0 306:3.0 315:1.0 321:14.0 323:14.0 327:42.0 340:8.0 341:7.0 344:6.0 349:25.0 357:1.0 370:6.0 372:1.0 373:1.0 374:24.0 375:3.0 383:23.0 386:27.0 410:26.0 412:2.0 415:19.0 434:7.0 451:3.0 458:1.0 462:24.0 475:3.0 493:2.0</t>
  </si>
  <si>
    <t>309642</t>
  </si>
  <si>
    <t>227707</t>
  </si>
  <si>
    <t>173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</si>
  <si>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</si>
  <si>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308208</t>
  </si>
  <si>
    <t>684065</t>
  </si>
  <si>
    <t>311</t>
  </si>
  <si>
    <t>85:657.0 87:325.0 88:2.0 89:126.0 92:37.0 94:446.0 95:279.0 96:6.0 97:421.0 99:164.0 101:69.0 103:98.0 106:266.0 107:67.0 109:1243.0 110:99.0 111:51.0 112:77.0 114:324.0 116:9.0 117:479.0 118:33.0 122:70.0 123:353.0 124:3.0 125:4.0 128:265.0 129:934.0 130:27.0 132:31.0 133:1193.0 139:137.0 140:66.0 141:103.0 142:583.0 143:801.0 144:1.0 145:78.0 146:105.0 147:2382.0 148:261.0 150:123.0 151:330.0 152:89.0 153:45.0 154:655.0 155:46.0 156:1159.0 158:52.0 159:62.0 166:43.0 167:195.0 168:283.0 169:155.0 170:121.0 171:64.0 172:31.0 178:1.0 180:31.0 181:2.0 182:182.0 183:63.0 184:101.0 185:115.0 186:151.0 187:320.0 188:61.0 189:362.0 190:173.0 192:11.0 194:53.0 196:14.0 198:88.0 199:39.0 200:28.0 203:343.0 204:1395.0 205:60.0 208:3.0 209:90.0 211:82.0 212:434.0 213:31.0 214:105.0 215:202.0 216:154.0 217:3101.0 218:764.0 219:162.0 221:38.0 224:174.0 225:94.0 226:51.0 227:2.0 228:48.0 229:151.0 230:1049.0 231:191.0 232:376.0 233:804.0 234:142.0 235:91.0 236:9.0 237:68.0 238:31.0 239:267.0 240:8.0 241:888.0 242:272.0 243:78.0 244:71.0 246:57.0 251:46.0 252:58.0 253:50.0 254:45.0 255:296.0 256:52.0 257:283.0 258:36.0 259:82.0 265:45.0 268:36.0 269:735.0 270:59.0 271:270.0 272:60.0 274:23.0 275:51.0 276:17.0 279:45.0 281:53.0 282:58.0 283:202.0 284:82.0 285:121.0 287:10.0 290:12.0 295:16.0 296:68.0 297:338.0 298:20.0 299:24.0 300:5.0 301:35.0 303:3.0 304:2.0 305:30.0 309:23.0 310:41.0 311:5140.0 312:1234.0 313:482.0 314:219.0 315:42.0 316:55.0 323:21.0 324:8.0 326:57.0 329:74.0 339:126.0 340:54.0 343:52.0 344:1.0 345:5.0 348:24.0 349:5.0 350:3.0 353:52.0 354:16.0 363:25.0 367:9.0 368:34.0 373:2.0 375:5.0 376:16.0 383:38.0 384:132.0 385:70.0 386:55.0 389:8.0 393:26.0 399:3.0 400:100.0 401:3098.0 402:1201.0 403:574.0 404:128.0 405:161.0 406:16.0 415:80.0 416:15.0 418:10.0 419:4.0 420:1.0 427:12.0 428:44.0 429:24.0 441:6.0 443:305.0 444:90.0 445:73.0 446:13.0 449:5.0 451:2.0 456:32.0 457:55.0 462:1.0 465:1.0 476:2.0 488:1.0</t>
  </si>
  <si>
    <t>308198</t>
  </si>
  <si>
    <t>453238</t>
  </si>
  <si>
    <t>85:75.0 87:158.0 88:937.0 89:415.0 93:261.0 98:393.0 99:332.0 100:3668.0 101:1479.0 102:1161.0 103:258.0 107:336.0 109:21.0 110:458.0 112:44.0 113:356.0 114:1678.0 115:1859.0 116:9426.0 117:1833.0 118:1910.0 119:54.0 120:138.0 121:155.0 124:42.0 126:95.0 127:18.0 128:120.0 129:415.0 130:1117.0 131:1372.0 132:825.0 133:1871.0 134:123.0 136:28.0 139:44.0 140:57.0 141:183.0 143:29.0 144:287.0 146:283.0 147:7210.0 148:1115.0 149:587.0 156:34.0 158:166.0 159:425.0 160:298.0 164:187.0 165:219.0 167:80.0 169:46.0 170:215.0 171:245.0 175:72.0 177:3.0 178:57.0 179:132.0 181:95.0 183:111.0 184:293.0 199:41.0 200:180.0 202:167.0 203:193.0 204:23175.0 205:4965.0 206:2074.0 207:459.0 208:198.0 213:27.0 215:343.0 216:237.0 217:1137.0 225:13.0 226:143.0 227:56.0 228:100.0 230:45.0 232:74.0 233:13.0 240:100.0 246:86.0 248:1335.0 249:272.0 250:134.0 254:45.0 255:1921.0 256:602.0 257:303.0 258:88.0 259:17.0 260:8.0 261:75.0 263:355.0 264:55.0 265:24.0 271:39.0 273:29.0 278:238.0 279:37.0 280:32.0 281:391.0 282:107.0 283:90.0 284:4.0 287:14.0 288:75.0 289:14.0 298:16.0 300:14.0 301:815.0 302:181.0 303:152.0 304:514.0 305:566.0 306:89.0 307:68.0 308:16.0 320:56.0 321:16.0 335:2.0 338:11.0 351:23.0 353:12.0 355:188.0 375:6.0 378:28.0 397:3.0 482:4.0</t>
  </si>
  <si>
    <t>119</t>
  </si>
  <si>
    <t>302344</t>
  </si>
  <si>
    <t>642292</t>
  </si>
  <si>
    <t>85:2478.0 86:22051.0 87:2411.0 88:1123.0 89:75.0 90:102.0 91:327.0 92:2.0 93:61.0 94:196.0 95:478.0 96:452.0 98:2440.0 99:1737.0 100:14302.0 101:2051.0 102:3555.0 103:12602.0 104:1073.0 105:639.0 106:46.0 108:324.0 109:656.0 110:1134.0 111:22.0 112:451.0 113:796.0 114:1451.0 115:1914.0 116:2143.0 117:10418.0 118:963.0 119:633.0 120:233.0 122:4.0 123:165.0 124:723.0 126:3.0 127:13.0 128:1246.0 129:3444.0 130:3545.0 131:2020.0 132:460.0 133:871.0 134:839.0 135:360.0 136:129.0 137:90.0 138:113.0 140:102.0 141:174.0 142:1234.0 143:464.0 144:3497.0 145:1646.0 146:1473.0 151:205.0 152:93.0 154:661.0 155:334.0 156:1117.0 157:6290.0 158:2035.0 159:4227.0 160:1446.0 161:168.0 162:104.0 163:61.0 164:16.0 165:149.0 166:223.0 167:75.0 168:134.0 170:693.0 171:373.0 172:2131.0 173:442.0 174:53742.0 175:9285.0 176:4103.0 177:502.0 179:10.0 181:216.0 182:139.0 183:439.0 184:214.0 185:304.0 186:674.0 187:632.0 188:1464.0 193:51.0 195:59.0 196:23.0 198:102.0 199:149.0 200:626.0 201:5561.0 202:862.0 203:584.0 209:360.0 210:2.0 211:127.0 213:113.0 214:112.0 215:24.0 216:263.0 224:7.0 227:278.0 228:270.0 231:18.0 238:8.0 239:100.0 240:220.0 241:62.0 242:86.0 244:30.0 246:317.0 247:2602.0 248:629.0 249:124.0 250:27.0 254:6.0 255:764.0 256:568.0 257:174.0 258:22.0 259:74.0 260:178.0 261:706.0 262:247.0 263:16.0 267:23.0 268:35.0 270:83.0 272:309.0 273:186.0 274:157.0 275:147.0 276:43.0 281:11.0 283:105.0 284:10.0 285:217.0 286:115.0 287:113.0 288:20.0 290:32.0 291:4262.0 298:35.0 299:88.0 300:73.0 301:58.0 302:6.0 313:21.0 327:2.0 328:19.0 330:344.0 332:5.0 338:2.0 340:4.0 342:32.0 349:9.0 353:266.0 354:71.0 355:50.0 356:67.0 363:16.0 368:113.0 369:46.0 371:10.0 372:312.0 373:8195.0 374:3155.0 375:1394.0 376:491.0 377:122.0 378:5.0 380:2.0 382:61.0 383:21.0 387:51.0 388:118.0 389:29.0 390:12.0 392:5.0 397:4.0 411:6.0 420:427.0 421:115.0 460:11.0 461:5.0 468:1.0 470:4.0 474:13.0 475:2.0 479:15.0 482:2.0 485:1.0 487:12.0 496:2.0 498:1.0</t>
  </si>
  <si>
    <t>300865</t>
  </si>
  <si>
    <t>416458</t>
  </si>
  <si>
    <t>85:2339.0 86:4903.0 87:2536.0 88:3198.0 89:3107.0 90:1205.0 91:1873.0 92:1176.0 93:227.0 94:273.0 95:801.0 96:295.0 97:1647.0 98:917.0 99:7342.0 100:850.0 101:11575.0 102:1336.0 103:7060.0 104:1124.0 105:1313.0 106:338.0 107:1085.0 108:3271.0 109:466.0 110:35102.0 111:1712.0 112:1394.0 113:6147.0 114:927.0 115:2239.0 116:9196.0 117:1808.0 118:797.0 119:470.0 120:145.0 121:61.0 122:38.0 124:69.0 126:393.0 127:5946.0 128:7238.0 129:1483.0 131:1300.0 132:645.0 133:747.0 134:241.0 136:1623.0 137:147.0 138:38.0 140:615.0 141:125.0 143:2016.0 144:95.0 145:33570.0 146:3325.0 152:1430.0 153:834.0 154:161.0 155:180.0 156:56640.0 157:3134.0 158:441.0 159:4006.0 160:468.0 161:740.0 162:221.0 164:169.0 165:519.0 166:850.0 167:117.0 168:191.0 169:299.0 170:425.0 171:8.0 172:564.0 173:32.0 174:179.0 180:12056.0 181:961.0 182:863.0 183:96.0 184:1973.0 185:66.0 186:585.0 187:2163.0 188:184.0 195:16.0 196:924.0 197:315.0 198:14066.0 199:1593.0 200:1886.0 201:179.0 202:667.0 203:1448.0 206:10.0 211:13.0 213:524.0 214:152.0 226:966.0 227:177.0 228:72.0 230:1.0 234:5.0 239:18.0 243:13.0 254:832.0 255:74.0 256:203.0 257:72.0 258:10.0 260:57.0 265:3.0 270:208.0 271:96.0 277:6.0 286:132.0 287:28.0 373:67.0 403:6.0 416:15.0 472:10.0</t>
  </si>
  <si>
    <t>2-methylglyceric acid NIST</t>
  </si>
  <si>
    <t>372132</t>
  </si>
  <si>
    <t>85:18628.0 87:7876.0 88:4929.0 89:9992.0 90:1840.0 91:1863.0 92:492.0 93:629.0 94:501.0 95:20.0 96:2643.0 97:473.0 99:5589.0 101:27534.0 102:1171.0 103:140740.0 104:15787.0 105:13899.0 106:799.0 107:3828.0 108:105.0 109:198.0 110:4625.0 111:914.0 112:714.0 113:4484.0 115:62903.0 116:62008.0 117:30985.0 118:5880.0 119:16982.0 120:2395.0 121:1806.0 122:377.0 124:1690.0 125:133.0 127:2949.0 128:1365.0 129:214926.0 130:30858.0 131:190655.0 132:23647.0 133:172225.0 134:34339.0 135:17790.0 136:1891.0 137:588.0 139:350.0 140:530.0 141:1034.0 143:3017.0 144:2528.0 145:9075.0 146:1355.0 147:357861.0 148:55387.0 149:84229.0 150:11049.0 151:9794.0 152:1742.0 153:739.0 156:1407.0 157:2683.0 158:298.0 159:1741.0 161:973.0 162:602.0 163:66835.0 164:11412.0 165:5422.0 166:520.0 168:100.0 170:45.0 171:16.0 173:493.0 177:12755.0 178:1791.0 179:1181.0 181:62.0 182:24.0 184:1824.0 186:652.0 187:875.0 189:59778.0 190:12441.0 191:4499.0 195:257.0 196:16.0 197:6.0 198:1703.0 199:606.0 201:221.0 203:97975.0 204:18058.0 205:16177.0 206:2526.0 207:3255.0 208:1323.0 211:2209.0 212:236.0 213:298.0 214:185.0 215:542.0 216:294.0 217:1489.0 218:6217.0 219:233559.0 220:47732.0 221:28560.0 222:4594.0 223:1654.0 224:97.0 225:102.0 226:302.0 227:225.0 228:2240.0 229:530.0 230:392.0 231:14436.0 232:2749.0 233:63843.0 234:13156.0 235:5444.0 236:751.0 237:236.0 238:166.0 239:82.0 240:133.0 242:113.0 254:313.0 263:106.0 265:2734.0 266:658.0 267:266.0 268:7.0 269:77.0 270:14.0 272:9.0 277:1534.0 279:187.0 280:33.0 285:18.0 288:13.0 292:71.0 293:11679.0 294:3942.0 295:1906.0 296:461.0 298:129.0 300:194.0 303:17.0 304:25.0 305:386.0 306:14727.0 307:4088.0 308:2189.0 309:507.0 310:141.0 314:8.0 317:2.0 319:154.0 320:318.0 321:10649.0 322:3162.0 323:1694.0 324:145.0 325:48.0 336:243.0 337:5.0 341:9.0 342:12.0 343:40.0 345:3.0 355:5.0 361:1.0 400:1.0 401:17.0 429:12.0 475:1.0</t>
  </si>
  <si>
    <t>310629</t>
  </si>
  <si>
    <t>200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</si>
  <si>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</si>
  <si>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</si>
  <si>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506359</t>
  </si>
  <si>
    <t>85:1029.0 86:15.0 87:26.0 88:38.0 89:66.0 94:4.0 95:73.0 96:3.0 99:36.0 100:66.0 101:209.0 102:15.0 103:13.0 113:11.0 115:200.0 116:267.0 117:71.0 120:3.0 123:1.0 129:4161.0 130:483.0 131:419.0 132:27.0 133:817.0 134:30.0 135:48.0 147:2431.0 148:475.0 149:842.0 150:79.0 151:27.0 156:23.0 157:894.0 158:75.0 159:101.0 162:7.0 163:44.0 166:1.0 167:1.0 169:15.0 170:5.0 189:5.0 194:8.0 195:2.0 203:642.0 204:140.0 205:24.0 207:7.0 208:2.0 209:1.0 211:1.0 212:6.0 218:19.0 220:7.0 221:3.0 225:3.0 226:2.0 227:1.0 228:1.0 230:1.0 231:212.0 232:28.0 233:13.0 234:2.0 235:4.0 240:4.0 243:11.0 244:11.0 247:938.0 248:157.0 249:43.0 250:9.0 254:4.0 255:1.0 257:3.0 259:1.0 263:2.0 281:8.0 284:2.0 285:3.0 287:1.0 290:5.0 298:1.0 313:5.0 315:2.0 321:10.0 322:8.0 324:6.0 327:4.0 330:9.0 331:4.0 333:2.0 338:5.0 342:7.0 343:3.0 346:1.0 347:6.0 348:4.0 349:95.0 350:17.0 351:2.0 359:3.0 360:6.0 361:1.0 365:1.0 369:7.0 372:7.0 380:1.0 381:2.0 387:1.0 389:4.0 392:5.0 394:1.0 397:5.0 402:1.0 403:2.0 407:7.0 409:3.0 410:4.0 411:2.0 418:2.0 419:4.0 420:2.0 423:1.0 424:1.0 426:2.0 427:1.0 436:1.0 438:6.0 440:1.0 443:3.0 445:5.0 450:5.0 451:4.0 452:1.0 454:9.0 455:1.0 458:1.0 466:4.0 467:1.0 468:4.0 469:4.0 471:4.0 472:1.0 474:2.0 480:1.0 481:1.0 482:6.0 484:2.0 486:1.0 488:2.0 489:3.0 493:4.0 497:4.0 498:5.0</t>
  </si>
  <si>
    <t>215</t>
  </si>
  <si>
    <t>2-aminoadipic acid</t>
  </si>
  <si>
    <t>572700</t>
  </si>
  <si>
    <t>260</t>
  </si>
  <si>
    <t>85:864.0 86:878.0 87:624.0 88:261.0 89:926.0 90:176.0 91:6.0 94:25.0 96:235.0 97:3.0 98:936.0 99:564.0 100:4884.0 101:1366.0 102:334.0 103:4605.0 104:443.0 105:319.0 106:102.0 108:362.0 109:99.0 110:48.0 111:67.0 112:444.0 113:191.0 114:432.0 115:2603.0 116:1046.0 117:6551.0 118:885.0 119:443.0 120:68.0 121:5.0 123:7.0 126:97.0 127:108.0 128:6631.0 129:7354.0 130:1338.0 131:2214.0 132:783.0 133:2815.0 134:386.0 135:155.0 136:6.0 138:68.0 139:35.0 140:84.0 141:126.0 142:197.0 143:461.0 144:89.0 145:280.0 146:78.0 147:9619.0 148:1741.0 149:1405.0 150:242.0 151:123.0 152:149.0 153:159.0 154:750.0 155:59.0 157:351.0 158:39.0 159:86.0 160:763.0 161:247.0 162:37.0 163:456.0 164:78.0 165:85.0 170:1296.0 171:188.0 172:392.0 174:1750.0 175:397.0 176:116.0 177:6.0 178:18.0 179:4.0 180:30.0 181:8.0 182:62.0 185:27.0 186:44.0 188:270.0 189:1022.0 190:257.0 191:628.0 192:90.0 193:10.0 195:4.0 196:6.0 197:168.0 198:77.0 201:49.0 202:178.0 203:580.0 204:993.0 205:1553.0 206:334.0 207:246.0 208:53.0 212:79.0 213:15.0 214:7.0 216:98.0 217:10868.0 218:3306.0 219:1393.0 220:191.0 221:439.0 222:26.0 223:43.0 227:7.0 228:190.0 230:56.0 231:58.0 232:7.0 233:65.0 237:16.0 238:7.0 239:26.0 240:42.0 241:11.0 242:16.0 243:161.0 244:1901.0 245:480.0 246:236.0 247:47.0 248:45.0 254:5.0 255:9.0 257:69.0 259:37.0 260:7940.0 261:1895.0 262:793.0 263:105.0 264:22.0 265:5.0 268:15.0 276:6.0 277:395.0 278:56.0 279:19.0 280:23.0 281:13.0 286:3.0 287:28.0 288:112.0 289:24.0 290:2.0 291:248.0 292:68.0 293:18.0 302:18.0 305:49.0 306:96.0 307:470.0 308:114.0 309:94.0 313:2.0 317:41.0 318:26.0 319:319.0 320:114.0 321:72.0 322:27.0 324:1.0 325:4.0 332:43.0 333:42.0 334:83.0 335:28.0 336:10.0 337:3.0 341:1.0 343:9.0 344:48.0 353:1.0 356:18.0 359:6.0 361:8.0 362:237.0 363:60.0 364:49.0 367:9.0 368:10.0 377:134.0 378:42.0 379:5.0 387:2.0 388:22.0 389:1.0 392:9.0 393:11.0 395:13.0 398:8.0 400:5.0 402:2.0 403:1.0 417:15.0 418:4.0 426:7.0 432:9.0 447:5.0 450:15.0 451:1.0 462:1.0 464:8.0 467:15.0 469:11.0 470:14.0 472:13.0 475:14.0 479:11.0 482:6.0 488:10.0 490:5.0 493:5.0 500:3.0</t>
  </si>
  <si>
    <t>294511</t>
  </si>
  <si>
    <t>832273</t>
  </si>
  <si>
    <t>85:5201.0 86:362.0 87:3305.0 91:3934.0 92:157.0 93:5012.0 94:3556.0 95:14256.0 96:18687.0 97:26079.0 98:18863.0 99:5994.0 100:2397.0 101:3618.0 105:1126.0 106:415.0 107:2342.0 108:1905.0 109:7351.0 110:8617.0 111:11475.0 112:3908.0 113:1424.0 114:2822.0 115:2108.0 119:1568.0 120:360.0 121:2742.0 122:1091.0 123:6354.0 124:4182.0 125:4565.0 126:1290.0 127:2828.0 128:515.0 129:1036.0 132:113.0 133:1435.0 134:1461.0 135:1968.0 136:589.0 137:4151.0 138:2929.0 139:2321.0 140:614.0 141:263.0 142:458.0 147:502.0 148:897.0 149:591.0 150:427.0 151:2435.0 152:2880.0 153:1399.0 154:273.0 155:408.0 161:700.0 162:142.0 163:407.0 164:303.0 165:1759.0 166:1657.0 167:640.0 168:111.0 169:1355.0 170:176.0 171:523.0 172:267.0 175:86.0 176:37.0 178:74.0 179:1067.0 180:2472.0 181:436.0 183:1412.0 184:263.0 185:321.0 193:94.0 194:301.0 195:2.0 196:44.0 204:2044.0 208:182.0 211:183.0 212:36.0 213:87.0 217:790.0 218:121.0 220:432.0 221:224.0 222:1743.0 223:438.0 227:6.0 235:287.0 236:242.0 237:98.0 239:341.0 240:4.0 242:24.0 243:64.0 244:40.0 245:440.0 246:530.0 247:220.0 249:27.0 253:1.0 255:1.0 256:1.0 258:3.0 260:155.0 263:315.0 264:3600.0 265:3830.0 266:708.0 267:17.0 271:82.0 282:13.0 283:311.0 285:1.0 286:24.0 287:77.0 288:19.0 290:20.0 296:49.0 297:18.0 298:25.0 299:344.0 300:55.0 301:115.0 303:303.0 305:69.0 312:1.0 313:1.0 315:140.0 316:12.0 317:100.0 318:263.0 319:76.0 320:80.0 325:44.0 327:35.0 334:123.0 335:59.0 336:10.0 338:326.0 339:84.0 342:4.0 343:105.0 350:55.0 361:79.0 364:27.0 366:3.0 387:85.0 388:52.0 396:6.0 401:22.0 445:66.0 446:45.0 450:8.0 451:6.0 455:1.0 460:5.0 466:1.0 468:7.0 479:8.0 480:2.0</t>
  </si>
  <si>
    <t>289052</t>
  </si>
  <si>
    <t>515010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</si>
  <si>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</si>
  <si>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288810</t>
  </si>
  <si>
    <t>274062</t>
  </si>
  <si>
    <t>85:119.0 86:425.0 88:672.0 90:224.0 91:243.0 92:190.0 98:54.0 99:113.0 100:5723.0 106:92.0 107:7504.0 108:889.0 109:592.0 110:762.0 111:92.0 113:13.0 114:16.0 119:318.0 122:214.0 124:11.0 126:107.0 127:752.0 130:1928.0 132:240.0 134:2164.0 136:664.0 139:36.0 143:165.0 144:112.0 146:221.0 150:623.0 151:111.0 152:5641.0 153:589.0 154:161.0 160:13.0 165:170.0 167:1502.0 168:180.0 169:11.0 172:52.0 174:179.0 180:131.0 184:1786.0 185:178.0 199:338.0 201:51.0 228:28.0 246:6.0 281:37.0 294:1.0 298:5.0 304:18.0 321:1.0 322:14.0 330:2.0 331:15.0 350:8.0 363:1.0 383:10.0 388:2.0 390:11.0 399:3.0 406:1.0 409:8.0 421:13.0 447:6.0 460:12.0 479:4.0 484:4.0 496:10.0 499:6.0</t>
  </si>
  <si>
    <t>284389</t>
  </si>
  <si>
    <t>535751</t>
  </si>
  <si>
    <t>85:132.0 86:73.0 89:237.0 90:14.0 98:129.0 99:72.0 102:140.0 103:1320.0 104:25.0 107:1100.0 109:3.0 110:205.0 114:118.0 115:2366.0 116:344.0 117:558.0 118:97.0 119:181.0 122:9.0 123:28.0 128:141.0 129:828.0 130:370.0 133:330.0 134:1479.0 135:91.0 136:63.0 139:55.0 140:71.0 141:184.0 143:1080.0 144:227.0 146:156.0 147:2603.0 152:26.0 153:76.0 155:243.0 156:76.0 157:108.0 169:43.0 171:174.0 172:50.0 173:1.0 177:11.0 179:27.0 180:26.0 184:280.0 185:42.0 187:117.0 188:3.0 189:553.0 191:521.0 193:130.0 196:1.0 198:1.0 199:115.0 203:52.0 205:79.0 207:2173.0 208:345.0 209:230.0 212:13.0 213:70.0 215:292.0 216:65.0 217:7704.0 218:325.0 219:478.0 221:630.0 222:126.0 223:22.0 226:11.0 228:164.0 229:110.0 230:301.0 237:1.0 241:41.0 243:150.0 244:38.0 245:124.0 246:263.0 247:70.0 249:47.0 251:19.0 254:102.0 255:42.0 256:210.0 257:89.0 259:97.0 260:69.0 261:47.0 262:25.0 267:55.0 269:18.0 271:15.0 275:712.0 276:177.0 277:83.0 278:1.0 281:388.0 282:39.0 283:12.0 292:25.0 297:27.0 299:20.0 300:1.0 303:1.0 305:65.0 306:27.0 307:12.0 312:6.0 313:28.0 314:36.0 315:24.0 327:160.0 328:71.0 329:192.0 330:115.0 331:5.0 332:45.0 333:49.0 334:12.0 341:26.0 342:36.0 346:5.0 354:21.0 355:720.0 356:254.0 357:150.0 358:96.0 373:3.0 377:1.0 381:2.0 385:36.0 395:5.0 396:2.0 399:48.0 400:14.0 401:146.0 402:55.0 403:4.0 404:53.0 415:21.0 416:31.0 417:40.0 430:7.0 483:2.0</t>
  </si>
  <si>
    <t>155</t>
  </si>
  <si>
    <t>280564</t>
  </si>
  <si>
    <t>528055</t>
  </si>
  <si>
    <t>85:1726.0 86:1061.0 87:593.0 90:199.0 92:31.0 93:55.0 95:66.0 96:5.0 97:33.0 98:140.0 100:1564.0 101:37.0 103:770.0 109:54.0 110:181.0 111:158.0 112:69.0 113:1394.0 114:271.0 115:415.0 116:384.0 118:894.0 119:915.0 123:15.0 124:63.0 126:99.0 128:496.0 129:166.0 130:1197.0 131:2256.0 132:24.0 133:499.0 138:1733.0 139:58.0 140:1197.0 141:286.0 147:25580.0 148:4872.0 149:2265.0 150:269.0 151:263.0 152:48.0 153:1.0 154:212.0 156:1238.0 157:1775.0 158:2014.0 159:363.0 160:284.0 165:3120.0 166:9653.0 167:594.0 170:182.0 174:36.0 177:12.0 183:81.0 184:296.0 185:291.0 186:1139.0 187:345.0 188:67.0 192:47.0 193:81.0 195:76.0 201:34.0 206:98.0 211:26.0 214:102.0 215:297.0 216:72.0 218:223.0 229:30.0 230:1115.0 231:423.0 232:71.0 233:48.0 238:21.0 239:13.0 241:629.0 242:107.0 243:115.0 244:85.0 245:68.0 247:333.0 248:582.0 249:109.0 253:65.0 255:5900.0 256:1008.0 257:233.0 259:18.0 264:7.0 266:8.0 271:6.0 272:3.0 273:88.0 275:33.0 288:40.0 293:18.0 301:8.0 303:39.0 305:25.0 322:5.0 327:11.0 329:221.0 330:91.0 331:622.0 332:178.0 333:12.0 341:5.0 346:48.0 347:27.0 350:54.0 351:4.0 415:16.0 416:2.0 430:18.0 440:2.0 488:9.0</t>
  </si>
  <si>
    <t>274608</t>
  </si>
  <si>
    <t>237007</t>
  </si>
  <si>
    <t>85:2182.0 88:593.0 90:233.0 91:59.0 97:404.0 100:897.0 101:284.0 102:375.0 105:250.0 107:1076.0 108:376.0 110:951.0 111:48.0 113:522.0 118:517.0 119:208.0 122:57.0 127:103.0 128:1335.0 130:354.0 134:1101.0 135:100.0 137:445.0 143:484.0 146:153.0 151:66.0 165:68.0 167:61.0 177:238.0 178:25.0 180:80.0 182:16.0 184:155.0 185:373.0 186:122.0 189:19.0 191:307.0 192:76.0 193:402.0 194:109.0 198:48.0 199:73.0 200:41.0 201:2514.0 202:338.0 203:250.0 204:57.0 205:175.0 207:3452.0 208:704.0 209:324.0 210:18.0 219:1998.0 220:385.0 221:112.0 228:57.0 247:32.0 255:53.0 256:57.0 257:9.0 275:18.0 280:55.0 291:24.0 307:676.0 308:168.0 309:127.0 310:1.0 320:4.0 355:24.0 486:2.0 500:2.0</t>
  </si>
  <si>
    <t>274189</t>
  </si>
  <si>
    <t>790139</t>
  </si>
  <si>
    <t>86:1554.0 98:180.0 99:132.0 100:1134.0 101:518.0 102:331.0 103:175.0 110:20.0 112:85.0 128:68.0 129:310.0 130:22.0 132:295.0 134:72.0 140:111.0 154:52.0 155:163.0 160:61.0 170:19.0 171:112.0 172:38.0 174:4228.0 175:686.0 176:287.0 184:250.0 185:72.0 186:56.0 188:79.0 194:39.0 196:35.0 197:34.0 200:15.0 202:28.0 204:86.0 207:244.0 211:22.0 212:26.0 216:8.0 217:98.0 221:305.0 222:51.0 223:83.0 227:603.0 228:113.0 229:52.0 237:36.0 253:6.0 254:7.0 256:28.0 258:33.0 259:1.0 260:16.0 281:1.0 282:69.0 283:12.0 286:8.0 295:100.0 296:10.0 297:30.0 324:33.0 327:1.0 330:15.0 340:10.0 342:16.0 356:28.0 369:32.0 371:32.0 375:9.0 387:5.0 399:33.0 400:11.0</t>
  </si>
  <si>
    <t>272849</t>
  </si>
  <si>
    <t>221925</t>
  </si>
  <si>
    <t>115</t>
  </si>
  <si>
    <t>85:3283.0 86:1365.0 87:220.0 88:1088.0 89:629.0 90:466.0 91:1009.0 92:148.0 93:1.0 95:1.0 96:429.0 97:1464.0 98:2036.0 99:2310.0 100:6474.0 101:2615.0 102:365.0 104:163.0 105:4955.0 106:655.0 107:9796.0 108:11386.0 109:1103.0 110:62560.0 111:2201.0 112:532.0 113:1462.0 114:667.0 115:34968.0 116:4176.0 118:2274.0 120:40.0 121:43.0 123:51.0 125:40.0 126:1323.0 127:5276.0 128:969.0 129:4836.0 130:16035.0 131:101443.0 132:12199.0 133:1990.0 134:47156.0 135:2853.0 136:1659.0 138:34.0 140:8.0 141:13.0 143:1809.0 144:264.0 145:24789.0 146:3806.0 150:377.0 154:18.0 158:114.0 162:2104.0 163:147.0 166:241.0 167:155.0 168:7814.0 169:511.0 170:30.0 171:86.0 172:432.0 173:105.0 180:24.0 182:10.0 183:57.0 184:36813.0 185:4165.0 186:1404.0 187:651.0 188:137.0 189:2.0 190:1865.0 199:190.0 200:23334.0 201:2557.0 202:782.0 203:1683.0 204:286.0 205:95.0 212:1192.0 213:111.0 214:33.0 216:10.0 218:860.0 223:1.0 226:3.0 242:2631.0 243:277.0 244:87.0 255:37.0 259:10.0 263:1.0 268:12.0 278:12.0 289:40.0 321:7.0 325:8.0 333:9.0 335:13.0 371:2.0 426:4.0 466:21.0 495:5.0 497:3.0</t>
  </si>
  <si>
    <t>270066</t>
  </si>
  <si>
    <t>288528</t>
  </si>
  <si>
    <t>85:4403.0 86:559.0 87:1297.0 88:4452.0 89:551.0 90:126.0 94:132.0 95:4677.0 96:294.0 97:511.0 99:896.0 100:246.0 101:4237.0 102:704.0 103:610.0 104:95.0 105:301.0 108:286.0 109:56.0 110:27.0 111:278.0 113:2721.0 114:312.0 115:9405.0 116:1399.0 117:55973.0 118:5829.0 119:2799.0 120:212.0 126:171.0 127:284.0 129:32.0 130:1372.0 131:94419.0 132:11432.0 133:8645.0 134:1601.0 135:413.0 136:207.0 139:17.0 140:9.0 141:185.0 143:351.0 145:9.0 147:36576.0 148:5360.0 149:3794.0 150:401.0 151:40.0 152:191.0 155:41.0 157:13875.0 158:1900.0 159:707.0 160:102.0 171:24.0 172:2017.0 173:318.0 174:71.0 175:60.0 184:409.0 185:56.0 186:4.0 189:95.0 191:2454.0 192:422.0 193:153.0 205:2837.0 206:472.0 207:58.0 231:154.0 247:793.0 248:131.0 249:5.0 263:3.0 365:11.0 377:6.0</t>
  </si>
  <si>
    <t>269294</t>
  </si>
  <si>
    <t>766330</t>
  </si>
  <si>
    <t>99:227.0 100:598.0 101:257.0 102:60.0 103:110.0 107:269.0 108:2.0 111:41.0 112:180.0 113:12.0 114:112.0 115:8.0 116:681.0 117:4019.0 118:451.0 124:21.0 127:13.0 128:236.0 130:269.0 131:625.0 132:113.0 134:91.0 138:71.0 140:518.0 141:416.0 142:252.0 143:171.0 144:11.0 146:6.0 147:681.0 154:96.0 155:112.0 156:16853.0 157:2678.0 158:2866.0 159:332.0 160:58.0 170:8.0 172:4.0 181:338.0 182:67.0 183:145.0 184:42.0 188:38.0 189:58.0 190:6.0 196:60.0 200:18.0 203:82.0 204:410.0 206:45.0 208:30.0 209:27.0 215:5.0 217:333.0 218:678.0 219:108.0 220:45.0 224:13.0 225:126.0 226:120.0 228:125.0 229:69.0 230:143.0 231:105.0 232:72.0 240:191.0 243:13.0 246:8.0 251:3.0 254:7.0 256:126.0 257:41.0 258:83.0 264:36.0 266:10.0 273:43.0 283:60.0 285:29.0 288:25.0 293:1.0 297:104.0 298:1.0 299:365.0 300:159.0 303:5.0 307:5.0 311:3.0 312:113.0 313:66.0 314:70.0 319:3.0 329:146.0 330:355.0 331:70.0 332:15.0 341:26.0 343:1.0 348:12.0 349:26.0 358:5.0 362:1.0 368:29.0 373:5.0 394:4.0 398:5.0 400:12.0 402:626.0 403:238.0 404:66.0 405:30.0 413:36.0 421:5.0 422:8.0 431:321.0 432:113.0 436:6.0 454:2.0 495:3.0 497:5.0</t>
  </si>
  <si>
    <t>269272</t>
  </si>
  <si>
    <t>644989</t>
  </si>
  <si>
    <t>86:899.0 88:35.0 93:4.0 98:144.0 99:174.0 100:395.0 101:44.0 102:98.0 106:3.0 107:175.0 108:18.0 114:95.0 116:9.0 127:6.0 129:87.0 130:438.0 134:105.0 142:104.0 143:112.0 144:48.0 153:185.0 157:346.0 158:6699.0 159:973.0 160:728.0 168:6.0 170:45.0 172:51.0 173:9.0 174:836.0 175:64.0 184:155.0 186:1.0 197:1.0 199:258.0 205:233.0 211:78.0 212:22.0 215:8.0 217:10.0 224:10.0 227:5.0 234:43.0 239:1.0 241:7.0 242:15.0 246:1.0 248:6.0 256:5.0 271:78.0 274:168.0 275:25.0 278:137.0 279:3.0 282:1.0 287:18.0 299:102.0 300:162.0 301:113.0 314:16.0 316:35.0 317:20.0 319:189.0 321:30.0 329:1.0 334:4.0 359:8.0 360:22.0 368:11.0 373:33.0 387:20.0 398:7.0 399:21.0 402:7.0 428:5.0 461:8.0 462:6.0 463:23.0 498:4.0</t>
  </si>
  <si>
    <t>268585</t>
  </si>
  <si>
    <t>209918</t>
  </si>
  <si>
    <t>123</t>
  </si>
  <si>
    <t>85:1425.0 86:219.0 87:4685.0 88:5630.0 89:1007.0 90:503.0 92:4675.0 93:200011.0 94:16480.0 95:76414.0 96:5029.0 97:3783.0 99:5184.0 101:13579.0 102:2057.0 103:41482.0 104:4492.0 105:1831.0 107:279.0 108:994.0 109:1061.0 110:931.0 111:487.0 113:313.0 114:247.0 120:198.0 121:1596.0 122:530.0 123:236335.0 124:19561.0 125:83112.0 126:6111.0 127:2218.0 128:121.0 129:2755.0 137:195.0 138:3.0 143:447.0 144:234.0 145:5.0 151:26.0 154:54.0 155:11.0 156:2.0 157:134.0 161:18.0 162:7.0 165:14734.0 166:1712.0 167:4865.0 168:401.0 169:152.0 173:203.0 174:4.0 175:8.0 179:112.0 181:56.0 192:162.0 193:230.0 194:99.0 195:12.0 200:1.0 221:430.0 222:18.0 223:241.0 224:83.0 225:61.0 229:11.0 231:3.0 233:22.0 235:675.0 236:187.0 237:101.0 239:7.0 240:1.0 247:14.0 249:161.0 250:27.0 251:6.0 252:3.0 280:72.0 322:18.0 332:1.0 348:1.0 355:13.0 360:4.0 381:1.0 387:26.0 391:1.0 393:8.0 398:2.0 420:19.0 440:9.0 448:3.0 475:3.0 488:3.0</t>
  </si>
  <si>
    <t>268461</t>
  </si>
  <si>
    <t>203944</t>
  </si>
  <si>
    <t>85:389.0 86:35.0 87:249.0 88:1038.0 90:247.0 91:281.0 92:24.0 93:4181.0 94:211.0 95:1745.0 97:471.0 98:9577.0 99:812.0 100:676.0 101:70.0 102:1.0 103:23.0 104:2.0 105:1.0 108:259.0 109:24.0 111:73.0 112:145.0 114:88.0 117:1.0 118:414.0 123:5471.0 124:355.0 125:1792.0 127:102.0 128:5.0 130:1574.0 131:270.0 134:2659.0 142:351.0 143:370.0 146:134.0 152:192.0 154:275.0 165:134.0 174:29.0 176:5.0 184:350.0 185:160.0 186:152.0 199:487.0 200:105.0 207:442.0 295:8.0 354:5.0 399:10.0 409:1.0 415:2.0 498:15.0</t>
  </si>
  <si>
    <t>268399</t>
  </si>
  <si>
    <t>330456</t>
  </si>
  <si>
    <t>229</t>
  </si>
  <si>
    <t>86:110.0 88:3950.0 91:369.0 92:27.0 97:27.0 98:67.0 99:189.0 100:115.0 107:1340.0 110:3465.0 111:50.0 120:53.0 123:2.0 129:406.0 134:2194.0 135:16.0 136:225.0 137:215.0 140:34.0 141:52.0 142:19.0 144:207.0 151:63.0 154:2.0 155:157.0 157:97.0 161:2.0 163:2.0 170:11.0 177:78.0 179:10.0 181:76.0 184:627.0 185:28.0 186:59.0 191:1015.0 192:152.0 193:392.0 194:7.0 195:196.0 196:19.0 197:81.0 198:37.0 199:238.0 203:7.0 207:3500.0 208:797.0 209:315.0 210:3.0 211:1039.0 212:145.0 213:182.0 215:36.0 218:2.0 219:11.0 225:88.0 226:38.0 227:1.0 228:396.0 229:3187.0 230:582.0 231:565.0 232:63.0 233:30.0 238:4.0 240:3.0 241:4.0 249:126.0 251:9.0 255:3.0 257:37.0 265:26.0 279:155.0 281:95.0 283:1.0 286:45.0 288:7.0 299:15.0 302:1.0 314:2066.0 315:405.0 316:142.0 317:22.0 318:21.0 328:14.0 329:1.0 337:7.0 343:90.0 351:2.0 352:791.0 353:262.0 354:85.0 405:18.0 406:993.0 407:394.0 408:180.0 409:11.0</t>
  </si>
  <si>
    <t>268313</t>
  </si>
  <si>
    <t>315878</t>
  </si>
  <si>
    <t>212</t>
  </si>
  <si>
    <t>85:294.0 86:277.0 90:192.0 91:10.0 93:305.0 94:178.0 98:773.0 99:271.0 100:427.0 104:13.0 106:61.0 107:1440.0 108:347.0 109:102.0 112:71.0 114:159.0 117:90.0 118:222.0 119:15.0 120:31.0 122:4969.0 123:507.0 124:614.0 125:7.0 127:156.0 128:119.0 130:1434.0 134:969.0 135:183.0 136:193.0 138:30.0 139:97.0 140:97.0 142:55.0 143:155.0 147:583.0 148:24.0 150:91.0 154:6.0 155:950.0 156:383.0 174:20.0 182:3.0 183:30.0 184:130.0 185:89.0 186:114.0 196:193.0 198:9.0 212:5558.0 213:870.0 214:230.0 227:10.0 312:3.0 319:7.0 336:3.0 359:12.0 382:5.0 398:1.0 487:1.0</t>
  </si>
  <si>
    <t>268306</t>
  </si>
  <si>
    <t>427619</t>
  </si>
  <si>
    <t>227</t>
  </si>
  <si>
    <t>85:239.0 86:66.0 87:154.0 88:438.0 89:32.0 90:75.0 91:257.0 92:129.0 94:214.0 95:590.0 96:281.0 97:860.0 98:242.0 100:468.0 102:2.0 104:33.0 106:210.0 107:221.0 109:259.0 110:4480.0 111:122.0 112:10.0 113:185.0 114:24.0 118:339.0 120:10.0 122:35.0 123:207.0 124:54.0 125:39.0 126:343.0 127:127.0 128:233.0 130:1379.0 132:181.0 134:516.0 137:87.0 138:12.0 139:76.0 140:45.0 141:44.0 144:99.0 150:17.0 152:6.0 153:85.0 154:309.0 155:130.0 157:95.0 158:3.0 159:30.0 160:9.0 163:134.0 164:53.0 166:20.0 167:50.0 168:10.0 177:471.0 178:582.0 184:342.0 185:173.0 186:37.0 192:19.0 196:1.0 197:65.0 198:53.0 199:170.0 200:59.0 206:179.0 207:11172.0 208:1031.0 211:106.0 213:24.0 215:170.0 225:175.0 226:90.0 227:11752.0 228:1707.0 229:448.0 230:3.0 238:4.0 240:1.0 265:2.0 272:3.0 282:4.0 285:6.0 289:5.0 294:35.0 296:18.0 328:14.0 330:13.0 360:10.0 374:5.0 402:2.0 409:13.0 427:7.0 440:6.0 442:2.0 451:11.0 453:13.0 462:17.0 465:5.0 473:3.0 479:12.0 481:6.0 493:16.0</t>
  </si>
  <si>
    <t>225</t>
  </si>
  <si>
    <t>267904</t>
  </si>
  <si>
    <t>846150</t>
  </si>
  <si>
    <t>86:1003.0 87:412.0 91:128.0 92:37.0 94:149.0 95:80.0 97:6.0 98:174.0 99:555.0 100:434.0 102:36.0 106:23.0 107:72.0 109:60.0 110:119.0 111:486.0 112:422.0 113:235.0 114:467.0 116:327.0 117:116.0 118:27.0 119:250.0 124:398.0 128:682.0 129:1056.0 130:521.0 131:166.0 134:902.0 136:6.0 139:240.0 140:1316.0 141:1116.0 151:40.0 152:51.0 154:399.0 155:191.0 156:35595.0 157:7422.0 158:2269.0 159:349.0 160:364.0 161:10.0 162:129.0 164:19.0 166:30.0 167:37.0 168:570.0 169:581.0 170:318.0 171:120.0 172:14.0 174:1101.0 175:133.0 176:62.0 178:55.0 179:17.0 180:137.0 181:117.0 182:418.0 183:437.0 186:1.0 188:22.0 196:36.0 198:164.0 202:84.0 204:265.0 207:46.0 208:3.0 210:46.0 212:45.0 214:146.0 216:199.0 218:28.0 221:66.0 222:25.0 223:34.0 224:18.0 226:114.0 227:16.0 228:34.0 230:561.0 231:100.0 232:441.0 233:196.0 234:17.0 235:39.0 236:128.0 237:229.0 238:29.0 240:23.0 241:72.0 242:181.0 244:160.0 250:26.0 251:394.0 252:46.0 253:18.0 255:3.0 260:39.0 261:53.0 262:16.0 263:9.0 264:22.0 265:7.0 267:38.0 271:73.0 274:261.0 275:137.0 276:202.0 277:43.0 278:187.0 279:137.0 280:17.0 281:53.0 282:69.0 284:5.0 286:55.0 289:47.0 290:23.0 291:84.0 293:6.0 296:50.0 297:63.0 298:26.0 299:187.0 300:110.0 304:299.0 306:50.0 309:174.0 310:79.0 311:11.0 312:75.0 313:80.0 315:83.0 316:10.0 318:100.0 320:59.0 321:4.0 322:30.0 324:10.0 325:78.0 327:154.0 328:51.0 329:46.0 334:37.0 335:37.0 339:10.0 340:106.0 341:281.0 342:8.0 344:48.0 346:46.0 347:9.0 348:4.0 349:3.0 350:5.0 352:10.0 353:99.0 354:20.0 355:122.0 358:1.0 359:51.0 360:40.0 362:103.0 363:41.0 364:17.0 365:27.0 366:111.0 368:107.0 369:73.0 370:18.0 371:7.0 372:12.0 374:2.0 375:532.0 376:193.0 377:68.0 378:38.0 380:5.0 381:6.0 382:26.0 383:13.0 387:43.0 388:36.0 389:55.0 390:12.0 396:8.0 399:9.0 401:5.0 403:7.0 404:3.0 406:4.0 414:4.0 415:44.0 416:62.0 417:1.0 418:4.0 420:6.0 422:1.0 423:29.0 424:13.0 426:4.0 429:15.0 430:23.0 440:31.0 442:83.0 443:1349.0 444:585.0 445:262.0 446:57.0 447:5.0 448:15.0 449:2.0 450:3.0 451:19.0 454:10.0 455:5.0 458:141.0 459:76.0 465:15.0 469:30.0 479:17.0 483:3.0 487:13.0 488:5.0 492:32.0 493:8.0 495:9.0 499:7.0</t>
  </si>
  <si>
    <t>267742</t>
  </si>
  <si>
    <t>658726</t>
  </si>
  <si>
    <t>85:1079.0 87:281.0 88:111.0 89:3015.0 90:233.0 91:927.0 95:559.0 99:884.0 100:6721.0 101:793.0 102:765.0 103:145.0 104:1322.0 107:724.0 108:1034.0 109:350.0 110:1256.0 111:56.0 112:1074.0 113:1224.0 114:2033.0 115:2049.0 116:915.0 117:3955.0 118:599.0 122:163.0 123:69.0 126:579.0 128:5604.0 129:17873.0 130:4277.0 131:1226.0 132:1749.0 133:1088.0 137:306.0 140:79.0 141:251.0 142:1960.0 144:1048.0 145:313.0 146:706.0 149:298.0 150:902.0 156:303.0 158:505.0 159:287.0 161:872.0 162:764.0 164:238.0 168:68.0 172:646.0 173:904.0 176:135.0 178:233.0 179:106.0 180:79.0 182:9.0 184:78.0 185:411.0 186:961.0 187:98.0 188:2086.0 189:722.0 190:553.0 195:194.0 200:753.0 202:262.0 203:36733.0 204:7309.0 205:4323.0 206:15.0 211:109.0 212:63.0 213:126.0 214:547.0 215:86.0 216:4372.0 217:3116.0 218:1800.0 219:488.0 220:230.0 227:70.0 228:205.0 230:439.0 231:353.0 233:92.0 236:172.0 237:160.0 239:9.0 240:246.0 241:18.0 243:289.0 244:132.0 252:38.0 253:55.0 254:1.0 256:43.0 258:313.0 260:17.0 261:104.0 264:171.0 265:83.0 267:192.0 270:339.0 271:109.0 272:30.0 273:177.0 274:468.0 275:72.0 279:44.0 280:46.0 287:131.0 289:33.0 290:306.0 291:207.0 292:293.0 293:154.0 294:54.0 299:230.0 301:133.0 303:70.0 304:1994.0 305:771.0 306:1341.0 307:1113.0 308:254.0 309:6.0 312:7.0 313:95.0 314:54.0 315:211.0 316:220.0 318:214.0 322:316.0 325:50.0 326:58.0 328:43.0 329:227.0 330:467.0 331:78.0 332:27.0 335:51.0 336:28.0 337:6.0 339:52.0 343:33.0 344:54.0 346:39.0 347:421.0 348:93.0 349:148.0 351:24.0 353:6.0 356:31.0 357:1791.0 358:360.0 359:330.0 360:56.0 361:11.0 367:2.0 368:4.0 371:4.0 375:30.0 380:69.0 382:1.0 383:3.0 385:29.0 386:35.0 387:32.0 392:34.0 398:49.0 399:25.0 400:127.0 401:9.0 413:7.0 415:30.0 416:29.0 420:295.0 421:174.0 422:118.0 428:82.0 430:86.0 434:221.0 435:171.0 436:37.0 438:4.0 439:24.0 443:27.0 446:15.0 447:17.0 448:14.0 449:192.0 450:15.0 451:66.0 452:21.0 453:30.0 456:16.0 457:24.0 459:8.0 460:41.0 463:34.0 468:16.0 469:2.0 472:1.0 476:3.0 477:1.0 483:10.0 484:2.0 486:27.0 489:13.0</t>
  </si>
  <si>
    <t>214</t>
  </si>
  <si>
    <t>267692</t>
  </si>
  <si>
    <t>810107</t>
  </si>
  <si>
    <t>85:210.0 86:5.0 89:62.0 91:747.0 93:6.0 95:53.0 98:274.0 99:25.0 100:58.0 101:15.0 102:61.0 103:441.0 105:3257.0 106:305.0 107:47.0 108:66.0 110:1.0 112:103.0 113:227.0 116:152.0 117:26.0 122:21.0 123:31.0 124:67.0 129:724.0 133:39.0 137:44.0 140:346.0 143:27.0 144:139.0 145:449.0 146:28.0 147:656.0 148:80.0 151:62.0 152:47.0 153:2.0 154:60.0 155:302.0 156:8976.0 157:1678.0 158:1067.0 159:104.0 160:4.0 161:75.0 168:25.0 169:168.0 170:269.0 171:609.0 172:155.0 173:109.0 174:10.0 176:4.0 179:107.0 182:84.0 184:52.0 186:36.0 187:112.0 188:116.0 200:4.0 201:5.0 202:78.0 203:52.0 204:59.0 207:58.0 211:26.0 212:22.0 214:21.0 215:33.0 217:1916.0 218:486.0 219:72.0 220:45.0 225:8.0 226:3.0 229:11.0 230:124.0 231:81.0 234:22.0 235:26.0 236:8.0 238:15.0 240:44.0 243:105.0 244:60.0 245:102.0 246:1.0 247:24.0 248:20.0 249:26.0 253:53.0 256:3.0 259:295.0 260:88.0 261:46.0 262:21.0 267:32.0 273:15.0 274:22.0 277:26.0 278:195.0 281:9.0 282:2.0 289:86.0 290:47.0 291:69.0 292:52.0 293:106.0 296:6.0 298:6.0 300:19.0 301:12.0 304:5.0 305:19.0 306:25.0 307:10.0 308:6.0 310:15.0 312:1.0 313:51.0 314:47.0 319:2.0 321:20.0 323:1.0 325:5.0 327:36.0 328:5.0 329:53.0 330:36.0 331:6.0 333:10.0 334:12.0 335:91.0 336:11.0 343:45.0 344:3.0 347:64.0 355:11.0 357:36.0 359:32.0 360:9.0 366:6.0 368:7.0 370:14.0 375:137.0 376:23.0 377:12.0 378:4.0 380:39.0 385:10.0 387:44.0 391:11.0 395:2.0 396:1.0 398:4.0 402:8.0 405:4.0 409:1.0 413:1.0 415:1.0 423:1.0 442:2.0 444:22.0 445:121.0 446:92.0 448:17.0 449:5.0 450:2.0 451:19.0 459:4.0 460:11.0 462:6.0 471:4.0 481:5.0 482:1.0 494:3.0 495:2.0 496:1.0 497:5.0 500:2.0</t>
  </si>
  <si>
    <t>242417</t>
  </si>
  <si>
    <t>374883</t>
  </si>
  <si>
    <t>283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</si>
  <si>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</si>
  <si>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241668</t>
  </si>
  <si>
    <t>890409</t>
  </si>
  <si>
    <t>85:38.0 86:394.0 87:82.0 88:23.0 90:57.0 91:317.0 93:12.0 94:69.0 95:67.0 96:5.0 97:4.0 98:109.0 99:96.0 100:425.0 101:49.0 102:123.0 108:7.0 110:59.0 111:4.0 112:2.0 114:121.0 115:11.0 117:8.0 118:6.0 121:6.0 122:1.0 124:48.0 125:1.0 126:14.0 127:186.0 128:17.0 130:70.0 131:12.0 134:9.0 135:13.0 138:39.0 139:6.0 140:29.0 141:5.0 142:87.0 145:1.0 148:12.0 149:6.0 152:1.0 153:8.0 154:26.0 156:129.0 158:34.0 159:1.0 160:6.0 163:67.0 164:78.0 165:2.0 166:1.0 168:60.0 169:5.0 171:4.0 172:86.0 174:2507.0 175:304.0 176:66.0 179:7662.0 180:1191.0 181:285.0 182:44.0 184:108.0 185:21.0 186:32.0 187:63.0 193:41.0 194:89.0 195:3.0 196:31.0 197:297.0 198:37.0 199:17.0 201:3.0 202:3.0 204:13.0 205:2.0 207:69.0 208:134.0 209:149.0 212:9.0 214:18.0 215:1.0 218:115.0 219:1.0 221:152.0 223:5.0 225:112.0 227:13.0 228:6.0 229:48.0 239:4.0 241:94.0 242:1.0 246:14.0 247:3.0 250:1.0 253:19.0 254:2.0 255:3.0 256:1.0 257:70.0 258:5.0 262:1.0 266:40.0 267:1.0 269:19.0 270:4.0 272:49.0 274:1.0 275:24.0 277:4.0 278:2.0 281:92.0 282:106.0 283:132.0 284:21.0 290:5.0 295:194.0 296:69.0 297:202.0 298:1303.0 299:453.0 300:186.0 301:64.0 302:46.0 305:4.0 306:3.0 310:14.0 311:145.0 312:17.0 313:11.0 315:18.0 318:29.0 324:6.0 325:157.0 326:6.0 327:2.0 328:37.0 330:14.0 331:32.0 340:17.0 341:176.0 343:39.0 348:11.0 354:84.0 355:1.0 357:78.0 358:10.0 376:10.0 379:13.0 385:45.0 386:146.0 387:124.0 388:53.0 389:144.0 390:31.0 391:51.0 395:2.0 399:54.0 401:123.0 402:11.0 404:36.0 405:2.0 410:3.0 422:5.0 427:11.0 429:50.0 430:67.0 431:20.0 435:12.0 438:15.0 445:10.0 451:1.0 460:7.0 462:6.0 463:11.0 465:12.0 467:2.0 475:69.0 476:36.0 480:7.0 483:12.0 486:6.0 489:64.0 490:2.0 491:4.0 492:2.0</t>
  </si>
  <si>
    <t>241666</t>
  </si>
  <si>
    <t>449370</t>
  </si>
  <si>
    <t>85:6.0 86:383.0 87:72.0 90:12.0 94:222.0 98:132.0 100:1116.0 101:218.0 103:24.0 108:31.0 110:97.0 111:45.0 113:176.0 114:59.0 116:721.0 118:58.0 120:23.0 124:63.0 128:125.0 130:613.0 131:56.0 133:71.0 137:102.0 140:53.0 142:401.0 143:1028.0 144:82.0 146:10.0 147:289.0 149:24.0 150:22.0 155:281.0 156:2647.0 157:992.0 158:225.0 160:1152.0 161:2.0 166:134.0 167:343.0 168:133.0 170:625.0 171:1.0 172:159.0 174:110.0 177:86.0 178:237.0 182:63.0 183:177.0 184:4050.0 185:430.0 186:133.0 187:384.0 188:19.0 189:2.0 191:18.0 199:276.0 202:2.0 205:3.0 207:45.0 208:5.0 213:48.0 215:500.0 216:53.0 225:21.0 226:39.0 227:143.0 229:133.0 234:1.0 235:6.0 236:5.0 241:596.0 242:88.0 243:827.0 244:193.0 246:5.0 248:1.0 255:1617.0 256:354.0 257:431.0 262:8.0 264:2.0 266:5.0 269:18.0 270:15.0 271:2831.0 272:696.0 273:160.0 275:1.0 276:3.0 281:515.0 282:5.0 292:2.0 297:234.0 299:2360.0 300:680.0 301:176.0 312:94.0 314:602.0 315:134.0 318:1.0 325:30.0 326:3.0 327:173.0 328:38.0 329:5.0 341:7.0 351:2.0 352:2.0 353:6.0 354:1.0 365:10.0 366:2.0 399:6.0 415:24.0 436:1.0</t>
  </si>
  <si>
    <t>241661</t>
  </si>
  <si>
    <t>656922</t>
  </si>
  <si>
    <t>85:479.0 86:473.0 87:47.0 88:258.0 89:73.0 91:63.0 92:158.0 94:148.0 95:97.0 96:317.0 98:647.0 99:475.0 100:807.0 101:607.0 102:604.0 103:2294.0 104:117.0 106:63.0 107:175.0 109:71.0 112:147.0 113:474.0 114:299.0 115:267.0 117:14.0 121:166.0 123:225.0 124:83.0 126:37.0 127:340.0 128:186.0 129:11.0 130:170.0 131:241.0 132:1.0 134:1397.0 137:6.0 138:167.0 139:12.0 140:278.0 141:141.0 142:358.0 143:267.0 144:471.0 146:73.0 149:335.0 151:77.0 152:230.0 153:297.0 154:412.0 155:68.0 156:67.0 157:99.0 160:45.0 161:1.0 166:90.0 167:2.0 168:261.0 169:239.0 170:1155.0 171:199.0 172:84.0 173:42.0 179:47.0 180:5.0 181:363.0 182:155.0 183:13.0 184:698.0 185:238.0 186:221.0 187:112.0 188:284.0 190:70.0 195:107.0 196:757.0 197:1513.0 198:460.0 199:42.0 201:11.0 203:7.0 204:6.0 208:23.0 209:4729.0 210:847.0 211:276.0 212:155.0 213:453.0 214:78.0 215:33.0 216:327.0 217:110.0 220:25.0 222:10.0 223:338.0 224:97.0 225:7267.0 226:1353.0 227:596.0 228:59.0 229:16.0 230:79.0 231:58.0 237:67.0 238:233.0 239:141.0 240:30.0 241:116.0 242:4.0 243:87.0 244:36.0 245:73.0 246:13.0 247:44.0 248:41.0 255:546.0 256:15.0 258:148.0 260:43.0 261:18.0 262:63.0 263:24.0 269:185.0 270:55.0 271:723.0 272:230.0 273:287.0 277:16.0 278:16.0 283:107.0 285:316.0 286:214.0 287:36.0 288:8.0 291:3.0 292:9.0 293:1.0 294:3.0 295:1.0 296:22.0 297:3912.0 298:2653.0 299:961.0 300:356.0 301:139.0 302:12.0 303:28.0 304:1.0 305:32.0 307:1.0 311:116.0 313:1235.0 314:405.0 315:148.0 316:46.0 317:11.0 320:7.0 321:2.0 322:1.0 324:30.0 327:29.0 328:2795.0 329:806.0 330:263.0 331:93.0 333:50.0 338:12.0 340:23.0 341:1.0 345:8.0 347:14.0 349:42.0 350:16.0 354:2.0 356:9.0 357:1.0 358:67.0 359:112.0 360:14.0 362:11.0 363:4.0 365:149.0 366:37.0 369:4.0 374:9.0 376:17.0 377:6.0 379:28.0 380:37.0 381:12.0 383:9.0 394:27.0 398:2.0 400:1.0 402:4.0 405:11.0 407:14.0 409:30.0 410:10.0 411:9.0 412:16.0 413:29.0 414:16.0 416:38.0 417:69.0 420:14.0 422:20.0 423:19.0 424:39.0 425:9.0 429:5.0 430:100.0 431:11.0 432:36.0 433:36.0 438:9.0 439:33.0 441:10.0 443:5.0 445:129.0 446:48.0 447:2.0 448:27.0 449:41.0 450:36.0 451:24.0 456:8.0 457:14.0 461:8.0 463:67.0 465:17.0 466:21.0 467:7.0 469:27.0 470:19.0 471:18.0 473:1.0 477:12.0 479:16.0 481:17.0 482:1.0 483:11.0 484:25.0 485:9.0 486:2.0 487:17.0 491:9.0 492:10.0 495:39.0 496:5.0 498:16.0 500:22.0</t>
  </si>
  <si>
    <t>241656</t>
  </si>
  <si>
    <t>534715</t>
  </si>
  <si>
    <t>85:280.0 88:27.0 91:1095.0 93:6.0 95:40.0 97:212.0 98:425.0 99:496.0 100:7651.0 101:4344.0 102:1466.0 103:1332.0 106:27.0 107:788.0 108:9.0 109:178.0 110:1010.0 114:75.0 117:1327.0 118:940.0 119:117.0 120:23.0 121:28.0 122:7.0 124:185.0 125:231.0 126:232.0 128:126.0 129:66.0 131:1727.0 132:666.0 133:820.0 136:217.0 137:258.0 140:211.0 142:15.0 143:62.0 144:772.0 145:359.0 146:737.0 147:12994.0 148:482.0 149:597.0 150:557.0 151:219.0 153:66.0 157:17.0 160:124.0 163:261.0 164:5.0 165:160.0 169:9.0 172:157.0 176:69.0 177:120.0 181:65.0 182:93.0 185:122.0 188:730.0 189:209.0 191:475.0 192:3949.0 193:691.0 198:60.0 203:8.0 204:143.0 207:2128.0 209:209.0 213:29.0 215:71.0 216:161.0 217:694.0 218:6220.0 219:5126.0 220:935.0 221:5914.0 222:1718.0 223:526.0 228:162.0 229:60.0 230:44.0 231:1.0 232:6279.0 233:1021.0 234:511.0 236:68.0 238:169.0 241:61.0 242:89.0 244:189.0 245:4.0 248:2.0 250:8.0 253:73.0 255:13.0 256:45.0 257:70.0 258:259.0 259:76.0 260:29.0 261:4.0 264:1.0 266:230.0 267:153.0 269:32.0 270:106.0 271:306.0 273:242.0 275:146.0 279:19.0 281:1629.0 282:696.0 283:495.0 286:13.0 292:4.0 294:81.0 295:213.0 296:236.0 297:123.0 302:144.0 303:32.0 316:21.0 323:101.0 325:278.0 326:195.0 327:932.0 328:402.0 330:22.0 332:3.0 333:112.0 334:5.0 337:42.0 341:804.0 342:565.0 343:93.0 344:42.0 345:8.0 354:12.0 355:1.0 357:839.0 358:35.0 359:11.0 360:31.0 369:76.0 373:52.0 375:6.0 376:1.0 383:165.0 384:151.0 386:10.0 387:115.0 398:16.0 399:78.0 400:63.0 404:6.0 409:8.0 414:39.0 415:277.0 416:363.0 429:191.0 439:7.0 444:1.0 475:44.0 476:11.0 490:95.0</t>
  </si>
  <si>
    <t>241652</t>
  </si>
  <si>
    <t>805775</t>
  </si>
  <si>
    <t>86:3457.0 88:9.0 91:120.0 92:115.0 94:194.0 98:68.0 99:190.0 100:1956.0 101:104.0 102:196.0 107:49.0 110:306.0 112:62.0 114:198.0 116:179.0 117:137.0 120:254.0 124:15.0 125:14.0 126:45.0 128:163.0 129:34.0 130:397.0 138:20.0 139:114.0 140:29.0 141:69.0 142:131.0 143:35.0 144:150.0 146:65.0 150:47.0 152:68.0 153:33.0 154:57.0 155:304.0 156:150.0 157:41.0 158:170.0 160:131.0 162:28.0 167:73.0 168:58.0 169:2.0 170:9.0 172:237.0 173:46.0 174:19307.0 175:3476.0 176:1331.0 177:23.0 182:63.0 183:42.0 184:77.0 186:19.0 187:33.0 188:94.0 196:45.0 197:59.0 207:30.0 209:10.0 212:39.0 214:8.0 215:4.0 218:27.0 219:42.0 225:61.0 226:81.0 227:75.0 228:28.0 232:8.0 233:10.0 239:50.0 241:31.0 242:23.0 243:39.0 244:2.0 245:33.0 248:36.0 249:12.0 253:86.0 254:22.0 255:165.0 256:25.0 257:68.0 262:4.0 264:34.0 265:18.0 266:29.0 267:16.0 268:27.0 269:50.0 270:64.0 271:71.0 274:4.0 277:37.0 278:19.0 282:28.0 284:10.0 285:100.0 287:6.0 290:10.0 292:154.0 294:17.0 295:10.0 297:12.0 298:54.0 300:22.0 304:5.0 305:26.0 306:48.0 310:24.0 314:4.0 315:42.0 318:4.0 319:8.0 321:17.0 322:2.0 327:42.0 329:63.0 330:18.0 332:5.0 333:3.0 339:31.0 341:73.0 342:58.0 345:19.0 347:21.0 348:7.0 350:771.0 351:185.0 352:181.0 353:1.0 359:35.0 362:4.0 366:14.0 367:157.0 368:37.0 369:59.0 372:32.0 382:1.0 383:30.0 387:14.0 389:23.0 395:41.0 400:14.0 401:10.0 403:17.0 408:17.0 412:19.0 420:7.0 427:7.0 428:21.0 429:60.0 434:13.0 442:10.0 451:7.0 452:2.0 468:1.0 470:16.0 471:7.0 473:5.0 475:14.0 476:56.0 479:8.0 483:49.0 484:10.0 485:109.0 486:42.0 487:22.0 497:1.0 500:2.0</t>
  </si>
  <si>
    <t>190</t>
  </si>
  <si>
    <t>241319</t>
  </si>
  <si>
    <t>722394</t>
  </si>
  <si>
    <t>86:6816.0 88:61.0 94:362.0 95:55.0 97:2108.0 98:627.0 99:649.0 100:6567.0 101:247.0 102:1505.0 103:1169.0 105:5.0 107:61.0 110:64.0 112:904.0 113:398.0 114:337.0 115:2864.0 119:29.0 120:13.0 121:41.0 122:1155.0 123:284.0 124:29.0 125:22.0 126:443.0 127:110.0 128:2591.0 129:276.0 130:1387.0 132:90.0 140:1039.0 141:128.0 142:1454.0 143:10.0 144:468.0 146:106.0 148:1.0 150:37.0 152:228.0 153:655.0 154:1547.0 155:468.0 156:413.0 158:2585.0 159:580.0 161:92.0 165:83.0 167:524.0 168:566.0 169:1058.0 170:1520.0 172:240.0 174:45620.0 175:8778.0 176:3945.0 178:13.0 182:399.0 183:1131.0 184:2987.0 185:730.0 186:677.0 187:121.0 188:17.0 189:4.0 190:18.0 191:23.0 193:81.0 194:118.0 195:184.0 197:287.0 198:1546.0 199:72.0 200:70.0 203:161.0 204:166.0 210:318.0 211:29.0 212:5135.0 213:649.0 214:271.0 216:303.0 217:118.0 218:156.0 219:779.0 223:240.0 224:6.0 225:191.0 226:443.0 227:189.0 228:191.0 230:394.0 235:134.0 237:85.0 238:482.0 240:71.0 241:147.0 242:139.0 244:578.0 245:14.0 250:7.0 252:219.0 253:254.0 254:168.0 255:2.0 258:427.0 259:66.0 260:47.0 267:155.0 268:65.0 269:69.0 270:35.0 271:104.0 272:110.0 273:56.0 274:176.0 275:61.0 276:34.0 278:38.0 284:49.0 285:617.0 286:140.0 287:110.0 288:102.0 289:492.0 290:95.0 291:20.0 293:116.0 297:1057.0 298:443.0 300:58.0 305:45.0 308:176.0 309:44.0 310:946.0 311:382.0 312:300.0 313:2133.0 314:7339.0 315:2292.0 316:1054.0 322:81.0 324:8.0 325:173.0 326:23.0 327:423.0 328:83.0 331:103.0 334:55.0 335:63.0 341:831.0 342:414.0 343:432.0 344:167.0 345:57.0 346:10.0 348:22.0 349:59.0 350:64.0 351:82.0 352:28.0 355:123.0 358:46.0 360:46.0 363:14.0 364:123.0 365:46.0 368:370.0 369:21.0 370:742.0 371:103.0 372:66.0 374:36.0 375:13.0 376:2.0 378:13.0 382:174.0 383:6.0 384:26.0 390:20.0 391:36.0 408:1.0 410:24.0 411:20.0 412:3.0 417:36.0 420:5.0 426:2.0 432:186.0 433:85.0 434:46.0 438:12.0 441:1.0 445:15.0 454:15.0 458:92.0 459:39.0 460:1.0 465:4.0 466:3.0 469:1.0 472:14.0 473:22.0 475:12.0 476:25.0 479:63.0 494:24.0 495:1.0</t>
  </si>
  <si>
    <t>241271</t>
  </si>
  <si>
    <t>615712</t>
  </si>
  <si>
    <t>85:11547.0 86:488101.0 87:49330.0 88:21686.0 89:3076.0 90:969.0 93:48.0 94:96.0 95:594.0 96:859.0 98:1914.0 99:6351.0 100:278432.0 101:37299.0 102:86368.0 103:23058.0 104:6071.0 105:4526.0 107:282.0 109:64.0 110:303.0 111:1871.0 112:2492.0 113:8782.0 114:21753.0 115:20740.0 116:31289.0 117:41368.0 118:12322.0 119:11349.0 120:1539.0 121:1528.0 122:331.0 123:328.0 124:118.0 125:771.0 126:1197.0 128:9306.0 129:14381.0 130:81143.0 131:36289.0 132:16114.0 133:36167.0 134:5562.0 135:1148.0 136:1198.0 137:219.0 138:708.0 139:1338.0 140:1453.0 141:1392.0 142:6803.0 143:13496.0 144:23905.0 145:3441.0 146:17569.0 147:195535.0 148:28632.0 149:24753.0 150:4354.0 151:579.0 152:1788.0 153:478.0 155:19604.0 156:12352.0 157:6262.0 158:34150.0 159:7804.0 160:36540.0 161:8841.0 162:3771.0 163:296.0 164:124.0 165:243.0 166:741.0 167:2575.0 168:198.0 169:462.0 170:1395.0 172:32848.0 173:7255.0 174:1136486.0 175:240648.0 176:222801.0 177:36151.0 178:12807.0 179:2330.0 180:789.0 181:686.0 182:181.0 183:7797.0 184:2892.0 185:2678.0 186:61.0 187:15057.0 188:8947.0 190:5492.0 192:483.0 193:579.0 194:16.0 196:325.0 197:463.0 198:78.0 199:933.0 200:2674.0 201:9369.0 202:7535.0 203:2063.0 204:1724.0 205:73.0 206:1213.0 207:2921.0 209:1143.0 210:82.0 211:344.0 212:280.0 213:6929.0 214:1672.0 215:2181.0 216:1661.0 217:2149.0 218:4839.0 220:628.0 222:149.0 223:320.0 224:61.0 225:757.0 226:151.0 227:990.0 228:9934.0 229:31213.0 230:9376.0 231:2197.0 232:1279.0 233:71.0 234:288.0 237:340.0 238:189.0 239:425.0 240:32.0 241:1903.0 242:349.0 243:986.0 244:964.0 245:4686.0 246:4005.0 247:865.0 248:1697.0 249:666.0 250:375.0 252:305.0 253:334.0 254:179.0 255:57.0 256:266.0 257:38113.0 258:10729.0 259:7431.0 260:1145.0 262:221.0 264:367.0 265:123.0 266:292.0 267:177.0 268:192.0 269:4.0 271:68.0 272:692.0 273:6723.0 274:7154.0 275:291.0 276:494.0 277:447.0 280:134.0 282:1.0 284:246.0 285:1424.0 286:418.0 287:375.0 289:643.0 290:123.0 291:561.0 293:1246.0 294:1103.0 295:278.0 297:112.0 298:154.0 301:1391.0 302:348.0 304:475.0 305:1208.0 306:440.0 307:869.0 308:421.0 309:107.0 310:61.0 311:147.0 312:227.0 313:342.0 314:41.0 315:103.0 317:206.0 320:332.0 321:148.0 322:363.0 324:41.0 326:130.0 328:641.0 329:1383.0 331:2528.0 332:855.0 333:227.0 334:443.0 335:264.0 344:142.0 345:173.0 346:1226.0 347:77408.0 348:25606.0 349:11072.0 350:2141.0 351:862.0 353:14.0 354:14.0 356:16.0 358:60.0 359:27.0 362:517.0 363:2620.0 369:1.0 370:212.0 372:179.0 373:424.0 374:267.0 375:13.0 378:312.0 379:223.0 380:107.0 381:88.0 384:101.0 385:123.0 386:35.0 387:216.0 388:19.0 389:202.0 393:14.0 397:170.0 398:9.0 399:130.0 402:97.0 407:25.0 408:26.0 409:38.0 411:49.0 412:100.0 413:151.0 414:128.0 417:5.0 418:175.0 419:155.0 421:154.0 422:347.0 423:34.0 424:19.0 427:56.0 429:181.0 430:59.0 431:87.0 432:50.0 433:182.0 434:144.0 435:27.0 437:1157.0 438:410.0 440:59.0 441:16.0 442:103.0 443:123.0 444:59.0 445:52.0 446:30.0 447:92.0 448:33.0 449:46.0 452:15.0 453:42.0 454:41.0 455:10.0 456:55.0 459:8.0 462:45.0 464:208.0 465:645.0 468:109.0 470:5.0 472:3.0 479:2.0 496:1.0 498:7.0</t>
  </si>
  <si>
    <t>241269</t>
  </si>
  <si>
    <t>583861</t>
  </si>
  <si>
    <t>274</t>
  </si>
  <si>
    <t>85:7101.0 88:1488.0 89:1270.0 90:29.0 92:103.0 94:1236.0 96:221.0 97:648.0 98:845.0 99:835.0 100:4429.0 102:100.0 103:833.0 106:363.0 107:853.0 108:521.0 109:242.0 110:1552.0 111:363.0 112:73765.0 113:5243.0 114:2269.0 115:2439.0 117:2683.0 118:195.0 119:144.0 122:663.0 128:574.0 129:9043.0 130:911.0 131:615.0 132:634.0 133:5211.0 134:541.0 135:119.0 137:55.0 138:171.0 140:360.0 141:2625.0 142:1897.0 143:4784.0 144:9794.0 145:762.0 146:518.0 147:20455.0 148:2541.0 149:2831.0 150:341.0 156:9571.0 157:1637.0 158:1281.0 159:520.0 160:94.0 162:26.0 163:191.0 165:139.0 166:293.0 168:714.0 171:1514.0 172:1553.0 173:577.0 181:42.0 183:137.0 184:7152.0 185:334.0 186:3027.0 187:77.0 193:224.0 199:440.0 200:1063.0 202:714.0 203:427.0 204:1943.0 205:285.0 209:545.0 211:586.0 212:358.0 213:20.0 214:285.0 216:469.0 218:3.0 223:264.0 224:668.0 225:205.0 230:59.0 231:212.0 232:659.0 236:242.0 237:25.0 238:204.0 242:429.0 244:2077.0 245:167.0 246:187.0 247:39.0 250:1.0 256:175.0 258:755.0 259:312.0 260:29.0 261:18.0 266:20.0 268:86.0 272:105.0 273:43.0 274:50566.0 275:12601.0 276:4986.0 277:827.0 278:112.0 280:182.0 286:475.0 288:57.0 290:56.0 291:41.0 292:12.0 293:37.0 295:23.0 297:15.0 300:27.0 301:187.0 302:3980.0 303:1110.0 304:503.0 305:94.0 306:60.0 309:5.0 311:15.0 312:4.0 315:121.0 316:99.0 321:95.0 322:37.0 324:42.0 326:29.0 335:16.0 336:21.0 339:5.0 342:1119.0 343:289.0 344:166.0 348:999.0 349:261.0 350:73.0 358:70.0 368:34.0 373:62.0 376:3549.0 377:1133.0 378:455.0 379:112.0 385:14.0 386:59.0 391:190.0 392:51.0 395:89.0 396:9.0 399:16.0 400:87.0 409:2.0 410:40.0 425:4.0 426:30.0 429:20.0 433:11.0 436:58.0 438:8.0 439:8.0 448:1.0 449:6.0 462:13.0 468:32.0 470:1.0 479:15.0 482:7.0 494:12.0</t>
  </si>
  <si>
    <t>241090</t>
  </si>
  <si>
    <t>1067805</t>
  </si>
  <si>
    <t>85:13167.0 86:4436.0 87:4749.0 88:515.0 89:1191.0 90:524.0 91:30927.0 92:10446.0 93:45667.0 94:121709.0 95:102197.0 96:21488.0 97:14617.0 98:10461.0 99:7789.0 100:2572.0 101:4035.0 102:1049.0 103:2239.0 104:2480.0 105:22518.0 106:35320.0 107:31239.0 108:86944.0 109:30450.0 110:17905.0 111:10648.0 112:7887.0 113:4351.0 114:1611.0 115:3298.0 116:1963.0 117:13335.0 118:6435.0 119:19193.0 120:20284.0 121:21849.0 122:27068.0 123:11299.0 124:7058.0 125:4109.0 126:2703.0 127:3536.0 128:1443.0 129:11464.0 130:4189.0 131:20393.0 132:9004.0 133:14447.0 134:14108.0 135:21200.0 136:22146.0 137:9798.0 138:5958.0 139:2565.0 140:1706.0 141:1931.0 142:725.0 143:4099.0 144:2503.0 145:14968.0 146:6584.0 147:11350.0 148:13766.0 149:12337.0 150:17419.0 151:5203.0 152:3911.0 153:2855.0 154:1167.0 155:2180.0 156:1422.0 157:4986.0 158:3708.0 159:7858.0 160:3814.0 161:7874.0 162:16222.0 163:8927.0 164:10704.0 165:6200.0 166:2691.0 167:1949.0 168:1735.0 169:2792.0 170:1530.0 171:3144.0 172:3250.0 173:4956.0 174:2990.0 175:12962.0 176:37909.0 177:7620.0 178:6051.0 179:1677.0 180:2462.0 181:1854.0 182:937.0 183:1760.0 184:1854.0 185:3082.0 186:6416.0 187:3679.0 188:2230.0 189:2393.0 190:17328.0 191:4119.0 192:5764.0 193:1026.0 194:3350.0 195:2082.0 196:1388.0 197:870.0 198:1140.0 199:1335.0 200:1074.0 201:3051.0 202:1843.0 203:1174.0 204:15410.0 205:2815.0 206:1630.0 208:8939.0 209:3927.0 210:1911.0 211:1348.0 212:739.0 213:1618.0 214:854.0 215:1874.0 216:1314.0 217:778.0 218:2576.0 219:1044.0 220:1037.0 222:9026.0 223:3035.0 224:1881.0 225:4050.0 226:1797.0 227:1332.0 228:634.0 229:659.0 230:874.0 231:1253.0 232:1405.0 233:1312.0 234:824.0 235:1147.0 236:3078.0 238:2123.0 239:692.0 240:541.0 241:818.0 242:1227.0 243:2743.0 244:1905.0 245:1256.0 246:1311.0 247:820.0 248:641.0 249:943.0 250:11721.0 251:4456.0 252:3335.0 253:860.0 254:287.0 255:1717.0 256:513.0 257:353.0 258:798.0 259:941.0 260:2256.0 261:10405.0 262:2829.0 263:1042.0 264:31459.0 265:14393.0 266:3290.0 267:556.0 268:1673.0 269:975.0 270:2742.0 271:1579.0 272:762.0 273:11943.0 274:2424.0 275:913.0 276:506.0 277:294.0 278:24124.0 279:5665.0 280:1224.0 281:473.0 282:695.0 284:166.0 285:173.0 286:444.0 287:1187.0 288:10173.0 289:2733.0 290:1226.0 291:746.0 292:6350.0 293:2395.0 294:929.0 295:158.0 296:1186.0 297:229.0 298:327.0 300:19.0 301:417.0 302:124.0 303:65.0 305:2018.0 306:4690.0 307:1452.0 308:335.0 309:228.0 310:233.0 311:201.0 312:58.0 314:96.0 315:170.0 316:60.0 317:542.0 318:515.0 319:545.0 320:5162.0 321:1400.0 322:67.0 323:53.0 324:387.0 325:356.0 326:104.0 327:88.0 328:454.0 329:158.0 330:221.0 331:19.0 332:173.0 333:379.0 334:1509.0 335:881.0 336:545.0 337:314.0 338:223.0 339:180.0 340:108.0 342:272.0 343:37.0 344:475.0 345:301.0 346:239.0 347:1671.0 348:550.0 349:162.0 350:152.0 351:227.0 352:191.0 353:59.0 354:135.0 356:221.0 357:188.0 358:117.0 360:18.0 361:452.0 362:3601.0 363:1272.0 364:600.0 365:216.0 366:378.0 367:196.0 368:24.0 369:74.0 372:84.0 373:24.0 375:15.0 376:76.0 377:2.0 378:206.0 379:218.0 380:812.0 381:365.0 382:141.0 384:63.0 388:131.0 390:15.0 391:16.0 392:294.0 393:301.0 394:4343.0 395:1597.0 396:360.0 397:99.0 399:38.0 401:134.0 403:87.0 405:5.0 406:298.0 407:200.0 408:27.0 411:187.0 412:218.0 413:228.0 415:340.0 419:24.0 420:81.0 421:273.0 422:181.0 423:57.0 424:29.0 428:38.0 429:49.0 430:70.0 431:319.0 432:58.0 433:48.0 434:279.0 435:776.0 436:6538.0 437:3254.0 438:865.0 439:164.0 440:1.0 441:59.0 445:11.0 446:70.0 447:73.0 448:103.0 449:139.0 450:72.0 453:19.0 455:43.0 456:103.0 457:20.0 458:25.0 459:34.0 461:73.0 463:49.0 464:5.0 466:490.0 467:3320.0 468:1859.0 469:412.0 470:32.0 473:18.0 476:18.0 477:53.0 478:1.0 479:63.0 481:1.0 489:244.0 490:199.0 491:83.0 492:28.0 493:13.0 500:8.0</t>
  </si>
  <si>
    <t>241065</t>
  </si>
  <si>
    <t>837646</t>
  </si>
  <si>
    <t>85:126.0 86:1576.0 87:1.0 91:119.0 97:1.0 98:38.0 99:149.0 100:1599.0 110:335.0 111:34.0 112:4.0 113:124.0 114:292.0 116:12721.0 117:1242.0 118:643.0 127:32.0 128:170.0 129:95.0 140:63.0 141:143.0 142:43.0 144:127.0 156:810.0 157:236.0 158:277.0 161:11.0 168:110.0 171:51.0 172:112.0 173:3.0 174:6965.0 175:892.0 176:144.0 179:152.0 183:32.0 186:74.0 187:8.0 188:88.0 199:140.0 200:32.0 201:8.0 202:82.0 204:35.0 211:11.0 213:53.0 214:51.0 216:22.0 220:14.0 227:20.0 230:29.0 235:9.0 239:7.0 241:52.0 242:39.0 243:59.0 244:12.0 246:13.0 247:22.0 253:116.0 254:9.0 255:57.0 256:3.0 257:71.0 258:85.0 260:11.0 270:7.0 271:28.0 273:35.0 274:4.0 275:1.0 276:10.0 282:80.0 283:43.0 288:100.0 289:36.0 290:350.0 291:87.0 292:46.0 299:5.0 300:8.0 301:17.0 302:13.0 303:16.0 307:5.0 311:5.0 314:11.0 315:50.0 318:20.0 320:11.0 324:5.0 327:22.0 329:51.0 338:2.0 341:34.0 342:50.0 343:13.0 344:7.0 345:8.0 346:4.0 355:53.0 356:28.0 360:20.0 363:11.0 368:44.0 369:38.0 371:19.0 377:11.0 379:9.0 381:2.0 383:14.0 391:27.0 393:17.0 399:17.0 402:34.0 412:1.0 416:5.0 425:18.0 428:16.0 429:59.0 430:32.0 431:13.0 432:6.0 435:15.0 442:14.0 446:19.0 447:32.0 451:21.0 455:9.0 460:21.0 463:14.0 465:8.0 468:33.0 470:19.0 472:7.0 473:32.0 475:27.0 476:38.0 479:6.0 484:2.0 489:26.0 490:72.0 491:92.0 492:46.0 494:12.0 500:11.0</t>
  </si>
  <si>
    <t>241064</t>
  </si>
  <si>
    <t>803253</t>
  </si>
  <si>
    <t>85:254.0 86:1293.0 87:132.0 89:31.0 90:40.0 91:3283.0 92:157.0 93:105.0 95:58.0 96:25.0 98:413.0 99:145.0 100:1400.0 102:221.0 103:1156.0 104:2377.0 105:133.0 107:51.0 108:2.0 109:4.0 110:123.0 112:148.0 114:7.0 115:134.0 117:95.0 120:4.0 121:41.0 123:1.0 124:129.0 125:80.0 126:19.0 127:124.0 128:919.0 129:227.0 131:377.0 132:435.0 135:9.0 136:4.0 140:209.0 141:29.0 142:197.0 143:15.0 144:116.0 146:137.0 152:29.0 153:140.0 154:376.0 155:44.0 156:1998.0 157:324.0 158:22.0 160:94.0 164:2.0 168:96.0 169:176.0 170:842.0 171:101.0 172:220.0 173:191.0 174:4728.0 175:868.0 176:335.0 179:1.0 181:104.0 182:76.0 186:38.0 187:20.0 188:6.0 190:18.0 194:1.0 195:125.0 196:453.0 197:5583.0 198:988.0 199:308.0 200:92.0 201:394.0 202:154.0 203:1.0 204:28.0 205:8.0 208:5.0 209:1998.0 210:247.0 211:2.0 212:141.0 213:19.0 216:20.0 218:221.0 219:6.0 220:3.0 221:6.0 223:61.0 224:157.0 225:6451.0 226:1123.0 227:262.0 231:2.0 232:7.0 233:1.0 238:4.0 239:3.0 244:3.0 246:268.0 251:37.0 252:1.0 253:4.0 256:3.0 258:1.0 266:3.0 267:2.0 270:3.0 272:59.0 273:219.0 274:28.0 275:1.0 277:2.0 279:1.0 280:1.0 281:4.0 293:3.0 294:2.0 296:6.0 301:588.0 302:128.0 310:1.0 312:1.0 313:212.0 314:44.0 315:30.0 316:1423.0 317:534.0 318:125.0 329:1.0 335:1.0 342:57.0 356:1.0 357:17.0 368:5.0 369:5.0 372:1.0 381:16.0 383:9.0 404:2.0 419:2.0 459:1.0 460:1.0 475:2.0 486:38.0 487:14.0 490:1.0</t>
  </si>
  <si>
    <t>241059</t>
  </si>
  <si>
    <t>702583</t>
  </si>
  <si>
    <t>85:26.0 86:1120.0 93:30.0 94:15.0 95:4.0 96:12.0 98:76.0 99:87.0 100:1036.0 101:375.0 115:16.0 122:14.0 124:81.0 126:120.0 129:12.0 130:171.0 134:56.0 135:15.0 137:1.0 139:41.0 140:193.0 141:168.0 142:8762.0 143:850.0 144:1358.0 145:3.0 149:3.0 150:28.0 152:157.0 156:66.0 157:19.0 158:49.0 166:3.0 169:19.0 170:23.0 171:25.0 172:127.0 173:44.0 174:1669.0 176:35.0 179:50.0 181:5.0 182:3.0 188:74.0 189:12.0 193:5.0 197:3.0 198:38.0 199:83.0 201:55.0 202:1.0 204:10.0 205:13.0 206:5.0 208:7.0 209:86.0 213:27.0 215:2.0 217:9.0 218:44.0 219:7.0 221:10.0 226:15.0 227:116.0 228:46.0 229:118.0 230:137.0 238:14.0 239:4.0 240:23.0 241:138.0 242:6.0 243:3.0 244:36.0 246:2.0 248:46.0 252:16.0 256:4.0 257:277.0 258:15.0 260:1.0 263:1.0 265:39.0 267:72.0 269:24.0 270:1.0 273:74.0 274:12.0 278:56.0 280:7.0 282:64.0 284:6.0 286:6.0 289:48.0 294:19.0 297:31.0 300:2.0 301:2.0 307:296.0 308:119.0 310:36.0 311:32.0 312:13.0 313:5.0 315:2.0 317:1.0 318:2.0 320:49.0 321:13.0 323:52.0 324:1.0 331:49.0 332:27.0 333:6.0 334:1.0 337:1.0 340:48.0 342:4.0 343:1.0 347:303.0 348:165.0 349:35.0 352:50.0 354:1185.0 355:277.0 356:82.0 357:69.0 358:25.0 366:13.0 368:57.0 369:67.0 374:26.0 380:13.0 382:14.0 383:9.0 384:5.0 386:150.0 388:7.0 390:1.0 396:3.0 399:5.0 404:3.0 405:26.0 408:18.0 425:2.0 429:53.0 430:19.0 433:8.0 440:13.0 460:9.0 461:23.0 469:2.0 472:7.0 476:31.0</t>
  </si>
  <si>
    <t>241049</t>
  </si>
  <si>
    <t>906403</t>
  </si>
  <si>
    <t>85:20.0 86:211.0 88:12.0 90:239.0 91:332.0 95:135.0 96:32.0 99:263.0 100:842.0 101:122.0 109:89.0 112:55.0 113:23.0 114:60.0 116:59.0 120:82.0 122:6.0 126:116.0 127:3.0 131:518.0 133:374.0 134:959.0 140:69.0 144:51.0 145:44.0 146:66.0 149:88.0 151:200.0 152:5.0 153:9.0 154:367.0 155:21.0 156:196.0 161:43.0 162:38.0 163:355.0 164:273.0 165:59.0 168:20.0 169:75.0 172:69.0 174:6.0 176:92.0 177:286.0 179:16096.0 180:2237.0 181:429.0 182:104.0 183:28.0 187:101.0 188:33.0 190:41.0 191:229.0 193:358.0 194:65.0 195:14.0 196:37.0 197:392.0 198:34.0 204:12.0 205:53.0 208:73.0 209:537.0 210:420.0 212:8.0 216:107.0 219:26.0 223:89.0 224:179.0 225:434.0 226:57.0 228:45.0 234:46.0 235:21.0 237:9.0 238:4.0 239:17.0 240:7.0 242:27.0 244:75.0 245:62.0 246:17.0 247:18.0 249:33.0 252:40.0 254:14.0 256:13.0 263:22.0 267:237.0 268:49.0 271:49.0 272:14.0 273:35.0 274:5.0 276:4.0 278:43.0 279:13.0 280:19.0 281:423.0 282:175.0 283:18.0 284:16.0 289:6.0 292:4.0 293:11.0 294:2.0 296:94.0 297:563.0 298:2643.0 299:542.0 300:295.0 301:27.0 302:19.0 305:34.0 306:27.0 311:51.0 312:27.0 313:8.0 323:48.0 324:47.0 326:10.0 327:185.0 328:86.0 329:88.0 330:9.0 331:26.0 332:33.0 333:8.0 335:12.0 337:4.0 338:1.0 341:55.0 342:286.0 344:76.0 345:18.0 346:5.0 347:12.0 348:1.0 349:8.0 350:5.0 351:2.0 352:9.0 353:45.0 356:224.0 357:189.0 358:118.0 360:35.0 363:31.0 366:20.0 367:12.0 369:126.0 373:14.0 374:1.0 376:9.0 377:67.0 379:48.0 382:17.0 383:39.0 384:28.0 386:36.0 389:398.0 390:110.0 391:12.0 392:32.0 394:1.0 397:71.0 398:48.0 400:111.0 401:189.0 402:90.0 403:73.0 404:240.0 405:185.0 406:10.0 407:7.0 408:7.0 410:15.0 411:4.0 414:2.0 416:171.0 418:1.0 419:15.0 421:9.0 422:2.0 425:11.0 427:15.0 429:252.0 430:232.0 431:87.0 432:69.0 433:3.0 435:41.0 439:3.0 440:9.0 444:33.0 455:5.0 456:2.0 457:54.0 459:46.0 461:10.0 463:12.0 464:44.0 465:7.0 471:62.0 472:94.0 473:38.0 474:39.0 479:24.0 481:14.0 482:17.0 487:8.0 490:26.0 492:76.0 493:27.0 496:5.0 498:17.0</t>
  </si>
  <si>
    <t>241043</t>
  </si>
  <si>
    <t>652765</t>
  </si>
  <si>
    <t>85:811.0 86:2386.0 87:7.0 88:244.0 91:172.0 92:142.0 93:394.0 94:1012.0 95:305.0 96:436.0 98:166.0 99:1198.0 100:1919.0 101:1311.0 102:1039.0 104:80.0 106:294.0 108:577.0 109:315.0 110:703.0 111:326.0 112:764.0 113:968.0 114:735.0 115:483.0 116:1365.0 117:4225.0 118:853.0 119:876.0 121:293.0 122:212.0 124:593.0 125:374.0 128:1280.0 129:374.0 130:2236.0 131:725.0 133:371.0 134:1171.0 135:1036.0 136:654.0 137:558.0 138:335.0 139:282.0 140:1480.0 141:1423.0 142:1548.0 143:624.0 144:834.0 147:561.0 150:40.0 151:188.0 152:533.0 153:481.0 154:1135.0 155:454.0 156:24401.0 157:3783.0 158:901.0 159:152.0 160:107.0 161:220.0 165:60.0 166:100.0 167:561.0 168:862.0 169:1524.0 170:6826.0 171:1619.0 172:458.0 173:77.0 174:2016.0 175:104.0 176:143.0 177:5.0 178:2.0 179:913.0 180:148.0 181:854.0 182:8.0 183:1156.0 184:1762.0 185:516.0 186:149.0 187:51.0 188:135.0 190:152.0 191:1357.0 192:191.0 193:339.0 194:161.0 195:823.0 196:727.0 197:554.0 198:422.0 199:336.0 200:105.0 202:49.0 204:1940.0 208:195.0 209:3131.0 210:1036.0 211:677.0 212:985.0 213:222.0 216:265.0 220:28.0 223:224.0 224:513.0 225:3285.0 226:14420.0 227:8.0 234:30.0 235:121.0 236:209.0 237:706.0 238:86.0 239:198.0 240:34.0 242:39.0 244:205.0 246:21.0 252:340.0 254:67.0 255:371.0 259:75.0 260:34.0 264:105.0 265:28.0 267:151.0 269:92.0 270:64.0 271:445.0 272:52.0 274:105.0 277:4.0 278:2.0 281:4.0 282:3.0 283:503.0 284:90.0 285:464.0 286:172.0 287:90.0 288:14.0 291:88.0 292:9.0 294:57.0 295:25.0 296:156.0 297:2355.0 298:2319.0 299:926.0 300:161.0 301:109.0 306:80.0 307:22.0 308:21.0 310:355.0 311:227.0 312:80.0 313:663.0 314:343.0 315:98.0 316:4.0 318:471.0 319:150.0 320:97.0 324:360.0 325:1399.0 326:540.0 327:2351.0 328:2278.0 329:699.0 330:228.0 331:43.0 338:103.0 339:201.0 340:23.0 354:237.0 355:78.0 357:8.0 358:22.0 367:15.0 368:50.0 375:38.0 379:2.0 383:10.0 399:40.0 405:12.0 432:46.0 433:13.0 434:2.0 435:2.0 450:25.0 451:197.0 452:57.0 453:2.0 454:18.0 457:8.0 471:11.0 474:2.0 477:8.0 488:8.0 495:3.0 498:22.0</t>
  </si>
  <si>
    <t>241041</t>
  </si>
  <si>
    <t>710824</t>
  </si>
  <si>
    <t>86:446.0 87:42.0 88:6.0 89:3.0 90:7.0 93:1.0 95:2.0 96:8.0 99:185.0 100:558.0 101:4.0 102:10.0 104:60.0 106:6.0 107:211.0 109:172.0 111:32.0 112:47.0 113:97.0 114:31.0 116:220.0 117:208.0 119:20.0 123:12.0 130:74.0 132:2.0 133:34.0 134:364.0 135:3.0 138:24.0 140:171.0 141:49.0 142:18299.0 143:2543.0 144:1014.0 146:36.0 147:307.0 148:86.0 149:18.0 151:8.0 158:75.0 161:18.0 162:1.0 166:1.0 167:78.0 169:133.0 170:199.0 171:99.0 172:8.0 173:42.0 174:1686.0 177:15.0 182:21.0 184:37.0 186:4.0 187:21.0 188:8.0 189:14.0 190:4.0 195:5.0 197:2.0 198:4.0 199:20.0 200:15.0 201:18.0 202:7.0 203:4.0 204:78.0 213:5.0 216:8.0 218:82.0 219:16.0 220:8.0 221:10.0 223:10.0 226:51.0 230:7.0 232:8.0 236:94.0 243:53.0 244:7.0 246:19.0 255:49.0 258:27.0 259:13.0 260:13.0 261:2.0 264:1.0 270:1.0 271:38.0 276:10.0 277:5.0 286:3.0 287:33.0 288:9.0 289:2.0 290:8.0 294:26.0 295:20.0 296:6.0 302:2.0 303:11.0 310:22.0 313:37.0 316:5.0 317:4.0 319:7.0 323:52.0 326:1.0 329:1.0 330:3.0 334:2.0 336:1.0 346:25.0 353:1.0 356:27.0 360:4.0 373:1.0 384:27.0 387:38.0 390:2.0 392:2.0 394:1.0 395:1.0 398:92.0 399:1.0 403:11.0 404:4.0 405:1.0 412:17.0 414:12.0 426:1.0 428:2.0 429:3.0 431:46.0 434:1.0 458:1.0 460:2.0 462:35.0</t>
  </si>
  <si>
    <t>241039</t>
  </si>
  <si>
    <t>498353</t>
  </si>
  <si>
    <t>85:203.0 86:2927.0 87:254.0 88:83.0 90:12.0 91:473.0 93:21.0 94:359.0 95:806.0 97:135.0 98:564.0 99:925.0 100:2383.0 101:247.0 102:625.0 103:5815.0 104:98.0 105:19.0 107:1371.0 108:186.0 109:664.0 110:2711.0 111:794.0 112:274.0 113:767.0 114:714.0 115:371.0 116:2129.0 118:692.0 119:371.0 121:212.0 122:112.0 123:861.0 124:303.0 125:43.0 126:129.0 128:863.0 129:508.0 131:1453.0 132:302.0 133:1376.0 134:312.0 135:47.0 136:561.0 137:49.0 138:25.0 139:270.0 140:355.0 141:1157.0 142:4796.0 143:1597.0 144:1398.0 145:205.0 146:45.0 147:1282.0 151:51.0 152:47.0 153:1180.0 154:569.0 155:364.0 156:3537.0 157:969.0 158:1060.0 159:20.0 161:11.0 163:87.0 166:66.0 167:928.0 168:729.0 169:2012.0 170:6895.0 171:1525.0 172:1002.0 173:171.0 174:916.0 175:236.0 176:443.0 179:227.0 181:209.0 182:417.0 183:488.0 184:6520.0 185:909.0 186:414.0 188:259.0 191:423.0 195:98.0 196:199.0 197:627.0 198:280.0 199:809.0 200:5.0 202:151.0 204:147.0 207:90.0 208:30.0 209:49.0 212:263.0 213:1347.0 214:189.0 218:182.0 219:62.0 221:7.0 222:7.0 224:221.0 225:15.0 226:221.0 227:1086.0 228:2063.0 229:4391.0 230:1215.0 231:357.0 232:76.0 233:58.0 235:38.0 239:138.0 240:70.0 241:8445.0 242:2775.0 243:1852.0 244:914.0 245:231.0 248:12.0 250:229.0 251:15.0 253:216.0 254:44.0 255:1676.0 256:268.0 257:12012.0 258:5716.0 259:1925.0 260:348.0 261:143.0 265:166.0 266:189.0 267:22.0 268:1.0 269:805.0 270:544.0 271:2959.0 272:603.0 273:226.0 274:83.0 277:9.0 279:114.0 280:22.0 282:137.0 283:114.0 284:384.0 285:2853.0 286:840.0 287:380.0 288:44.0 289:1.0 290:14.0 292:62.0 294:52.0 295:113.0 297:201.0 298:19.0 299:4145.0 300:1083.0 301:373.0 302:39.0 308:9.0 310:7.0 312:35.0 313:102.0 314:976.0 315:184.0 316:51.0 318:51.0 319:14.0 329:279.0 330:155.0 333:2.0 335:45.0 336:7.0 338:9.0 343:45.0 344:64.0 348:8.0 350:3.0 351:6.0 352:1.0 358:53.0 359:833.0 360:403.0 361:142.0 362:107.0 363:7.0 364:32.0 367:52.0 368:91.0 369:17.0 372:22.0 374:174.0 375:72.0 376:5.0 381:7.0 391:16.0 392:8.0 396:16.0 399:25.0 400:35.0 406:8.0 407:2.0 408:17.0 412:19.0 414:11.0 418:42.0 420:30.0 423:13.0 425:1.0 437:22.0 438:32.0 445:26.0 446:2.0 449:1.0 451:45.0 452:71.0 455:3.0 456:2.0 457:22.0 458:23.0 462:40.0 463:7.0 467:21.0 470:14.0 471:40.0 472:63.0 473:11.0 475:2.0 476:3.0 480:9.0 483:10.0 484:19.0 485:4.0 486:14.0 492:17.0 493:7.0 495:47.0 496:14.0 497:11.0 499:44.0 500:10.0</t>
  </si>
  <si>
    <t>241037</t>
  </si>
  <si>
    <t>942692</t>
  </si>
  <si>
    <t>85:104.0 86:8387.0 87:839.0 88:13.0 92:6.0 94:2.0 95:67.0 98:71.0 99:169.0 100:4157.0 101:444.0 102:848.0 107:329.0 109:171.0 112:48.0 114:568.0 115:73.0 116:304.0 117:100.0 118:104.0 128:453.0 129:225.0 130:509.0 131:342.0 140:188.0 141:573.0 142:5249.0 143:639.0 144:489.0 146:51.0 149:354.0 154:45.0 155:44.0 156:564.0 157:320.0 158:534.0 159:21.0 164:34.0 167:187.0 168:141.0 169:107.0 170:256.0 171:126.0 172:816.0 173:221.0 174:30907.0 175:5624.0 176:2447.0 177:194.0 178:53.0 179:14.0 181:100.0 182:112.0 183:255.0 184:124.0 185:149.0 186:84.0 187:316.0 188:154.0 189:5.0 195:3.0 197:112.0 198:383.0 199:172.0 200:236.0 201:150.0 202:33.0 209:3.0 210:16.0 213:112.0 214:100.0 216:6.0 222:64.0 223:149.0 224:19.0 225:2.0 226:47.0 227:254.0 228:197.0 229:67.0 232:4.0 233:22.0 237:23.0 240:5.0 241:726.0 242:146.0 243:258.0 244:57.0 248:41.0 253:115.0 254:13.0 255:1467.0 256:788.0 257:408.0 258:106.0 267:1.0 268:60.0 269:140.0 270:129.0 271:641.0 272:626.0 273:288.0 274:73.0 281:116.0 282:211.0 283:29.0 284:4.0 287:17.0 295:30.0 296:60.0 297:48.0 298:24.0 299:4428.0 300:1169.0 301:491.0 302:78.0 303:3.0 305:25.0 313:45.0 314:27.0 325:79.0 326:64.0 327:44.0 328:49.0 329:157.0 332:6.0 335:2.0 338:28.0 341:539.0 342:103.0 344:32.0 356:56.0 357:66.0 358:95.0 360:1.0 366:6.0 367:46.0 368:31.0 369:2.0 371:465.0 372:167.0 373:133.0 378:2.0 379:20.0 380:2.0 382:1.0 385:38.0 386:2.0 389:23.0 392:10.0 394:2.0 396:21.0 399:7.0 400:63.0 401:60.0 402:44.0 403:11.0 413:42.0 415:42.0 416:111.0 419:21.0 426:27.0 429:202.0 431:21.0 432:9.0 433:2.0 435:19.0 437:13.0 438:32.0 443:21.0 444:2.0 446:10.0 449:4.0 457:10.0 460:4.0 461:8.0 462:7.0 463:42.0 465:11.0 466:5.0 467:39.0 470:3.0 473:8.0 475:59.0 488:32.0 491:5.0 492:5.0 495:14.0 498:11.0</t>
  </si>
  <si>
    <t>241028</t>
  </si>
  <si>
    <t>531595</t>
  </si>
  <si>
    <t>85:500.0 86:36361.0 87:3238.0 88:1504.0 90:53.0 92:17.0 94:55.0 97:687.0 98:682.0 99:1398.0 100:20004.0 101:3441.0 102:3206.0 103:603.0 104:53.0 106:90.0 110:293.0 111:308.0 112:615.0 113:1345.0 114:1137.0 115:876.0 116:1702.0 117:3286.0 118:513.0 119:468.0 124:36.0 125:60.0 126:26.0 127:295.0 128:675.0 129:906.0 130:7121.0 131:2197.0 132:671.0 133:2466.0 134:806.0 139:154.0 140:755.0 141:212.0 142:519.0 143:751.0 144:3364.0 145:390.0 146:1386.0 147:6036.0 149:201.0 151:23.0 153:56.0 154:1065.0 155:901.0 156:755.0 157:275.0 158:2807.0 159:2988.0 160:1677.0 161:488.0 162:39.0 167:122.0 169:120.0 170:1092.0 171:511.0 172:2967.0 173:909.0 174:85208.0 175:15302.0 176:7111.0 177:763.0 179:452.0 183:135.0 184:759.0 185:453.0 186:1517.0 187:532.0 188:464.0 189:15.0 190:19.0 199:360.0 200:214.0 201:51.0 202:115.0 204:202.0 205:1.0 210:1.0 212:115.0 213:490.0 214:1083.0 215:206.0 216:2479.0 217:518.0 222:1.0 227:234.0 228:399.0 229:290.0 230:277.0 232:33.0 241:32.0 242:92.0 243:134.0 244:67.0 248:39.0 256:132.0 258:23.0 262:291.0 287:304.0 288:142.0 289:36.0 301:73.0 302:34.0 312:1.0 314:89.0 315:8883.0 316:2486.0 317:1250.0 318:209.0 319:32.0 328:5.0 329:2723.0 330:885.0 331:394.0 332:83.0 344:253.0 345:34.0 346:46.0 365:1.0 389:4.0 420:3.0 439:6.0 461:9.0 500:4.0</t>
  </si>
  <si>
    <t>240551</t>
  </si>
  <si>
    <t>763602</t>
  </si>
  <si>
    <t>85:436.0 86:3557.0 91:5.0 99:339.0 100:1689.0 102:280.0 103:182.0 104:14.0 112:368.0 113:42.0 116:25.0 124:16.0 125:67.0 128:84.0 131:6.0 133:40.0 139:73.0 140:332.0 142:365.0 144:21.0 145:3.0 146:217.0 154:183.0 156:4.0 157:208.0 158:31.0 160:408.0 161:70.0 164:2.0 167:4.0 168:41.0 172:393.0 174:10539.0 175:1665.0 176:470.0 181:1.0 182:65.0 186:3.0 188:23.0 195:6.0 199:8.0 202:93.0 207:19.0 211:326.0 212:119.0 213:20.0 216:27.0 220:6.0 225:2.0 227:75.0 228:102.0 229:202.0 241:176.0 242:36.0 243:334.0 244:78.0 250:2.0 253:28.0 257:317.0 258:109.0 259:14.0 260:8.0 266:1.0 270:43.0 271:150.0 272:17.0 280:1.0 284:27.0 285:3.0 286:2.0 287:11.0 291:73.0 296:9.0 297:2.0 298:43.0 299:56.0 301:2.0 302:24.0 305:111.0 306:45.0 310:12.0 311:295.0 312:577.0 313:153.0 314:89.0 315:8.0 316:31.0 319:395.0 320:50.0 323:17.0 326:1.0 329:3.0 331:1.0 332:9.0 340:21.0 343:1.0 344:17.0 345:2.0 348:1.0 358:11.0 359:8.0 360:2.0 363:7.0 364:18.0 367:1.0 368:11.0 370:3.0 371:1.0 373:3.0 374:2.0 375:2.0 378:35.0 382:17.0 384:11.0 387:8.0 394:28.0 400:36.0 409:4.0 413:13.0 418:12.0 423:17.0 434:38.0 441:6.0 443:12.0 445:2.0 446:2.0 448:97.0 456:26.0 458:189.0 459:86.0 462:2.0 472:24.0 473:271.0 474:113.0 475:8.0 481:17.0 485:22.0 487:33.0 489:5.0 491:1.0 497:5.0</t>
  </si>
  <si>
    <t>239332</t>
  </si>
  <si>
    <t>505981</t>
  </si>
  <si>
    <t>85:1233.0 86:316.0 87:63.0 88:171.0 89:32.0 90:106.0 95:111.0 96:4.0 98:33.0 99:123.0 100:1299.0 101:712.0 102:128.0 103:541.0 104:96.0 106:18.0 107:414.0 109:307.0 110:109.0 111:96.0 113:1.0 114:437.0 115:444.0 116:469.0 118:94.0 119:7.0 121:11.0 122:7.0 123:9.0 125:4.0 126:27.0 127:427.0 128:8.0 129:5019.0 130:325.0 131:440.0 132:101.0 133:921.0 134:73.0 135:84.0 136:14.0 137:8.0 139:34.0 142:244.0 143:73.0 147:5572.0 148:417.0 149:614.0 150:58.0 151:18.0 153:75.0 154:176.0 155:317.0 157:9659.0 158:1206.0 159:613.0 160:80.0 161:6.0 162:15.0 163:29.0 164:4.0 168:16.0 169:115.0 170:118.0 172:65.0 173:23.0 174:72.0 175:31.0 177:1.0 180:35.0 181:6.0 182:107.0 183:80.0 184:166.0 185:140.0 188:48.0 189:32.0 191:18.0 193:1.0 199:50.0 200:6.0 201:6.0 203:900.0 204:173.0 205:21.0 207:1.0 208:10.0 209:5.0 214:4.0 215:4.0 218:15.0 220:5.0 224:4.0 228:149.0 229:3.0 231:369.0 232:10.0 233:2.0 243:716.0 244:1043.0 245:287.0 246:99.0 247:1493.0 248:308.0 249:32.0 251:3.0 252:1.0 264:2.0 273:240.0 274:35.0 275:5.0 277:2.0 281:7.0 285:170.0 286:20.0 292:1.0 297:17.0 298:7.0 299:4.0 300:2.0 306:1.0 307:1.0 311:1.0 320:1.0 321:17.0 323:5.0 325:2.0 330:51.0 331:1.0 333:8.0 335:2.0 337:1.0 338:1.0 341:1.0 349:205.0 350:36.0 351:4.0 354:1.0 355:2.0 356:3.0 357:6.0 362:7.0 367:2.0 371:1.0 372:3.0 380:1.0 381:1.0 382:1.0 386:1.0 387:7.0 390:1.0 396:1.0 413:2.0 428:1.0 429:5.0 438:1.0 446:1.0 455:1.0 457:1.0 461:1.0 462:1.0 466:1.0 475:1.0 476:1.0 482:1.0 489:3.0 498:1.0 499:1.0</t>
  </si>
  <si>
    <t>145</t>
  </si>
  <si>
    <t>239305</t>
  </si>
  <si>
    <t>590000</t>
  </si>
  <si>
    <t>85:6928.0 86:43780.0 87:5317.0 88:2160.0 89:852.0 90:400.0 91:1017.0 92:1205.0 93:1170.0 94:2553.0 95:4099.0 96:4705.0 97:3726.0 98:8406.0 99:7445.0 100:31023.0 101:10827.0 102:23783.0 103:2980.0 104:760.0 105:1259.0 106:1274.0 107:2243.0 108:2695.0 109:9683.0 110:2615.0 111:122237.0 112:12087.0 113:12304.0 114:5526.0 115:3341.0 116:4339.0 117:2503.0 118:588.0 119:401.0 120:421.0 121:683.0 122:674.0 123:2322.0 124:2933.0 125:4026.0 126:6905.0 127:3634.0 128:10545.0 129:9782.0 130:1873.0 131:891.0 132:358.0 133:176.0 135:324.0 136:554.0 137:1668.0 138:940.0 139:1907.0 140:9381.0 141:12957.0 142:11850.0 143:3455.0 144:781.0 145:494.0 146:22.0 148:17.0 149:202.0 150:515.0 151:993.0 152:2356.0 153:3260.0 154:23930.0 155:32312.0 156:37668.0 157:8249.0 158:2649.0 159:508.0 160:20.0 161:41.0 163:126.0 164:116.0 165:818.0 166:699.0 167:2248.0 168:3000.0 169:7769.0 170:20088.0 171:8505.0 172:1641.0 173:354.0 174:3.0 175:55.0 176:13.0 177:24.0 179:327.0 180:357.0 181:14119.0 182:7347.0 183:53977.0 184:20939.0 185:5265.0 186:1012.0 187:151.0 188:44.0 189:67.0 190:68.0 191:673.0 192:189.0 193:264.0 194:225.0 195:939.0 196:431.0 197:20486.0 198:14565.0 199:3340.0 200:865.0 201:170.0 202:160.0 203:191.0 204:104.0 205:267.0 206:93.0 207:7.0 208:63.0 209:3714.0 210:7882.0 211:43106.0 212:7525.0 213:2058.0 214:267.0 215:153.0 216:153.0 217:306.0 218:314.0 219:1423.0 220:1275.0 221:882.0 222:226.0 223:592.0 224:1173.0 225:4469.0 226:143881.0 227:25294.0 228:7619.0 229:890.0 230:105.0 231:119.0 232:17.0 233:357.0 234:835.0 235:492.0 236:117.0 237:58.0 238:432.0 239:111.0 240:50.0 241:250.0 242:36.0 243:23.0 244:31.0 245:20.0 247:8.0 251:26.0 252:24.0 253:14.0 254:25.0 255:97.0 256:14.0 257:115.0 258:687.0 259:126.0 260:64.0 261:14.0 262:28.0 263:159.0 264:70.0 265:67.0 266:26.0 267:4.0 269:13.0 271:40.0 272:75.0 273:24.0 274:5.0 275:1.0 276:11.0 277:239.0 278:100.0 279:84.0 280:58.0 281:85.0 283:14.0 285:24.0 286:16.0 288:4.0 289:14.0 290:39.0 291:215.0 292:131.0 293:6543.0 294:1829.0 295:712.0 296:195.0 297:233.0 298:131.0 299:5.0 300:23.0 301:28.0 302:4.0 303:34.0 304:1.0 305:49.0 306:60.0 307:1749.0 308:6220.0 309:1727.0 310:690.0 311:120.0 314:23.0 317:3.0 322:5.0 323:2.0 324:21.0 326:10.0 327:36.0 329:18.0 331:45.0 332:12.0 333:27.0 334:14.0 335:14.0 336:8.0 338:10.0 339:2.0 340:2.0 341:31.0 342:24.0 344:8.0 345:7.0 346:1.0 347:1.0 348:6.0 352:1.0 353:17.0 354:7.0 355:105.0 362:10.0 364:7.0 365:8.0 366:1.0 367:14.0 368:12.0 369:6.0 371:10.0 372:12.0 373:4.0 374:13.0 375:35.0 376:8.0 377:4.0 378:4.0 381:3.0 382:11.0 383:6.0 384:11.0 385:4.0 386:6.0 387:6.0 388:18.0 389:7.0 390:2.0 392:2.0 393:5.0 400:19.0 401:20.0 402:22.0 403:4.0 404:5.0 405:28.0 406:9.0 407:7.0 409:3.0 411:10.0 412:4.0 413:2.0 414:1.0 415:2.0 417:14.0 418:4.0 420:8.0 422:9.0 423:6.0 426:3.0 427:2.0 428:4.0 429:15.0 430:5.0 431:7.0 432:15.0 434:8.0 435:20.0 436:13.0 437:11.0 438:2.0 439:6.0 440:2.0 441:4.0 442:5.0 443:9.0 444:6.0 445:4.0 446:7.0 447:9.0 448:10.0 449:27.0 451:11.0 452:4.0 455:8.0 456:2.0 457:6.0 459:17.0 460:4.0 462:3.0 463:15.0 464:3.0 466:1.0 467:5.0 468:5.0 470:6.0 472:10.0 473:4.0 474:5.0 475:11.0 476:3.0 477:8.0 478:9.0 480:6.0 482:23.0 483:9.0 484:1.0 485:6.0 486:17.0 488:15.0 489:18.0 490:1.0 491:8.0 493:8.0 494:4.0 495:2.0 497:2.0 498:10.0 499:7.0 500:9.0</t>
  </si>
  <si>
    <t>238437</t>
  </si>
  <si>
    <t>905447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</si>
  <si>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</si>
  <si>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238384</t>
  </si>
  <si>
    <t>687003</t>
  </si>
  <si>
    <t>85:2.0 86:22.0 88:26.0 89:3.0 90:3.0 92:12.0 94:61.0 99:1.0 102:3.0 106:7.0 110:175.0 112:89.0 113:16.0 116:82.0 117:14.0 118:48.0 122:18.0 128:2.0 132:194.0 134:196.0 138:63.0 139:104.0 140:225.0 141:233.0 142:18.0 145:73.0 149:16.0 151:1.0 153:74.0 154:26.0 155:2.0 156:6715.0 157:777.0 158:192.0 159:24.0 167:9.0 168:93.0 173:4.0 175:5.0 180:8.0 181:72.0 183:12.0 185:11.0 186:13.0 187:13.0 189:9.0 198:26.0 199:13.0 206:2.0 207:5.0 209:2.0 214:24.0 215:1.0 217:15.0 218:5.0 220:8.0 226:23.0 228:5.0 229:5.0 231:17.0 235:2.0 237:2.0 238:51.0 242:150.0 243:3.0 245:90.0 259:10.0 264:4.0 269:14.0 271:82.0 273:27.0 278:2.0 283:2.0 285:99.0 289:9.0 292:19.0 293:3.0 294:2.0 295:1.0 298:2.0 301:3.0 305:3.0 311:3.0 313:21.0 316:24.0 318:10.0 320:34.0 321:20.0 324:1.0 325:12.0 333:1.0 337:24.0 339:1.0 340:56.0 353:37.0 365:34.0 368:29.0 370:1.0 375:2.0 376:1.0 379:6.0 380:11.0 381:1.0 384:15.0 385:20.0 390:1.0 394:6.0 407:34.0 408:30.0 422:4.0 425:24.0 430:2.0 433:1.0 434:5.0 435:3.0 441:1.0 444:1.0 450:20.0 452:9.0 487:13.0 491:2.0 492:8.0 497:1.0</t>
  </si>
  <si>
    <t>238149</t>
  </si>
  <si>
    <t>810559</t>
  </si>
  <si>
    <t>85:87.0 86:3976.0 87:130.0 88:366.0 99:123.0 100:1895.0 101:42.0 102:440.0 112:30.0 113:154.0 114:124.0 116:654.0 117:34.0 124:195.0 128:1710.0 129:368.0 132:89.0 138:1.0 139:1.0 140:80.0 141:82.0 142:929.0 143:142.0 144:1021.0 145:7.0 146:383.0 152:40.0 153:14.0 154:203.0 156:151.0 158:639.0 159:16.0 160:69.0 163:139.0 164:61.0 168:15.0 170:292.0 171:41.0 172:487.0 173:1459.0 174:13193.0 175:2380.0 176:1106.0 183:131.0 186:287.0 187:81.0 188:39.0 198:1.0 201:126.0 202:211.0 203:7.0 208:6.0 210:10.0 212:11.0 213:44.0 214:107.0 215:189.0 216:16.0 217:2.0 218:184.0 219:30.0 225:23.0 227:13.0 228:993.0 229:255.0 230:157.0 231:52.0 232:50.0 240:7.0 241:6.0 242:220.0 243:99.0 250:8.0 254:3.0 255:9.0 256:5.0 257:11.0 258:48.0 275:47.0 276:41.0 278:51.0 288:14.0 289:21.0 292:55.0 299:99.0 300:66.0 301:24.0 302:45.0 303:114.0 304:49.0 305:53.0 306:2.0 315:9.0 316:39.0 318:62.0 319:19.0 320:58.0 331:458.0 332:188.0 333:55.0 334:21.0 335:25.0 348:8.0 352:4.0 376:28.0 377:4.0 378:2.0 380:13.0 384:2.0 388:2.0 389:221.0 390:176.0 391:59.0 413:1.0 428:6.0 437:1.0 446:7.0 449:1.0 452:37.0 461:4.0 462:3.0 466:2.0 470:8.0 479:1.0 488:4.0 493:10.0 497:12.0 499:10.0</t>
  </si>
  <si>
    <t>237731</t>
  </si>
  <si>
    <t>517225</t>
  </si>
  <si>
    <t>369</t>
  </si>
  <si>
    <t>85:1113.0 86:644.0 88:180.0 92:122.0 95:47.0 98:691.0 102:580.0 103:1155.0 107:357.0 108:28.0 109:23.0 110:713.0 112:91.0 116:992.0 117:802.0 121:45.0 122:85.0 123:29.0 124:139.0 128:1.0 131:3779.0 132:529.0 133:2655.0 134:48.0 135:1039.0 136:298.0 137:627.0 138:41.0 139:123.0 140:916.0 142:384.0 143:260.0 147:4442.0 148:837.0 149:2960.0 150:102.0 151:207.0 153:17.0 154:80.0 156:1739.0 157:2017.0 158:1824.0 159:164.0 166:42.0 167:26.0 168:39.0 170:81.0 181:376.0 182:41.0 183:212.0 184:555.0 185:137.0 186:1043.0 187:34.0 189:421.0 190:21.0 191:1189.0 192:20.0 193:164.0 194:37.0 195:396.0 196:117.0 197:79.0 199:39.0 200:173.0 201:97.0 207:14.0 209:53.0 210:294.0 211:3294.0 212:456.0 213:324.0 214:391.0 215:215.0 216:32.0 217:1608.0 218:268.0 219:42.0 223:15.0 225:790.0 226:39.0 227:783.0 228:755.0 229:109.0 230:11.0 233:65.0 235:43.0 237:1.0 238:163.0 239:56.0 240:245.0 242:9.0 243:422.0 244:83.0 245:36.0 254:93.0 256:44.0 266:62.0 267:39.0 270:7.0 272:247.0 273:33.0 279:1.0 281:1.0 285:95.0 299:1389.0 300:435.0 301:270.0 303:10.0 309:7.0 311:5.0 314:56.0 315:47.0 328:188.0 329:14.0 340:130.0 341:9.0 342:5.0 343:82.0 344:24.0 356:131.0 357:9.0 359:3.0 368:51.0 369:1922.0 370:551.0 371:211.0 372:34.0 373:40.0 383:2.0 384:110.0 385:43.0 389:1.0 417:6.0 488:8.0</t>
  </si>
  <si>
    <t>262</t>
  </si>
  <si>
    <t>237154</t>
  </si>
  <si>
    <t>945017</t>
  </si>
  <si>
    <t>85:359.0 86:94.0 87:314.0 91:167.0 95:78.0 99:156.0 100:47.0 110:298.0 113:1.0 114:11.0 116:65.0 117:404.0 122:90.0 124:51.0 125:30.0 128:266.0 131:706.0 133:118.0 137:25.0 142:52.0 147:10537.0 148:1274.0 150:183.0 156:69.0 158:34.0 168:57.0 169:234.0 170:27.0 177:77.0 183:2.0 186:28.0 187:58.0 188:891.0 189:193.0 190:14.0 193:105.0 194:200.0 198:21.0 200:73.0 203:7569.0 204:1716.0 205:476.0 206:51.0 207:858.0 208:327.0 212:26.0 216:1551.0 217:422.0 218:179.0 228:30.0 230:340.0 231:90.0 232:31.0 243:5.0 244:57.0 248:51.0 249:93.0 253:21.0 254:21.0 257:9.0 258:77.0 259:2.0 260:2.0 262:50.0 266:44.0 271:21.0 272:118.0 276:57.0 281:38.0 282:91.0 284:9.0 286:54.0 293:33.0 296:9.0 297:34.0 300:30.0 305:32.0 308:37.0 309:3.0 313:52.0 314:12.0 320:26.0 321:8.0 324:50.0 325:11.0 326:29.0 327:171.0 328:127.0 329:31.0 332:30.0 333:15.0 334:25.0 337:3.0 341:62.0 344:12.0 345:6.0 346:1.0 355:154.0 358:24.0 363:21.0 364:12.0 368:29.0 373:10.0 376:10.0 379:21.0 382:42.0 383:6.0 387:9.0 388:12.0 390:21.0 391:29.0 392:38.0 394:8.0 395:11.0 396:15.0 397:5.0 398:10.0 400:10.0 402:91.0 403:16.0 410:4.0 413:34.0 414:13.0 416:108.0 418:33.0 421:1.0 422:8.0 423:19.0 424:29.0 428:2.0 430:27.0 431:6.0 433:48.0 441:5.0 442:3.0 443:4.0 463:48.0 464:3.0 466:88.0 467:68.0 474:31.0 475:24.0 476:52.0 479:4.0 480:29.0 481:76.0 485:15.0 490:2.0 491:36.0 492:22.0 495:4.0 496:6.0 498:4.0 499:20.0</t>
  </si>
  <si>
    <t>237138</t>
  </si>
  <si>
    <t>809148</t>
  </si>
  <si>
    <t>328</t>
  </si>
  <si>
    <t>85:5.0 86:766.0 88:349.0 91:86.0 93:437.0 95:109.0 97:263.0 98:205.0 100:223.0 101:384.0 105:117.0 111:45.0 112:167.0 114:78.0 116:252.0 117:345.0 118:36.0 123:13.0 128:90.0 129:174.0 130:1480.0 140:36.0 142:97.0 144:808.0 146:223.0 147:516.0 153:13.0 154:77.0 156:18.0 157:38.0 158:194.0 160:3458.0 161:441.0 162:76.0 166:6.0 168:32.0 169:61.0 170:45.0 172:42.0 174:418.0 175:38.0 176:48.0 182:97.0 187:8.0 192:22.0 196:4.0 201:8.0 202:1.0 208:177.0 214:1.0 218:54.0 224:9.0 225:6.0 226:8.0 227:6.0 228:26.0 229:1.0 232:32.0 234:107.0 235:66.0 239:60.0 242:36.0 247:1.0 248:14.0 256:62.0 262:307.0 263:23.0 264:23.0 274:19.0 276:21.0 277:3.0 278:19.0 279:27.0 284:19.0 289:33.0 291:47.0 292:2.0 293:34.0 294:18.0 298:17.0 299:68.0 300:6.0 305:3.0 306:15.0 307:53.0 308:24.0 309:20.0 314:6.0 315:73.0 316:24.0 317:11.0 319:2.0 322:5.0 324:8.0 327:76.0 328:3005.0 329:988.0 330:211.0 331:69.0 334:6.0 335:14.0 338:37.0 341:66.0 357:13.0 362:10.0 363:5.0 366:7.0 367:24.0 387:23.0 390:5.0 397:22.0 415:54.0 416:188.0 417:36.0 418:18.0 423:6.0 430:12.0 432:3.0 437:6.0 438:30.0 440:2.0 442:19.0 446:2.0 450:2.0 454:14.0 475:20.0 482:12.0 485:25.0 487:8.0 491:16.0 494:8.0 496:14.0 498:18.0 500:4.0</t>
  </si>
  <si>
    <t>236857</t>
  </si>
  <si>
    <t>392534</t>
  </si>
  <si>
    <t>175</t>
  </si>
  <si>
    <t>85:8.0 89:1136.0 91:468.0 92:64.0 93:6.0 94:17.0 101:4927.0 102:1160.0 103:68.0 105:144.0 106:37.0 108:149.0 109:415.0 110:477.0 113:36.0 114:90.0 116:2614.0 117:14062.0 118:1453.0 119:79.0 120:212.0 121:1.0 122:30.0 123:6.0 124:210.0 127:903.0 129:56.0 130:51.0 131:2286.0 132:940.0 133:7083.0 134:1184.0 135:505.0 136:995.0 137:182.0 138:26.0 139:89.0 140:680.0 141:535.0 143:220.0 144:3490.0 145:730.0 146:185.0 147:7217.0 148:476.0 149:873.0 150:97.0 151:215.0 155:27.0 156:28.0 157:157.0 158:2845.0 159:3747.0 160:515.0 164:2.0 167:595.0 168:1237.0 169:305.0 171:4.0 174:316.0 175:8289.0 176:860.0 177:228.0 182:8.0 183:1970.0 184:974.0 185:179.0 187:79.0 189:143.0 190:9.0 196:126.0 197:12.0 199:799.0 200:176.0 201:42.0 202:4.0 205:68.0 210:35.0 212:4.0 217:2546.0 218:571.0 219:591.0 220:175.0 225:5.0 226:1.0 228:2.0 230:6.0 231:18.0 232:76.0 233:59.0 234:2.0 235:780.0 236:139.0 238:1.0 239:9.0 241:206.0 242:947.0 243:77.0 246:84.0 247:7.0 248:7.0 255:32.0 256:23.0 257:86.0 258:4.0 259:1.0 260:1.0 261:10.0 263:3.0 264:1.0 269:94.0 272:1.0 274:132.0 275:5.0 276:1.0 277:248.0 278:15.0 279:23.0 280:1.0 284:173.0 285:22.0 286:30.0 287:16.0 289:705.0 290:156.0 291:29.0 296:1.0 299:1.0 301:46.0 302:7.0 307:22.0 308:14.0 311:1.0 313:2.0 330:12.0 332:13.0 333:1.0 337:2.0 338:158.0 339:80.0 340:46.0 342:1.0 343:53.0 344:28.0 346:1.0 350:1.0 358:10.0 361:8.0 378:8.0 391:1.0 392:1.0 405:1.0 409:2.0 411:5.0 419:1.0 421:7.0 424:1.0 440:5.0 443:2.0 471:1.0 482:12.0 485:4.0 489:11.0</t>
  </si>
  <si>
    <t>236828</t>
  </si>
  <si>
    <t>550628</t>
  </si>
  <si>
    <t>85:3101.0 86:2797.0 87:2796.0 89:22814.0 90:2378.0 91:5262.0 92:431.0 97:150.0 98:33.0 99:1580.0 100:26764.0 101:10695.0 102:2384.0 103:22973.0 104:2621.0 105:4493.0 106:692.0 107:521.0 111:33.0 112:2433.0 113:1171.0 114:15758.0 115:4935.0 116:782.0 117:41755.0 118:5490.0 119:32596.0 120:3334.0 121:2679.0 122:98.0 123:284.0 124:263.0 126:4389.0 127:810.0 128:107301.0 129:19501.0 130:7055.0 131:7229.0 132:3553.0 133:17498.0 134:393.0 135:1927.0 139:25.0 140:868.0 141:213.0 142:5272.0 143:1443.0 144:853.0 145:79.0 146:1441.0 147:123515.0 148:15448.0 149:9660.0 150:1044.0 151:382.0 152:277.0 153:170.0 154:1704.0 156:620.0 157:621.0 158:944.0 159:253.0 161:222.0 162:1830.0 163:3012.0 164:665.0 165:475.0 166:223.0 168:707.0 170:1130.0 171:304.0 172:4013.0 173:26830.0 174:1313.0 175:1849.0 177:638.0 178:6.0 179:124.0 180:142.0 181:389.0 182:167.0 184:1.0 186:783.0 187:20.0 188:1210.0 189:2003.0 190:115.0 193:643.0 194:59.0 196:80.0 198:1347.0 199:198.0 200:1036.0 201:2015.0 202:8079.0 203:2101.0 204:2627.0 205:31900.0 206:6486.0 207:2314.0 208:62.0 210:69.0 211:16.0 214:1145.0 215:399.0 216:852.0 218:5746.0 219:10125.0 220:2223.0 221:848.0 222:141.0 223:244.0 224:10.0 226:47.0 228:508.0 229:79.0 230:1657.0 231:580.0 232:3301.0 233:621.0 234:53539.0 235:11437.0 236:7366.0 237:1303.0 238:238.0 240:99.0 241:109.0 243:69.0 244:254.0 245:647.0 246:1389.0 247:354.0 251:2.0 252:21.0 255:17.0 256:458.0 257:504.0 258:219.0 261:2186.0 262:1830.0 263:12924.0 264:2602.0 265:1194.0 266:211.0 269:40.0 272:457.0 274:71.0 275:26.0 278:7.0 279:121.0 283:24.0 285:31.0 286:2.0 287:90.0 288:1366.0 289:315.0 290:264.0 291:218.0 292:75.0 294:7.0 295:1.0 298:39.0 301:33.0 302:50.0 304:50.0 306:151.0 308:2135.0 309:657.0 310:544.0 311:193.0 312:37.0 315:2.0 316:135.0 317:97.0 318:112.0 319:47.0 320:12.0 321:61.0 322:3.0 324:2.0 327:39.0 330:193.0 332:208.0 333:330.0 334:356.0 335:210.0 336:342.0 337:140.0 338:132.0 340:8.0 343:1.0 346:201.0 347:80.0 348:18.0 350:55.0 351:2681.0 352:1082.0 353:477.0 354:8.0 360:50.0 362:144.0 363:60.0 364:781.0 365:359.0 366:205.0 367:48.0 368:108.0 370:4.0 371:34.0 375:4.0 376:4.0 377:5.0 378:16.0 379:1.0 380:8.0 381:17.0 382:35.0 383:17.0 384:96.0 395:5.0 396:3.0 398:16.0 400:3.0 402:5.0 403:40.0 405:5.0 408:4.0 409:9.0 413:59.0 414:57.0 415:18.0 416:11.0 418:1.0 420:40.0 421:58.0 422:57.0 423:59.0 434:11.0 436:80.0 437:118.0 438:12.0 441:2.0 442:2.0 443:6.0 448:8.0 452:111.0 453:127.0 454:49.0 458:9.0 460:45.0 464:3.0 465:8.0 466:73.0 467:137.0 468:64.0 469:59.0 472:9.0 474:27.0 477:20.0 479:13.0 482:52.0 485:10.0 487:8.0 489:5.0 490:18.0 491:11.0 492:2.0 495:8.0 496:5.0 497:20.0</t>
  </si>
  <si>
    <t>236821</t>
  </si>
  <si>
    <t>442601</t>
  </si>
  <si>
    <t>85:36146.0 86:1806.0 87:38236.0 88:17967.0 89:22571.0 90:2303.0 91:34241.0 92:2827.0 93:1884.0 94:618.0 95:15052.0 96:1859.0 97:10204.0 99:18876.0 100:3569.0 101:28469.0 102:186234.0 103:1813981.0 104:171624.0 105:79841.0 106:4389.0 108:870.0 109:1602.0 111:4974.0 112:3803.0 113:31044.0 114:3093.0 115:96162.0 116:14756.0 117:1022139.0 118:103445.0 119:71955.0 120:6188.0 121:3085.0 122:651.0 123:1908.0 124:1022.0 125:3321.0 127:4866.0 128:23958.0 129:85168.0 130:199003.0 131:116764.0 132:24997.0 133:282775.0 134:24279.0 135:25810.0 136:1860.0 137:1080.0 138:312.0 139:590.0 140:913.0 141:11268.0 142:2091.0 143:55250.0 144:31667.0 145:107673.0 146:15848.0 147:953238.0 148:142380.0 149:197049.0 150:26201.0 151:13017.0 152:1326.0 153:348.0 154:141.0 155:1172.0 156:9345.0 157:710047.0 158:93736.0 159:51003.0 160:4320.0 161:9694.0 162:1891.0 163:35420.0 164:5724.0 165:2687.0 166:435.0 167:337.0 168:1274.0 169:3703.0 170:986.0 171:4972.0 172:2362.0 173:2493.0 174:1370.0 175:10148.0 176:2034.0 177:63345.0 178:10195.0 179:5342.0 180:886.0 181:323.0 182:630.0 183:728.0 185:9280.0 186:2065.0 187:3006.0 188:988.0 189:6814.0 190:11014.0 191:64763.0 192:12440.0 193:8565.0 194:1306.0 195:501.0 196:660.0 197:460.0 198:659.0 199:363.0 201:358.0 202:1944.0 203:8146.0 204:23045.0 205:12748.0 206:3647.0 207:3217.0 208:670.0 209:460.0 210:8605.0 211:1247.0 212:1231.0 213:283.0 214:270.0 215:5044.0 216:1804.0 217:18593.0 218:28349.0 219:13277.0 220:203936.0 221:50918.0 222:21085.0 223:3752.0 224:786.0 225:177.0 226:34.0 229:5116.0 230:2897.0 231:94838.0 232:21173.0 233:9882.0 234:1487.0 235:349.0 236:118.0 237:419.0 238:108.0 239:95.0 240:23.0 241:6.0 243:160.0 244:1362.0 245:3967.0 246:2246.0 247:344595.0 248:72420.0 249:31259.0 250:4677.0 251:944.0 252:577.0 253:98.0 254:127.0 255:193.0 256:73.0 258:92.0 259:16496.0 260:3754.0 261:4901.0 262:879.0 263:353.0 264:99.0 265:1994.0 266:542.0 267:214.0 268:83.0 272:21.0 273:85.0 274:4927.0 275:1328.0 276:538.0 277:225.0 278:124.0 279:177.0 280:25.0 289:47.0 290:51.0 291:409.0 292:16228.0 293:5065.0 294:2430.0 295:512.0 296:172.0 298:18.0 305:1355.0 306:590.0 307:251.0 308:51.0 309:15.0 310:27.0 311:12.0 312:10.0 318:513.0 319:4702.0 320:826.0 321:2219.0 322:802.0 323:350.0 324:127.0 325:59.0 326:10.0 327:18.0 328:28.0 332:1.0 333:175.0 334:140.0 335:97.0 336:48.0 337:40.0 338:26.0 340:34.0 341:39.0 342:22.0 346:189.0 347:17.0 348:143.0 349:13420.0 350:4799.0 351:2357.0 352:418.0 353:118.0 354:25.0 361:17.0 363:21.0 364:339.0 365:83.0 366:38.0 371:12.0 373:2.0 381:1.0 382:2.0 398:2.0 400:2.0 402:1.0 412:2.0 415:6.0 417:2.0 418:1.0 435:1.0 440:3.0 442:4.0 447:11.0 451:1.0 457:2.0 489:1.0 490:4.0 492:4.0 493:1.0 495:1.0 496:1.0</t>
  </si>
  <si>
    <t>236810</t>
  </si>
  <si>
    <t>449118</t>
  </si>
  <si>
    <t>85:2.0 86:47060.0 87:4605.0 88:197.0 89:474.0 90:86.0 91:577.0 94:28.0 95:204.0 96:1950.0 97:945.0 98:879.0 99:10566.0 100:2420.0 101:489.0 102:518.0 103:211.0 104:126.0 105:13.0 107:71.0 109:55.0 110:386.0 111:29.0 112:269.0 114:189.0 115:22.0 116:6719.0 117:2709.0 118:686.0 119:43.0 120:25.0 124:24.0 125:275.0 126:1055.0 127:1453.0 128:26763.0 129:2379.0 130:3632.0 131:1363.0 132:997.0 134:96.0 139:24.0 140:111.0 142:249.0 143:430.0 144:165.0 145:551.0 146:4582.0 147:5.0 152:7.0 154:1.0 155:103.0 156:549.0 157:534.0 158:403.0 160:276.0 161:15.0 164:1.0 166:1.0 168:28.0 170:813.0 171:1889.0 172:7168.0 173:1455.0 174:596.0 175:13.0 176:4.0 177:1.0 184:66.0 185:54.0 186:1787.0 187:247.0 188:366.0 189:482.0 190:17.0 196:7.0 198:23.0 201:803.0 202:222.0 203:47.0 209:3.0 210:102.0 211:3.0 213:47.0 214:8.0 217:1.0 218:475.0 219:19.0 229:4.0 230:4567.0 231:699.0 232:235.0 239:4.0 245:27.0 247:38.0 248:65.0 271:13.0 273:1.0 281:4.0 282:1.0 297:1.0 320:22.0 321:6.0 322:7.0 325:4.0 327:2.0 336:2.0 338:17.0 364:4.0 367:10.0 371:1.0 408:16.0 415:1.0 433:10.0 434:6.0 452:14.0 468:3.0 473:8.0 483:6.0</t>
  </si>
  <si>
    <t>234</t>
  </si>
  <si>
    <t>235965</t>
  </si>
  <si>
    <t>1070919</t>
  </si>
  <si>
    <t>85:41523.0 86:4854.0 87:9829.0 88:5816.0 89:40121.0 90:7179.0 91:144011.0 92:14585.0 93:4794.0 94:14691.0 95:6010.0 96:1991.0 97:5896.0 98:3054.0 99:12140.0 100:1912.0 101:39571.0 102:11601.0 103:218009.0 104:35128.0 105:190178.0 106:36980.0 107:63494.0 108:5606.0 109:1982.0 110:470.0 111:20090.0 112:2301.0 113:5815.0 114:1718.0 115:22350.0 116:18583.0 117:106090.0 118:19993.0 119:506313.0 120:51233.0 121:4538.0 122:794.0 123:442.0 124:504.0 125:1674.0 126:371.0 127:6273.0 128:3820.0 129:63866.0 130:10173.0 131:37713.0 132:18325.0 133:565241.0 134:207745.0 135:61295.0 136:5751.0 137:1162.0 138:337.0 139:1141.0 140:507.0 141:3347.0 142:15345.0 143:29112.0 144:10511.0 145:34372.0 146:9827.0 147:131514.0 148:23069.0 149:25069.0 150:10186.0 151:4763.0 152:851.0 153:922.0 154:1183.0 155:18459.0 156:6202.0 157:28039.0 158:13955.0 159:15326.0 160:3505.0 161:13689.0 162:4947.0 163:4653.0 164:554.0 165:634.0 166:297.0 167:5582.0 168:2887.0 169:7334.0 170:3082.0 171:36372.0 172:11403.0 173:11788.0 174:2571.0 175:9971.0 176:2530.0 177:102283.0 178:12940.0 179:1933.0 180:228.0 181:620.0 182:605.0 183:10663.0 184:4862.0 185:20061.0 186:3716.0 187:7698.0 188:1656.0 189:16606.0 190:41128.0 191:11355.0 192:1743.0 193:1757.0 194:506.0 195:232.0 196:155.0 197:955.0 198:823.0 199:2590.0 200:2361.0 201:4260.0 202:6457.0 203:11300.0 204:27627.0 205:45024.0 206:11533.0 207:182348.0 208:36365.0 209:11599.0 210:1838.0 211:1375.0 212:156.0 213:648.0 214:343.0 215:3530.0 216:1413.0 217:18222.0 218:8762.0 219:10887.0 220:21294.0 221:6706.0 222:2230.0 223:7052.0 224:1409.0 225:408.0 226:173.0 227:779.0 228:528.0 229:1341.0 230:6735.0 231:7419.0 232:2057.0 233:6026.0 234:1599.0 235:2733.0 236:2773.0 237:6924.0 238:1579.0 239:379.0 240:121.0 241:54.0 242:57.0 243:1201.0 244:1014.0 245:2927.0 246:985.0 247:10099.0 248:2432.0 249:2991.0 250:852.0 251:617.0 252:969.0 253:187.0 254:169.0 255:281.0 256:65.0 257:3239.0 258:867.0 259:2131.0 260:833.0 261:2002.0 262:1794.0 263:860.0 264:571.0 265:1081.0 266:208.0 267:403.0 268:127.0 269:102.0 270:30.0 271:398.0 272:162.0 273:5500.0 274:2318.0 275:4058.0 276:1169.0 277:2403.0 278:3045.0 279:1016.0 280:352.0 281:1604.0 282:818.0 283:476.0 284:176.0 285:483.0 286:161.0 287:417.0 288:367.0 289:823.0 290:406.0 291:1274.0 292:1379.0 293:611.0 294:229.0 295:546.0 296:193.0 300:123.0 301:572.0 302:186.0 303:762.0 304:1719.0 305:1037.0 306:459.0 307:311.0 308:169.0 309:261.0 310:36.0 311:212.0 312:65.0 313:99.0 314:36.0 316:215.0 317:438.0 318:194.0 319:637.0 320:319.0 321:4377.0 322:1155.0 323:631.0 324:234.0 325:419.0 326:169.0 327:47.0 328:146.0 329:160.0 331:26.0 332:21.0 333:323.0 334:455.0 335:704.0 336:380.0 337:2682.0 338:805.0 339:315.0 340:69.0 341:481.0 342:128.0 343:208.0 344:75.0 345:101.0 346:19.0 348:26.0 349:532.0 350:325.0 351:204.0 352:426.0 353:8598.0 354:2698.0 355:777.0 356:32.0 357:146.0 358:73.0 360:29.0 361:61.0 363:114.0 364:91.0 365:554.0 366:111.0 367:340.0 368:119.0 369:118.0 371:63.0 373:61.0 374:51.0 375:103.0 376:12.0 377:18.0 378:240.0 379:48.0 380:158.0 381:987.0 382:382.0 383:155.0 384:14.0 385:45.0 386:33.0 387:25.0 389:14.0 390:15.0 391:76.0 392:5.0 394:37.0 399:23.0 400:22.0 401:14.0 402:97.0 403:76.0 404:11.0 405:65.0 406:25.0 407:50.0 408:100.0 409:1318.0 410:672.0 411:222.0 412:105.0 415:171.0 416:126.0 417:88.0 419:8.0 421:22.0 422:161.0 423:1654.0 424:904.0 425:442.0 426:150.0 427:69.0 429:62.0 430:46.0 431:106.0 432:38.0 433:26.0 437:136.0 438:168.0 439:167.0 440:61.0 441:14.0 442:45.0 443:26.0 446:12.0 449:11.0 454:300.0 455:2593.0 456:1268.0 457:439.0 458:73.0 459:31.0 460:46.0 461:115.0 464:9.0 467:172.0 468:572.0 469:491.0 470:101.0 471:51.0 473:16.0 475:52.0 476:69.0 489:86.0 490:9.0 494:12.0 497:3.0</t>
  </si>
  <si>
    <t>235449</t>
  </si>
  <si>
    <t>949449</t>
  </si>
  <si>
    <t>85:249.0 86:7204.0 89:61.0 91:7.0 93:225.0 94:34.0 95:186.0 97:32.0 98:437.0 99:741.0 100:4294.0 101:849.0 102:1059.0 103:887.0 104:235.0 105:39.0 107:272.0 108:28.0 109:29.0 110:396.0 111:191.0 112:302.0 113:479.0 114:512.0 115:236.0 116:805.0 117:952.0 118:148.0 120:12.0 121:243.0 122:24.0 124:29.0 125:93.0 128:144.0 129:933.0 130:4508.0 131:740.0 132:606.0 133:1098.0 134:277.0 136:81.0 139:188.0 140:159.0 141:40.0 142:828.0 143:182.0 144:87.0 146:4881.0 147:5223.0 148:1035.0 149:2.0 150:38.0 151:193.0 152:89.0 153:1653.0 154:2556.0 155:714.0 156:272.0 157:113.0 158:365.0 160:707.0 161:344.0 162:38.0 165:238.0 166:571.0 167:3875.0 168:648.0 169:576.0 170:281.0 171:107.0 172:689.0 173:235.0 174:5695.0 175:939.0 176:1782.0 177:181.0 178:55.0 180:315.0 181:274.0 182:1095.0 183:212.0 184:37.0 185:60.0 186:37.0 188:80.0 189:192.0 190:112.0 191:338.0 192:44.0 193:552.0 194:447.0 195:206.0 196:11.0 199:52.0 200:70.0 201:106.0 202:59.0 203:113.0 204:1835.0 205:556.0 206:1203.0 207:549.0 208:298.0 209:142.0 210:6.0 211:129.0 212:71.0 213:40.0 214:192.0 215:293.0 216:104.0 217:979.0 218:544.0 219:46.0 220:57.0 222:149.0 223:32.0 224:75.0 225:44.0 226:82.0 227:165.0 228:53.0 229:102.0 231:1012.0 232:282.0 233:182.0 234:75.0 236:194.0 237:174.0 238:548.0 239:605.0 240:323.0 241:125.0 242:99.0 243:177.0 244:164.0 246:37.0 248:12.0 249:49.0 250:28.0 252:130.0 253:161.0 254:541.0 255:153.0 256:11.0 257:36.0 258:42.0 259:137.0 260:8.0 261:76.0 262:51.0 263:24.0 266:77.0 267:626.0 268:196.0 269:159.0 270:45.0 271:179.0 272:32.0 274:20.0 275:44.0 278:66.0 279:31.0 280:32.0 281:46.0 282:433.0 283:563.0 284:623.0 285:134.0 286:70.0 287:40.0 288:36.0 289:32.0 290:1.0 291:27.0 292:157.0 293:16.0 294:32.0 295:34.0 296:216.0 297:46.0 298:149.0 299:7.0 300:323.0 301:199.0 302:114.0 303:30.0 304:42.0 305:210.0 306:4.0 307:85.0 308:26.0 309:137.0 310:85.0 311:36.0 312:64.0 313:173.0 314:72.0 315:16.0 316:45.0 317:12.0 318:42.0 319:148.0 320:9.0 322:58.0 323:85.0 324:17.0 326:135.0 327:150.0 328:60.0 329:129.0 330:19.0 331:11.0 332:9.0 334:16.0 335:17.0 336:91.0 337:42.0 338:67.0 339:56.0 340:43.0 341:161.0 342:114.0 343:76.0 344:59.0 345:34.0 350:7.0 351:47.0 352:126.0 353:17.0 354:141.0 355:16.0 356:74.0 357:60.0 358:36.0 360:5.0 361:718.0 362:201.0 363:106.0 364:42.0 365:16.0 366:20.0 367:21.0 369:25.0 370:123.0 371:68.0 372:32.0 373:42.0 375:26.0 380:22.0 381:53.0 382:256.0 383:229.0 384:115.0 385:23.0 387:28.0 388:5.0 389:15.0 396:6.0 398:393.0 399:146.0 400:31.0 401:27.0 404:15.0 405:2.0 408:45.0 409:55.0 410:1034.0 411:506.0 412:179.0 413:134.0 414:29.0 415:61.0 416:32.0 417:15.0 419:22.0 421:6.0 423:3.0 427:49.0 428:50.0 429:134.0 430:35.0 432:21.0 441:6.0 448:32.0 449:19.0 451:55.0 452:27.0 460:14.0 461:25.0 464:19.0 466:8.0 473:4.0 475:45.0 476:15.0 480:6.0 487:7.0 488:23.0 490:135.0 498:147.0 499:1011.0 500:623.0</t>
  </si>
  <si>
    <t>235327</t>
  </si>
  <si>
    <t>476936</t>
  </si>
  <si>
    <t>85:18.0 86:76.0 89:1799.0 90:10.0 91:1467.0 92:168.0 93:228.0 95:316.0 101:7376.0 102:250.0 103:286.0 105:420.0 106:456.0 107:530.0 109:1050.0 110:371.0 111:97.0 112:162.0 113:88.0 116:4810.0 117:5658.0 118:576.0 119:4.0 121:1544.0 122:183.0 123:2631.0 125:2546.0 127:414.0 129:1832.0 130:762.0 137:1518.0 138:1469.0 139:2373.0 140:638.0 141:536.0 142:69.0 143:1170.0 144:345.0 146:295.0 147:169.0 148:58.0 149:30.0 150:8.0 153:2910.0 154:495.0 155:52659.0 156:3923.0 157:4237.0 158:1767.0 159:1148.0 160:705.0 162:10.0 163:507.0 164:9.0 165:83.0 167:181.0 169:1027.0 170:66.0 171:21273.0 172:2087.0 173:855.0 175:5.0 181:872.0 182:6.0 183:494.0 185:781.0 186:300.0 187:115.0 189:938.0 191:110.0 192:1.0 197:1423.0 198:338.0 199:758.0 200:111.0 202:28.0 204:885.0 205:93.0 209:2.0 210:13.0 211:1536.0 212:286.0 213:50.0 215:68.0 216:3.0 217:45.0 218:36.0 222:5.0 225:235.0 226:44.0 227:4368.0 228:335.0 229:149.0 232:60.0 234:20.0 237:14.0 239:382.0 240:7.0 242:303.0 243:246.0 245:38.0 247:24.0 248:1.0 249:1.0 253:162.0 255:3.0 259:147.0 262:1.0 263:22.0 264:1.0 267:154.0 270:346.0 271:75.0 272:43.0 274:19.0 275:465.0 276:62.0 277:11.0 285:29.0 286:57.0 287:52.0 290:137.0 291:45.0 299:12.0 300:1.0 301:21.0 302:17.0 305:113.0 306:7.0 311:13.0 313:5.0 318:8.0 319:1.0 324:2.0 325:2.0 329:1.0 330:78.0 334:2.0 337:5.0 338:1.0 342:58.0 343:9.0 345:62.0 348:44.0 362:3.0 367:58.0 372:17.0 376:13.0 391:9.0 402:40.0 421:24.0 422:37.0 424:5.0 426:14.0 427:12.0 433:9.0 436:40.0 439:22.0 445:26.0 447:3.0 452:44.0 456:14.0 478:12.0 486:11.0 496:2.0 497:4.0 500:16.0</t>
  </si>
  <si>
    <t>234717</t>
  </si>
  <si>
    <t>628281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</si>
  <si>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</si>
  <si>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234677</t>
  </si>
  <si>
    <t>700264</t>
  </si>
  <si>
    <t>85:82.0 90:26.0 92:124.0 93:267.0 94:337.0 95:30.0 96:663.0 99:127.0 100:132.0 101:255.0 103:315.0 108:146.0 109:165.0 110:71.0 112:212.0 113:489.0 115:148.0 117:792.0 118:71.0 120:24.0 121:26.0 122:18.0 124:159.0 125:15.0 128:268.0 129:1297.0 131:303.0 132:241.0 133:416.0 134:114.0 136:26.0 139:37.0 140:71.0 141:67.0 142:138.0 143:151.0 145:344.0 147:1045.0 150:57.0 151:124.0 153:23.0 154:108.0 156:314.0 157:459.0 164:8.0 165:29.0 166:155.0 167:34.0 168:81.0 169:1106.0 171:164.0 172:78.0 173:81.0 180:18.0 182:77.0 183:101.0 184:319.0 185:170.0 186:45.0 187:246.0 188:78.0 191:70.0 194:64.0 196:123.0 198:21.0 200:112.0 211:967.0 212:203.0 213:122.0 215:189.0 216:148.0 217:248.0 218:1.0 219:66.0 226:25.0 227:301.0 228:174.0 229:178.0 230:104.0 231:249.0 232:47.0 233:6.0 239:23.0 243:2645.0 244:637.0 245:139.0 246:10.0 248:219.0 249:20.0 255:18.0 257:83.0 258:1183.0 259:583.0 260:274.0 261:18.0 264:1.0 270:1.0 271:32.0 272:75.0 274:22.0 276:4.0 277:38.0 284:23.0 285:53.0 286:13.0 288:10.0 289:2.0 290:1.0 292:62.0 297:177.0 298:54.0 299:855.0 300:186.0 301:38.0 303:55.0 305:8.0 306:7.0 307:129.0 308:4.0 311:33.0 313:171.0 314:65.0 315:633.0 316:127.0 317:38.0 318:163.0 319:58.0 320:1.0 322:1.0 323:2.0 326:609.0 327:197.0 331:8.0 333:8.0 334:1.0 335:15.0 336:5.0 340:3.0 341:2.0 342:76.0 343:4.0 344:152.0 345:132.0 346:29.0 348:2.0 360:5.0 362:5.0 367:9.0 373:13.0 374:9.0 375:2.0 376:21.0 377:22.0 378:7.0 379:1.0 380:5.0 381:1.0 392:12.0 393:991.0 394:391.0 395:209.0 396:70.0 402:10.0 403:1.0 411:52.0 419:8.0 430:8.0 447:3.0 475:1.0 479:1.0 481:7.0 486:2.0</t>
  </si>
  <si>
    <t>316</t>
  </si>
  <si>
    <t>233298</t>
  </si>
  <si>
    <t>900281</t>
  </si>
  <si>
    <t>332</t>
  </si>
  <si>
    <t>89:835.0 90:100.0 94:52.0 100:756.0 102:1171.0 103:5188.0 104:668.0 105:273.0 114:88.0 115:39.0 117:1354.0 118:140.0 122:28.0 124:7.0 128:181.0 129:988.0 130:742.0 133:277.0 142:197.0 144:89.0 145:29.0 147:3384.0 148:185.0 153:90.0 157:302.0 158:164.0 160:1309.0 161:82.0 168:47.0 170:235.0 172:285.0 173:80.0 182:71.0 184:165.0 185:24.0 186:72.0 189:487.0 199:46.0 200:39.0 201:277.0 204:37.0 205:725.0 207:110.0 212:105.0 214:125.0 216:398.0 217:1839.0 218:378.0 219:320.0 228:62.0 229:69.0 230:8.0 231:108.0 239:55.0 240:17.0 241:14.0 242:98.0 243:32.0 244:111.0 246:14.0 248:35.0 253:16.0 256:19.0 259:22.0 260:162.0 270:9.0 274:123.0 289:259.0 290:71.0 291:143.0 299:2.0 302:93.0 303:73.0 304:6.0 305:34.0 307:244.0 309:55.0 315:4.0 318:8.0 319:9.0 320:67.0 325:50.0 326:19.0 330:14.0 331:729.0 332:2952.0 333:895.0 334:322.0 335:27.0 341:14.0 342:2.0 344:13.0 345:28.0 346:27.0 349:27.0 355:40.0 370:25.0 373:114.0 377:9.0 380:41.0 388:22.0 390:8.0 391:21.0 402:39.0 404:10.0 421:7.0 423:13.0 425:9.0 428:9.0 429:16.0 437:4.0 444:2.0 459:57.0 466:7.0 475:6.0 480:12.0 487:7.0 490:19.0</t>
  </si>
  <si>
    <t>233108</t>
  </si>
  <si>
    <t>642183</t>
  </si>
  <si>
    <t>85:805.0 86:669.0 89:2922.0 90:157.0 94:495.0 96:811.0 97:84.0 99:607.0 100:1956.0 101:196.0 102:31.0 103:16707.0 104:860.0 105:1758.0 106:320.0 107:86.0 109:104.0 112:216.0 113:314.0 114:1148.0 115:589.0 116:77.0 117:554.0 120:431.0 122:355.0 123:202.0 124:908.0 125:89.0 126:443.0 127:122.0 128:183.0 129:2974.0 131:456.0 133:1063.0 134:229.0 139:84.0 140:320.0 141:105.0 142:2174.0 143:182.0 145:6.0 146:52.0 147:8446.0 148:1116.0 149:527.0 152:76.0 153:165.0 154:740.0 155:575.0 157:842.0 158:59.0 160:789.0 163:7.0 164:911.0 165:698.0 166:378.0 167:191.0 168:513.0 169:333.0 170:11536.0 171:2268.0 172:996.0 173:577.0 174:87.0 178:3.0 181:258.0 182:3.0 183:377.0 184:770.0 185:678.0 186:716.0 187:158.0 188:1098.0 189:858.0 190:139.0 192:177.0 197:373.0 198:390.0 199:101.0 200:186.0 201:171.0 202:357.0 205:2696.0 206:279.0 209:271.0 210:170.0 211:551.0 212:433.0 213:4.0 215:9.0 216:251.0 217:6911.0 218:1158.0 219:566.0 223:205.0 224:198.0 225:796.0 226:3452.0 227:515.0 228:192.0 229:342.0 230:12.0 231:256.0 237:52.0 238:193.0 239:3195.0 240:782.0 241:131.0 242:212.0 244:53.0 255:1541.0 256:239.0 260:19.0 262:395.0 263:212.0 264:216.0 266:15.0 267:20.0 268:31.0 270:566.0 271:33.0 276:1.0 277:494.0 278:284.0 280:534.0 289:8.0 290:5.0 291:158.0 295:7.0 300:16.0 303:8.0 305:41.0 306:42.0 307:2031.0 308:492.0 309:201.0 310:14.0 313:16.0 315:54.0 318:23.0 319:1518.0 320:488.0 321:312.0 326:15.0 334:3.0 335:76.0 336:41.0 337:30.0 342:3.0 343:17.0 344:13.0 345:5.0 351:23.0 353:20.0 354:39.0 356:46.0 358:38.0 360:74.0 361:1.0 364:237.0 365:160.0 368:56.0 369:115.0 370:26.0 372:8.0 384:4.0 385:9.0 386:89.0 387:18.0 388:12.0 391:2.0 395:1.0 403:3.0 405:143.0 406:75.0 409:21.0 411:6.0 422:3.0 426:5.0 436:3.0 437:2.0 443:9.0 450:21.0 454:5.0 461:50.0 464:194.0 465:91.0 479:7.0 485:1.0 491:1.0 496:2.0</t>
  </si>
  <si>
    <t>232087</t>
  </si>
  <si>
    <t>616681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</si>
  <si>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</si>
  <si>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231947</t>
  </si>
  <si>
    <t>451475</t>
  </si>
  <si>
    <t>85:3100.0 86:29333.0 87:3203.0 88:2126.0 89:3870.0 91:1011.0 92:141.0 93:798.0 95:5389.0 96:946.0 97:3313.0 98:4370.0 99:3168.0 100:30806.0 101:4953.0 102:4267.0 104:1607.0 105:2946.0 108:592.0 110:1641.0 111:697.0 112:1083.0 113:1698.0 114:2780.0 115:18037.0 116:5402.0 117:46500.0 118:4424.0 119:1635.0 120:1216.0 121:441.0 122:361.0 123:29.0 124:659.0 125:1093.0 126:2888.0 127:1753.0 128:28134.0 129:20828.0 130:5581.0 131:11918.0 132:12646.0 133:2186.0 137:338.0 138:95.0 139:80.0 141:10356.0 142:3805.0 143:3530.0 144:1351.0 145:5200.0 146:1067.0 147:7118.0 151:173.0 152:942.0 153:2442.0 155:792.0 156:10170.0 157:3288.0 158:1076.0 159:720.0 160:758.0 161:487.0 162:48.0 163:17.0 164:18.0 168:147.0 169:4789.0 170:3921.0 171:1263.0 172:305.0 173:280.0 174:32072.0 175:5820.0 176:2649.0 177:183.0 178:131.0 180:101.0 185:1314.0 186:877.0 187:770.0 188:103.0 192:12.0 193:14.0 194:16.0 196:199.0 197:176.0 198:14.0 199:180.0 201:1080.0 202:245.0 203:363.0 209:14.0 210:26.0 213:629.0 214:216.0 215:300.0 216:1003.0 217:415.0 218:18.0 219:309.0 225:144.0 228:729.0 229:13329.0 230:2261.0 231:679.0 232:477.0 233:295.0 234:937.0 238:30.0 239:317.0 241:388.0 242:72.0 243:4133.0 244:1295.0 245:420.0 246:19.0 249:2.0 254:13.0 256:48.0 257:50.0 258:400.0 259:141.0 260:10.0 262:1.0 265:205.0 267:347.0 268:1.0 273:1.0 274:61.0 276:38.0 281:123.0 282:42.0 283:3.0 284:33.0 285:13.0 287:8.0 292:40.0 293:10.0 301:67.0 304:25.0 305:477.0 306:169.0 308:5.0 309:2.0 311:93.0 313:4.0 321:10.0 322:1.0 323:3.0 324:1.0 325:17.0 326:7.0 327:64.0 328:26.0 329:8.0 332:12.0 341:19.0 342:10.0 343:5.0 344:2.0 345:4.0 346:1.0 347:4.0 350:2.0 351:1.0 352:1.0 356:1.0 362:1.0 365:31.0 371:38.0 375:1.0 377:1.0 378:1.0 379:1.0 383:6.0 384:2.0 385:4.0 386:1.0 390:3.0 391:13.0 392:2.0 395:3.0 397:1.0 398:2.0 399:9.0 400:3.0 401:2.0 406:2.0 408:1.0 410:4.0 411:1.0 414:4.0 415:22.0 416:11.0 417:3.0 418:4.0 419:3.0 420:32.0 427:38.0 432:2.0 433:5.0 436:1.0 443:1.0 444:5.0 447:11.0 449:5.0 452:1.0 453:2.0 460:1.0 462:3.0 465:1.0 468:1.0 470:3.0 479:1.0 482:6.0 485:2.0 487:1.0 490:1.0 494:2.0 497:21.0</t>
  </si>
  <si>
    <t>231802</t>
  </si>
  <si>
    <t>661366</t>
  </si>
  <si>
    <t>91:99.0 93:136.0 94:86.0 95:115.0 97:461.0 98:2090.0 109:767.0 110:338.0 111:738.0 116:1089.0 117:1159.0 119:1098.0 121:403.0 122:138.0 123:44.0 124:33.0 129:906.0 132:133.0 137:166.0 141:212.0 145:157.0 147:161.0 153:83.0 165:14.0 169:894.0 171:129.0 175:4241.0 179:19.0 180:4.0 181:104.0 185:28.0 188:600.0 189:1585.0 191:1336.0 193:25.0 195:72.0 197:393.0 203:726.0 204:31964.0 205:1451.0 206:2096.0 211:32.0 217:2979.0 218:161.0 221:62.0 223:9.0 224:89.0 225:46.0 243:224.0 245:9.0 249:52.0 251:33.0 253:65.0 255:10.0 261:1.0 263:27.0 265:24.0 271:54.0 276:3.0 288:29.0 289:129.0 290:81.0 291:148.0 298:3.0 299:73.0 300:34.0 306:99.0 312:26.0 313:56.0 314:68.0 324:549.0 325:145.0 326:85.0 327:60.0 332:444.0 333:124.0 334:171.0 335:41.0 346:11.0 353:22.0 361:174.0 362:22.0 363:33.0 366:5.0 367:12.0 368:32.0 377:3.0 381:22.0 382:6.0 387:14.0 388:61.0 395:4.0 399:3.0 422:9.0 449:61.0 452:14.0 454:27.0 455:13.0 472:2.0 476:14.0 489:16.0 499:10.0</t>
  </si>
  <si>
    <t>231260</t>
  </si>
  <si>
    <t>384062</t>
  </si>
  <si>
    <t>86:156.0 90:13.0 92:79.0 93:1690.0 94:7869.0 95:1147.0 96:1324.0 97:1193.0 100:10447.0 101:892.0 102:1491.0 104:34.0 106:1124.0 107:505.0 108:4268.0 109:4101.0 110:2626.0 111:121.0 112:557.0 113:951.0 114:1148.0 117:1185.0 118:74.0 119:169.0 120:368.0 122:98.0 124:160.0 125:504.0 126:2957.0 127:2021.0 128:145.0 130:612.0 131:1461.0 132:328.0 133:3402.0 136:214.0 138:376.0 140:1873.0 141:866.0 142:956.0 144:234.0 146:28.0 147:18249.0 148:1111.0 149:1797.0 151:65.0 152:53.0 153:95.0 154:1503.0 156:2508.0 157:1101.0 158:146.0 159:15.0 160:228.0 166:149.0 168:4.0 170:825.0 171:118.0 172:3322.0 173:529.0 174:11.0 175:248.0 176:345.0 180:69.0 182:52.0 185:148.0 186:22.0 188:13.0 190:185.0 192:42.0 193:653.0 196:670.0 198:333.0 199:285.0 202:37.0 213:1170.0 214:583.0 215:13830.0 216:2952.0 217:1525.0 218:630.0 222:74.0 227:298.0 228:727.0 229:4219.0 230:3611.0 231:937.0 232:234.0 233:61.0 234:56.0 244:46.0 245:516.0 246:318.0 247:77.0 248:62.0 250:67.0 258:118.0 259:121.0 262:2.0 266:4.0 271:75.0 272:239.0 273:92.0 280:11.0 284:998.0 288:28.0 289:10.0 290:15.0 292:189.0 293:10.0 294:18.0 296:3.0 301:163.0 308:16.0 334:26.0 338:823.0 339:197.0 340:41.0 353:88.0 359:9.0 409:11.0 411:7.0</t>
  </si>
  <si>
    <t>231223</t>
  </si>
  <si>
    <t>826303</t>
  </si>
  <si>
    <t>85:239.0 86:665.0 87:1431.0 89:1508.0 94:1.0 99:125.0 101:3451.0 102:83.0 103:7595.0 104:691.0 105:386.0 109:129.0 111:328.0 113:502.0 114:169.0 115:714.0 116:2335.0 117:7013.0 118:792.0 119:95.0 120:56.0 127:74.0 129:4714.0 130:589.0 131:1606.0 133:5221.0 134:540.0 135:179.0 137:132.0 140:47.0 141:22.0 142:130.0 143:1018.0 147:15076.0 148:1752.0 149:2047.0 150:146.0 151:502.0 153:33.0 154:153.0 155:488.0 156:161.0 157:1917.0 158:255.0 159:293.0 165:81.0 167:160.0 169:372.0 170:443.0 173:27.0 174:199.0 175:98.0 181:137.0 182:103.0 183:743.0 184:94.0 185:61.0 186:86.0 188:31.0 189:626.0 190:357.0 191:1724.0 192:361.0 193:803.0 194:46.0 195:316.0 203:416.0 204:1492.0 205:3431.0 206:986.0 207:1462.0 208:28.0 209:72.0 210:48.0 211:1645.0 212:270.0 213:101.0 215:471.0 217:4525.0 218:1896.0 219:600.0 220:118.0 221:46.0 222:71.0 223:89.0 225:408.0 226:50.0 227:229.0 228:103.0 229:317.0 230:486.0 231:818.0 232:32.0 234:16.0 235:15.0 239:178.0 240:14.0 243:606.0 244:267.0 245:157.0 246:207.0 247:122.0 248:38.0 250:7.0 252:48.0 253:81.0 255:369.0 256:44.0 257:525.0 258:84.0 259:1088.0 260:173.0 261:52.0 263:74.0 264:51.0 267:132.0 269:101.0 271:451.0 272:570.0 273:278.0 274:5.0 275:20.0 276:11.0 277:54.0 278:62.0 282:12.0 283:168.0 285:180.0 287:82.0 289:76.0 290:31.0 291:219.0 298:12.0 299:5948.0 300:1585.0 301:698.0 302:98.0 303:51.0 305:123.0 306:183.0 307:430.0 308:163.0 309:91.0 310:22.0 311:41.0 312:60.0 313:164.0 314:480.0 315:3242.0 316:924.0 317:519.0 318:107.0 319:1150.0 320:654.0 321:87.0 322:4.0 323:84.0 325:64.0 326:7.0 328:150.0 329:196.0 330:119.0 331:449.0 332:221.0 333:115.0 334:34.0 339:25.0 341:242.0 343:18.0 344:64.0 345:301.0 346:130.0 347:124.0 348:96.0 349:206.0 350:37.0 352:56.0 354:41.0 356:126.0 357:1377.0 358:358.0 359:180.0 360:98.0 361:58.0 362:135.0 363:67.0 364:11.0 369:4.0 370:91.0 371:33.0 372:42.0 373:144.0 374:96.0 375:16.0 377:15.0 378:9.0 379:46.0 383:3.0 385:22.0 386:267.0 387:4092.0 388:1706.0 389:911.0 390:273.0 391:108.0 393:15.0 395:28.0 400:38.0 401:43.0 408:1.0 411:18.0 415:66.0 416:37.0 417:15.0 421:61.0 425:2.0 426:9.0 429:57.0 432:47.0 436:3.0 439:3.0 443:8.0 446:8.0 450:15.0 457:49.0 459:41.0 461:88.0 463:25.0 465:7.0 467:13.0 468:16.0 470:4.0 471:281.0 472:159.0 473:32.0 475:47.0 482:1.0 483:1.0 490:5.0 491:41.0</t>
  </si>
  <si>
    <t>229201</t>
  </si>
  <si>
    <t>693537</t>
  </si>
  <si>
    <t>85:181.0 86:350.0 89:242.0 91:1.0 94:140.0 95:84.0 96:1.0 97:139.0 98:370.0 99:83.0 100:803.0 101:1497.0 102:228.0 103:802.0 104:63.0 105:1.0 109:88.0 111:175.0 112:107.0 113:247.0 115:119.0 116:748.0 117:108.0 118:180.0 119:2.0 121:32.0 122:20.0 123:311.0 124:40.0 126:229.0 128:475.0 129:1133.0 130:73.0 131:530.0 133:745.0 134:251.0 137:64.0 138:20.0 140:11.0 141:29.0 142:157.0 143:363.0 144:511.0 147:1478.0 152:10.0 153:130.0 154:55.0 155:145.0 156:144.0 157:173.0 158:164.0 167:44.0 168:266.0 169:50.0 170:261.0 171:3684.0 172:492.0 173:246.0 174:61.0 175:206.0 185:182.0 186:69.0 188:39.0 189:193.0 190:1.0 191:13.0 192:2.0 195:289.0 196:189.0 197:250.0 198:47.0 199:55.0 201:218.0 202:20.0 203:1.0 204:202.0 205:34.0 210:99.0 211:46.0 212:91.0 213:1228.0 214:262.0 215:242.0 216:22.0 217:547.0 218:153.0 224:30.0 228:53.0 229:113.0 230:4052.0 231:854.0 232:339.0 233:22.0 234:14.0 235:24.0 236:6.0 237:8.0 238:257.0 241:5.0 242:26.0 244:195.0 246:4.0 248:1.0 257:11.0 258:5.0 261:1.0 268:41.0 269:126.0 270:22.0 284:13.0 285:184.0 286:36.0 287:66.0 288:1.0 291:114.0 292:214.0 293:84.0 294:2.0 299:16.0 300:44.0 302:23.0 303:6.0 305:254.0 306:26.0 307:44.0 314:11.0 317:3.0 319:43.0 320:35.0 326:35.0 327:545.0 328:215.0 329:36.0 331:37.0 332:14.0 333:290.0 334:43.0 335:24.0 337:96.0 338:24.0 340:15.0 347:4.0 352:23.0 353:12.0 355:19.0 358:88.0 359:125.0 360:16.0 361:43.0 373:3.0 375:15.0 390:3.0 393:23.0 394:4.0 403:20.0 405:37.0 407:43.0 430:17.0 433:91.0 434:29.0 440:1.0 446:8.0 447:141.0 448:126.0 449:5.0 450:20.0 465:5.0</t>
  </si>
  <si>
    <t>228872</t>
  </si>
  <si>
    <t>609571</t>
  </si>
  <si>
    <t>85:299.0 86:324.0 88:811.0 89:710.0 90:570.0 94:4.0 95:289.0 97:290.0 98:35.0 102:461.0 105:9.0 107:434.0 108:11.0 109:47.0 110:459.0 111:63.0 112:382.0 114:66.0 116:799.0 117:363.0 126:104.0 129:527.0 130:382.0 131:397.0 132:51.0 134:14.0 140:6140.0 141:272.0 144:303.0 146:1128.0 149:435.0 151:52.0 152:403.0 153:31.0 154:8.0 155:48.0 156:712.0 161:4.0 162:11.0 164:54.0 169:3.0 170:4.0 172:28.0 173:11.0 174:36.0 176:203.0 178:2.0 183:44.0 184:63.0 185:26.0 188:14.0 197:1.0 198:329.0 199:50.0 201:251.0 204:128.0 206:557.0 211:23.0 212:67.0 213:148.0 215:34.0 217:1045.0 218:346.0 219:62.0 220:39.0 225:334.0 226:122.0 228:544.0 229:924.0 230:35.0 231:3.0 234:18.0 235:10.0 239:39.0 242:4.0 244:1.0 246:3.0 248:4.0 249:19.0 250:4.0 252:26.0 253:67.0 257:95.0 264:1.0 268:23.0 269:28.0 270:3.0 273:94.0 278:4.0 280:6.0 286:30.0 287:6.0 288:64.0 290:3.0 297:6.0 299:54.0 300:39.0 301:13.0 302:43.0 303:15.0 306:30.0 308:6.0 315:7.0 316:7.0 317:216.0 323:1.0 324:4.0 325:1.0 326:1.0 334:5.0 336:4.0 339:12.0 340:12.0 341:3.0 344:1.0 349:38.0 352:11.0 353:1.0 367:23.0 368:5.0 370:1.0 374:10.0 380:1.0 382:8.0 383:3.0 384:3.0 385:1.0 386:1.0 387:8.0 389:8.0 394:3.0 410:15.0 411:4.0 412:4.0 413:2.0 425:20.0 426:12.0 427:3.0 436:17.0 437:211.0 438:114.0 439:11.0 443:1.0 446:1.0 447:6.0 458:2.0 471:1.0 482:1.0 484:32.0 487:2.0</t>
  </si>
  <si>
    <t>228311</t>
  </si>
  <si>
    <t>525618</t>
  </si>
  <si>
    <t>85:1882.0 86:4273.0 87:2808.0 90:170.0 94:1539.0 95:968.0 97:995.0 98:13233.0 99:2421.0 100:2820.0 101:9923.0 102:1000.0 103:6739.0 104:553.0 107:310.0 109:189.0 110:650.0 111:383.0 113:528.0 114:484.0 115:1837.0 116:5287.0 117:4559.0 118:303.0 119:1056.0 121:214.0 123:25.0 125:213.0 126:525.0 127:1015.0 129:7247.0 131:6175.0 132:839.0 133:8680.0 134:843.0 135:662.0 138:84.0 139:147.0 140:877.0 141:811.0 142:271.0 143:3254.0 144:107.0 146:199.0 147:55472.0 148:8401.0 149:2914.0 151:112.0 153:60.0 156:2381.0 157:2277.0 158:1660.0 159:625.0 161:41.0 162:6.0 163:105.0 168:101.0 169:1081.0 170:650.0 171:1414.0 172:295.0 173:213.0 174:6769.0 175:1475.0 176:340.0 177:68.0 180:216.0 181:63.0 182:88.0 183:28.0 185:315.0 186:786.0 187:236.0 188:364.0 189:9841.0 190:2003.0 191:29610.0 192:5140.0 193:1699.0 194:177.0 195:335.0 196:509.0 197:262.0 198:316.0 199:330.0 200:525.0 201:577.0 202:329.0 203:402.0 204:34105.0 205:5643.0 206:3099.0 207:50.0 210:210.0 212:177.0 213:86.0 214:205.0 215:1663.0 216:277.0 217:35629.0 218:6082.0 219:3034.0 220:533.0 221:1215.0 222:145.0 223:184.0 229:46.0 230:486.0 231:369.0 232:286.0 233:136.0 234:1553.0 236:781.0 238:1363.0 240:30.0 242:25.0 243:680.0 244:61.0 245:386.0 246:474.0 247:134.0 248:4.0 252:115.0 255:171.0 256:130.0 257:185.0 258:61.0 259:1096.0 260:220.0 262:32.0 263:13.0 268:14.0 270:330.0 272:70.0 273:41.0 274:27.0 276:49.0 277:19.0 279:288.0 281:33.0 283:290.0 284:367.0 285:200.0 286:440.0 287:370.0 288:168.0 289:59.0 290:1740.0 291:1006.0 292:428.0 293:89.0 297:132.0 298:111.0 299:54.0 301:121.0 302:106.0 303:144.0 304:315.0 305:1156.0 306:553.0 307:224.0 308:60.0 310:10.0 312:60.0 313:191.0 317:82.0 318:72.0 320:8.0 325:216.0 326:739.0 327:264.0 328:131.0 329:19.0 331:96.0 333:413.0 334:214.0 335:33.0 340:74.0 341:908.0 342:494.0 343:41.0 346:341.0 347:111.0 348:100.0 349:86.0 350:23.0 355:95.0 360:6.0 361:6.0 363:2.0 366:8.0 371:8.0 372:34.0 382:5.0 383:35.0 393:16.0 397:6.0 400:2.0 401:31.0 403:71.0 406:20.0 411:62.0 413:6.0 422:28.0 423:23.0 432:13.0 436:2.0 446:1.0 448:2.0 451:8.0 454:13.0 456:16.0 460:8.0 462:6.0 487:4.0 491:4.0 495:25.0</t>
  </si>
  <si>
    <t>228279</t>
  </si>
  <si>
    <t>724163</t>
  </si>
  <si>
    <t>85:18.0 86:1149.0 87:1292.0 88:1060.0 89:9778.0 90:1149.0 91:238.0 94:112.0 95:75.0 96:194.0 98:32.0 99:1080.0 100:1727.0 101:2929.0 103:8796.0 104:1039.0 105:3831.0 106:495.0 110:612.0 111:499.0 112:345.0 113:550.0 114:960.0 115:426.0 116:519.0 117:3689.0 118:937.0 119:537.0 123:238.0 124:140.0 125:53.0 126:339.0 127:116.0 128:470.0 129:4087.0 130:1209.0 131:2169.0 133:4884.0 134:644.0 136:41.0 138:405.0 140:239.0 141:330.0 142:473.0 143:3101.0 144:561.0 145:496.0 147:9151.0 148:542.0 149:959.0 150:324.0 151:51.0 152:184.0 153:649.0 154:44.0 155:319.0 157:808.0 158:882.0 159:385.0 160:12338.0 161:1569.0 162:558.0 163:495.0 168:558.0 169:614.0 170:1163.0 171:455.0 172:261.0 173:315.0 174:804.0 175:295.0 176:40.0 179:66.0 181:352.0 182:120.0 183:33.0 184:136.0 185:250.0 186:806.0 189:3723.0 190:1084.0 191:571.0 195:47.0 196:302.0 198:94.0 199:48.0 200:183.0 201:144.0 202:219.0 203:111.0 204:128.0 205:1012.0 212:471.0 213:136.0 214:352.0 215:4665.0 216:1307.0 217:13777.0 218:3064.0 219:1605.0 220:132.0 225:180.0 227:25.0 228:186.0 229:297.0 230:1079.0 231:628.0 232:26.0 233:131.0 235:245.0 236:32.0 238:69.0 239:61.0 240:252.0 242:291.0 243:506.0 244:410.0 245:1736.0 246:316.0 247:91.0 248:39.0 252:785.0 253:190.0 254:69.0 255:164.0 256:233.0 257:393.0 258:773.0 260:80.0 268:65.0 270:132.0 271:378.0 272:125.0 273:374.0 274:469.0 275:71.0 276:166.0 277:31.0 278:74.0 279:27.0 285:175.0 286:105.0 288:112.0 290:85.0 292:160.0 302:323.0 303:15.0 304:84.0 305:518.0 306:141.0 307:231.0 308:178.0 311:74.0 316:53.0 319:845.0 320:412.0 321:416.0 324:11.0 325:4.0 326:81.0 331:143.0 334:46.0 335:174.0 339:67.0 344:173.0 345:78.0 346:110.0 347:27.0 349:45.0 350:15.0 357:4.0 358:15.0 359:574.0 360:140.0 361:111.0 364:122.0 365:166.0 367:1.0 389:1.0 393:27.0 402:86.0 421:16.0 424:20.0 436:60.0 451:4.0 458:6.0 462:19.0 465:47.0 473:13.0 492:1.0 494:5.0</t>
  </si>
  <si>
    <t>275</t>
  </si>
  <si>
    <t>227816</t>
  </si>
  <si>
    <t>426345</t>
  </si>
  <si>
    <t>270</t>
  </si>
  <si>
    <t>85:337.0 86:791.0 87:19.0 92:95.0 96:25.0 98:1257.0 99:245.0 100:1458.0 102:24.0 108:374.0 110:399.0 111:114.0 112:337.0 113:143.0 114:373.0 115:49.0 118:184.0 120:1393.0 124:86.0 126:253.0 127:1245.0 128:188.0 130:536.0 131:410.0 136:32.0 139:4.0 140:270.0 141:99.0 142:111.0 143:24.0 146:133.0 148:396.0 151:1.0 152:8.0 153:163.0 154:507.0 155:461.0 157:71.0 158:152.0 161:11.0 167:55.0 169:15.0 170:157.0 171:109.0 172:83.0 176:31.0 179:23.0 180:134.0 181:501.0 182:61.0 183:153.0 184:398.0 185:26.0 187:2.0 195:162.0 196:163.0 197:208.0 198:194.0 199:124.0 210:42.0 211:20.0 212:29.0 213:16.0 214:71.0 226:31.0 227:240.0 228:60.0 229:22.0 232:9.0 233:21.0 238:49.0 239:1074.0 240:209.0 241:188.0 242:66.0 253:272.0 254:167.0 255:2213.0 256:498.0 257:158.0 259:57.0 260:59.0 261:38.0 269:2363.0 270:2663.0 271:547.0 272:158.0 273:33.0 279:3.0 290:10.0 303:4.0 314:14.0 317:6.0 330:12.0 335:1.0 341:24.0 347:4.0 350:5.0 351:5.0 358:10.0 361:28.0 383:10.0 392:20.0 396:9.0 401:6.0 407:15.0 415:6.0 420:3.0 425:4.0 440:7.0 448:7.0 457:20.0 462:1.0 464:6.0 469:3.0 478:2.0 481:2.0 484:7.0 495:10.0 500:4.0</t>
  </si>
  <si>
    <t>227767</t>
  </si>
  <si>
    <t>523660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</si>
  <si>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</si>
  <si>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227712</t>
  </si>
  <si>
    <t>729766</t>
  </si>
  <si>
    <t>85:4.0 86:421.0 87:52.0 90:60.0 92:84.0 100:811.0 108:36.0 109:1660.0 110:1119.0 111:148.0 112:157.0 113:52.0 114:893.0 115:121.0 116:265.0 117:534.0 119:18.0 124:6.0 128:1311.0 129:1524.0 130:303.0 131:617.0 132:261.0 137:164.0 138:129.0 139:57.0 143:154.0 144:120.0 146:42.0 148:148.0 150:18.0 155:66.0 156:2547.0 157:358.0 158:222.0 160:162.0 168:26.0 170:85.0 171:68.0 172:22.0 173:399.0 174:41.0 182:213.0 183:63.0 184:69.0 185:171.0 190:200.0 197:152.0 198:93.0 199:9.0 200:1174.0 201:221.0 202:77.0 203:75.0 205:190.0 211:135.0 213:5.0 215:34.0 217:200.0 218:394.0 219:190.0 220:7.0 223:65.0 226:174.0 227:434.0 228:2790.0 229:438.0 230:299.0 231:45.0 232:136.0 233:4.0 245:46.0 246:9.0 254:21.0 255:2.0 256:62.0 257:10.0 258:86.0 260:22.0 262:15.0 266:1.0 267:32.0 268:11.0 271:53.0 274:275.0 275:221.0 276:63.0 277:17.0 280:27.0 286:6.0 288:9.0 289:20.0 294:6.0 297:3.0 298:99.0 299:43.0 300:17.0 301:32.0 302:3.0 306:335.0 307:301.0 308:20.0 309:40.0 313:3.0 314:30.0 315:4.0 316:33.0 317:422.0 319:29.0 320:233.0 322:13.0 329:3.0 330:49.0 331:86.0 332:4.0 335:1.0 337:1.0 341:9.0 343:11.0 344:5.0 345:98.0 346:54.0 357:18.0 358:12.0 359:21.0 373:43.0 374:52.0 376:4.0 377:7.0 380:5.0 384:1.0 391:18.0 393:63.0 395:27.0 401:12.0 404:40.0 406:29.0 409:2.0 419:96.0 421:2.0 422:6.0 424:16.0 429:20.0 435:26.0 441:3.0 442:3.0 445:2.0 450:7.0 451:13.0 469:2.0 471:8.0 472:6.0 473:8.0 481:2.0 485:5.0 486:2.0 487:1.0 493:3.0 494:60.0</t>
  </si>
  <si>
    <t>373</t>
  </si>
  <si>
    <t>225867</t>
  </si>
  <si>
    <t>405975</t>
  </si>
  <si>
    <t>306</t>
  </si>
  <si>
    <t>85:2670.0 87:5883.0 88:398.0 89:1752.0 91:6531.0 92:499.0 93:337.0 94:508.0 95:323.0 96:322.0 97:541.0 98:373.0 99:2771.0 100:1891.0 101:23560.0 102:4349.0 103:7673.0 104:752.0 105:3129.0 106:246.0 108:166.0 111:655.0 112:158.0 113:2411.0 114:2087.0 115:15297.0 116:64972.0 117:255439.0 118:29043.0 119:15681.0 120:1511.0 121:539.0 122:139.0 123:61.0 125:170.0 126:25.0 127:1001.0 128:210.0 129:9867.0 131:15840.0 132:2703.0 133:49208.0 134:1418.0 135:4748.0 136:247.0 137:143.0 139:157.0 140:72.0 141:239.0 142:416.0 143:50626.0 144:14575.0 145:13057.0 146:1595.0 147:111903.0 148:19916.0 149:39252.0 150:5285.0 151:2744.0 152:586.0 153:27.0 154:34.0 156:16.0 157:1029.0 158:73.0 159:687.0 160:109.0 161:432.0 162:143.0 163:1810.0 164:328.0 165:208.0 166:7.0 167:5.0 168:16.0 171:754.0 172:216.0 173:477.0 174:67.0 175:5869.0 176:964.0 177:1902.0 178:238.0 179:19.0 180:52.0 182:59.0 183:2.0 184:305.0 185:82.0 186:191.0 187:155.0 188:176.0 189:1405.0 190:806.0 191:1984.0 192:385.0 194:1.0 195:68.0 196:45.0 197:71.0 198:15.0 199:272.0 200:207.0 201:245.0 202:24.0 203:8793.0 204:1668.0 205:1626.0 206:264.0 207:481.0 208:33.0 209:57.0 210:55.0 211:41.0 212:36.0 213:9.0 214:16.0 215:58.0 216:161.0 217:4977.0 218:3020.0 219:1485.0 220:439.0 221:5193.0 222:1170.0 223:511.0 224:180.0 225:57.0 226:41.0 227:1089.0 228:179.0 229:97.0 230:72.0 231:820.0 232:836.0 233:17002.0 234:21864.0 235:5370.0 236:1713.0 237:288.0 238:97.0 239:32.0 240:3.0 241:30.0 243:295.0 244:72.0 245:7022.0 246:1660.0 247:1601.0 248:290.0 249:28.0 250:10.0 251:24.0 252:6.0 253:35.0 254:4.0 258:5.0 259:24.0 260:2.0 262:13.0 263:46.0 264:14.0 265:193.0 266:35.0 268:2.0 269:6.0 272:5.0 273:5.0 274:45.0 276:2.0 277:12.0 279:119.0 282:28.0 283:12.0 286:1.0 289:8.0 291:897.0 292:320.0 293:437.0 294:139.0 295:62.0 301:1.0 305:408.0 306:25754.0 307:8964.0 308:4229.0 309:1005.0 310:205.0 311:15.0 313:3.0 314:19.0 315:11.0 319:98.0 322:1.0 323:3.0 325:2.0 332:1.0 334:70.0 335:1850.0 336:601.0 337:285.0 338:61.0 339:10.0 355:12.0 356:18.0 357:1.0 369:1.0 374:2.0 375:1.0 379:2.0 403:1.0 404:5.0 408:1.0 433:15.0 434:7.0 440:1.0 443:7.0 444:4.0 449:7.0 466:19.0 470:28.0 474:4.0 477:7.0 484:6.0</t>
  </si>
  <si>
    <t>225863</t>
  </si>
  <si>
    <t>750238</t>
  </si>
  <si>
    <t>85:73.0 86:222.0 88:187.0 89:329.0 92:51.0 98:197.0 99:22.0 100:386.0 101:575.0 103:4569.0 105:164.0 112:50.0 116:159.0 117:1873.0 119:121.0 121:15.0 129:1387.0 133:486.0 134:493.0 141:35.0 142:23.0 143:103.0 147:2198.0 150:145.0 152:41.0 153:11.0 155:15.0 157:823.0 158:174.0 159:46.0 163:66.0 168:3.0 170:17.0 172:388.0 173:191.0 174:150.0 185:56.0 186:36.0 188:15.0 189:103.0 201:82.0 204:224.0 205:1819.0 206:256.0 209:1.0 212:15.0 214:8.0 215:31.0 216:84.0 217:985.0 218:154.0 219:106.0 220:2.0 227:4.0 228:79.0 229:252.0 230:157.0 231:42.0 235:18.0 242:30.0 243:16.0 244:29.0 245:9.0 247:18.0 250:3.0 252:17.0 254:45.0 257:12.0 258:21.0 260:57.0 262:70.0 263:79.0 273:32.0 274:67.0 275:23.0 276:37.0 277:45.0 278:13.0 281:62.0 286:43.0 290:11.0 291:111.0 293:12.0 296:10.0 299:17.0 302:24.0 303:32.0 305:104.0 306:28.0 307:86.0 309:13.0 310:9.0 312:24.0 319:1764.0 320:457.0 321:186.0 327:37.0 329:2.0 332:25.0 333:6.0 334:29.0 336:31.0 344:7.0 346:7.0 347:17.0 363:31.0 367:6.0 368:22.0 372:6.0 375:23.0 377:2.0 385:16.0 386:5.0 390:17.0 391:3.0 393:31.0 402:3.0 405:8.0 407:3.0 412:13.0 417:6.0 419:16.0 425:17.0 433:24.0 437:2.0 442:4.0 445:7.0 447:33.0 450:1.0 451:16.0 453:13.0 456:2.0 459:16.0 460:22.0 471:11.0 475:13.0 476:20.0 478:3.0 480:27.0 489:1.0 498:10.0 500:4.0</t>
  </si>
  <si>
    <t>224849</t>
  </si>
  <si>
    <t>535229</t>
  </si>
  <si>
    <t>85:260.0 87:7.0 90:219.0 91:6.0 93:245.0 100:72.0 101:66.0 102:231.0 103:485.0 104:1.0 107:1072.0 108:365.0 109:305.0 110:2101.0 114:511.0 116:93.0 117:416.0 118:329.0 119:200.0 120:7.0 121:30.0 122:78.0 123:49.0 126:530.0 130:1260.0 132:11.0 133:198.0 134:239.0 135:49.0 136:81.0 138:36.0 140:61.0 145:3.0 146:200.0 147:24.0 148:12.0 149:5.0 152:25.0 154:226.0 156:1.0 158:43.0 160:13.0 162:2.0 167:266.0 175:35.0 176:2.0 177:180.0 179:152.0 180:2753.0 181:106.0 182:31.0 184:1366.0 186:51.0 188:4.0 190:1.0 191:96.0 193:774.0 194:117.0 195:29.0 197:1.0 199:18.0 200:75.0 201:11.0 204:3.0 207:5892.0 208:1236.0 209:519.0 210:53.0 211:72.0 215:2.0 217:51.0 221:6.0 223:12.0 228:953.0 229:61.0 230:47.0 231:28.0 232:13.0 234:1.0 238:65.0 240:34.0 241:43.0 242:20.0 244:3.0 245:97.0 247:50.0 256:20.0 259:35.0 261:150.0 263:18.0 267:7.0 268:1.0 275:1971.0 276:629.0 277:265.0 278:72.0 286:6.0 292:2.0 298:37.0 299:6.0 301:30.0 308:1.0 329:104.0 330:8.0 331:8.0 342:538.0 343:117.0 344:95.0 458:5.0</t>
  </si>
  <si>
    <t>224632</t>
  </si>
  <si>
    <t>755977</t>
  </si>
  <si>
    <t>86:625.0 87:1067.0 89:432.0 92:164.0 97:431.0 98:217.0 99:161.0 100:5997.0 101:519.0 103:429.0 112:471.0 113:165.0 114:168.0 118:620.0 124:33.0 127:219.0 129:325.0 130:825.0 132:223.0 134:435.0 139:300.0 141:130.0 143:632.0 147:6967.0 148:811.0 150:63.0 153:1290.0 154:1685.0 155:776.0 156:303.0 166:190.0 167:89.0 170:6.0 172:1260.0 173:183.0 174:232.0 181:48.0 182:41.0 184:161.0 187:3.0 188:31.0 191:2702.0 192:198.0 193:13.0 195:24.0 198:10.0 199:28.0 201:31.0 204:306.0 211:167.0 212:56.0 214:40.0 217:223.0 226:1388.0 227:927.0 228:144.0 231:90.0 238:271.0 239:137.0 240:28.0 241:15.0 245:38.0 246:207.0 247:73.0 248:37.0 252:105.0 253:69.0 254:178.0 255:98.0 260:15.0 264:54.0 269:17.0 275:102.0 276:7.0 290:3385.0 291:863.0 292:385.0 293:1.0 296:3.0 299:61.0 301:39.0 302:1.0 305:31.0 306:30.0 307:643.0 308:90.0 309:11.0 310:158.0 311:3.0 313:38.0 315:7.0 316:1.0 319:26.0 321:15.0 325:15.0 326:2664.0 327:1141.0 328:462.0 329:89.0 330:11.0 340:18.0 348:38.0 361:15.0 364:3.0 372:21.0 400:516.0 401:222.0 402:92.0 403:61.0 417:25.0 428:1028.0 429:401.0 430:158.0 431:29.0 437:7.0 443:10.0 485:11.0 490:38.0</t>
  </si>
  <si>
    <t>172</t>
  </si>
  <si>
    <t>223747</t>
  </si>
  <si>
    <t>409802</t>
  </si>
  <si>
    <t>85:599.0 86:191.0 90:509.0 91:1061.0 92:323.0 93:579.0 94:1593.0 95:94.0 97:437.0 98:4094.0 101:767.0 103:1191.0 104:383.0 105:118.0 106:1651.0 107:1803.0 108:1871.0 109:446.0 110:4223.0 113:1439.0 114:627.0 115:250.0 116:65.0 117:2631.0 118:971.0 119:825.0 120:716.0 121:771.0 122:618.0 123:256.0 124:428.0 125:193.0 126:373.0 127:958.0 128:69.0 130:1410.0 132:1366.0 133:2651.0 134:3255.0 135:1172.0 136:906.0 137:241.0 138:169.0 140:1564.0 141:1.0 143:294.0 144:123.0 146:935.0 148:4567.0 149:601.0 150:646.0 152:85.0 153:156.0 154:107.0 155:184.0 156:279.0 160:437.0 162:304.0 164:1016.0 165:236.0 166:57.0 168:286.0 174:173.0 179:18.0 180:168.0 181:408.0 182:592.0 183:599.0 184:337.0 185:20.0 193:139.0 194:195.0 195:2620.0 196:1044.0 197:579.0 199:49.0 200:43.0 204:70.0 208:90.0 209:269.0 210:3859.0 211:8655.0 212:1495.0 213:657.0 215:8.0 216:50.0 218:4.0 219:169.0 222:23.0 223:16.0 224:135.0 225:599.0 226:156.0 227:2107.0 228:1103.0 229:309.0 230:43.0 231:12.0 234:29.0 235:18.0 237:235.0 238:2017.0 239:342.0 240:104.0 243:2066.0 244:169.0 245:183.0 248:167.0 252:111.0 253:2219.0 254:457.0 255:233.0 256:24.0 257:58.0 259:12.0 262:2.0 263:77.0 269:186.0 283:254.0 284:19.0 286:49.0 288:1.0 299:10.0 301:157.0 302:37.0 307:1.0 314:12.0 315:1.0 338:6.0 346:11.0 351:44.0 372:31.0 373:19.0 374:1.0 406:35.0 441:1.0 456:10.0 486:1.0 496:4.0</t>
  </si>
  <si>
    <t>223675</t>
  </si>
  <si>
    <t>281046</t>
  </si>
  <si>
    <t>86:5927.0 87:80.0 89:132.0 90:460.0 91:1879.0 92:158.0 93:269.0 94:2.0 96:239.0 97:16.0 99:269.0 101:286.0 102:631.0 103:695.0 105:174.0 106:13.0 107:332.0 108:72.0 109:42.0 110:356.0 113:771.0 115:289.0 116:240.0 117:2247.0 118:58.0 119:314.0 120:6.0 128:551.0 129:755.0 131:884.0 132:241.0 133:3110.0 134:717.0 135:876.0 136:195.0 137:38.0 138:2.0 139:189.0 140:1942.0 141:897.0 142:471.0 143:1189.0 144:540.0 145:29921.0 146:4208.0 147:20623.0 148:3499.0 149:2323.0 150:217.0 151:42.0 154:6.0 155:174.0 156:221.0 157:144.0 163:111.0 165:3080.0 166:271.0 167:19.0 169:19.0 170:555.0 171:1654.0 172:96.0 180:938.0 181:34.0 184:227.0 185:58.0 186:559.0 188:226.0 190:785.0 191:189.0 196:43.0 198:650.0 199:51.0 203:62.0 211:689.0 212:61.0 213:55.0 215:150.0 219:2644.0 220:435.0 227:25.0 229:5.0 230:69.0 232:4.0 233:24.0 234:337.0 235:3.0 238:1.0 246:10.0 247:820.0 248:143.0 249:69.0 255:22.0 256:4.0 259:51.0 265:76.0 267:128.0 281:135.0 282:23.0 285:65.0 286:2.0 294:2.0 295:1.0 297:1.0 302:2.0 309:3.0 331:3.0 334:1.0 340:1.0 358:1.0 369:40.0 378:1.0 425:1.0 468:1.0 475:2.0 482:5.0 487:2.0 493:1.0</t>
  </si>
  <si>
    <t>223566</t>
  </si>
  <si>
    <t>624258</t>
  </si>
  <si>
    <t>86:115.0 98:206.0 99:618.0 100:171.0 102:53.0 110:34.0 114:20.0 119:92.0 120:42.0 126:39.0 130:5.0 132:351.0 139:54.0 140:142.0 141:152.0 155:323.0 156:4867.0 157:474.0 158:91.0 168:5.0 170:119.0 174:304.0 184:30.0 188:3.0 194:8.0 207:30.0 209:38.0 212:42.0 214:50.0 217:432.0 218:22.0 222:16.0 233:12.0 238:2.0 241:11.0 242:39.0 243:102.0 244:7.0 245:23.0 246:15.0 251:1.0 253:17.0 260:55.0 288:8.0 291:7.0 292:23.0 293:11.0 299:18.0 311:57.0 312:105.0 313:28.0 320:29.0 326:66.0 327:51.0 338:5.0 346:5.0 352:2.0 373:5.0 379:18.0 382:4.0 417:6.0 432:9.0 437:3.0 442:1.0 465:18.0</t>
  </si>
  <si>
    <t>223531</t>
  </si>
  <si>
    <t>270642</t>
  </si>
  <si>
    <t>85:2427.0 86:40686.0 87:8300.0 88:2510.0 89:14224.0 92:937.0 93:2550.0 99:1564.0 100:98565.0 101:17741.0 102:5239.0 103:4003.0 104:2330.0 105:2146.0 106:2460.0 107:4930.0 108:854.0 110:3187.0 114:2609.0 115:3332.0 116:3532.0 117:4544.0 118:2522.0 119:1155.0 120:589.0 121:367.0 124:31.0 125:471.0 126:1807.0 127:3709.0 129:289.0 130:13797.0 131:10429.0 132:2827.0 133:61755.0 134:8303.0 136:757.0 138:120.0 143:1299.0 146:2286.0 147:77361.0 148:10920.0 149:7257.0 152:251.0 153:219.0 156:266.0 158:954.0 160:2861.0 161:717.0 162:1902.0 169:238.0 172:1383.0 174:21369.0 175:2604.0 176:472.0 182:49.0 183:2.0 187:1252.0 188:1338.0 189:531.0 190:1658.0 192:1638.0 195:48.0 196:240.0 198:285.0 204:316.0 205:1889.0 207:357.0 208:12.0 211:377.0 215:633.0 216:94.0 218:1020.0 220:4456.0 221:319.0 225:83.0 228:310.0 233:398.0 234:466.0 235:2.0 246:47.0 247:20.0 248:6877.0 249:1749.0 250:1180.0 251:423.0 252:2.0 255:50.0 257:11.0 261:22.0 262:11207.0 263:2428.0 264:1047.0 265:657.0 266:15.0 269:101.0 270:57.0 272:479.0 273:147.0 286:25.0 295:8.0 336:3.0 337:50.0 341:42.0 367:3.0 374:1.0 375:6.0 393:17.0 401:7.0 404:24.0 420:2.0 422:2.0 423:2.0 433:1.0 443:20.0 445:1.0 449:4.0 464:2.0 470:1.0 471:13.0 474:1.0 479:5.0 481:5.0 484:3.0 485:3.0 489:1.0 497:10.0</t>
  </si>
  <si>
    <t>223505</t>
  </si>
  <si>
    <t>810335</t>
  </si>
  <si>
    <t>85:410.0 86:539.0 87:104.0 88:90.0 89:1966.0 90:67.0 91:122.0 94:67.0 95:442.0 97:23.0 98:553.0 99:201.0 100:577.0 101:245.0 102:214.0 103:7628.0 104:619.0 105:245.0 107:64.0 108:135.0 109:24.0 110:79.0 111:132.0 112:118.0 113:243.0 114:1755.0 115:281.0 116:1275.0 117:3626.0 118:188.0 119:25.0 121:38.0 122:5.0 123:164.0 126:224.0 127:116.0 128:1250.0 129:2004.0 130:595.0 131:1565.0 132:411.0 133:1179.0 134:171.0 135:34.0 138:76.0 139:11.0 140:99.0 141:86.0 142:453.0 143:302.0 144:1421.0 145:174.0 146:232.0 147:8262.0 148:1390.0 149:338.0 150:146.0 153:137.0 154:51.0 155:547.0 156:141.0 157:436.0 158:966.0 159:82.0 160:41.0 161:56.0 162:26.0 163:54.0 164:29.0 167:215.0 168:96.0 169:81.0 170:142.0 171:15.0 172:671.0 173:339.0 174:409.0 175:91.0 178:1.0 179:9.0 180:47.0 181:145.0 182:20.0 183:27.0 184:200.0 185:366.0 186:174.0 187:23.0 188:49.0 189:748.0 190:92.0 191:377.0 192:37.0 197:225.0 198:5.0 200:22.0 201:146.0 202:25.0 204:620.0 205:1769.0 206:340.0 207:523.0 208:16.0 209:6.0 211:8.0 212:18.0 213:23.0 214:230.0 215:88.0 216:113.0 217:2964.0 218:705.0 219:258.0 220:30.0 221:6.0 225:38.0 226:35.0 227:66.0 228:40.0 229:198.0 230:105.0 231:113.0 232:1789.0 233:337.0 234:151.0 239:42.0 240:63.0 241:58.0 242:139.0 243:45.0 244:146.0 245:40.0 246:3297.0 247:683.0 248:277.0 249:93.0 251:29.0 253:28.0 255:161.0 256:82.0 257:320.0 258:106.0 259:5.0 260:2.0 262:67.0 264:21.0 267:39.0 268:7.0 269:3145.0 270:847.0 271:364.0 272:65.0 273:9.0 274:35.0 277:171.0 278:32.0 279:12.0 280:9.0 281:51.0 282:21.0 283:20.0 284:47.0 285:49.0 287:8.0 288:75.0 289:39.0 290:30.0 291:128.0 292:23.0 293:45.0 294:9.0 295:73.0 297:66.0 298:8.0 299:18.0 300:24.0 303:49.0 304:18.0 305:82.0 306:23.0 307:284.0 308:124.0 309:49.0 311:16.0 312:16.0 313:64.0 314:20.0 315:19.0 316:9.0 317:41.0 318:8.0 319:263.0 320:98.0 321:72.0 322:12.0 324:11.0 326:19.0 327:53.0 329:64.0 330:10.0 331:17.0 332:38.0 334:21.0 335:5.0 337:15.0 338:35.0 339:43.0 341:93.0 342:45.0 343:85.0 344:172.0 345:148.0 346:59.0 348:33.0 351:12.0 357:26.0 358:62.0 359:193.0 360:68.0 361:59.0 362:14.0 368:10.0 370:16.0 371:48.0 372:2.0 373:14.0 374:46.0 375:17.0 376:13.0 377:10.0 379:2.0 383:344.0 384:107.0 385:104.0 386:35.0 387:24.0 390:18.0 391:12.0 403:14.0 405:11.0 406:15.0 407:3.0 408:13.0 411:89.0 412:29.0 413:16.0 416:14.0 417:123.0 418:110.0 419:47.0 420:16.0 422:4.0 423:26.0 426:6.0 427:1.0 429:6.0 430:8.0 433:23.0 434:10.0 437:23.0 441:10.0 447:7.0 448:29.0 449:7.0 458:4.0 459:50.0 460:34.0 464:10.0 468:4.0 473:21.0 474:41.0 475:23.0 476:13.0 478:29.0 479:1.0 481:18.0 484:14.0 487:8.0 492:5.0 494:4.0 495:9.0 497:3.0 498:6.0 499:20.0 500:10.0</t>
  </si>
  <si>
    <t>222169</t>
  </si>
  <si>
    <t>975088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</si>
  <si>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</si>
  <si>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222065</t>
  </si>
  <si>
    <t>659546</t>
  </si>
  <si>
    <t>85:140.0 89:331.0 91:1509.0 92:60.0 93:129.0 95:85.0 96:88.0 100:73.0 101:83.0 102:231.0 103:1864.0 104:126.0 106:21.0 109:6.0 110:176.0 115:460.0 116:66.0 117:277.0 119:438.0 127:296.0 129:250.0 130:290.0 131:131.0 133:120.0 134:114.0 135:3.0 146:60.0 150:3.0 151:60.0 152:208.0 153:108.0 157:67.0 159:10.0 160:44.0 164:10.0 165:234.0 167:7.0 178:240.0 179:137.0 181:31.0 187:8.0 191:166.0 193:5.0 199:31.0 200:5.0 203:6.0 204:94.0 205:149.0 206:35.0 207:62.0 216:17.0 217:212.0 221:18.0 237:4.0 251:3.0 253:52.0 254:20.0 269:2667.0 270:577.0 271:90.0 272:2.0 278:33.0 284:368.0 285:109.0 319:120.0 321:6.0 340:16.0 355:3.0 359:2.0 368:34.0 377:11.0 408:13.0 434:2.0 436:15.0 449:10.0 456:7.0 467:6.0 470:26.0 480:18.0 482:5.0 493:29.0 495:4.0 499:27.0</t>
  </si>
  <si>
    <t>219520</t>
  </si>
  <si>
    <t>867313</t>
  </si>
  <si>
    <t>86:483.0 87:63.0 88:52.0 89:216.0 91:1329.0 92:258.0 93:738.0 94:200.0 95:76.0 97:44.0 98:9.0 99:1.0 100:398.0 101:149.0 102:52.0 103:21.0 104:6.0 105:478.0 106:288.0 107:158.0 108:33.0 109:29.0 110:27.0 112:33.0 114:59.0 116:79.0 117:324.0 118:140.0 119:114.0 120:438.0 121:224.0 122:54.0 124:38.0 128:96.0 129:271.0 130:187.0 131:139.0 132:170.0 138:4.0 139:25.0 142:14.0 143:18.0 144:3882.0 145:436.0 146:393.0 147:289.0 148:51.0 150:7.0 152:4.0 156:68.0 158:16.0 160:59.0 162:12.0 169:28.0 172:53.0 174:570.0 175:55.0 176:53.0 180:105.0 186:9.0 199:6.0 200:2.0 202:11.0 203:3.0 204:315.0 205:65.0 206:8.0 214:2.0 216:19.0 217:15.0 226:22.0 227:1.0 228:7.0 229:11.0 246:17.0 265:7.0 272:7.0 281:2.0 312:3.0 321:11.0 323:11.0 332:11.0 355:4.0 362:10.0 365:5.0 377:1.0 383:2.0 387:3.0 403:2.0 407:5.0 413:1.0 414:15.0 431:3.0 443:18.0 470:2.0 474:5.0 484:4.0 497:9.0</t>
  </si>
  <si>
    <t>218790</t>
  </si>
  <si>
    <t>680726</t>
  </si>
  <si>
    <t>85:316.0 86:24.0 96:13.0 98:285.0 99:125.0 100:67.0 109:94.0 110:171.0 111:70.0 112:38.0 113:6.0 124:19.0 127:25.0 128:9.0 129:16.0 132:35.0 136:25.0 141:3.0 143:15.0 154:1542.0 155:169.0 156:14.0 184:57.0 191:15.0 204:106.0 220:7.0 228:22.0 367:8.0 411:1.0 446:2.0</t>
  </si>
  <si>
    <t>218787</t>
  </si>
  <si>
    <t>435590</t>
  </si>
  <si>
    <t>85:286.0 86:933.0 87:676.0 88:518.0 89:66.0 90:104.0 91:643.0 92:355.0 93:168.0 94:598.0 95:466.0 96:1077.0 97:434.0 98:174.0 99:233.0 100:513.0 101:311.0 102:235.0 103:333.0 104:238.0 106:66.0 107:197.0 108:364.0 109:319.0 110:9469.0 111:1747.0 112:389.0 113:432.0 114:233.0 115:113.0 116:1392.0 117:177.0 118:497.0 119:53.0 120:1061.0 121:98.0 122:136.0 123:411.0 124:128.0 125:31.0 127:181.0 128:61.0 129:329.0 130:867.0 131:502.0 132:178.0 133:318.0 134:3638.0 135:408.0 136:1785.0 137:114.0 138:67.0 139:46.0 140:365.0 142:3.0 143:253.0 144:368.0 145:73.0 146:120.0 147:534.0 148:101.0 150:91.0 151:121.0 152:123.0 153:23.0 154:221.0 157:27.0 158:162.0 159:57.0 160:117.0 161:40.0 162:24.0 163:190.0 164:10.0 165:381.0 166:128.0 167:113.0 168:205.0 169:48.0 170:35.0 171:4.0 172:163.0 173:10.0 174:2595.0 175:374.0 176:118.0 178:7.0 179:1888.0 180:149.0 181:65.0 182:74.0 183:785.0 184:3943.0 185:698.0 186:175.0 187:16.0 188:108.0 198:387.0 199:60.0 200:131.0 201:4.0 202:7.0 203:1.0 204:58.0 211:4.0 212:14.0 213:304.0 214:25.0 215:18.0 216:5.0 218:65.0 220:344.0 224:1.0 225:18.0 228:4277.0 229:536.0 230:146.0 231:5.0 232:52.0 238:5.0 242:70.0 243:1.0 248:452.0 249:52.0 250:76.0 251:5.0 253:5.0 254:4.0 255:1306.0 256:195.0 257:24.0 258:9.0 261:9.0 274:7.0 286:131.0 287:15.0 288:23.0 289:12.0 290:70.0 291:21.0 293:1.0 295:15.0 296:2.0 301:812.0 302:144.0 303:86.0 304:15.0 313:1.0 314:604.0 315:144.0 316:44.0 324:5.0 329:30.0 330:47.0 332:5.0 334:5.0 335:9.0 336:4.0 351:12.0 354:1.0 355:1.0 357:43.0 358:17.0 362:8.0 363:9.0 371:13.0 374:4.0 385:3.0 386:7.0 389:10.0 418:4.0 420:4.0 421:2.0 426:12.0 427:1.0 430:4.0 431:4.0 439:10.0 443:1.0 453:22.0 460:3.0 469:18.0 470:2.0 482:6.0 484:3.0 486:6.0 491:17.0 498:2.0</t>
  </si>
  <si>
    <t>218769</t>
  </si>
  <si>
    <t>599055</t>
  </si>
  <si>
    <t>86:152.0 87:21.0 88:3.0 89:201.0 93:18.0 96:30.0 100:155.0 101:267.0 102:14300.0 103:2236.0 104:541.0 105:30.0 107:1.0 109:34.0 111:108.0 113:39.0 115:9.0 116:203.0 117:1815.0 118:173.0 119:36.0 126:8.0 128:117.0 129:829.0 130:216.0 131:277.0 132:77.0 133:574.0 140:9.0 143:100.0 144:203.0 145:17.0 146:32.0 147:2440.0 148:412.0 149:219.0 152:59.0 154:14.0 157:23.0 169:2.0 170:65.0 172:5.0 174:54.0 175:16.0 176:92.0 184:12.0 188:26.0 189:203.0 190:52.0 191:158.0 192:26.0 203:128.0 204:433.0 205:285.0 206:36.0 216:800.0 217:1069.0 218:232.0 219:45.0 221:27.0 229:39.0 230:119.0 231:49.0 232:4.0 244:31.0 267:7.0 272:15.0 278:19.0 292:130.0 293:16.0 305:1.0 319:446.0 320:161.0 321:72.0 399:2.0 418:7.0</t>
  </si>
  <si>
    <t>218728</t>
  </si>
  <si>
    <t>716264</t>
  </si>
  <si>
    <t>85:114.0 87:22.0 88:44.0 89:158.0 91:445.0 92:34.0 93:11.0 95:31.0 97:7.0 98:313.0 99:78.0 100:47.0 101:335.0 102:31.0 103:853.0 104:53.0 105:149.0 107:62.0 108:26.0 110:71.0 111:44.0 112:20.0 115:14.0 116:278.0 118:40.0 119:177.0 120:11.0 121:14.0 123:32.0 125:14.0 129:815.0 130:47.0 131:197.0 132:265.0 133:204.0 134:109.0 136:5.0 138:2.0 140:11.0 141:82.0 142:34.0 143:134.0 145:140.0 147:508.0 148:101.0 149:69.0 151:6.0 156:51.0 158:5.0 161:22.0 162:2.0 167:146.0 169:119.0 171:41.0 173:38.0 175:774.0 176:83.0 177:23.0 182:2.0 183:34.0 185:40.0 187:26.0 189:262.0 199:10.0 200:13.0 203:246.0 204:3581.0 205:824.0 206:250.0 207:32.0 213:4.0 219:33.0 220:14.0 225:9.0 229:13.0 231:36.0 244:2.0 257:10.0 273:9.0 280:2.0 281:1.0 287:2.0 291:33.0 293:1.0 299:3.0 310:1.0 312:7.0 313:135.0 325:2.0 328:5.0 330:35.0 337:1.0 339:3.0 340:1.0 353:3.0 354:1.0 355:2.0 356:14.0 361:26.0 369:1.0 388:2.0 402:30.0 419:1.0 426:7.0</t>
  </si>
  <si>
    <t>218694</t>
  </si>
  <si>
    <t>440414</t>
  </si>
  <si>
    <t>85:169.0 86:10.0 91:55.0 101:181.0 102:19.0 107:197.0 115:306.0 117:2901.0 118:204.0 119:90.0 130:230.0 131:97.0 133:389.0 136:14.0 143:4.0 147:1197.0 148:133.0 149:234.0 150:29.0 157:359.0 158:46.0 159:24.0 175:9.0 221:11.0 247:58.0 248:98.0 320:95.0 322:18.0 327:4.0</t>
  </si>
  <si>
    <t>218597</t>
  </si>
  <si>
    <t>423406</t>
  </si>
  <si>
    <t>85:137.0 86:263.0 87:73.0 88:80.0 89:140.0 90:58.0 91:515.0 92:25.0 93:173.0 94:25.0 96:497.0 97:17.0 98:203.0 99:82.0 100:5596.0 101:762.0 102:151.0 103:1753.0 104:133.0 105:173.0 106:18.0 110:70.0 111:76.0 112:54.0 113:46.0 114:227.0 115:645.0 116:63.0 117:926.0 118:21.0 121:10.0 122:3.0 125:12.0 126:577.0 128:189.0 131:283.0 132:41.0 133:45.0 134:31.0 138:1.0 139:4.0 140:63.0 141:55.0 142:65.0 143:64.0 144:95.0 147:1402.0 148:109.0 149:82.0 150:8.0 152:3.0 153:41.0 155:17.0 156:88.0 158:941.0 159:107.0 160:32.0 161:4.0 169:5.0 171:8.0 173:228.0 174:40.0 176:4.0 181:27.0 185:41.0 186:44.0 188:52.0 190:52.0 196:105.0 199:78.0 200:6.0 203:42.0 205:5.0 210:96.0 211:32.0 215:16.0 217:83.0 219:38.0 220:7.0 223:7.0 226:7.0 239:132.0 240:1.0 243:1292.0 244:255.0 245:90.0 254:84.0 255:18.0 256:6.0 258:194.0 259:23.0 267:22.0 270:1.0 282:5.0 283:1.0 303:1.0 324:1.0 327:4.0 328:3.0 342:3.0 353:5.0 382:4.0 395:5.0 399:24.0 410:3.0 416:4.0 444:2.0 449:3.0 492:1.0</t>
  </si>
  <si>
    <t>217893</t>
  </si>
  <si>
    <t>708324</t>
  </si>
  <si>
    <t>85:202.0 86:67.0 87:639.0 88:61.0 89:168.0 91:456.0 93:501.0 94:28.0 95:237.0 96:129.0 97:171.0 98:30.0 99:53.0 100:88.0 101:296.0 102:5.0 103:1491.0 104:163.0 105:336.0 106:5.0 107:321.0 109:351.0 110:103.0 111:39.0 113:13.0 114:13.0 116:46.0 117:2151.0 118:160.0 119:240.0 120:8.0 121:195.0 122:3.0 123:104.0 124:20.0 125:36.0 129:278.0 131:81.0 133:355.0 135:457.0 137:15.0 139:66.0 140:78.0 141:101.0 142:7.0 143:97.0 144:39.0 145:39.0 146:6.0 147:289.0 149:37.0 151:28.0 153:13.0 154:13.0 155:17.0 157:44.0 158:3.0 160:11.0 161:604.0 162:57.0 163:28.0 167:142.0 168:17.0 169:26.0 170:48.0 172:71.0 173:140.0 174:53.0 179:78.0 181:231.0 182:16.0 183:78.0 184:22.0 185:43.0 189:25.0 191:9.0 195:27.0 197:53.0 199:13.0 200:111.0 202:63.0 204:29.0 205:60.0 206:3.0 211:11.0 217:878.0 218:147.0 223:1499.0 224:278.0 225:130.0 226:18.0 229:5.0 241:21.0 243:18.0 251:17.0 261:14.0 262:20.0 265:29.0 267:12.0 271:4.0 288:20.0 297:31.0 305:12.0 307:12.0 308:2.0 311:109.0 312:13.0 318:5.0 330:2.0 334:1.0 360:13.0 363:4.0 401:12.0 402:1.0 416:12.0 437:39.0 447:4.0 490:2.0</t>
  </si>
  <si>
    <t>216428</t>
  </si>
  <si>
    <t>505415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</si>
  <si>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</si>
  <si>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214201</t>
  </si>
  <si>
    <t>436111</t>
  </si>
  <si>
    <t>85:64.0 86:27.0 87:619.0 88:65.0 89:155.0 90:18.0 95:14.0 96:4.0 97:21.0 98:36.0 99:20.0 100:56.0 101:168.0 102:26.0 103:352.0 104:44.0 105:3.0 106:6.0 107:4.0 108:7.0 109:2.0 110:5.0 111:10.0 112:13.0 113:22.0 114:20.0 115:39.0 116:40.0 117:816.0 118:57.0 119:51.0 120:3.0 121:2.0 124:2.0 125:2.0 126:18.0 127:4.0 128:12.0 129:123.0 130:20.0 131:146.0 132:29.0 133:237.0 134:61.0 135:2.0 136:3.0 137:1.0 139:10.0 141:2.0 142:20.0 143:52.0 144:9.0 145:82.0 146:4.0 147:1188.0 148:153.0 149:46.0 150:3.0 151:7.0 153:5.0 154:88.0 155:16.0 156:62.0 157:45.0 158:86.0 159:2.0 160:30.0 163:2.0 164:11.0 166:1.0 169:13.0 170:1.0 171:5.0 172:93.0 173:25.0 175:28.0 176:6.0 181:1.0 183:12.0 184:1.0 185:13.0 186:74.0 187:12.0 188:2.0 189:171.0 190:24.0 191:18.0 192:1.0 193:4.0 194:2.0 195:6.0 197:1.0 198:2.0 199:1.0 200:46.0 201:493.0 202:100.0 203:49.0 204:83.0 205:283.0 206:45.0 207:15.0 208:7.0 212:3.0 214:16.0 215:11.0 216:1.0 217:4.0 218:5.0 219:37.0 220:1.0 221:2.0 224:8.0 229:2.0 230:9.0 231:6.0 232:7.0 233:4.0 235:2.0 236:6.0 238:1.0 240:4.0 242:4.0 243:3.0 244:1.0 245:1.0 246:49.0 247:5.0 248:18.0 249:4.0 250:3.0 251:6.0 254:11.0 256:2.0 257:3.0 258:7.0 260:7.0 261:7.0 262:1.0 264:1.0 267:8.0 268:4.0 269:7.0 271:2.0 273:8.0 276:1.0 277:4.0 278:2.0 282:4.0 283:1.0 284:4.0 285:5.0 286:2.0 287:3.0 288:9.0 291:2.0 292:2.0 293:1.0 294:6.0 295:3.0 296:1.0 297:1.0 298:2.0 299:5.0 301:3.0 303:7.0 306:4.0 307:1.0 308:5.0 309:1.0 311:1.0 313:1.0 315:2.0 316:5.0 317:1.0 318:21.0 319:5.0 320:9.0 322:7.0 323:1.0 324:6.0 325:2.0 326:1.0 327:1.0 330:1.0 331:2.0 332:3.0 333:1.0 335:6.0 337:3.0 338:9.0 339:1.0 340:3.0 341:2.0 344:5.0 345:1.0 346:1.0 347:9.0 348:1.0 350:6.0 352:5.0 353:1.0 355:10.0 356:5.0 357:1.0 358:5.0 361:4.0 362:3.0 363:2.0 364:13.0 365:5.0 366:4.0 367:2.0 368:10.0 371:5.0 372:2.0 374:3.0 377:6.0 378:5.0 379:4.0 380:3.0 381:7.0 382:1.0 383:5.0 384:2.0 385:1.0 386:4.0 387:1.0 388:1.0 392:1.0 393:7.0 394:8.0 395:1.0 396:7.0 398:1.0 399:1.0 400:7.0 401:4.0 402:5.0 403:7.0 404:2.0 405:10.0 406:8.0 407:10.0 408:6.0 409:3.0 411:1.0 412:1.0 413:5.0 414:9.0 416:1.0 417:3.0 418:1.0 419:1.0 420:4.0 421:5.0 422:1.0 423:1.0 424:4.0 425:1.0 426:2.0 427:4.0 429:5.0 430:3.0 433:1.0 435:1.0 436:7.0 437:1.0 438:2.0 439:3.0 443:4.0 444:4.0 445:7.0 446:1.0 447:3.0 452:9.0 455:8.0 460:3.0 462:5.0 466:6.0 467:1.0 468:5.0 470:4.0 471:2.0 472:7.0 473:5.0 474:3.0 475:3.0 476:1.0 477:2.0 479:9.0 481:3.0 482:1.0 483:1.0 484:2.0 485:2.0 487:8.0 488:5.0 490:2.0 491:3.0 492:7.0 493:6.0 494:6.0 495:1.0 496:7.0 497:2.0 498:2.0 499:2.0 500:1.0</t>
  </si>
  <si>
    <t>214152</t>
  </si>
  <si>
    <t>573648</t>
  </si>
  <si>
    <t>85:27.0 86:44.0 89:103.0 92:1.0 93:8.0 98:2.0 99:5.0 100:37.0 101:32.0 103:980.0 104:54.0 105:8.0 106:4.0 107:2.0 108:1.0 113:41.0 114:6.0 116:8.0 117:90.0 118:1.0 126:2.0 128:14.0 129:94.0 130:4.0 131:17.0 132:6.0 133:52.0 136:1.0 137:2.0 139:2.0 141:12.0 142:9.0 146:5.0 147:381.0 148:32.0 149:7.0 150:3.0 151:3.0 152:1.0 153:5.0 154:3.0 155:2.0 156:4.0 159:1011.0 160:103.0 161:21.0 162:3.0 164:4.0 166:5.0 168:3.0 169:1.0 170:4.0 171:1.0 172:2.0 175:9.0 176:1.0 182:4.0 184:1.0 189:32.0 190:1.0 191:7.0 192:16.0 193:1.0 195:8.0 196:1.0 197:9.0 200:7.0 202:5.0 203:9.0 205:68.0 206:9.0 207:6.0 208:3.0 212:3.0 213:2.0 214:6.0 215:2.0 216:2.0 217:341.0 218:66.0 219:26.0 221:18.0 222:4.0 223:4.0 225:2.0 228:4.0 230:8.0 231:13.0 232:6.0 237:13.0 238:3.0 240:1.0 241:2.0 243:8.0 244:6.0 246:1.0 247:11.0 248:7.0 249:8.0 250:4.0 254:2.0 255:6.0 256:5.0 258:1.0 259:4.0 262:1.0 264:7.0 266:1.0 272:9.0 273:5.0 274:7.0 275:1.0 277:9.0 278:1.0 279:8.0 280:5.0 282:3.0 283:6.0 284:5.0 286:1.0 288:2.0 290:1.0 291:13.0 292:11.0 294:5.0 295:2.0 297:4.0 298:7.0 300:8.0 301:5.0 303:2.0 304:3.0 306:3.0 307:60.0 308:28.0 309:6.0 313:3.0 315:1.0 318:1.0 319:20.0 320:3.0 322:2.0 323:2.0 326:4.0 327:1.0 328:2.0 329:1.0 330:2.0 331:2.0 332:3.0 336:4.0 338:3.0 340:2.0 341:2.0 343:10.0 344:2.0 345:3.0 347:5.0 348:2.0 349:2.0 351:2.0 353:1.0 355:5.0 357:2.0 358:4.0 359:4.0 363:4.0 364:2.0 367:5.0 369:1.0 370:1.0 371:2.0 372:6.0 374:8.0 375:6.0 376:4.0 377:4.0 379:2.0 383:7.0 384:3.0 385:2.0 387:3.0 388:2.0 389:1.0 391:2.0 395:1.0 396:1.0 398:14.0 399:6.0 400:11.0 401:1.0 403:2.0 404:1.0 405:7.0 406:3.0 407:1.0 409:5.0 411:1.0 412:1.0 413:4.0 414:1.0 415:5.0 416:7.0 418:2.0 419:2.0 421:1.0 422:3.0 426:4.0 428:1.0 429:1.0 430:1.0 431:5.0 434:2.0 435:6.0 438:6.0 440:3.0 441:1.0 442:2.0 443:1.0 444:1.0 445:4.0 446:1.0 447:3.0 448:3.0 450:2.0 451:4.0 454:8.0 456:1.0 457:2.0 458:5.0 460:6.0 462:2.0 463:3.0 464:3.0 465:7.0 466:2.0 469:2.0 474:5.0 475:9.0 477:3.0 478:8.0 479:4.0 480:1.0 482:5.0 483:7.0 486:3.0 487:3.0 488:4.0 490:1.0 491:3.0 492:5.0 493:9.0 495:4.0 496:4.0 497:4.0 498:1.0 500:3.0</t>
  </si>
  <si>
    <t>214151</t>
  </si>
  <si>
    <t>841748</t>
  </si>
  <si>
    <t>85:87.0 86:425.0 87:49.0 88:43.0 89:224.0 90:4.0 92:1.0 93:1.0 95:2.0 96:12.0 97:10.0 98:24.0 99:30.0 100:210.0 101:87.0 102:71.0 103:567.0 104:42.0 105:13.0 106:8.0 107:6.0 109:35.0 110:15.0 111:18.0 112:49.0 113:32.0 114:61.0 115:46.0 116:35.0 117:384.0 118:45.0 119:23.0 120:2.0 123:26.0 124:3.0 125:5.0 126:38.0 127:3.0 128:84.0 129:101.0 130:97.0 131:76.0 132:21.0 133:119.0 134:1.0 135:8.0 136:5.0 140:41.0 141:13.0 142:1369.0 143:168.0 144:111.0 145:12.0 146:86.0 147:639.0 148:89.0 149:40.0 150:4.0 152:1.0 153:4.0 154:18.0 155:4.0 156:41.0 157:18.0 158:26.0 159:3.0 160:2.0 163:2.0 164:5.0 166:1.0 167:2.0 168:10.0 169:5.0 170:3.0 171:2.0 172:71.0 173:67.0 174:364.0 175:63.0 176:10.0 177:4.0 178:3.0 179:1.0 182:16.0 183:8.0 184:13.0 186:20.0 187:5.0 189:36.0 190:6.0 191:2.0 192:1.0 193:3.0 194:9.0 195:1.0 196:7.0 198:8.0 199:3.0 200:55.0 201:75.0 202:8.0 203:6.0 204:21.0 205:128.0 206:23.0 207:14.0 209:4.0 210:2.0 211:2.0 212:5.0 213:16.0 214:78.0 215:17.0 216:13.0 217:75.0 218:6.0 219:1.0 220:1.0 224:6.0 227:3.0 228:9.0 229:9.0 230:7.0 234:2.0 235:5.0 237:28.0 238:3.0 239:1.0 240:5.0 243:5.0 244:6.0 246:1.0 251:2.0 252:6.0 253:1.0 255:49.0 256:10.0 257:6.0 258:27.0 259:10.0 260:5.0 261:5.0 263:2.0 264:4.0 269:2.0 272:3.0 273:3.0 275:6.0 277:1.0 279:2.0 283:2.0 285:7.0 286:4.0 288:1.0 291:1.0 298:2.0 299:4.0 304:3.0 307:13.0 308:21.0 310:6.0 315:1.0 317:6.0 318:4.0 319:1.0 320:2.0 322:1.0 324:2.0 326:9.0 327:10.0 328:12.0 330:1.0 331:2.0 335:1.0 336:1.0 337:1.0 338:4.0 343:4.0 345:6.0 349:4.0 355:5.0 356:1.0 357:4.0 360:2.0 361:2.0 363:4.0 367:3.0 374:7.0 375:2.0 378:1.0 381:6.0 384:1.0 385:7.0 387:5.0 390:1.0 391:4.0 394:1.0 395:5.0 397:2.0 398:1.0 399:7.0 400:2.0 401:3.0 403:2.0 404:6.0 407:2.0 408:2.0 412:3.0 416:6.0 417:1.0 418:3.0 419:3.0 422:2.0 424:1.0 428:1.0 432:5.0 434:5.0 436:1.0 437:4.0 441:3.0 442:2.0 445:2.0 447:2.0 450:2.0 451:5.0 454:3.0 455:2.0 462:2.0 463:7.0 465:1.0 468:3.0 469:1.0 470:1.0 472:3.0 475:1.0 476:2.0 477:2.0 478:3.0 482:4.0 484:2.0 486:5.0 488:26.0 489:14.0 490:16.0 494:2.0 496:1.0 498:4.0 499:4.0 500:1.0</t>
  </si>
  <si>
    <t>214148</t>
  </si>
  <si>
    <t>869617</t>
  </si>
  <si>
    <t>85:60.0 86:493.0 87:54.0 88:39.0 89:302.0 90:12.0 93:1.0 96:1.0 98:1.0 99:120.0 100:262.0 101:78.0 102:68.0 103:939.0 104:75.0 105:15.0 106:12.0 109:5.0 110:10.0 112:20.0 113:18.0 114:37.0 115:24.0 116:168.0 117:346.0 118:31.0 119:3.0 125:3.0 126:138.0 127:3.0 128:117.0 129:72.0 130:90.0 131:68.0 132:9.0 133:106.0 134:12.0 135:1.0 136:1.0 138:1.0 140:66.0 141:9.0 142:415.0 143:45.0 144:24.0 145:23.0 146:112.0 147:627.0 148:71.0 149:28.0 152:1.0 154:6.0 155:7.0 156:1635.0 157:201.0 158:77.0 159:7.0 160:3.0 166:1.0 169:1.0 170:3.0 172:96.0 173:57.0 174:382.0 175:65.0 176:12.0 177:1.0 182:5.0 184:1.0 186:11.0 189:28.0 190:7.0 191:5.0 193:3.0 198:9.0 200:15.0 201:59.0 202:10.0 203:7.0 204:24.0 205:133.0 206:11.0 207:14.0 214:184.0 215:22.0 216:12.0 217:186.0 218:25.0 219:3.0 224:1.0 228:1.0 229:15.0 232:3.0 242:3.0 244:1.0 248:1.0 253:5.0 255:5.0 267:7.0 271:1.0 274:3.0 278:1.0 288:5.0 295:5.0 307:3.0 308:3.0 313:1.0 314:3.0 316:5.0 317:49.0 318:7.0 319:7.0 330:5.0 332:1.0 333:3.0 346:5.0 348:3.0 356:1.0 357:1.0 368:1.0 371:1.0 381:1.0 383:3.0 390:1.0 391:1.0 399:5.0 416:1.0 417:7.0 418:1.0 428:3.0 430:3.0 431:5.0 443:1.0 447:3.0 454:1.0 456:3.0 457:3.0 459:1.0 463:7.0 477:3.0 478:7.0 490:3.0 499:1.0</t>
  </si>
  <si>
    <t>214011</t>
  </si>
  <si>
    <t>217004</t>
  </si>
  <si>
    <t>199</t>
  </si>
  <si>
    <t>85:85.0 86:349.0 87:1035.0 88:2121.0 89:366.0 90:201.0 91:662.0 92:153.0 93:30.0 94:55.0 98:37.0 99:89.0 100:431.0 101:784.0 102:715.0 103:599.0 104:431.0 105:315.0 106:92.0 107:3309.0 108:293.0 109:130.0 110:2715.0 111:61.0 112:11.0 113:79.0 114:97.0 115:485.0 116:245.0 117:13592.0 118:2130.0 119:917.0 120:122.0 121:56.0 122:23.0 123:3.0 124:5.0 126:81.0 127:294.0 128:74.0 129:326.0 130:5060.0 131:1557.0 132:388.0 133:1868.0 134:6194.0 135:750.0 136:236.0 137:25.0 139:9.0 140:57.0 141:4.0 142:3.0 143:162.0 144:34.0 145:182.0 146:49.0 147:15587.0 148:2641.0 149:1446.0 150:156.0 152:14.0 153:5.0 154:22.0 156:24.0 157:17.0 158:4.0 159:35.0 160:13.0 161:31.0 162:29.0 163:6.0 164:26.0 165:8.0 166:3.0 167:17.0 168:6.0 169:2.0 170:7.0 171:14.0 172:18.0 173:2.0 175:106.0 176:43.0 177:22.0 178:3.0 180:11.0 182:8.0 183:16.0 184:1929.0 185:196.0 186:76.0 187:202.0 188:23.0 189:9.0 190:1381.0 191:2357.0 192:590.0 193:206.0 194:36.0 195:11.0 196:23.0 197:26.0 198:41.0 199:2218.0 200:228.0 201:72.0 203:79.0 204:34.0 205:14.0 206:2.0 207:10.0 209:8.0 210:8.0 211:16.0 212:4.0 213:1.0 214:1.0 216:16.0 217:13.0 218:13.0 219:525.0 220:124.0 222:12.0 224:9.0 228:2.0 229:1.0 232:3.0 233:15.0 234:11.0 235:10.0 237:15.0 238:8.0 240:11.0 241:9.0 243:1.0 244:4.0 246:7.0 247:11.0 248:6.0 250:1.0 251:7.0 253:7.0 254:2.0 255:2.0 256:46.0 257:15.0 259:1.0 260:4.0 263:17.0 264:21.0 265:8.0 266:2.0 267:20.0 268:4.0 269:2.0 270:1.0 271:10.0 272:1.0 274:2.0 276:3.0 277:3.0 278:6.0 279:8.0 280:16.0 281:5.0 282:4.0 283:2.0 285:2.0 288:5.0 289:4.0 290:7.0 293:2.0 294:11.0 295:11.0 296:15.0 297:3.0 298:5.0 299:7.0 301:11.0 302:7.0 303:19.0 304:4.0 306:8.0 307:1.0 310:14.0 311:4.0 312:6.0 314:3.0 315:3.0 316:8.0 317:1.0 318:9.0 319:3.0 320:19.0 321:5.0 322:31.0 323:9.0 324:7.0 326:16.0 328:7.0 329:2.0 330:7.0 331:15.0 332:1.0 333:9.0 334:2.0 335:10.0 337:4.0 340:11.0 342:1.0 343:9.0 344:4.0 346:1.0 347:10.0 348:5.0 349:3.0 350:23.0 351:5.0 352:14.0 353:1.0 354:10.0 356:2.0 358:2.0 359:9.0 360:11.0 361:8.0 362:5.0 363:2.0 364:15.0 365:8.0 366:11.0 368:2.0 372:7.0 373:12.0 374:3.0 375:6.0 376:8.0 377:7.0 378:9.0 379:17.0 380:9.0 388:1.0 389:19.0 390:2.0 391:9.0 393:1.0 395:8.0 396:5.0 398:15.0 399:4.0 400:5.0 401:4.0 402:6.0 405:22.0 406:9.0 407:6.0 408:2.0 411:1.0 414:5.0 415:9.0 417:5.0 418:7.0 419:1.0 420:5.0 421:13.0 422:2.0 424:4.0 425:3.0 426:12.0 428:4.0 429:3.0 430:4.0 432:7.0 434:4.0 435:9.0 437:1.0 438:2.0 439:3.0 440:10.0 442:12.0 445:16.0 446:17.0 447:3.0 448:2.0 449:6.0 450:3.0 451:1.0 452:9.0 453:4.0 455:2.0 456:6.0 457:4.0 458:7.0 459:7.0 460:9.0 461:2.0 462:5.0 464:10.0 469:4.0 470:9.0 471:6.0 472:2.0 473:20.0 474:17.0 475:2.0 477:6.0 479:10.0 481:5.0 482:1.0 483:4.0 489:13.0 491:11.0 492:1.0 493:3.0 494:7.0 496:1.0 497:6.0 498:2.0 499:8.0 500:10.0</t>
  </si>
  <si>
    <t>104</t>
  </si>
  <si>
    <t>213697</t>
  </si>
  <si>
    <t>456893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</si>
  <si>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</si>
  <si>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213327</t>
  </si>
  <si>
    <t>493057</t>
  </si>
  <si>
    <t>85:329.0 86:1438.0 88:23.0 89:17.0 90:4.0 91:51.0 92:18.0 93:20.0 94:9.0 95:35.0 97:192.0 98:121.0 99:128.0 100:897.0 101:130.0 102:108.0 103:172.0 104:15.0 106:54.0 108:17.0 109:33.0 110:39.0 111:78.0 112:72.0 113:155.0 114:44.0 116:62.0 118:15.0 120:97.0 121:1.0 122:60.0 124:8.0 125:27.0 126:325.0 127:85.0 128:53.0 129:71.0 130:200.0 131:23.0 132:31.0 133:130.0 134:17.0 135:16.0 136:8.0 137:7.0 138:83.0 139:773.0 140:77.0 141:49.0 142:91.0 144:30.0 145:1.0 146:289.0 147:665.0 148:146.0 149:65.0 150:56.0 151:15.0 152:8.0 153:16.0 154:11.0 155:48.0 156:45.0 158:38.0 159:4.0 160:3.0 161:3.0 162:1.0 164:7.0 167:3.0 168:4.0 169:56.0 172:27.0 173:14.0 174:2196.0 175:337.0 176:164.0 177:4.0 178:1.0 179:4.0 180:2.0 181:4.0 182:5.0 184:1.0 185:2.0 187:5.0 190:7.0 192:1.0 195:4.0 196:13.0 197:5.0 198:13.0 199:1078.0 200:151.0 201:32.0 202:1.0 208:2.0 211:5.0 212:2.0 215:52.0 216:13.0 217:68.0 218:2.0 219:1.0 223:2.0 225:3.0 226:6.0 227:30.0 228:6.0 229:1.0 230:7.0 232:4.0 233:2.0 236:4.0 238:3.0 240:3.0 241:1.0 243:147.0 244:34.0 245:366.0 246:54.0 247:32.0 248:2.0 250:5.0 251:2.0 253:4.0 254:4.0 255:118.0 256:21.0 257:2.0 258:6.0 260:3.0 261:6.0 263:2.0 268:1.0 269:8.0 270:2.0 272:3.0 279:4.0 281:1.0 284:2.0 289:2.0 295:1.0 302:4.0 303:1.0 306:7.0 307:1.0 313:23.0 314:1.0 316:6.0 317:13.0 322:2.0 324:1.0 326:2.0 327:2.0 328:1.0 334:9.0 338:2.0 340:1.0 342:3.0 343:4.0 345:4.0 346:2.0 348:3.0 349:1.0 350:2.0 352:1.0 354:10.0 361:1.0 362:1.0 363:6.0 365:9.0 366:1.0 367:1.0 368:4.0 370:1.0 371:2.0 372:10.0 374:3.0 376:10.0 378:1.0 379:2.0 380:7.0 384:2.0 387:7.0 389:6.0 390:5.0 391:2.0 392:1.0 394:3.0 397:13.0 398:2.0 400:1.0 401:4.0 406:5.0 410:2.0 411:3.0 413:2.0 414:5.0 416:4.0 422:2.0 423:4.0 424:1.0 426:2.0 427:1.0 430:4.0 432:1.0 434:9.0 435:2.0 437:2.0 438:6.0 440:11.0 441:4.0 442:1.0 447:2.0 448:3.0 452:2.0 453:3.0 454:3.0 460:9.0 461:4.0 464:5.0 465:4.0 466:1.0 467:8.0 471:3.0 472:3.0 474:4.0 476:1.0 477:3.0 479:3.0 480:8.0 481:6.0 483:2.0 484:3.0 485:4.0 486:2.0 487:1.0 488:3.0 489:2.0 491:3.0 492:3.0 497:4.0 498:4.0 499:12.0 500:2.0</t>
  </si>
  <si>
    <t>213253</t>
  </si>
  <si>
    <t>280269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</si>
  <si>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</si>
  <si>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446</t>
  </si>
  <si>
    <t>213185</t>
  </si>
  <si>
    <t>510136</t>
  </si>
  <si>
    <t>85:15181.0 86:3852.0 87:1960.0 88:3070.0 89:1185.0 90:399.0 92:239.0 93:655.0 94:358.0 95:506.0 96:875.0 97:16609.0 98:51479.0 99:39133.0 100:11464.0 101:2416.0 102:20212.0 103:6316.0 104:2958.0 105:730.0 106:226.0 107:185.0 108:149.0 109:153.0 110:203.0 111:510.0 112:1875.0 113:3965.0 114:59987.0 115:17673.0 116:5420.0 117:3472.0 118:798.0 119:501.0 120:99.0 121:99.0 122:209.0 123:248.0 124:146.0 125:729.0 126:640.0 127:411.0 128:4541.0 129:2002.0 130:4722.0 131:1693.0 132:984.0 133:2163.0 134:409.0 135:311.0 136:156.0 137:264.0 138:159.0 139:326.0 140:302.0 141:750.0 142:744.0 143:723.0 144:2977.0 145:783.0 146:6351.0 148:155.0 149:608.0 150:167.0 151:70.0 153:89.0 154:146.0 155:112.0 156:653.0 157:513.0 158:7101.0 159:5940.0 160:3046.0 161:503.0 162:434.0 163:95.0 164:53.0 165:8.0 166:65.0 167:65.0 168:53.0 169:51.0 170:556.0 171:367.0 172:6472.0 173:2356.0 174:482205.0 175:62939.0 176:21084.0 177:1803.0 178:228.0 179:154.0 180:79.0 181:43.0 182:14.0 184:206.0 185:61.0 186:9195.0 187:2976.0 188:1621.0 189:210.0 190:220.0 191:192.0 192:27.0 195:8.0 197:2.0 198:3.0 199:30.0 200:148.0 201:3.0 202:137.0 203:113.0 204:607.0 205:187.0 206:33.0 210:6.0 211:40.0 212:30.0 213:326.0 214:146.0 215:174.0 216:159.0 217:2328.0 218:1326.0 219:371.0 220:406.0 221:28.0 223:35.0 224:7.0 225:48.0 228:3.0 229:544.0 230:334.0 231:1365.0 232:7521.0 233:1787.0 234:721.0 235:116.0 236:22.0 241:9.0 242:3.0 243:69.0 244:93.0 245:236.0 246:167.0 247:292.0 248:131.0 249:8.0 250:1.0 254:1.0 257:1.0 258:63.0 259:96.0 260:198.0 261:469.0 262:60.0 268:18.0 271:2.0 272:61.0 273:2.0 274:13.0 284:20.0 286:27.0 288:90.0 289:34.0 290:27.0 291:16.0 298:5.0 299:58.0 306:4.0 312:3.0 318:1.0 320:1.0 331:144.0 332:27.0 333:443.0 334:81.0 335:71.0 347:8.0 348:25.0 363:7.0 364:2.0 366:11.0 369:37.0 370:9.0 387:1.0 388:13.0 390:1.0 394:15.0 395:15.0 411:15.0 419:2.0 434:11.0 444:11.0 450:1.0 451:33.0 464:16.0 471:14.0 475:5.0 478:1.0 481:8.0 483:23.0 486:11.0 488:23.0 490:2.0 497:1.0</t>
  </si>
  <si>
    <t>213143</t>
  </si>
  <si>
    <t>873684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</si>
  <si>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</si>
  <si>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212793</t>
  </si>
  <si>
    <t>656548</t>
  </si>
  <si>
    <t>86:65.0 91:8.0 98:50.0 100:5174.0 101:242.0 102:38.0 103:548.0 104:6.0 107:7.0 130:7.0 132:2.0 143:22.0 147:241.0 157:1.0 171:8.0 172:1.0 174:43.0 187:33.0 188:7.0 190:16.0 202:3.0 210:21.0 215:17.0 217:34.0 218:11.0 220:12.0 241:2.0 243:147.0 244:15.0 245:14.0 262:11.0 285:32.0 290:12.0 307:1.0 330:1.0 347:11.0 349:4.0 350:4.0 357:19.0 358:10.0 359:2.0 367:10.0 374:2.0 385:5.0 387:32.0 428:6.0 432:53.0 438:2.0 482:8.0</t>
  </si>
  <si>
    <t>212274</t>
  </si>
  <si>
    <t>522297</t>
  </si>
  <si>
    <t>85:85.0 86:299.0 87:171.0 88:125.0 89:186.0 90:67.0 91:2.0 92:9.0 97:52.0 99:22.0 100:328.0 101:188.0 102:208.0 103:737.0 104:62.0 108:14.0 109:12.0 111:70.0 112:10.0 113:36.0 114:8.0 115:134.0 116:1536.0 117:338.0 118:205.0 119:167.0 122:9.0 123:27.0 125:6.0 127:29.0 128:151.0 129:1180.0 130:787.0 131:593.0 132:207.0 133:471.0 134:60.0 136:13.0 137:11.0 138:33.0 141:101.0 142:48.0 143:327.0 144:139.0 145:157.0 146:59.0 147:1547.0 148:242.0 149:158.0 150:24.0 154:12.0 157:56.0 158:28.0 159:1754.0 160:252.0 161:131.0 162:5.0 163:14.0 164:4.0 165:11.0 169:41.0 171:132.0 172:38.0 174:9.0 177:4.0 186:155.0 187:53.0 188:154.0 189:195.0 190:116.0 191:12.0 192:20.0 196:7.0 199:9.0 202:96.0 203:37.0 204:98.0 205:62.0 206:83.0 207:2.0 208:38.0 209:29.0 213:8.0 215:149.0 216:96.0 217:3073.0 218:597.0 219:235.0 220:104.0 222:2.0 223:16.0 225:9.0 228:39.0 229:11.0 230:68.0 231:96.0 232:5.0 233:4.0 238:6.0 239:79.0 240:2.0 241:10.0 243:5.0 244:266.0 245:81.0 246:14.0 247:2.0 249:1.0 251:9.0 252:2.0 254:12.0 255:12.0 258:4.0 259:23.0 260:13.0 261:47.0 262:8.0 263:6.0 265:1.0 270:1.0 274:4.0 275:6.0 276:22.0 277:16.0 279:1.0 281:3.0 282:4.0 285:19.0 287:10.0 290:2.0 291:6.0 292:18.0 298:1.0 299:5.0 300:1.0 301:2.0 302:3.0 303:2.0 305:24.0 306:3.0 308:2.0 309:2.0 312:1.0 313:2.0 315:3.0 316:4.0 317:8.0 318:12.0 321:1.0 322:2.0 324:2.0 326:5.0 327:6.0 329:7.0 338:7.0 339:2.0 342:25.0 343:3.0 346:7.0 347:5.0 349:1.0 350:1.0 351:6.0 352:3.0 354:2.0 355:3.0 356:2.0 357:3.0 358:16.0 364:1.0 367:4.0 372:1.0 373:6.0 374:1.0 377:1.0 380:3.0 382:3.0 385:1.0 388:1.0 391:3.0 392:12.0 393:10.0 394:5.0 397:4.0 399:3.0 400:1.0 401:4.0 402:5.0 403:7.0 405:6.0 406:2.0 407:8.0 410:5.0 411:4.0 412:2.0 413:3.0 415:5.0 416:1.0 419:3.0 420:1.0 421:3.0 422:5.0 425:3.0 426:2.0 427:4.0 428:6.0 429:10.0 431:6.0 432:3.0 433:1.0 437:2.0 438:1.0 441:1.0 442:14.0 446:4.0 447:4.0 448:5.0 449:7.0 450:7.0 451:1.0 452:10.0 453:2.0 454:12.0 455:7.0 456:2.0 459:1.0 463:7.0 464:1.0 465:6.0 466:3.0 467:1.0 469:10.0 470:5.0 472:1.0 473:6.0 475:6.0 478:2.0 482:1.0 483:5.0 484:1.0 486:1.0 487:3.0 488:1.0 489:1.0 490:11.0 494:5.0 496:4.0 497:1.0 499:1.0 500:2.0</t>
  </si>
  <si>
    <t>212251</t>
  </si>
  <si>
    <t>888557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</si>
  <si>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</si>
  <si>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212022</t>
  </si>
  <si>
    <t>421363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</si>
  <si>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</si>
  <si>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211972</t>
  </si>
  <si>
    <t>473115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</si>
  <si>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</si>
  <si>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210557</t>
  </si>
  <si>
    <t>502297</t>
  </si>
  <si>
    <t>85:66.0 87:13.0 91:5.0 93:5.0 96:7.0 99:31.0 101:42.0 103:10.0 105:1.0 111:2.0 112:5.0 113:2.0 115:318.0 116:17.0 117:92.0 119:5.0 129:12.0 130:264.0 131:33.0 132:1.0 133:145.0 134:5.0 135:2.0 141:1.0 143:40.0 144:4.0 147:239.0 148:8.0 149:17.0 169:4.0 174:1.0 175:1.0 177:1.0 179:3.0 180:1.0 183:16.0 190:1.0 191:2.0 211:2.0 212:2.0 216:2.0 217:1060.0 218:242.0 219:95.0 220:9.0 227:1.0 232:58.0 233:1.0 246:3.0 249:1.0 258:2.0 260:1.0 265:2.0 274:2.0 283:1.0 299:2.0 312:5.0 314:4.0 334:3.0 338:2.0 358:1.0 360:2.0 362:11.0 377:4.0 379:2.0 390:2.0 404:3.0 420:1.0 469:3.0 472:1.0 475:1.0</t>
  </si>
  <si>
    <t>208557</t>
  </si>
  <si>
    <t>294136</t>
  </si>
  <si>
    <t>85:592.0 86:1871.0 87:449.0 88:511.0 89:313.0 90:42.0 93:212.0 94:99.0 95:238.0 96:754.0 97:244.0 98:1335.0 99:1002.0 100:1063.0 101:644.0 102:708.0 103:37035.0 104:3162.0 105:2902.0 106:469.0 107:1477.0 108:130.0 109:200.0 110:476.0 112:46.0 113:339.0 114:252.0 115:503.0 116:476.0 117:865.0 118:260.0 119:571.0 120:33.0 121:2.0 122:1.0 124:141.0 125:76.0 126:865.0 127:448.0 128:244.0 129:578.0 130:2414.0 131:416.0 132:68.0 133:421.0 134:2713.0 135:274.0 136:97.0 137:17.0 138:24.0 139:43.0 140:87.0 141:105.0 142:1077.0 143:528.0 144:4452.0 145:600.0 146:251.0 147:1256.0 148:450.0 149:109.0 150:6.0 151:16.0 152:30.0 153:3.0 154:143.0 155:16.0 156:87.0 157:185.0 158:62.0 159:125.0 160:11.0 161:3.0 166:1.0 168:2.0 169:1.0 170:724.0 171:104.0 172:9564.0 173:1384.0 174:332.0 175:13.0 176:9.0 183:2.0 184:666.0 185:94.0 186:122.0 187:622.0 188:76.0 189:4.0 190:4.0 197:2.0 199:123.0 200:14.0 201:17.0 206:1.0 207:1.0 208:1.0 216:14.0 217:5.0 222:1.0 242:1.0 244:1.0 248:1.0 276:1.0 284:2.0 304:4.0 312:1.0 319:2.0 330:1.0 333:3.0 342:1.0 347:1.0 351:1.0 352:1.0 354:1.0 358:1.0 372:1.0 385:1.0 409:1.0 411:1.0 420:1.0 431:1.0 446:5.0 451:1.0 452:3.0 473:5.0 478:2.0</t>
  </si>
  <si>
    <t>207729</t>
  </si>
  <si>
    <t>716964</t>
  </si>
  <si>
    <t>85:21.0 86:5.0 87:4.0 91:2.0 92:9.0 93:5.0 94:3.0 97:11.0 98:22.0 99:7.0 100:16.0 101:21.0 102:13.0 103:6.0 107:1.0 108:8.0 109:3.0 111:6.0 114:1.0 115:25.0 116:12.0 117:46.0 120:3.0 123:1.0 124:1.0 127:9.0 128:7.0 129:3.0 130:12.0 136:2.0 138:11.0 140:17.0 141:4.0 142:78.0 143:22.0 144:4.0 145:2.0 146:7.0 147:14.0 151:1.0 153:11.0 155:9.0 156:1184.0 157:198.0 158:119.0 159:5.0 161:2.0 165:7.0 166:3.0 169:1.0 173:1.0 175:1.0 176:12.0 177:1.0 179:4.0 183:3.0 188:3.0 189:5.0 191:1.0 196:5.0 197:2.0 200:20.0 202:7.0 203:4.0 205:10.0 209:2.0 210:3.0 211:2.0 212:2.0 214:3.0 215:11.0 216:2.0 217:5.0 218:12.0 219:3.0 230:3.0 233:11.0 235:5.0 241:3.0 242:3.0 244:5.0 248:4.0 250:12.0 251:1.0 254:6.0 255:15.0 256:6.0 265:18.0 267:1.0 272:3.0 276:1.0 277:4.0 279:2.0 284:5.0 285:2.0 286:6.0 288:8.0 289:5.0 291:3.0 292:2.0 295:9.0 296:2.0 297:1.0 298:2.0 299:1.0 300:4.0 304:3.0 305:2.0 306:1.0 308:6.0 310:2.0 312:1.0 313:2.0 315:1.0 316:5.0 317:5.0 318:3.0 323:12.0 325:3.0 330:1.0 333:5.0 335:7.0 336:1.0 337:9.0 339:2.0 340:2.0 341:1.0 344:3.0 347:1.0 348:1.0 349:3.0 350:8.0 351:4.0 353:2.0 356:10.0 357:13.0 360:7.0 363:4.0 364:4.0 365:5.0 366:1.0 367:5.0 369:3.0 370:1.0 373:1.0 374:3.0 375:10.0 379:1.0 380:3.0 382:4.0 383:1.0 385:6.0 386:7.0 389:3.0 391:4.0 392:1.0 394:4.0 395:6.0 399:4.0 400:1.0 403:4.0 405:1.0 409:4.0 410:1.0 412:3.0 416:2.0 419:3.0 421:1.0 425:3.0 430:2.0 431:3.0 434:2.0 435:3.0 439:7.0 440:6.0 443:3.0 444:2.0 447:2.0 448:10.0 449:7.0 450:2.0 453:3.0 454:7.0 455:2.0 456:7.0 457:2.0 460:1.0 462:11.0 464:7.0 469:3.0 470:2.0 471:1.0 473:1.0 477:11.0 478:2.0 479:6.0 480:5.0 482:3.0 484:4.0 486:7.0 488:1.0 492:4.0 493:4.0 495:6.0 498:1.0 499:1.0 500:2.0</t>
  </si>
  <si>
    <t>206309</t>
  </si>
  <si>
    <t>222307</t>
  </si>
  <si>
    <t>86:44.0 87:47.0 88:45.0 89:32.0 90:2.0 91:17.0 92:4.0 93:10.0 94:16.0 95:18.0 98:141.0 99:81.0 100:1650.0 101:136.0 102:104.0 103:30.0 104:8.0 105:32.0 106:10.0 107:15.0 108:12.0 109:23.0 110:72.0 111:2.0 115:91.0 116:32.0 117:50.0 118:9.0 120:4.0 121:4.0 122:9.0 123:11.0 125:2.0 128:3.0 129:15.0 130:34.0 131:393.0 132:80.0 133:43.0 134:69.0 135:10.0 136:6.0 137:1.0 138:5.0 140:4.0 141:6.0 142:4.0 143:2.0 144:11.0 147:3430.0 148:486.0 149:244.0 150:22.0 151:31.0 155:1.0 157:6.0 158:13.0 160:7.0 161:13.0 162:6.0 163:4.0 165:8.0 166:9.0 168:7.0 169:2.0 170:17.0 172:7.0 173:6.0 174:6.0 178:6.0 180:6.0 183:21.0 184:63.0 185:13.0 187:10.0 188:8.0 190:958.0 191:118.0 192:60.0 194:1.0 196:7.0 197:19.0 200:27.0 201:3.0 202:10.0 203:12.0 205:4.0 206:3.0 210:7.0 211:9.0 212:10.0 213:4.0 214:12.0 215:4.0 217:4.0 220:5.0 223:14.0 226:5.0 227:3.0 228:3.0 230:3.0 235:2.0 236:7.0 237:5.0 238:21.0 239:4.0 240:3.0 241:14.0 242:10.0 243:8.0 244:5.0 245:1.0 247:5.0 249:7.0 251:3.0 252:3.0 254:7.0 255:5.0 256:6.0 257:3.0 259:4.0 260:10.0 262:3.0 263:8.0 264:2.0 266:6.0 270:7.0 271:2.0 272:7.0 273:11.0 274:6.0 275:9.0 276:4.0 277:1.0 278:2.0 280:2.0 281:16.0 282:9.0 283:1.0 284:3.0 285:6.0 286:1.0 288:15.0 289:2.0 290:6.0 291:4.0 293:5.0 296:4.0 297:5.0 299:12.0 300:16.0 301:2.0 303:6.0 304:8.0 305:10.0 307:8.0 310:10.0 311:2.0 312:1.0 314:4.0 315:12.0 316:8.0 317:13.0 318:14.0 319:8.0 320:3.0 321:5.0 322:19.0 323:2.0 324:2.0 325:20.0 326:2.0 327:8.0 328:8.0 329:1.0 333:1.0 334:16.0 335:8.0 336:2.0 337:5.0 338:3.0 339:1.0 340:1.0 341:2.0 343:4.0 344:12.0 345:2.0 346:11.0 347:3.0 348:3.0 349:10.0 350:2.0 351:1.0 353:1.0 354:4.0 355:21.0 356:7.0 358:8.0 362:8.0 363:10.0 364:16.0 366:5.0 368:4.0 369:15.0 370:5.0 371:11.0 373:5.0 375:4.0 377:2.0 378:2.0 379:5.0 380:13.0 381:12.0 382:1.0 383:6.0 384:2.0 385:6.0 386:3.0 387:5.0 388:3.0 390:4.0 391:12.0 392:21.0 394:10.0 396:4.0 397:8.0 400:7.0 402:12.0 403:8.0 404:4.0 405:11.0 406:12.0 407:14.0 408:7.0 409:1.0 412:7.0 413:9.0 415:8.0 416:5.0 417:4.0 419:5.0 420:12.0 421:8.0 422:7.0 423:12.0 424:1.0 426:3.0 427:2.0 428:5.0 429:1.0 430:5.0 431:4.0 432:7.0 433:3.0 434:1.0 435:3.0 436:22.0 437:8.0 438:4.0 440:1.0 442:12.0 443:15.0 444:4.0 445:3.0 446:6.0 449:6.0 450:5.0 452:12.0 454:12.0 455:12.0 458:8.0 459:13.0 460:20.0 462:1.0 463:4.0 464:8.0 465:22.0 466:9.0 469:7.0 470:9.0 471:7.0 472:4.0 473:4.0 474:9.0 475:9.0 476:25.0 477:4.0 478:7.0 479:8.0 480:12.0 483:3.0 484:15.0 485:6.0 486:7.0 488:1.0 489:5.0 491:3.0 492:13.0 495:9.0 497:21.0 498:2.0 499:8.0 500:3.0</t>
  </si>
  <si>
    <t>206256</t>
  </si>
  <si>
    <t>556011</t>
  </si>
  <si>
    <t>138</t>
  </si>
  <si>
    <t>85:527.0 86:824.0 87:230.0 88:82.0 89:332.0 90:72.0 91:82.0 92:81.0 93:175.0 94:48.0 95:120.0 96:113.0 97:168.0 98:1464.0 99:474.0 100:6621.0 101:772.0 102:641.0 103:704.0 104:86.0 105:58.0 107:9.0 108:19.0 109:18.0 110:106.0 111:111.0 112:56.0 113:327.0 114:194.0 115:1054.0 117:195.0 118:52.0 119:20.0 120:13.0 121:5.0 122:2.0 123:18.0 124:34.0 125:574.0 126:190.0 127:171.0 128:431.0 129:236.0 130:1341.0 131:639.0 133:294.0 134:9.0 135:7.0 136:7.0 137:3.0 138:916.0 139:117.0 140:172.0 141:2952.0 142:906.0 143:227.0 144:74.0 145:19.0 146:171.0 147:3772.0 148:597.0 149:308.0 150:14.0 151:26.0 152:10.0 153:65.0 154:717.0 155:84.0 156:110.0 157:20.0 158:77.0 159:54.0 162:13.0 164:14.0 165:20.0 166:59.0 167:19.0 168:7.0 169:42.0 170:152.0 171:220.0 172:154.0 173:14.0 174:87.0 175:6.0 176:14.0 178:9.0 179:10.0 180:2.0 182:5.0 183:6.0 184:7.0 185:33.0 186:28.0 187:3.0 190:264.0 191:31.0 192:26.0 193:2.0 196:14.0 197:30.0 198:18.0 200:2.0 201:9.0 202:137.0 203:62.0 207:2.0 208:4.0 210:189.0 211:54.0 212:13.0 213:1162.0 214:228.0 215:207.0 216:81.0 217:16.0 218:19.0 221:3.0 222:3.0 223:3.0 225:10.0 226:1.0 227:32.0 230:17.0 234:1.0 235:3.0 236:7.0 237:50.0 238:2.0 239:7.0 240:4.0 241:79.0 242:30.0 243:160.0 244:77.0 245:58.0 246:5.0 247:8.0 248:19.0 249:21.0 251:4.0 252:7.0 254:1.0 255:7.0 257:16.0 261:2.0 263:1.0 264:7.0 265:2.0 267:11.0 268:3.0 269:1.0 271:15.0 272:1.0 274:1.0 275:11.0 276:2.0 278:1.0 279:2.0 281:10.0 282:10.0 285:2.0 286:9.0 287:5.0 290:11.0 293:9.0 294:2.0 299:7.0 300:9.0 302:9.0 303:3.0 304:3.0 306:2.0 307:3.0 310:2.0 311:1.0 314:1.0 315:4.0 317:4.0 318:5.0 319:2.0 322:6.0 324:2.0 326:3.0 327:5.0 328:18.0 330:10.0 331:11.0 332:11.0 335:2.0 336:1.0 337:4.0 338:6.0 339:10.0 341:4.0 342:6.0 344:9.0 345:5.0 346:10.0 349:8.0 351:4.0 352:11.0 355:5.0 356:8.0 360:1.0 363:3.0 365:10.0 366:4.0 367:6.0 368:5.0 369:6.0 370:7.0 373:3.0 375:2.0 377:4.0 379:1.0 381:2.0 382:2.0 383:2.0 384:16.0 385:1.0 386:6.0 387:3.0 389:2.0 390:1.0 391:3.0 393:13.0 395:1.0 397:5.0 398:2.0 399:8.0 400:1.0 401:2.0 403:4.0 405:12.0 406:8.0 407:1.0 410:2.0 411:2.0 412:3.0 413:1.0 414:5.0 415:8.0 416:7.0 417:3.0 418:4.0 422:6.0 423:6.0 425:2.0 427:2.0 428:11.0 429:1.0 430:12.0 431:5.0 432:4.0 434:17.0 435:13.0 436:5.0 437:2.0 438:4.0 439:9.0 440:6.0 441:2.0 442:12.0 443:4.0 444:11.0 445:10.0 446:5.0 447:16.0 448:5.0 449:5.0 450:14.0 452:3.0 453:3.0 454:21.0 455:12.0 457:2.0 459:8.0 460:3.0 462:9.0 463:5.0 465:2.0 466:2.0 467:9.0 470:2.0 471:5.0 474:4.0 475:4.0 476:11.0 478:2.0 480:7.0 483:3.0 485:9.0 487:2.0 488:2.0 490:2.0 491:6.0 492:15.0 493:1.0 494:6.0 495:17.0 496:8.0 497:7.0 499:3.0 500:17.0</t>
  </si>
  <si>
    <t>205734</t>
  </si>
  <si>
    <t>570304</t>
  </si>
  <si>
    <t>85:839.0 86:199.0 87:38.0 88:212.0 90:7.0 91:2.0 93:8.0 94:11.0 96:4.0 97:42.0 98:41.0 99:121.0 100:649.0 101:155.0 102:1126.0 103:267.0 104:37.0 105:12.0 107:4.0 108:2.0 109:7.0 110:7.0 111:24.0 112:47.0 113:50.0 114:160.0 115:222.0 116:122.0 117:186.0 118:5.0 119:22.0 120:8.0 121:10.0 124:10.0 126:40.0 127:35.0 128:524.0 129:184.0 130:231.0 131:133.0 132:86.0 133:234.0 134:25.0 135:2.0 137:9.0 138:1.0 139:10.0 140:41.0 141:41.0 142:83.0 143:74.0 144:91.0 145:26.0 146:100.0 147:665.0 148:128.0 149:29.0 151:2.0 154:62.0 155:109.0 156:1896.0 157:244.0 158:81.0 159:19.0 160:7.0 161:31.0 162:49.0 163:2.0 165:7.0 167:61.0 168:55.0 169:18.0 170:7.0 171:16.0 174:33.0 175:9.0 177:1.0 178:9.0 182:4.0 183:25.0 184:9.0 186:4.0 188:8.0 189:99.0 190:11.0 191:57.0 195:2.0 196:3.0 198:5.0 200:16.0 202:3.0 203:11.0 204:300.0 205:55.0 206:8.0 208:4.0 214:9.0 215:15.0 217:187.0 218:107.0 219:10.0 220:5.0 221:5.0 222:5.0 230:223.0 231:32.0 232:21.0 234:2.0 235:2.0 236:9.0 241:6.0 242:1.0 245:7.0 246:7.0 247:5.0 248:10.0 250:1.0 252:1.0 253:1.0 257:50.0 258:54.0 259:5.0 260:1.0 261:7.0 262:3.0 264:2.0 265:6.0 266:1.0 271:1.0 272:6.0 273:4.0 274:1.0 276:5.0 277:51.0 278:9.0 279:2.0 284:3.0 285:10.0 289:1.0 292:2.0 294:1.0 302:3.0 303:6.0 304:2.0 305:8.0 306:2.0 309:5.0 310:2.0 314:2.0 323:2.0 325:1.0 327:1.0 329:4.0 330:6.0 331:6.0 333:11.0 334:1.0 335:5.0 342:2.0 343:7.0 346:4.0 347:1.0 349:1.0 350:4.0 351:2.0 352:4.0 354:4.0 359:3.0 361:5.0 362:71.0 363:20.0 364:4.0 365:5.0 368:4.0 369:8.0 371:2.0 372:2.0 377:2.0 384:6.0 386:2.0 387:2.0 388:4.0 389:2.0 390:6.0 392:3.0 393:4.0 398:1.0 399:2.0 400:2.0 401:5.0 402:12.0 403:2.0 407:1.0 408:2.0 409:3.0 413:1.0 414:8.0 415:3.0 417:3.0 418:7.0 419:1.0 421:5.0 422:1.0 424:2.0 427:5.0 428:3.0 429:3.0 430:1.0 432:2.0 435:5.0 444:3.0 445:7.0 446:4.0 449:4.0 450:1.0 451:4.0 455:2.0 463:4.0 467:7.0 472:13.0 474:10.0 476:5.0 477:2.0 478:4.0 480:5.0 484:1.0 486:10.0 489:1.0 490:4.0 491:1.0 492:3.0 494:11.0 495:4.0 497:1.0 498:1.0 499:5.0 500:2.0</t>
  </si>
  <si>
    <t>204344</t>
  </si>
  <si>
    <t>246354</t>
  </si>
  <si>
    <t>86:308.0 87:101.0 88:30.0 89:47.0 90:3.0 91:6.0 92:4.0 94:7.0 99:46.0 100:172.0 101:45.0 102:40.0 103:28.0 105:5.0 108:4.0 110:8.0 113:22.0 114:3.0 115:74.0 117:193.0 118:2.0 119:41.0 125:24.0 128:183.0 129:12.0 130:40.0 131:202.0 132:62.0 133:110.0 134:12.0 137:18.0 142:6.0 143:28.0 144:17.0 146:21.0 147:3162.0 148:481.0 149:247.0 150:17.0 151:5.0 152:1.0 154:3.0 155:20.0 156:13.0 160:2.0 165:1.0 169:1.0 171:19.0 172:5.0 174:371.0 175:51.0 176:13.0 189:1.0 191:5.0 199:1.0 202:41.0 203:12.0 204:523.0 205:88.0 206:35.0 207:3.0 209:2.0 211:2.0 212:2.0 219:15.0 220:2.0 221:3.0 222:1.0 223:3.0 225:6.0 231:7.0 232:1.0 236:3.0 237:1.0 240:7.0 247:1.0 250:1.0 251:9.0 252:3.0 262:2.0 265:6.0 280:2.0 281:14.0 282:1.0 285:2.0 287:2.0 288:1.0 292:5.0 300:3.0 301:1.0 303:1.0 308:1.0 309:2.0 312:1.0 319:3.0 320:2.0 323:3.0 328:3.0 337:1.0 338:2.0 339:2.0 343:1.0 346:1.0 348:1.0 362:2.0 363:3.0 369:1.0 370:3.0 375:3.0 381:1.0 389:1.0 392:2.0 398:4.0 401:1.0 402:2.0 405:2.0 407:2.0 411:5.0 416:1.0 424:1.0 425:1.0 426:4.0 432:1.0 441:1.0 445:4.0 446:1.0 447:1.0 448:4.0 451:3.0 452:1.0 453:2.0 454:2.0 455:1.0 458:3.0 462:3.0 465:2.0 481:2.0 489:2.0 490:4.0 494:2.0 495:2.0</t>
  </si>
  <si>
    <t>202687</t>
  </si>
  <si>
    <t>782008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</si>
  <si>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</si>
  <si>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202066</t>
  </si>
  <si>
    <t>335899</t>
  </si>
  <si>
    <t>86:248.0 91:88.0 92:89.0 99:9.0 100:5448.0 101:746.0 102:176.0 108:1.0 144:1417.0 145:48.0 146:13.0 159:179.0 169:1.0 171:33.0 181:1.0 184:6.0 261:2.0 366:1.0 430:1.0 476:1.0</t>
  </si>
  <si>
    <t>201887</t>
  </si>
  <si>
    <t>1200427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</si>
  <si>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</si>
  <si>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</si>
  <si>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1134655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</si>
  <si>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</si>
  <si>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201845</t>
  </si>
  <si>
    <t>963429</t>
  </si>
  <si>
    <t>85:6.0 86:6.0 87:6.0 88:18.0 89:53.0 90:2.0 91:56.0 92:28.0 93:6.0 96:28.0 98:1.0 101:90.0 102:3.0 103:701.0 104:58.0 106:15.0 107:3.0 108:7.0 109:2.0 110:3.0 112:4.0 114:1.0 115:18.0 116:25.0 117:308.0 118:23.0 119:18.0 120:2.0 122:19.0 123:4.0 124:3.0 125:1.0 126:9.0 127:6.0 129:243.0 130:3.0 131:20.0 132:3.0 133:158.0 134:20.0 135:11.0 136:10.0 137:4.0 138:4.0 139:2.0 140:12.0 141:8.0 142:7.0 143:33.0 144:5.0 145:4.0 146:9.0 147:783.0 148:85.0 149:83.0 150:6.0 152:1.0 153:6.0 154:2.0 155:11.0 157:57.0 158:7.0 160:1.0 161:14.0 162:6.0 163:17.0 164:3.0 165:5.0 166:6.0 169:45.0 170:6.0 171:1.0 175:5.0 176:5.0 177:8.0 178:2.0 179:4.0 180:11.0 181:2.0 182:2.0 183:41.0 184:7.0 186:2.0 187:1.0 188:6.0 189:68.0 191:103.0 192:8.0 193:43.0 194:2.0 195:20.0 196:4.0 199:5.0 202:5.0 203:2.0 204:112.0 205:198.0 206:36.0 207:103.0 208:20.0 209:26.0 210:13.0 212:2.0 214:2.0 215:21.0 216:13.0 217:1013.0 218:189.0 219:76.0 220:2.0 221:30.0 222:22.0 223:7.0 225:2.0 226:2.0 229:5.0 230:63.0 231:103.0 232:10.0 233:8.0 237:3.0 238:2.0 239:11.0 240:5.0 241:5.0 242:5.0 243:18.0 246:4.0 247:3.0 249:10.0 250:8.0 252:2.0 253:2.0 254:2.0 255:29.0 256:3.0 257:24.0 258:2.0 259:51.0 260:6.0 261:11.0 262:10.0 263:7.0 264:4.0 265:4.0 268:15.0 269:1.0 271:16.0 272:4.0 273:16.0 274:2.0 276:7.0 277:3.0 278:4.0 280:6.0 281:22.0 282:23.0 284:8.0 285:5.0 289:10.0 293:6.0 294:5.0 295:2.0 296:1.0 297:1.0 299:1.0 301:1.0 302:7.0 303:1.0 304:9.0 305:4.0 307:15.0 308:5.0 309:1.0 311:2.0 312:1.0 313:4.0 314:13.0 316:2.0 317:1.0 319:55.0 320:9.0 321:15.0 322:3.0 323:6.0 324:6.0 325:1.0 326:1.0 327:17.0 328:11.0 330:4.0 332:3.0 336:9.0 337:8.0 338:12.0 339:12.0 340:3.0 341:7.0 342:3.0 345:97.0 346:23.0 347:19.0 348:4.0 349:5.0 350:5.0 351:6.0 352:1.0 354:2.0 355:4.0 358:2.0 359:1.0 361:47.0 362:7.0 365:1.0 366:5.0 368:7.0 370:8.0 372:13.0 373:3.0 374:4.0 375:2.0 376:5.0 377:3.0 380:4.0 382:5.0 383:2.0 386:9.0 390:7.0 391:6.0 392:7.0 395:3.0 396:3.0 397:7.0 398:13.0 399:7.0 400:5.0 402:5.0 403:3.0 405:13.0 406:10.0 407:2.0 408:16.0 409:2.0 410:2.0 412:1.0 413:5.0 415:12.0 417:4.0 420:13.0 422:4.0 423:8.0 424:7.0 425:3.0 428:1.0 430:5.0 431:13.0 432:11.0 433:3.0 434:1.0 435:2.0 436:14.0 437:16.0 438:5.0 439:7.0 440:7.0 441:2.0 442:5.0 443:2.0 444:2.0 446:4.0 447:2.0 448:2.0 449:9.0 450:3.0 453:1.0 454:2.0 456:7.0 457:16.0 458:5.0 459:1.0 460:5.0 462:2.0 463:8.0 464:7.0 465:3.0 466:1.0 468:1.0 469:3.0 470:2.0 472:9.0 473:10.0 474:1.0 475:6.0 478:1.0 479:1.0 480:10.0 481:8.0 482:11.0 483:1.0 484:8.0 485:6.0 486:4.0 487:5.0 488:6.0 489:8.0 490:3.0 491:5.0 492:3.0 493:5.0 494:4.0 498:5.0 500:2.0</t>
  </si>
  <si>
    <t>201042</t>
  </si>
  <si>
    <t>298036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</si>
  <si>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</si>
  <si>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201005</t>
  </si>
  <si>
    <t>580107</t>
  </si>
  <si>
    <t>85:5236.0 86:7101.0 87:5226.0 88:1425.0 89:1624.0 90:621.0 91:24.0 92:19.0 93:448.0 94:1219.0 95:686.0 96:1407.0 97:1443.0 98:6160.0 99:3773.0 100:37529.0 101:10731.0 102:6150.0 103:11532.0 104:1548.0 105:3556.0 106:509.0 107:604.0 108:286.0 109:557.0 110:1501.0 111:1447.0 112:19087.0 113:19798.0 114:13669.0 115:15301.0 116:9420.0 117:10321.0 118:2521.0 119:3492.0 120:516.0 121:381.0 122:112.0 123:330.0 124:577.0 125:598.0 126:33821.0 127:5756.0 128:75900.0 129:17682.0 130:10225.0 131:34714.0 132:13736.0 133:28287.0 134:1659.0 135:1879.0 136:238.0 137:341.0 138:581.0 139:26266.0 140:6434.0 141:2142.0 142:2234.0 143:1002.0 144:2299.0 145:1930.0 146:5357.0 147:266164.0 148:41761.0 149:23617.0 150:2809.0 151:1649.0 152:472.0 153:2777.0 154:6738.0 155:37796.0 156:83513.0 157:13392.0 158:7833.0 159:2226.0 160:1953.0 161:1509.0 162:450.0 163:954.0 164:186.0 165:179.0 166:209.0 167:876.0 168:486.0 169:342.0 170:1253.0 171:1448.0 172:7476.0 173:2450.0 174:4251.0 175:1425.0 176:583.0 177:438.0 178:140.0 179:133.0 180:167.0 181:269.0 182:885.0 183:836.0 184:862.0 185:614.0 186:1520.0 187:1670.0 188:17876.0 189:7058.0 190:8628.0 191:2718.0 192:960.0 193:229.0 194:108.0 195:139.0 196:135.0 197:276.0 198:493.0 199:377.0 200:5083.0 201:1522.0 202:5385.0 203:70739.0 204:15511.0 205:7255.0 206:1586.0 207:624.0 208:116.0 209:70.0 210:104.0 211:13387.0 212:4521.0 213:2518.0 214:3747.0 215:1669.0 216:16118.0 217:4111.0 218:5126.0 219:1319.0 220:678.0 221:2864.0 222:754.0 223:499.0 224:126.0 225:302.0 226:1383.0 227:118666.0 228:30881.0 229:16582.0 230:5880.0 231:1793.0 232:714.0 233:154.0 234:72.0 235:52.0 236:25.0 237:53.0 238:21.0 239:1011.0 240:839.0 241:526.0 242:259.0 243:949.0 244:1501.0 245:1343.0 246:1219.0 247:282.0 248:764.0 249:179.0 250:75.0 251:16.0 252:6.0 253:88.0 254:253.0 255:2324.0 256:987.0 257:1183.0 258:255.0 259:116.0 260:2625.0 261:905.0 262:611.0 263:155.0 264:237.0 265:88.0 266:54.0 267:47.0 268:52.0 269:76.0 270:68.0 271:164.0 272:165.0 273:158.0 274:111.0 275:90.0 276:394.0 277:131.0 278:112.0 279:59.0 280:46.0 281:22.0 282:43.0 283:53.0 284:31.0 285:212.0 286:122.0 287:108.0 288:1464.0 289:361.0 290:187.0 291:735.0 292:202.0 293:105.0 294:45.0 295:34.0 296:18.0 297:18.0 298:14.0 299:29.0 300:49.0 301:3547.0 302:1326.0 303:639.0 304:4270.0 305:1616.0 306:660.0 307:139.0 308:50.0 309:11.0 310:15.0 311:125.0 312:68.0 313:98.0 314:94.0 315:206.0 316:277.0 317:15587.0 318:5219.0 319:9200.0 320:2715.0 321:1224.0 322:194.0 323:51.0 324:15.0 325:20.0 326:13.0 327:127.0 328:118.0 329:3791.0 330:1531.0 331:626.0 332:110.0 333:40.0 334:4.0 335:11.0 336:12.0 337:20.0 338:10.0 339:2.0 342:68.0 343:276.0 344:4636.0 345:3590.0 346:1699.0 347:669.0 348:141.0 349:40.0 350:16.0 351:18.0 352:6.0 353:2.0 354:2.0 355:3.0 357:3.0 361:1.0 362:8.0 363:12.0 364:9.0 365:10.0 366:95.0 367:45.0 368:35.0 369:3.0 375:8.0 376:1.0 378:3.0 379:6.0 380:2.0 381:5.0 382:1.0 383:2.0 386:2.0 390:1.0 391:29.0 392:8.0 394:7.0 395:10.0 397:14.0 398:1.0 404:1.0 407:1.0 412:4.0 414:1.0 417:4.0 418:63.0 419:1344.0 420:537.0 421:215.0 422:32.0 423:5.0 433:40.0 434:692.0 435:296.0 436:110.0 437:41.0 438:4.0 442:1.0 443:2.0 445:1.0 448:2.0 481:4.0 490:1.0 494:1.0 495:1.0</t>
  </si>
  <si>
    <t>200655</t>
  </si>
  <si>
    <t>699711</t>
  </si>
  <si>
    <t>86:306.0 88:1262.0 89:4683.0 90:567.0 91:9215.0 92:5066.0 93:951.0 94:149.0 95:254.0 96:197.0 97:33.0 98:25.0 99:273.0 100:970.0 101:308.0 102:158.0 103:54434.0 104:5312.0 105:2850.0 106:360.0 107:1256.0 108:250.0 109:324.0 110:746.0 111:236.0 113:443.0 114:2585.0 115:123.0 116:287.0 118:1075.0 120:46.0 121:12.0 123:26.0 124:35.0 125:11.0 126:822.0 127:1609.0 128:269.0 129:3321.0 130:1774.0 131:2758.0 132:120.0 133:13.0 134:3473.0 135:605.0 136:90.0 137:6.0 139:49.0 140:173.0 141:998.0 142:476.0 143:583.0 144:69.0 145:343.0 146:2.0 147:1851.0 148:1329.0 149:1432.0 150:80.0 151:266.0 152:51.0 153:41.0 154:2.0 155:87.0 156:298.0 157:1869.0 158:453.0 160:2549.0 162:108.0 163:662.0 164:51.0 165:87.0 166:49.0 167:89.0 168:160.0 169:222.0 170:200.0 171:2.0 172:1332.0 173:1734.0 174:320.0 175:47.0 176:73.0 177:275.0 178:5.0 179:72.0 180:122.0 181:5.0 182:47.0 184:694.0 185:252.0 186:328.0 187:82.0 188:212.0 189:353.0 190:117.0 191:10489.0 192:1550.0 193:969.0 194:58.0 195:31.0 196:146.0 197:25.0 198:128.0 199:17.0 200:21.0 201:1543.0 202:745.0 203:126.0 204:5646.0 205:1404.0 206:497.0 207:50.0 208:44.0 209:21.0 210:3.0 213:40.0 214:166.0 215:1218.0 216:771.0 217:36295.0 218:6193.0 219:3204.0 220:152.0 221:486.0 222:42.0 223:65.0 224:13.0 226:3.0 227:21.0 228:50.0 229:543.0 230:1027.0 231:563.0 232:295.0 233:66.0 234:47.0 235:38.0 236:1.0 237:9.0 238:13.0 239:55.0 240:145.0 241:24.0 242:60.0 243:101.0 244:154.0 245:106.0 246:164.0 247:203.0 248:26.0 249:18.0 250:4.0 251:6.0 252:6.0 254:49.0 255:2.0 256:428.0 257:2968.0 258:683.0 259:155.0 260:233.0 261:50.0 262:1038.0 263:734.0 264:235.0 265:79.0 266:8.0 268:83.0 269:68.0 270:113.0 271:5.0 274:49.0 275:41.0 276:109.0 277:2370.0 278:625.0 279:6.0 280:32.0 281:24.0 283:2.0 285:17.0 286:15.0 287:1.0 288:103.0 289:2.0 290:2.0 291:126.0 292:109.0 293:103.0 294:29.0 296:7.0 297:6.0 299:2.0 300:76.0 301:2.0 302:173.0 303:262.0 304:19.0 305:9001.0 306:3568.0 307:10407.0 308:3254.0 309:1404.0 310:338.0 311:69.0 315:1.0 317:56.0 318:93.0 319:1991.0 320:600.0 321:219.0 322:54.0 324:6.0 328:12.0 330:141.0 331:41.0 333:8.0 334:43.0 335:459.0 336:196.0 337:63.0 338:3.0 342:5.0 343:6.0 344:88.0 345:260.0 346:43.0 347:19.0 348:99.0 349:102.0 350:138.0 351:10.0 356:4.0 357:5.0 358:43.0 361:57.0 362:45.0 363:11.0 364:1197.0 365:385.0 366:193.0 367:3.0 368:7.0 372:35.0 373:4.0 374:25.0 376:67.0 378:6.0 379:9.0 380:13.0 381:6.0 382:1.0 383:1.0 385:4.0 389:19.0 390:23.0 391:2.0 394:15.0 395:2.0 398:6.0 399:3.0 401:2.0 402:3.0 404:6.0 405:8.0 408:32.0 410:2.0 413:1.0 415:2.0 418:1.0 419:143.0 420:34.0 421:51.0 422:11.0 423:4.0 424:3.0 425:1.0 427:1.0 428:3.0 432:13.0 433:7.0 434:9.0 435:143.0 436:163.0 437:2491.0 438:1167.0 439:658.0 440:139.0 441:53.0 442:16.0 445:3.0 453:5.0 458:5.0 461:1.0 463:6.0 464:60.0 465:58.0 466:60.0 467:4.0 469:3.0 473:8.0 475:1.0 476:1.0 477:3.0 479:2.0 480:7.0 481:7.0 482:1.0 483:2.0 484:1.0 488:1.0 489:3.0 491:3.0 492:4.0 498:1.0</t>
  </si>
  <si>
    <t>200624</t>
  </si>
  <si>
    <t>421877</t>
  </si>
  <si>
    <t>87:6.0 88:3.0 89:18.0 90:25.0 91:453.0 93:16.0 97:32.0 98:1.0 99:10.0 100:35.0 101:27.0 103:496.0 105:57.0 106:32.0 107:192.0 108:61.0 110:233.0 111:13.0 112:18.0 113:19.0 115:37.0 116:44.0 117:81.0 119:6.0 121:4.0 122:3.0 123:2.0 126:62.0 127:63.0 129:7.0 130:342.0 131:89.0 132:87.0 133:218.0 134:413.0 135:155.0 136:34.0 137:35.0 139:18.0 140:4.0 141:32.0 143:3.0 147:879.0 148:40.0 152:2.0 156:3.0 158:5.0 160:2.0 161:29.0 162:4.0 163:28.0 164:4.0 165:19.0 172:9.0 173:3.0 177:27.0 178:2.0 179:77.0 180:7.0 181:6.0 184:73.0 186:2.0 189:116.0 191:244.0 192:22.0 193:221.0 194:25.0 195:59.0 197:4.0 199:6.0 200:8.0 203:17.0 204:280.0 205:135.0 206:18.0 207:255.0 208:65.0 209:18.0 211:73.0 212:4.0 214:1.0 216:1.0 217:39.0 219:31.0 220:9.0 222:5.0 224:3.0 225:30.0 228:1.0 229:7.0 231:3.0 234:2.0 239:12.0 242:1.0 243:1.0 244:16.0 245:2.0 246:8.0 248:9.0 249:15.0 250:3.0 251:45.0 252:4.0 253:20.0 254:9.0 255:51.0 256:3.0 260:1.0 267:15.0 268:1.0 269:59.0 270:4.0 271:14.0 273:2.0 274:2.0 276:2.0 278:2.0 281:8.0 283:7.0 284:1.0 285:411.0 286:86.0 287:35.0 289:2.0 290:1.0 291:4.0 294:7.0 295:3.0 296:3.0 299:73.0 300:10.0 301:9.0 302:6.0 303:4.0 304:8.0 309:2.0 311:1.0 318:1.0 320:1.0 321:4.0 322:2.0 323:1.0 325:4.0 329:4.0 330:8.0 332:1.0 333:3.0 334:5.0 336:4.0 337:1.0 339:1.0 341:4.0 343:7.0 351:5.0 352:1.0 354:1.0 356:13.0 357:84.0 358:10.0 359:9.0 361:3.0 363:4.0 366:1.0 370:12.0 371:3.0 372:170.0 373:1561.0 374:605.0 375:358.0 376:72.0 378:8.0 383:4.0 384:2.0 385:4.0 387:2.0 388:11.0 390:1.0 393:6.0 394:3.0 396:5.0 397:3.0 398:2.0 403:6.0 405:3.0 411:1.0 416:7.0 418:1.0 419:6.0 421:5.0 424:4.0 427:3.0 430:1.0 435:4.0 443:2.0 445:2.0 450:1.0 451:4.0 456:1.0 458:4.0 459:2.0 460:1.0 462:2.0 466:5.0 467:2.0 471:1.0 472:3.0 473:5.0 476:14.0 477:1.0 479:1.0 481:3.0 482:4.0 483:6.0 489:10.0 490:1.0 491:1.0 493:1.0 495:4.0 498:3.0 499:8.0</t>
  </si>
  <si>
    <t>200547</t>
  </si>
  <si>
    <t>726539</t>
  </si>
  <si>
    <t>85:2.0 86:12.0 87:12.0 88:3.0 89:289.0 91:18.0 95:3.0 96:1.0 99:22.0 100:159.0 101:22.0 102:17.0 103:63.0 104:5.0 105:25.0 107:12.0 113:15.0 114:2.0 115:3.0 116:7.0 117:60.0 118:7.0 124:1.0 128:1.0 129:124.0 131:32.0 132:11.0 133:59.0 134:35.0 135:1.0 139:2.0 145:2.0 146:3.0 147:408.0 148:61.0 149:13.0 150:3.0 151:3.0 152:2.0 153:11.0 157:57.0 158:2.0 163:7.0 164:1.0 166:1.0 168:3.0 169:16.0 172:3.0 173:1.0 174:1.0 177:8.0 178:1.0 184:4.0 185:2.0 187:10.0 188:1.0 189:60.0 191:77.0 196:2.0 203:3.0 204:1030.0 205:182.0 206:44.0 208:3.0 211:1.0 214:2.0 216:3.0 217:105.0 218:31.0 219:17.0 220:175.0 221:4.0 227:2.0 231:1.0 234:1.0 243:2.0 244:1.0 246:8.0 251:3.0 259:4.0 263:1.0 264:1.0 268:1.0 269:5.0 270:5.0 272:3.0 277:3.0 281:3.0 282:2.0 294:5.0 305:6.0 306:1.0 307:13.0 308:1.0 311:4.0 319:84.0 320:11.0 321:1.0 327:4.0 331:2.0 332:5.0 333:1.0 337:1.0 339:1.0 346:1.0 351:2.0 352:1.0 356:2.0 360:1.0 363:2.0 364:1.0 374:4.0 386:1.0 388:1.0 415:1.0 425:2.0 438:2.0 441:7.0 442:1.0 450:1.0 451:2.0 455:1.0 475:1.0 495:7.0 497:2.0 500:1.0</t>
  </si>
  <si>
    <t>200484</t>
  </si>
  <si>
    <t>800844</t>
  </si>
  <si>
    <t>163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</si>
  <si>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</si>
  <si>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200471</t>
  </si>
  <si>
    <t>568970</t>
  </si>
  <si>
    <t>85:829.0 86:60.0 87:6.0 93:28.0 94:22.0 95:211.0 96:540.0 97:2064.0 98:712.0 99:314.0 100:62.0 101:57.0 108:2.0 109:113.0 110:376.0 111:924.0 112:311.0 113:852.0 114:147.0 115:13.0 122:6.0 123:65.0 124:173.0 125:304.0 126:110.0 127:743.0 128:118.0 129:326.0 130:1.0 138:19.0 139:79.0 140:173.0 141:86.0 152:22.0 153:12.0 155:38.0 168:89.0 169:2.0 197:45.0 211:8.0 212:7.0 235:1.0 247:1.0 282:1.0 288:3.0 306:3.0 367:1.0 405:1.0 410:1.0 430:1.0 440:1.0 446:3.0 456:1.0 480:1.0</t>
  </si>
  <si>
    <t>1-hexadecanol</t>
  </si>
  <si>
    <t>679338</t>
  </si>
  <si>
    <t>85:5855.0 86:768.0 87:2701.0 88:1014.0 89:14519.0 90:1392.0 91:4241.0 92:351.0 93:261.0 94:58.0 95:1655.0 96:824.0 97:15257.0 98:1810.0 99:3243.0 100:578.0 101:7460.0 102:1024.0 103:18214.0 104:1657.0 105:757.0 106:2.0 107:101.0 108:3.0 109:530.0 110:181.0 111:6735.0 112:1039.0 113:1287.0 114:261.0 115:3429.0 116:473.0 117:1749.0 118:135.0 119:58.0 121:1.0 122:14.0 123:165.0 124:112.0 125:2155.0 126:301.0 127:502.0 128:32.0 129:2870.0 130:450.0 131:975.0 132:140.0 133:852.0 134:67.0 135:37.0 136:5.0 137:44.0 138:26.0 139:493.0 140:139.0 141:210.0 142:373.0 143:1068.0 144:138.0 145:398.0 146:59.0 147:3807.0 148:599.0 149:344.0 150:34.0 151:27.0 152:1.0 153:257.0 154:63.0 155:34.0 156:394.0 157:523.0 159:108.0 160:2.0 161:28.0 162:13.0 163:4.0 164:5.0 166:15.0 167:149.0 168:42.0 169:86.0 170:499.0 171:281.0 172:31.0 173:44.0 174:81.0 175:87.0 176:4.0 177:4.0 178:14.0 180:15.0 181:45.0 182:20.0 183:14.0 185:225.0 186:88.0 187:26.0 188:14.0 189:512.0 190:126.0 191:2185.0 192:318.0 193:135.0 194:15.0 195:71.0 196:64.0 197:25.0 199:232.0 200:69.0 201:58.0 202:12.0 203:115.0 204:4194.0 205:1282.0 206:427.0 207:59.0 208:23.0 209:24.0 210:2.0 211:8.0 212:8.0 213:281.0 214:137.0 215:40.0 216:16.0 217:1002.0 218:220.0 219:101.0 221:148.0 222:47.0 223:11.0 224:93.0 225:15.0 226:6.0 227:191.0 228:59.0 229:25.0 230:58.0 231:18.0 232:17.0 233:24.0 234:21.0 236:26.0 238:2.0 241:105.0 242:36.0 243:28.0 245:22.0 246:28.0 247:7.0 248:3.0 251:1.0 252:3.0 253:6.0 255:2.0 256:14.0 257:4.0 260:25.0 262:20.0 264:4.0 265:9.0 268:3.0 269:19.0 270:13.0 272:7.0 275:1.0 276:18.0 277:52.0 278:18.0 279:14.0 283:103.0 284:15.0 285:8.0 286:20.0 287:5.0 288:4.0 289:14.0 290:3.0 291:93.0 292:395.0 293:102.0 294:37.0 297:39.0 298:383.0 299:14908.0 300:5456.0 301:1323.0 302:222.0 303:43.0 304:35.0 305:218.0 306:66.0 307:46.0 308:15.0 309:4.0 312:15.0 313:7.0 314:20.0 315:2.0 317:19.0 318:27.0 319:229.0 320:79.0 321:37.0 322:27.0 323:22.0 325:4.0 330:5.0 331:77.0 332:39.0 333:355.0 334:140.0 335:57.0 336:24.0 337:5.0 339:10.0 341:3.0 342:5.0 345:49.0 347:3.0 348:2.0 349:8.0 356:5.0 358:1.0 359:41.0 360:2.0 363:3.0 364:12.0 366:16.0 367:3.0 368:10.0 369:3.0 370:15.0 372:4.0 374:1.0 375:10.0 377:7.0 378:6.0 381:5.0 382:7.0 384:16.0 390:2.0 394:11.0 395:10.0 397:2.0 398:4.0 401:11.0 402:21.0 403:6.0 405:11.0 406:13.0 407:3.0 408:14.0 409:2.0 411:9.0 414:6.0 415:6.0 417:6.0 418:1.0 420:3.0 422:7.0 423:29.0 424:9.0 425:27.0 427:2.0 432:4.0 433:21.0 434:17.0 435:43.0 436:22.0 437:8.0 438:10.0 439:4.0 441:1.0 442:4.0 443:4.0 444:1.0 445:3.0 451:7.0 453:3.0 454:8.0 455:4.0 456:14.0 457:5.0 460:12.0 461:3.0 463:6.0 468:11.0 469:1.0 470:2.0 471:12.0 473:12.0 476:2.0 479:6.0 480:4.0 485:3.0 487:2.0 488:5.0 489:5.0 490:3.0 494:12.0 497:10.0 498:1.0</t>
  </si>
  <si>
    <t>199942</t>
  </si>
  <si>
    <t>431285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</si>
  <si>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</si>
  <si>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miniX id</t>
  </si>
  <si>
    <t>label</t>
  </si>
  <si>
    <t>file id</t>
  </si>
  <si>
    <t>BB name</t>
  </si>
  <si>
    <t>ret.index</t>
  </si>
  <si>
    <t>quant m/z</t>
  </si>
  <si>
    <t>BB id</t>
  </si>
  <si>
    <t>mass spec</t>
  </si>
  <si>
    <t>KEGG</t>
  </si>
  <si>
    <t>PubChem</t>
  </si>
  <si>
    <t>tyrosine</t>
  </si>
  <si>
    <t>threonic acid</t>
  </si>
  <si>
    <t>spermine</t>
  </si>
  <si>
    <t>spermidine</t>
  </si>
  <si>
    <t>N-acetyl-D-mannosamine</t>
  </si>
  <si>
    <t>maltose</t>
  </si>
  <si>
    <t>lyxose</t>
  </si>
  <si>
    <t>glucose-6-phosphate</t>
  </si>
  <si>
    <t>glucose</t>
  </si>
  <si>
    <t>galactinol</t>
  </si>
  <si>
    <t>galactose-6-phosphate</t>
  </si>
  <si>
    <t>fructose</t>
  </si>
  <si>
    <t>fucose + rhamnose</t>
  </si>
  <si>
    <t>cystathionine NIST</t>
  </si>
  <si>
    <t>butane-2,3-diol NIST</t>
  </si>
  <si>
    <t>beta-gentiobiose</t>
  </si>
  <si>
    <t>benzoic acid</t>
  </si>
  <si>
    <t>asparagine</t>
  </si>
  <si>
    <t>2-ketoisocaproic acid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</si>
</sst>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NumberFormat="1" applyFont="1" applyFill="1" applyBorder="1" applyAlignment="1"/>
    <xf numFmtId="0" fontId="0" fillId="3" borderId="0" xfId="0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" fontId="1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335"/>
  <sheetViews>
    <sheetView zoomScale="75" zoomScaleNormal="75" workbookViewId="0">
      <pane xSplit="8" ySplit="4" topLeftCell="I5" activePane="bottomRight" state="frozen"/>
      <selection pane="topRight" activeCell="L1" sqref="L1"/>
      <selection pane="bottomLeft" activeCell="A7" sqref="A7"/>
      <selection pane="bottomRight" activeCell="D2" sqref="D2"/>
    </sheetView>
  </sheetViews>
  <sheetFormatPr defaultRowHeight="12.75"/>
  <cols>
    <col min="1" max="1" width="33.7109375" style="2" customWidth="1"/>
    <col min="2" max="16384" width="9.140625" style="2"/>
  </cols>
  <sheetData>
    <row r="1" spans="1:44">
      <c r="A1" s="5"/>
      <c r="B1" s="5"/>
      <c r="C1" s="5"/>
      <c r="D1" s="5"/>
      <c r="E1" s="5"/>
      <c r="F1" s="5"/>
      <c r="G1" s="5"/>
      <c r="H1" s="8" t="s">
        <v>1192</v>
      </c>
      <c r="I1" s="3" t="s">
        <v>9</v>
      </c>
      <c r="J1" s="3" t="s">
        <v>11</v>
      </c>
      <c r="K1" s="3" t="s">
        <v>5</v>
      </c>
      <c r="L1" s="3" t="s">
        <v>1</v>
      </c>
      <c r="M1" s="3" t="s">
        <v>7</v>
      </c>
      <c r="N1" s="3" t="s">
        <v>3</v>
      </c>
      <c r="O1" s="3" t="s">
        <v>19</v>
      </c>
      <c r="P1" s="3" t="s">
        <v>13</v>
      </c>
      <c r="Q1" s="3" t="s">
        <v>17</v>
      </c>
      <c r="R1" s="3" t="s">
        <v>21</v>
      </c>
      <c r="S1" s="3" t="s">
        <v>23</v>
      </c>
      <c r="T1" s="3" t="s">
        <v>15</v>
      </c>
      <c r="U1" s="3" t="s">
        <v>31</v>
      </c>
      <c r="V1" s="3" t="s">
        <v>25</v>
      </c>
      <c r="W1" s="3" t="s">
        <v>27</v>
      </c>
      <c r="X1" s="3" t="s">
        <v>29</v>
      </c>
      <c r="Y1" s="3" t="s">
        <v>35</v>
      </c>
      <c r="Z1" s="3" t="s">
        <v>33</v>
      </c>
      <c r="AA1" s="3" t="s">
        <v>39</v>
      </c>
      <c r="AB1" s="3" t="s">
        <v>43</v>
      </c>
      <c r="AC1" s="3" t="s">
        <v>45</v>
      </c>
      <c r="AD1" s="3" t="s">
        <v>41</v>
      </c>
      <c r="AE1" s="3" t="s">
        <v>37</v>
      </c>
      <c r="AF1" s="3" t="s">
        <v>47</v>
      </c>
      <c r="AG1" s="3" t="s">
        <v>57</v>
      </c>
      <c r="AH1" s="3" t="s">
        <v>55</v>
      </c>
      <c r="AI1" s="3" t="s">
        <v>59</v>
      </c>
      <c r="AJ1" s="3" t="s">
        <v>51</v>
      </c>
      <c r="AK1" s="3" t="s">
        <v>49</v>
      </c>
      <c r="AL1" s="3" t="s">
        <v>53</v>
      </c>
      <c r="AM1" s="3" t="s">
        <v>63</v>
      </c>
      <c r="AN1" s="3" t="s">
        <v>65</v>
      </c>
      <c r="AO1" s="3" t="s">
        <v>71</v>
      </c>
      <c r="AP1" s="3" t="s">
        <v>69</v>
      </c>
      <c r="AQ1" s="3" t="s">
        <v>61</v>
      </c>
      <c r="AR1" s="3" t="s">
        <v>67</v>
      </c>
    </row>
    <row r="2" spans="1:44">
      <c r="A2" s="5"/>
      <c r="B2" s="5"/>
      <c r="C2" s="5"/>
      <c r="D2" s="5"/>
      <c r="E2" s="5"/>
      <c r="F2" s="5"/>
      <c r="G2" s="5"/>
      <c r="H2" s="8" t="s">
        <v>1191</v>
      </c>
      <c r="I2" s="3" t="s">
        <v>10</v>
      </c>
      <c r="J2" s="3" t="s">
        <v>12</v>
      </c>
      <c r="K2" s="3" t="s">
        <v>6</v>
      </c>
      <c r="L2" s="3" t="s">
        <v>2</v>
      </c>
      <c r="M2" s="3" t="s">
        <v>8</v>
      </c>
      <c r="N2" s="3" t="s">
        <v>4</v>
      </c>
      <c r="O2" s="3" t="s">
        <v>20</v>
      </c>
      <c r="P2" s="3" t="s">
        <v>14</v>
      </c>
      <c r="Q2" s="3" t="s">
        <v>18</v>
      </c>
      <c r="R2" s="3" t="s">
        <v>22</v>
      </c>
      <c r="S2" s="3" t="s">
        <v>24</v>
      </c>
      <c r="T2" s="3" t="s">
        <v>16</v>
      </c>
      <c r="U2" s="3" t="s">
        <v>32</v>
      </c>
      <c r="V2" s="3" t="s">
        <v>26</v>
      </c>
      <c r="W2" s="3" t="s">
        <v>28</v>
      </c>
      <c r="X2" s="3" t="s">
        <v>30</v>
      </c>
      <c r="Y2" s="3" t="s">
        <v>36</v>
      </c>
      <c r="Z2" s="3" t="s">
        <v>34</v>
      </c>
      <c r="AA2" s="3" t="s">
        <v>40</v>
      </c>
      <c r="AB2" s="3" t="s">
        <v>44</v>
      </c>
      <c r="AC2" s="3" t="s">
        <v>46</v>
      </c>
      <c r="AD2" s="3" t="s">
        <v>42</v>
      </c>
      <c r="AE2" s="3" t="s">
        <v>38</v>
      </c>
      <c r="AF2" s="3" t="s">
        <v>48</v>
      </c>
      <c r="AG2" s="3" t="s">
        <v>58</v>
      </c>
      <c r="AH2" s="3" t="s">
        <v>56</v>
      </c>
      <c r="AI2" s="3" t="s">
        <v>60</v>
      </c>
      <c r="AJ2" s="3" t="s">
        <v>52</v>
      </c>
      <c r="AK2" s="3" t="s">
        <v>50</v>
      </c>
      <c r="AL2" s="3" t="s">
        <v>54</v>
      </c>
      <c r="AM2" s="3" t="s">
        <v>64</v>
      </c>
      <c r="AN2" s="3" t="s">
        <v>66</v>
      </c>
      <c r="AO2" s="3" t="s">
        <v>72</v>
      </c>
      <c r="AP2" s="3" t="s">
        <v>70</v>
      </c>
      <c r="AQ2" s="3" t="s">
        <v>62</v>
      </c>
      <c r="AR2" s="3" t="s">
        <v>68</v>
      </c>
    </row>
    <row r="3" spans="1:44">
      <c r="A3" s="6"/>
      <c r="B3" s="7"/>
      <c r="C3" s="7"/>
      <c r="D3" s="7"/>
      <c r="E3" s="7"/>
      <c r="F3" s="7"/>
      <c r="G3" s="7"/>
      <c r="H3" s="6" t="s">
        <v>1190</v>
      </c>
      <c r="I3" s="4" t="s">
        <v>78</v>
      </c>
      <c r="J3" s="4" t="s">
        <v>78</v>
      </c>
      <c r="K3" s="4" t="s">
        <v>78</v>
      </c>
      <c r="L3" s="4" t="s">
        <v>78</v>
      </c>
      <c r="M3" s="4" t="s">
        <v>78</v>
      </c>
      <c r="N3" s="4" t="s">
        <v>78</v>
      </c>
      <c r="O3" s="4" t="s">
        <v>77</v>
      </c>
      <c r="P3" s="4" t="s">
        <v>77</v>
      </c>
      <c r="Q3" s="4" t="s">
        <v>77</v>
      </c>
      <c r="R3" s="4" t="s">
        <v>77</v>
      </c>
      <c r="S3" s="4" t="s">
        <v>77</v>
      </c>
      <c r="T3" s="4" t="s">
        <v>77</v>
      </c>
      <c r="U3" s="4" t="s">
        <v>76</v>
      </c>
      <c r="V3" s="4" t="s">
        <v>76</v>
      </c>
      <c r="W3" s="4" t="s">
        <v>76</v>
      </c>
      <c r="X3" s="4" t="s">
        <v>76</v>
      </c>
      <c r="Y3" s="4" t="s">
        <v>76</v>
      </c>
      <c r="Z3" s="4" t="s">
        <v>76</v>
      </c>
      <c r="AA3" s="4" t="s">
        <v>75</v>
      </c>
      <c r="AB3" s="4" t="s">
        <v>75</v>
      </c>
      <c r="AC3" s="4" t="s">
        <v>75</v>
      </c>
      <c r="AD3" s="4" t="s">
        <v>75</v>
      </c>
      <c r="AE3" s="4" t="s">
        <v>75</v>
      </c>
      <c r="AF3" s="4" t="s">
        <v>75</v>
      </c>
      <c r="AG3" s="4" t="s">
        <v>74</v>
      </c>
      <c r="AH3" s="4" t="s">
        <v>74</v>
      </c>
      <c r="AI3" s="4" t="s">
        <v>74</v>
      </c>
      <c r="AJ3" s="4" t="s">
        <v>74</v>
      </c>
      <c r="AK3" s="4" t="s">
        <v>74</v>
      </c>
      <c r="AL3" s="4" t="s">
        <v>74</v>
      </c>
      <c r="AM3" s="4" t="s">
        <v>73</v>
      </c>
      <c r="AN3" s="4" t="s">
        <v>73</v>
      </c>
      <c r="AO3" s="4" t="s">
        <v>73</v>
      </c>
      <c r="AP3" s="4" t="s">
        <v>73</v>
      </c>
      <c r="AQ3" s="4" t="s">
        <v>73</v>
      </c>
      <c r="AR3" s="4" t="s">
        <v>73</v>
      </c>
    </row>
    <row r="4" spans="1:44">
      <c r="A4" s="6" t="s">
        <v>1193</v>
      </c>
      <c r="B4" s="6" t="s">
        <v>1194</v>
      </c>
      <c r="C4" s="6" t="s">
        <v>1195</v>
      </c>
      <c r="D4" s="6" t="s">
        <v>1196</v>
      </c>
      <c r="E4" s="6" t="s">
        <v>1197</v>
      </c>
      <c r="F4" s="6" t="s">
        <v>1198</v>
      </c>
      <c r="G4" s="6" t="s">
        <v>1199</v>
      </c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s="4" t="s">
        <v>80</v>
      </c>
      <c r="B5" s="1" t="s">
        <v>81</v>
      </c>
      <c r="C5" s="1" t="s">
        <v>82</v>
      </c>
      <c r="D5" s="1" t="str">
        <f>HYPERLINK("http://eros.fiehnlab.ucdavis.edu:8080/binbase-compound/bin/show/237801?db=rtx5","237801")</f>
        <v>237801</v>
      </c>
      <c r="E5" s="1" t="s">
        <v>83</v>
      </c>
      <c r="F5" s="1" t="str">
        <f>HYPERLINK("http://www.genome.ad.jp/dbget-bin/www_bget?compound+C01762","C01762")</f>
        <v>C01762</v>
      </c>
      <c r="G5" s="1" t="str">
        <f>HYPERLINK("http://pubchem.ncbi.nlm.nih.gov/summary/summary.cgi?cid=64959","64959")</f>
        <v>64959</v>
      </c>
      <c r="H5" s="1"/>
      <c r="I5" s="6">
        <v>231</v>
      </c>
      <c r="J5" s="6">
        <v>171</v>
      </c>
      <c r="K5" s="6">
        <v>168</v>
      </c>
      <c r="L5" s="6">
        <v>178</v>
      </c>
      <c r="M5" s="6">
        <v>183</v>
      </c>
      <c r="N5" s="6">
        <v>263</v>
      </c>
      <c r="O5" s="6">
        <v>180</v>
      </c>
      <c r="P5" s="6">
        <v>174</v>
      </c>
      <c r="Q5" s="6">
        <v>292</v>
      </c>
      <c r="R5" s="6">
        <v>290</v>
      </c>
      <c r="S5" s="6">
        <v>257</v>
      </c>
      <c r="T5" s="6">
        <v>141</v>
      </c>
      <c r="U5" s="6">
        <v>475</v>
      </c>
      <c r="V5" s="6">
        <v>145</v>
      </c>
      <c r="W5" s="6">
        <v>180</v>
      </c>
      <c r="X5" s="6">
        <v>127</v>
      </c>
      <c r="Y5" s="6">
        <v>206</v>
      </c>
      <c r="Z5" s="6">
        <v>271</v>
      </c>
      <c r="AA5" s="6">
        <v>190</v>
      </c>
      <c r="AB5" s="6">
        <v>888</v>
      </c>
      <c r="AC5" s="6">
        <v>153</v>
      </c>
      <c r="AD5" s="6">
        <v>258</v>
      </c>
      <c r="AE5" s="6">
        <v>196</v>
      </c>
      <c r="AF5" s="6">
        <v>183</v>
      </c>
      <c r="AG5" s="6">
        <v>258</v>
      </c>
      <c r="AH5" s="6">
        <v>411</v>
      </c>
      <c r="AI5" s="6">
        <v>197</v>
      </c>
      <c r="AJ5" s="6">
        <v>164</v>
      </c>
      <c r="AK5" s="6">
        <v>181</v>
      </c>
      <c r="AL5" s="6">
        <v>139</v>
      </c>
      <c r="AM5" s="6">
        <v>157</v>
      </c>
      <c r="AN5" s="6">
        <v>244</v>
      </c>
      <c r="AO5" s="6">
        <v>351</v>
      </c>
      <c r="AP5" s="6">
        <v>373</v>
      </c>
      <c r="AQ5" s="6">
        <v>182</v>
      </c>
      <c r="AR5" s="6">
        <v>228</v>
      </c>
    </row>
    <row r="6" spans="1:44">
      <c r="A6" s="4" t="s">
        <v>84</v>
      </c>
      <c r="B6" s="1" t="s">
        <v>85</v>
      </c>
      <c r="C6" s="1" t="s">
        <v>86</v>
      </c>
      <c r="D6" s="1" t="str">
        <f>HYPERLINK("http://eros.fiehnlab.ucdavis.edu:8080/binbase-compound/bin/show/203224?db=rtx5","203224")</f>
        <v>203224</v>
      </c>
      <c r="E6" s="1" t="s">
        <v>87</v>
      </c>
      <c r="F6" s="1" t="str">
        <f>HYPERLINK("http://www.genome.ad.jp/dbget-bin/www_bget?compound+C00385","C00385")</f>
        <v>C00385</v>
      </c>
      <c r="G6" s="1" t="str">
        <f>HYPERLINK("http://pubchem.ncbi.nlm.nih.gov/summary/summary.cgi?cid=1188","1188")</f>
        <v>1188</v>
      </c>
      <c r="H6" s="1"/>
      <c r="I6" s="6">
        <v>2252</v>
      </c>
      <c r="J6" s="6">
        <v>2844</v>
      </c>
      <c r="K6" s="6">
        <v>2668</v>
      </c>
      <c r="L6" s="6">
        <v>1726</v>
      </c>
      <c r="M6" s="6">
        <v>7221</v>
      </c>
      <c r="N6" s="6">
        <v>7492</v>
      </c>
      <c r="O6" s="6">
        <v>4811</v>
      </c>
      <c r="P6" s="6">
        <v>1573</v>
      </c>
      <c r="Q6" s="6">
        <v>1749</v>
      </c>
      <c r="R6" s="6">
        <v>3659</v>
      </c>
      <c r="S6" s="6">
        <v>4224</v>
      </c>
      <c r="T6" s="6">
        <v>918</v>
      </c>
      <c r="U6" s="6">
        <v>8783</v>
      </c>
      <c r="V6" s="6">
        <v>3321</v>
      </c>
      <c r="W6" s="6">
        <v>5312</v>
      </c>
      <c r="X6" s="6">
        <v>3129</v>
      </c>
      <c r="Y6" s="6">
        <v>7041</v>
      </c>
      <c r="Z6" s="6">
        <v>4739</v>
      </c>
      <c r="AA6" s="6">
        <v>2245</v>
      </c>
      <c r="AB6" s="6">
        <v>5186</v>
      </c>
      <c r="AC6" s="6">
        <v>3579</v>
      </c>
      <c r="AD6" s="6">
        <v>4830</v>
      </c>
      <c r="AE6" s="6">
        <v>3373</v>
      </c>
      <c r="AF6" s="6">
        <v>2316</v>
      </c>
      <c r="AG6" s="6">
        <v>4936</v>
      </c>
      <c r="AH6" s="6">
        <v>8000</v>
      </c>
      <c r="AI6" s="6">
        <v>2562</v>
      </c>
      <c r="AJ6" s="6">
        <v>3216</v>
      </c>
      <c r="AK6" s="6">
        <v>2996</v>
      </c>
      <c r="AL6" s="6">
        <v>3610</v>
      </c>
      <c r="AM6" s="6">
        <v>4512</v>
      </c>
      <c r="AN6" s="6">
        <v>4178</v>
      </c>
      <c r="AO6" s="6">
        <v>5111</v>
      </c>
      <c r="AP6" s="6">
        <v>6848</v>
      </c>
      <c r="AQ6" s="6">
        <v>7560</v>
      </c>
      <c r="AR6" s="6">
        <v>5255</v>
      </c>
    </row>
    <row r="7" spans="1:44">
      <c r="A7" s="4" t="s">
        <v>89</v>
      </c>
      <c r="B7" s="1" t="s">
        <v>90</v>
      </c>
      <c r="C7" s="1" t="s">
        <v>91</v>
      </c>
      <c r="D7" s="1" t="str">
        <f>HYPERLINK("http://eros.fiehnlab.ucdavis.edu:8080/binbase-compound/bin/show/199605?db=rtx5","199605")</f>
        <v>199605</v>
      </c>
      <c r="E7" s="1" t="s">
        <v>92</v>
      </c>
      <c r="F7" s="1" t="str">
        <f>HYPERLINK("http://www.genome.ad.jp/dbget-bin/www_bget?compound+C00183","C00183")</f>
        <v>C00183</v>
      </c>
      <c r="G7" s="1" t="str">
        <f>HYPERLINK("http://pubchem.ncbi.nlm.nih.gov/summary/summary.cgi?cid=6287","6287")</f>
        <v>6287</v>
      </c>
      <c r="H7" s="1"/>
      <c r="I7" s="6">
        <v>960518</v>
      </c>
      <c r="J7" s="6">
        <v>112409</v>
      </c>
      <c r="K7" s="6">
        <v>92099</v>
      </c>
      <c r="L7" s="6">
        <v>1221329</v>
      </c>
      <c r="M7" s="6">
        <v>655389</v>
      </c>
      <c r="N7" s="6">
        <v>1109343</v>
      </c>
      <c r="O7" s="6">
        <v>392709</v>
      </c>
      <c r="P7" s="6">
        <v>98386</v>
      </c>
      <c r="Q7" s="6">
        <v>782216</v>
      </c>
      <c r="R7" s="6">
        <v>552912</v>
      </c>
      <c r="S7" s="6">
        <v>138486</v>
      </c>
      <c r="T7" s="6">
        <v>88610</v>
      </c>
      <c r="U7" s="6">
        <v>1326302</v>
      </c>
      <c r="V7" s="6">
        <v>262032</v>
      </c>
      <c r="W7" s="6">
        <v>603299</v>
      </c>
      <c r="X7" s="6">
        <v>853063</v>
      </c>
      <c r="Y7" s="6">
        <v>984027</v>
      </c>
      <c r="Z7" s="6">
        <v>751212</v>
      </c>
      <c r="AA7" s="6">
        <v>157228</v>
      </c>
      <c r="AB7" s="6">
        <v>884415</v>
      </c>
      <c r="AC7" s="6">
        <v>123542</v>
      </c>
      <c r="AD7" s="6">
        <v>752066</v>
      </c>
      <c r="AE7" s="6">
        <v>897357</v>
      </c>
      <c r="AF7" s="6">
        <v>278474</v>
      </c>
      <c r="AG7" s="6">
        <v>254586</v>
      </c>
      <c r="AH7" s="6">
        <v>1376147</v>
      </c>
      <c r="AI7" s="6">
        <v>396796</v>
      </c>
      <c r="AJ7" s="6">
        <v>201309</v>
      </c>
      <c r="AK7" s="6">
        <v>627832</v>
      </c>
      <c r="AL7" s="6">
        <v>138436</v>
      </c>
      <c r="AM7" s="6">
        <v>629211</v>
      </c>
      <c r="AN7" s="6">
        <v>258922</v>
      </c>
      <c r="AO7" s="6">
        <v>902690</v>
      </c>
      <c r="AP7" s="6">
        <v>1036519</v>
      </c>
      <c r="AQ7" s="6">
        <v>489791</v>
      </c>
      <c r="AR7" s="6">
        <v>948317</v>
      </c>
    </row>
    <row r="8" spans="1:44">
      <c r="A8" s="4" t="s">
        <v>93</v>
      </c>
      <c r="B8" s="1" t="s">
        <v>94</v>
      </c>
      <c r="C8" s="1" t="s">
        <v>95</v>
      </c>
      <c r="D8" s="1" t="str">
        <f>HYPERLINK("http://eros.fiehnlab.ucdavis.edu:8080/binbase-compound/bin/show/270802?db=rtx5","270802")</f>
        <v>270802</v>
      </c>
      <c r="E8" s="1" t="s">
        <v>96</v>
      </c>
      <c r="F8" s="1" t="str">
        <f>HYPERLINK("http://www.genome.ad.jp/dbget-bin/www_bget?compound+C00105 ","C00105 ")</f>
        <v xml:space="preserve">C00105 </v>
      </c>
      <c r="G8" s="1" t="str">
        <f>HYPERLINK("http://pubchem.ncbi.nlm.nih.gov/summary/summary.cgi?cid=6030","6030")</f>
        <v>6030</v>
      </c>
      <c r="H8" s="1"/>
      <c r="I8" s="6">
        <v>3254</v>
      </c>
      <c r="J8" s="6">
        <v>1310</v>
      </c>
      <c r="K8" s="6">
        <v>695</v>
      </c>
      <c r="L8" s="6">
        <v>3363</v>
      </c>
      <c r="M8" s="6">
        <v>2208</v>
      </c>
      <c r="N8" s="6">
        <v>2122</v>
      </c>
      <c r="O8" s="6">
        <v>2297</v>
      </c>
      <c r="P8" s="6">
        <v>1382</v>
      </c>
      <c r="Q8" s="6">
        <v>3238</v>
      </c>
      <c r="R8" s="6">
        <v>1355</v>
      </c>
      <c r="S8" s="6">
        <v>1158</v>
      </c>
      <c r="T8" s="6">
        <v>325</v>
      </c>
      <c r="U8" s="6">
        <v>7194</v>
      </c>
      <c r="V8" s="6">
        <v>4065</v>
      </c>
      <c r="W8" s="6">
        <v>5068</v>
      </c>
      <c r="X8" s="6">
        <v>3671</v>
      </c>
      <c r="Y8" s="6">
        <v>3122</v>
      </c>
      <c r="Z8" s="6">
        <v>4488</v>
      </c>
      <c r="AA8" s="6">
        <v>1850</v>
      </c>
      <c r="AB8" s="6">
        <v>1432</v>
      </c>
      <c r="AC8" s="6">
        <v>1152</v>
      </c>
      <c r="AD8" s="6">
        <v>2614</v>
      </c>
      <c r="AE8" s="6">
        <v>3282</v>
      </c>
      <c r="AF8" s="6">
        <v>1376</v>
      </c>
      <c r="AG8" s="6">
        <v>5645</v>
      </c>
      <c r="AH8" s="6">
        <v>11279</v>
      </c>
      <c r="AI8" s="6">
        <v>4253</v>
      </c>
      <c r="AJ8" s="6">
        <v>5768</v>
      </c>
      <c r="AK8" s="6">
        <v>8355</v>
      </c>
      <c r="AL8" s="6">
        <v>1321</v>
      </c>
      <c r="AM8" s="6">
        <v>3213</v>
      </c>
      <c r="AN8" s="6">
        <v>1355</v>
      </c>
      <c r="AO8" s="6">
        <v>3833</v>
      </c>
      <c r="AP8" s="6">
        <v>2536</v>
      </c>
      <c r="AQ8" s="6">
        <v>1991</v>
      </c>
      <c r="AR8" s="6">
        <v>4736</v>
      </c>
    </row>
    <row r="9" spans="1:44">
      <c r="A9" s="4" t="s">
        <v>97</v>
      </c>
      <c r="B9" s="1" t="s">
        <v>98</v>
      </c>
      <c r="C9" s="1" t="s">
        <v>99</v>
      </c>
      <c r="D9" s="1" t="str">
        <f>HYPERLINK("http://eros.fiehnlab.ucdavis.edu:8080/binbase-compound/bin/show/213127?db=rtx5","213127")</f>
        <v>213127</v>
      </c>
      <c r="E9" s="1" t="s">
        <v>100</v>
      </c>
      <c r="F9" s="1" t="str">
        <f>HYPERLINK("http://www.genome.ad.jp/dbget-bin/www_bget?compound+C00299","C00299")</f>
        <v>C00299</v>
      </c>
      <c r="G9" s="1" t="str">
        <f>HYPERLINK("http://pubchem.ncbi.nlm.nih.gov/summary/summary.cgi?cid=6029","6029")</f>
        <v>6029</v>
      </c>
      <c r="H9" s="1"/>
      <c r="I9" s="6">
        <v>445</v>
      </c>
      <c r="J9" s="6">
        <v>180</v>
      </c>
      <c r="K9" s="6">
        <v>157</v>
      </c>
      <c r="L9" s="6">
        <v>802</v>
      </c>
      <c r="M9" s="6">
        <v>333</v>
      </c>
      <c r="N9" s="6">
        <v>691</v>
      </c>
      <c r="O9" s="6">
        <v>330</v>
      </c>
      <c r="P9" s="6">
        <v>14</v>
      </c>
      <c r="Q9" s="6">
        <v>753</v>
      </c>
      <c r="R9" s="6">
        <v>297</v>
      </c>
      <c r="S9" s="6">
        <v>185</v>
      </c>
      <c r="T9" s="6">
        <v>182</v>
      </c>
      <c r="U9" s="6">
        <v>1918</v>
      </c>
      <c r="V9" s="6">
        <v>679</v>
      </c>
      <c r="W9" s="6">
        <v>1151</v>
      </c>
      <c r="X9" s="6">
        <v>906</v>
      </c>
      <c r="Y9" s="6">
        <v>1079</v>
      </c>
      <c r="Z9" s="6">
        <v>955</v>
      </c>
      <c r="AA9" s="6">
        <v>151</v>
      </c>
      <c r="AB9" s="6">
        <v>714</v>
      </c>
      <c r="AC9" s="6">
        <v>241</v>
      </c>
      <c r="AD9" s="6">
        <v>879</v>
      </c>
      <c r="AE9" s="6">
        <v>1005</v>
      </c>
      <c r="AF9" s="6">
        <v>83</v>
      </c>
      <c r="AG9" s="6">
        <v>530</v>
      </c>
      <c r="AH9" s="6">
        <v>2025</v>
      </c>
      <c r="AI9" s="6">
        <v>411</v>
      </c>
      <c r="AJ9" s="6">
        <v>267</v>
      </c>
      <c r="AK9" s="6">
        <v>714</v>
      </c>
      <c r="AL9" s="6">
        <v>140</v>
      </c>
      <c r="AM9" s="6">
        <v>501</v>
      </c>
      <c r="AN9" s="6">
        <v>351</v>
      </c>
      <c r="AO9" s="6">
        <v>1202</v>
      </c>
      <c r="AP9" s="6">
        <v>831</v>
      </c>
      <c r="AQ9" s="6">
        <v>567</v>
      </c>
      <c r="AR9" s="6">
        <v>448</v>
      </c>
    </row>
    <row r="10" spans="1:44">
      <c r="A10" s="4" t="s">
        <v>103</v>
      </c>
      <c r="B10" s="1" t="s">
        <v>104</v>
      </c>
      <c r="C10" s="1" t="s">
        <v>105</v>
      </c>
      <c r="D10" s="1" t="str">
        <f>HYPERLINK("http://eros.fiehnlab.ucdavis.edu:8080/binbase-compound/bin/show/199600?db=rtx5","199600")</f>
        <v>199600</v>
      </c>
      <c r="E10" s="1" t="s">
        <v>106</v>
      </c>
      <c r="F10" s="1" t="str">
        <f>HYPERLINK("http://www.genome.ad.jp/dbget-bin/www_bget?compound+C00106","C00106")</f>
        <v>C00106</v>
      </c>
      <c r="G10" s="1" t="str">
        <f>HYPERLINK("http://pubchem.ncbi.nlm.nih.gov/summary/summary.cgi?cid=1174","1174")</f>
        <v>1174</v>
      </c>
      <c r="H10" s="1"/>
      <c r="I10" s="6">
        <v>122889</v>
      </c>
      <c r="J10" s="6">
        <v>93535</v>
      </c>
      <c r="K10" s="6">
        <v>73208</v>
      </c>
      <c r="L10" s="6">
        <v>138354</v>
      </c>
      <c r="M10" s="6">
        <v>129592</v>
      </c>
      <c r="N10" s="6">
        <v>128770</v>
      </c>
      <c r="O10" s="6">
        <v>153176</v>
      </c>
      <c r="P10" s="6">
        <v>53545</v>
      </c>
      <c r="Q10" s="6">
        <v>92068</v>
      </c>
      <c r="R10" s="6">
        <v>86013</v>
      </c>
      <c r="S10" s="6">
        <v>90922</v>
      </c>
      <c r="T10" s="6">
        <v>40042</v>
      </c>
      <c r="U10" s="6">
        <v>138334</v>
      </c>
      <c r="V10" s="6">
        <v>83882</v>
      </c>
      <c r="W10" s="6">
        <v>87381</v>
      </c>
      <c r="X10" s="6">
        <v>122864</v>
      </c>
      <c r="Y10" s="6">
        <v>94031</v>
      </c>
      <c r="Z10" s="6">
        <v>91329</v>
      </c>
      <c r="AA10" s="6">
        <v>68212</v>
      </c>
      <c r="AB10" s="6">
        <v>260792</v>
      </c>
      <c r="AC10" s="6">
        <v>135036</v>
      </c>
      <c r="AD10" s="6">
        <v>121081</v>
      </c>
      <c r="AE10" s="6">
        <v>143452</v>
      </c>
      <c r="AF10" s="6">
        <v>111076</v>
      </c>
      <c r="AG10" s="6">
        <v>128337</v>
      </c>
      <c r="AH10" s="6">
        <v>178811</v>
      </c>
      <c r="AI10" s="6">
        <v>63558</v>
      </c>
      <c r="AJ10" s="6">
        <v>57858</v>
      </c>
      <c r="AK10" s="6">
        <v>70038</v>
      </c>
      <c r="AL10" s="6">
        <v>54588</v>
      </c>
      <c r="AM10" s="6">
        <v>85531</v>
      </c>
      <c r="AN10" s="6">
        <v>79383</v>
      </c>
      <c r="AO10" s="6">
        <v>117945</v>
      </c>
      <c r="AP10" s="6">
        <v>158538</v>
      </c>
      <c r="AQ10" s="6">
        <v>83207</v>
      </c>
      <c r="AR10" s="6">
        <v>125273</v>
      </c>
    </row>
    <row r="11" spans="1:44">
      <c r="A11" s="4" t="s">
        <v>107</v>
      </c>
      <c r="B11" s="1" t="s">
        <v>108</v>
      </c>
      <c r="C11" s="1" t="s">
        <v>109</v>
      </c>
      <c r="D11" s="1" t="str">
        <f>HYPERLINK("http://eros.fiehnlab.ucdavis.edu:8080/binbase-compound/bin/show/227600?db=rtx5","227600")</f>
        <v>227600</v>
      </c>
      <c r="E11" s="1" t="s">
        <v>110</v>
      </c>
      <c r="F11" s="1" t="str">
        <f>HYPERLINK("http://www.genome.ad.jp/dbget-bin/www_bget?compound+C00043","C00043")</f>
        <v>C00043</v>
      </c>
      <c r="G11" s="1" t="str">
        <f>HYPERLINK("http://pubchem.ncbi.nlm.nih.gov/summary/summary.cgi?cid=445675","445675")</f>
        <v>445675</v>
      </c>
      <c r="H11" s="1"/>
      <c r="I11" s="6">
        <v>723</v>
      </c>
      <c r="J11" s="6">
        <v>230</v>
      </c>
      <c r="K11" s="6">
        <v>252</v>
      </c>
      <c r="L11" s="6">
        <v>620</v>
      </c>
      <c r="M11" s="6">
        <v>430</v>
      </c>
      <c r="N11" s="6">
        <v>588</v>
      </c>
      <c r="O11" s="6">
        <v>580</v>
      </c>
      <c r="P11" s="6">
        <v>207</v>
      </c>
      <c r="Q11" s="6">
        <v>973</v>
      </c>
      <c r="R11" s="6">
        <v>350</v>
      </c>
      <c r="S11" s="6">
        <v>80</v>
      </c>
      <c r="T11" s="6">
        <v>222</v>
      </c>
      <c r="U11" s="6">
        <v>1095</v>
      </c>
      <c r="V11" s="6">
        <v>457</v>
      </c>
      <c r="W11" s="6">
        <v>985</v>
      </c>
      <c r="X11" s="6">
        <v>748</v>
      </c>
      <c r="Y11" s="6">
        <v>638</v>
      </c>
      <c r="Z11" s="6">
        <v>897</v>
      </c>
      <c r="AA11" s="6">
        <v>255</v>
      </c>
      <c r="AB11" s="6">
        <v>680</v>
      </c>
      <c r="AC11" s="6">
        <v>385</v>
      </c>
      <c r="AD11" s="6">
        <v>637</v>
      </c>
      <c r="AE11" s="6">
        <v>687</v>
      </c>
      <c r="AF11" s="6">
        <v>320</v>
      </c>
      <c r="AG11" s="6">
        <v>802</v>
      </c>
      <c r="AH11" s="6">
        <v>1554</v>
      </c>
      <c r="AI11" s="6">
        <v>736</v>
      </c>
      <c r="AJ11" s="6">
        <v>358</v>
      </c>
      <c r="AK11" s="6">
        <v>842</v>
      </c>
      <c r="AL11" s="6">
        <v>201</v>
      </c>
      <c r="AM11" s="6">
        <v>275</v>
      </c>
      <c r="AN11" s="6">
        <v>499</v>
      </c>
      <c r="AO11" s="6">
        <v>848</v>
      </c>
      <c r="AP11" s="6">
        <v>804</v>
      </c>
      <c r="AQ11" s="6">
        <v>446</v>
      </c>
      <c r="AR11" s="6">
        <v>984</v>
      </c>
    </row>
    <row r="12" spans="1:44">
      <c r="A12" s="4" t="s">
        <v>1200</v>
      </c>
      <c r="B12" s="1" t="s">
        <v>111</v>
      </c>
      <c r="C12" s="1" t="s">
        <v>112</v>
      </c>
      <c r="D12" s="1" t="str">
        <f>HYPERLINK("http://eros.fiehnlab.ucdavis.edu:8080/binbase-compound/bin/show/381469?db=rtx5","381469")</f>
        <v>381469</v>
      </c>
      <c r="E12" s="1" t="s">
        <v>113</v>
      </c>
      <c r="F12" s="1" t="s">
        <v>0</v>
      </c>
      <c r="G12" s="1" t="s">
        <v>0</v>
      </c>
      <c r="H12" s="1"/>
      <c r="I12" s="6">
        <v>205847</v>
      </c>
      <c r="J12" s="6">
        <v>31944</v>
      </c>
      <c r="K12" s="6">
        <v>25572</v>
      </c>
      <c r="L12" s="6">
        <v>298348</v>
      </c>
      <c r="M12" s="6">
        <v>129197</v>
      </c>
      <c r="N12" s="6">
        <v>237690</v>
      </c>
      <c r="O12" s="6">
        <v>85786</v>
      </c>
      <c r="P12" s="6">
        <v>20390</v>
      </c>
      <c r="Q12" s="6">
        <v>157440</v>
      </c>
      <c r="R12" s="6">
        <v>121680</v>
      </c>
      <c r="S12" s="6">
        <v>33987</v>
      </c>
      <c r="T12" s="6">
        <v>18545</v>
      </c>
      <c r="U12" s="6">
        <v>360230</v>
      </c>
      <c r="V12" s="6">
        <v>47860</v>
      </c>
      <c r="W12" s="6">
        <v>118282</v>
      </c>
      <c r="X12" s="6">
        <v>180552</v>
      </c>
      <c r="Y12" s="6">
        <v>216319</v>
      </c>
      <c r="Z12" s="6">
        <v>159529</v>
      </c>
      <c r="AA12" s="6">
        <v>36779</v>
      </c>
      <c r="AB12" s="6">
        <v>334539</v>
      </c>
      <c r="AC12" s="6">
        <v>38661</v>
      </c>
      <c r="AD12" s="6">
        <v>162264</v>
      </c>
      <c r="AE12" s="6">
        <v>200054</v>
      </c>
      <c r="AF12" s="6">
        <v>54341</v>
      </c>
      <c r="AG12" s="6">
        <v>48460</v>
      </c>
      <c r="AH12" s="6">
        <v>338141</v>
      </c>
      <c r="AI12" s="6">
        <v>82463</v>
      </c>
      <c r="AJ12" s="6">
        <v>36343</v>
      </c>
      <c r="AK12" s="6">
        <v>116402</v>
      </c>
      <c r="AL12" s="6">
        <v>24926</v>
      </c>
      <c r="AM12" s="6">
        <v>132017</v>
      </c>
      <c r="AN12" s="6">
        <v>51124</v>
      </c>
      <c r="AO12" s="6">
        <v>189565</v>
      </c>
      <c r="AP12" s="6">
        <v>261314</v>
      </c>
      <c r="AQ12" s="6">
        <v>92736</v>
      </c>
      <c r="AR12" s="6">
        <v>194569</v>
      </c>
    </row>
    <row r="13" spans="1:44">
      <c r="A13" s="4" t="s">
        <v>116</v>
      </c>
      <c r="B13" s="1" t="s">
        <v>117</v>
      </c>
      <c r="C13" s="1" t="s">
        <v>118</v>
      </c>
      <c r="D13" s="1" t="str">
        <f>HYPERLINK("http://eros.fiehnlab.ucdavis.edu:8080/binbase-compound/bin/show/321686?db=rtx5","321686")</f>
        <v>321686</v>
      </c>
      <c r="E13" s="1" t="s">
        <v>119</v>
      </c>
      <c r="F13" s="1" t="str">
        <f>HYPERLINK("http://www.genome.ad.jp/dbget-bin/www_bget?compound+C00078","C00078")</f>
        <v>C00078</v>
      </c>
      <c r="G13" s="1" t="str">
        <f>HYPERLINK("http://pubchem.ncbi.nlm.nih.gov/summary/summary.cgi?cid=6305","6305")</f>
        <v>6305</v>
      </c>
      <c r="H13" s="1"/>
      <c r="I13" s="6">
        <v>3567</v>
      </c>
      <c r="J13" s="6">
        <v>2403</v>
      </c>
      <c r="K13" s="6">
        <v>1367</v>
      </c>
      <c r="L13" s="6">
        <v>4518</v>
      </c>
      <c r="M13" s="6">
        <v>7699</v>
      </c>
      <c r="N13" s="6">
        <v>6846</v>
      </c>
      <c r="O13" s="6">
        <v>5275</v>
      </c>
      <c r="P13" s="6">
        <v>1227</v>
      </c>
      <c r="Q13" s="6">
        <v>3793</v>
      </c>
      <c r="R13" s="6">
        <v>5973</v>
      </c>
      <c r="S13" s="6">
        <v>1172</v>
      </c>
      <c r="T13" s="6">
        <v>1317</v>
      </c>
      <c r="U13" s="6">
        <v>9033</v>
      </c>
      <c r="V13" s="6">
        <v>1191</v>
      </c>
      <c r="W13" s="6">
        <v>1595</v>
      </c>
      <c r="X13" s="6">
        <v>4560</v>
      </c>
      <c r="Y13" s="6">
        <v>3753</v>
      </c>
      <c r="Z13" s="6">
        <v>2485</v>
      </c>
      <c r="AA13" s="6">
        <v>1916</v>
      </c>
      <c r="AB13" s="6">
        <v>6274</v>
      </c>
      <c r="AC13" s="6">
        <v>2305</v>
      </c>
      <c r="AD13" s="6">
        <v>6756</v>
      </c>
      <c r="AE13" s="6">
        <v>5023</v>
      </c>
      <c r="AF13" s="6">
        <v>2223</v>
      </c>
      <c r="AG13" s="6">
        <v>1011</v>
      </c>
      <c r="AH13" s="6">
        <v>10249</v>
      </c>
      <c r="AI13" s="6">
        <v>2624</v>
      </c>
      <c r="AJ13" s="6">
        <v>1308</v>
      </c>
      <c r="AK13" s="6">
        <v>1958</v>
      </c>
      <c r="AL13" s="6">
        <v>854</v>
      </c>
      <c r="AM13" s="6">
        <v>4215</v>
      </c>
      <c r="AN13" s="6">
        <v>1053</v>
      </c>
      <c r="AO13" s="6">
        <v>4561</v>
      </c>
      <c r="AP13" s="6">
        <v>8975</v>
      </c>
      <c r="AQ13" s="6">
        <v>2374</v>
      </c>
      <c r="AR13" s="6">
        <v>2683</v>
      </c>
    </row>
    <row r="14" spans="1:44">
      <c r="A14" s="4" t="s">
        <v>121</v>
      </c>
      <c r="B14" s="1" t="s">
        <v>122</v>
      </c>
      <c r="C14" s="1" t="s">
        <v>123</v>
      </c>
      <c r="D14" s="1" t="str">
        <f>HYPERLINK("http://eros.fiehnlab.ucdavis.edu:8080/binbase-compound/bin/show/236696?db=rtx5","236696")</f>
        <v>236696</v>
      </c>
      <c r="E14" s="1" t="s">
        <v>124</v>
      </c>
      <c r="F14" s="1" t="str">
        <f>HYPERLINK("http://www.genome.ad.jp/dbget-bin/www_bget?compound+C00178","C00178")</f>
        <v>C00178</v>
      </c>
      <c r="G14" s="1" t="str">
        <f>HYPERLINK("http://pubchem.ncbi.nlm.nih.gov/summary/summary.cgi?cid=1135","1135")</f>
        <v>1135</v>
      </c>
      <c r="H14" s="1"/>
      <c r="I14" s="6">
        <v>12893</v>
      </c>
      <c r="J14" s="6">
        <v>8003</v>
      </c>
      <c r="K14" s="6">
        <v>3683</v>
      </c>
      <c r="L14" s="6">
        <v>6825</v>
      </c>
      <c r="M14" s="6">
        <v>7794</v>
      </c>
      <c r="N14" s="6">
        <v>9367</v>
      </c>
      <c r="O14" s="6">
        <v>15553</v>
      </c>
      <c r="P14" s="6">
        <v>6524</v>
      </c>
      <c r="Q14" s="6">
        <v>9929</v>
      </c>
      <c r="R14" s="6">
        <v>8557</v>
      </c>
      <c r="S14" s="6">
        <v>8558</v>
      </c>
      <c r="T14" s="6">
        <v>3053</v>
      </c>
      <c r="U14" s="6">
        <v>15485</v>
      </c>
      <c r="V14" s="6">
        <v>8107</v>
      </c>
      <c r="W14" s="6">
        <v>4867</v>
      </c>
      <c r="X14" s="6">
        <v>6171</v>
      </c>
      <c r="Y14" s="6">
        <v>7146</v>
      </c>
      <c r="Z14" s="6">
        <v>9281</v>
      </c>
      <c r="AA14" s="6">
        <v>8966</v>
      </c>
      <c r="AB14" s="6">
        <v>11408</v>
      </c>
      <c r="AC14" s="6">
        <v>7410</v>
      </c>
      <c r="AD14" s="6">
        <v>7087</v>
      </c>
      <c r="AE14" s="6">
        <v>5478</v>
      </c>
      <c r="AF14" s="6">
        <v>8528</v>
      </c>
      <c r="AG14" s="6">
        <v>12870</v>
      </c>
      <c r="AH14" s="6">
        <v>16887</v>
      </c>
      <c r="AI14" s="6">
        <v>6283</v>
      </c>
      <c r="AJ14" s="6">
        <v>5175</v>
      </c>
      <c r="AK14" s="6">
        <v>6661</v>
      </c>
      <c r="AL14" s="6">
        <v>2052</v>
      </c>
      <c r="AM14" s="6">
        <v>2869</v>
      </c>
      <c r="AN14" s="6">
        <v>9652</v>
      </c>
      <c r="AO14" s="6">
        <v>7376</v>
      </c>
      <c r="AP14" s="6">
        <v>10472</v>
      </c>
      <c r="AQ14" s="6">
        <v>3311</v>
      </c>
      <c r="AR14" s="6">
        <v>9772</v>
      </c>
    </row>
    <row r="15" spans="1:44">
      <c r="A15" s="4" t="s">
        <v>126</v>
      </c>
      <c r="B15" s="1" t="s">
        <v>127</v>
      </c>
      <c r="C15" s="1" t="s">
        <v>128</v>
      </c>
      <c r="D15" s="1" t="str">
        <f>HYPERLINK("http://eros.fiehnlab.ucdavis.edu:8080/binbase-compound/bin/show/321912?db=rtx5","321912")</f>
        <v>321912</v>
      </c>
      <c r="E15" s="1" t="s">
        <v>129</v>
      </c>
      <c r="F15" s="1" t="str">
        <f>HYPERLINK("http://www.genome.ad.jp/dbget-bin/www_bget?compound+C00188","C00188")</f>
        <v>C00188</v>
      </c>
      <c r="G15" s="1" t="str">
        <f>HYPERLINK("http://pubchem.ncbi.nlm.nih.gov/summary/summary.cgi?cid=6288","6288")</f>
        <v>6288</v>
      </c>
      <c r="H15" s="1"/>
      <c r="I15" s="6">
        <v>1433</v>
      </c>
      <c r="J15" s="6">
        <v>629</v>
      </c>
      <c r="K15" s="6">
        <v>264</v>
      </c>
      <c r="L15" s="6">
        <v>2694</v>
      </c>
      <c r="M15" s="6">
        <v>3323</v>
      </c>
      <c r="N15" s="6">
        <v>2228</v>
      </c>
      <c r="O15" s="6">
        <v>2368</v>
      </c>
      <c r="P15" s="6">
        <v>625</v>
      </c>
      <c r="Q15" s="6">
        <v>2349</v>
      </c>
      <c r="R15" s="6">
        <v>2820</v>
      </c>
      <c r="S15" s="6">
        <v>660</v>
      </c>
      <c r="T15" s="6">
        <v>724</v>
      </c>
      <c r="U15" s="6">
        <v>4598</v>
      </c>
      <c r="V15" s="6">
        <v>946</v>
      </c>
      <c r="W15" s="6">
        <v>918</v>
      </c>
      <c r="X15" s="6">
        <v>1180</v>
      </c>
      <c r="Y15" s="6">
        <v>625</v>
      </c>
      <c r="Z15" s="6">
        <v>1391</v>
      </c>
      <c r="AA15" s="6">
        <v>1346</v>
      </c>
      <c r="AB15" s="6">
        <v>1159</v>
      </c>
      <c r="AC15" s="6">
        <v>943</v>
      </c>
      <c r="AD15" s="6">
        <v>3246</v>
      </c>
      <c r="AE15" s="6">
        <v>1008</v>
      </c>
      <c r="AF15" s="6">
        <v>1495</v>
      </c>
      <c r="AG15" s="6">
        <v>821</v>
      </c>
      <c r="AH15" s="6">
        <v>5198</v>
      </c>
      <c r="AI15" s="6">
        <v>1382</v>
      </c>
      <c r="AJ15" s="6">
        <v>904</v>
      </c>
      <c r="AK15" s="6">
        <v>987</v>
      </c>
      <c r="AL15" s="6">
        <v>523</v>
      </c>
      <c r="AM15" s="6">
        <v>1136</v>
      </c>
      <c r="AN15" s="6">
        <v>698</v>
      </c>
      <c r="AO15" s="6">
        <v>1667</v>
      </c>
      <c r="AP15" s="6">
        <v>3991</v>
      </c>
      <c r="AQ15" s="6">
        <v>1037</v>
      </c>
      <c r="AR15" s="6">
        <v>1172</v>
      </c>
    </row>
    <row r="16" spans="1:44">
      <c r="A16" s="4" t="s">
        <v>1201</v>
      </c>
      <c r="B16" s="1" t="s">
        <v>130</v>
      </c>
      <c r="C16" s="1" t="s">
        <v>131</v>
      </c>
      <c r="D16" s="1" t="str">
        <f>HYPERLINK("http://eros.fiehnlab.ucdavis.edu:8080/binbase-compound/bin/show/199262?db=rtx5","199262")</f>
        <v>199262</v>
      </c>
      <c r="E16" s="1" t="s">
        <v>132</v>
      </c>
      <c r="F16" s="1" t="str">
        <f>HYPERLINK("http://www.genome.ad.jp/dbget-bin/www_bget?compound+C01620","C01620")</f>
        <v>C01620</v>
      </c>
      <c r="G16" s="1" t="str">
        <f>HYPERLINK("http://pubchem.ncbi.nlm.nih.gov/summary/summary.cgi?cid=439535","439535")</f>
        <v>439535</v>
      </c>
      <c r="H16" s="1"/>
      <c r="I16" s="6">
        <v>1269</v>
      </c>
      <c r="J16" s="6">
        <v>268</v>
      </c>
      <c r="K16" s="6">
        <v>232</v>
      </c>
      <c r="L16" s="6">
        <v>753</v>
      </c>
      <c r="M16" s="6">
        <v>525</v>
      </c>
      <c r="N16" s="6">
        <v>871</v>
      </c>
      <c r="O16" s="6">
        <v>744</v>
      </c>
      <c r="P16" s="6">
        <v>370</v>
      </c>
      <c r="Q16" s="6">
        <v>609</v>
      </c>
      <c r="R16" s="6">
        <v>352</v>
      </c>
      <c r="S16" s="6">
        <v>327</v>
      </c>
      <c r="T16" s="6">
        <v>260</v>
      </c>
      <c r="U16" s="6">
        <v>745</v>
      </c>
      <c r="V16" s="6">
        <v>228</v>
      </c>
      <c r="W16" s="6">
        <v>448</v>
      </c>
      <c r="X16" s="6">
        <v>848</v>
      </c>
      <c r="Y16" s="6">
        <v>578</v>
      </c>
      <c r="Z16" s="6">
        <v>613</v>
      </c>
      <c r="AA16" s="6">
        <v>564</v>
      </c>
      <c r="AB16" s="6">
        <v>1098</v>
      </c>
      <c r="AC16" s="6">
        <v>357</v>
      </c>
      <c r="AD16" s="6">
        <v>567</v>
      </c>
      <c r="AE16" s="6">
        <v>734</v>
      </c>
      <c r="AF16" s="6">
        <v>413</v>
      </c>
      <c r="AG16" s="6">
        <v>778</v>
      </c>
      <c r="AH16" s="6">
        <v>852</v>
      </c>
      <c r="AI16" s="6">
        <v>590</v>
      </c>
      <c r="AJ16" s="6">
        <v>227</v>
      </c>
      <c r="AK16" s="6">
        <v>500</v>
      </c>
      <c r="AL16" s="6">
        <v>263</v>
      </c>
      <c r="AM16" s="6">
        <v>422</v>
      </c>
      <c r="AN16" s="6">
        <v>211</v>
      </c>
      <c r="AO16" s="6">
        <v>575</v>
      </c>
      <c r="AP16" s="6">
        <v>566</v>
      </c>
      <c r="AQ16" s="6">
        <v>418</v>
      </c>
      <c r="AR16" s="6">
        <v>727</v>
      </c>
    </row>
    <row r="17" spans="1:44">
      <c r="A17" s="4" t="s">
        <v>135</v>
      </c>
      <c r="B17" s="1" t="s">
        <v>136</v>
      </c>
      <c r="C17" s="1" t="s">
        <v>137</v>
      </c>
      <c r="D17" s="1" t="str">
        <f>HYPERLINK("http://eros.fiehnlab.ucdavis.edu:8080/binbase-compound/bin/show/202121?db=rtx5","202121")</f>
        <v>202121</v>
      </c>
      <c r="E17" s="1" t="s">
        <v>138</v>
      </c>
      <c r="F17" s="1" t="str">
        <f>HYPERLINK("http://www.genome.ad.jp/dbget-bin/www_bget?compound+C00089","C00089")</f>
        <v>C00089</v>
      </c>
      <c r="G17" s="1" t="str">
        <f>HYPERLINK("http://pubchem.ncbi.nlm.nih.gov/summary/summary.cgi?cid=5988","5988")</f>
        <v>5988</v>
      </c>
      <c r="H17" s="1"/>
      <c r="I17" s="6">
        <v>453</v>
      </c>
      <c r="J17" s="6">
        <v>168</v>
      </c>
      <c r="K17" s="6">
        <v>230</v>
      </c>
      <c r="L17" s="6">
        <v>1906</v>
      </c>
      <c r="M17" s="6">
        <v>213</v>
      </c>
      <c r="N17" s="6">
        <v>769</v>
      </c>
      <c r="O17" s="6">
        <v>159</v>
      </c>
      <c r="P17" s="6">
        <v>107</v>
      </c>
      <c r="Q17" s="6">
        <v>1627</v>
      </c>
      <c r="R17" s="6">
        <v>629</v>
      </c>
      <c r="S17" s="6">
        <v>114</v>
      </c>
      <c r="T17" s="6">
        <v>142</v>
      </c>
      <c r="U17" s="6">
        <v>928</v>
      </c>
      <c r="V17" s="6">
        <v>1082</v>
      </c>
      <c r="W17" s="6">
        <v>185</v>
      </c>
      <c r="X17" s="6">
        <v>385</v>
      </c>
      <c r="Y17" s="6">
        <v>3239</v>
      </c>
      <c r="Z17" s="6">
        <v>700</v>
      </c>
      <c r="AA17" s="6">
        <v>209</v>
      </c>
      <c r="AB17" s="6">
        <v>399</v>
      </c>
      <c r="AC17" s="6">
        <v>99</v>
      </c>
      <c r="AD17" s="6">
        <v>447</v>
      </c>
      <c r="AE17" s="6">
        <v>377</v>
      </c>
      <c r="AF17" s="6">
        <v>239</v>
      </c>
      <c r="AG17" s="6">
        <v>156</v>
      </c>
      <c r="AH17" s="6">
        <v>1091</v>
      </c>
      <c r="AI17" s="6">
        <v>250</v>
      </c>
      <c r="AJ17" s="6">
        <v>1552</v>
      </c>
      <c r="AK17" s="6">
        <v>605</v>
      </c>
      <c r="AL17" s="6">
        <v>460</v>
      </c>
      <c r="AM17" s="6">
        <v>210</v>
      </c>
      <c r="AN17" s="6">
        <v>922</v>
      </c>
      <c r="AO17" s="6">
        <v>394</v>
      </c>
      <c r="AP17" s="6">
        <v>1062</v>
      </c>
      <c r="AQ17" s="6">
        <v>2832</v>
      </c>
      <c r="AR17" s="6">
        <v>328</v>
      </c>
    </row>
    <row r="18" spans="1:44">
      <c r="A18" s="4" t="s">
        <v>139</v>
      </c>
      <c r="B18" s="1" t="s">
        <v>140</v>
      </c>
      <c r="C18" s="1" t="s">
        <v>141</v>
      </c>
      <c r="D18" s="1" t="str">
        <f>HYPERLINK("http://eros.fiehnlab.ucdavis.edu:8080/binbase-compound/bin/show/199210?db=rtx5","199210")</f>
        <v>199210</v>
      </c>
      <c r="E18" s="1" t="s">
        <v>142</v>
      </c>
      <c r="F18" s="1" t="str">
        <f>HYPERLINK("http://www.genome.ad.jp/dbget-bin/www_bget?compound+C00042","C00042")</f>
        <v>C00042</v>
      </c>
      <c r="G18" s="1" t="str">
        <f>HYPERLINK("http://pubchem.ncbi.nlm.nih.gov/summary/summary.cgi?cid=1110","1110")</f>
        <v>1110</v>
      </c>
      <c r="H18" s="1"/>
      <c r="I18" s="6">
        <v>19590</v>
      </c>
      <c r="J18" s="6">
        <v>14278</v>
      </c>
      <c r="K18" s="6">
        <v>5885</v>
      </c>
      <c r="L18" s="6">
        <v>11935</v>
      </c>
      <c r="M18" s="6">
        <v>24203</v>
      </c>
      <c r="N18" s="6">
        <v>52114</v>
      </c>
      <c r="O18" s="6">
        <v>10239</v>
      </c>
      <c r="P18" s="6">
        <v>6144</v>
      </c>
      <c r="Q18" s="6">
        <v>48583</v>
      </c>
      <c r="R18" s="6">
        <v>64591</v>
      </c>
      <c r="S18" s="6">
        <v>15277</v>
      </c>
      <c r="T18" s="6">
        <v>4407</v>
      </c>
      <c r="U18" s="6">
        <v>99831</v>
      </c>
      <c r="V18" s="6">
        <v>12190</v>
      </c>
      <c r="W18" s="6">
        <v>14791</v>
      </c>
      <c r="X18" s="6">
        <v>24402</v>
      </c>
      <c r="Y18" s="6">
        <v>22450</v>
      </c>
      <c r="Z18" s="6">
        <v>27348</v>
      </c>
      <c r="AA18" s="6">
        <v>13359</v>
      </c>
      <c r="AB18" s="6">
        <v>122942</v>
      </c>
      <c r="AC18" s="6">
        <v>12648</v>
      </c>
      <c r="AD18" s="6">
        <v>28392</v>
      </c>
      <c r="AE18" s="6">
        <v>74665</v>
      </c>
      <c r="AF18" s="6">
        <v>26592</v>
      </c>
      <c r="AG18" s="6">
        <v>17445</v>
      </c>
      <c r="AH18" s="6">
        <v>35797</v>
      </c>
      <c r="AI18" s="6">
        <v>10589</v>
      </c>
      <c r="AJ18" s="6">
        <v>9414</v>
      </c>
      <c r="AK18" s="6">
        <v>28565</v>
      </c>
      <c r="AL18" s="6">
        <v>6323</v>
      </c>
      <c r="AM18" s="6">
        <v>24894</v>
      </c>
      <c r="AN18" s="6">
        <v>11592</v>
      </c>
      <c r="AO18" s="6">
        <v>47812</v>
      </c>
      <c r="AP18" s="6">
        <v>25978</v>
      </c>
      <c r="AQ18" s="6">
        <v>20341</v>
      </c>
      <c r="AR18" s="6">
        <v>15573</v>
      </c>
    </row>
    <row r="19" spans="1:44">
      <c r="A19" s="4" t="s">
        <v>143</v>
      </c>
      <c r="B19" s="1" t="s">
        <v>144</v>
      </c>
      <c r="C19" s="1" t="s">
        <v>128</v>
      </c>
      <c r="D19" s="1" t="str">
        <f>HYPERLINK("http://eros.fiehnlab.ucdavis.edu:8080/binbase-compound/bin/show/199195?db=rtx5","199195")</f>
        <v>199195</v>
      </c>
      <c r="E19" s="1" t="s">
        <v>145</v>
      </c>
      <c r="F19" s="1" t="str">
        <f>HYPERLINK("http://www.genome.ad.jp/dbget-bin/www_bget?compound+C01530","C01530")</f>
        <v>C01530</v>
      </c>
      <c r="G19" s="1" t="str">
        <f>HYPERLINK("http://pubchem.ncbi.nlm.nih.gov/summary/summary.cgi?cid=5281","5281")</f>
        <v>5281</v>
      </c>
      <c r="H19" s="1"/>
      <c r="I19" s="6">
        <v>145468</v>
      </c>
      <c r="J19" s="6">
        <v>89027</v>
      </c>
      <c r="K19" s="6">
        <v>112007</v>
      </c>
      <c r="L19" s="6">
        <v>113985</v>
      </c>
      <c r="M19" s="6">
        <v>81275</v>
      </c>
      <c r="N19" s="6">
        <v>198756</v>
      </c>
      <c r="O19" s="6">
        <v>124718</v>
      </c>
      <c r="P19" s="6">
        <v>113625</v>
      </c>
      <c r="Q19" s="6">
        <v>187554</v>
      </c>
      <c r="R19" s="6">
        <v>171893</v>
      </c>
      <c r="S19" s="6">
        <v>82295</v>
      </c>
      <c r="T19" s="6">
        <v>82909</v>
      </c>
      <c r="U19" s="6">
        <v>130717</v>
      </c>
      <c r="V19" s="6">
        <v>58569</v>
      </c>
      <c r="W19" s="6">
        <v>109356</v>
      </c>
      <c r="X19" s="6">
        <v>184690</v>
      </c>
      <c r="Y19" s="6">
        <v>91635</v>
      </c>
      <c r="Z19" s="6">
        <v>139276</v>
      </c>
      <c r="AA19" s="6">
        <v>58428</v>
      </c>
      <c r="AB19" s="6">
        <v>138639</v>
      </c>
      <c r="AC19" s="6">
        <v>84406</v>
      </c>
      <c r="AD19" s="6">
        <v>101802</v>
      </c>
      <c r="AE19" s="6">
        <v>141691</v>
      </c>
      <c r="AF19" s="6">
        <v>75418</v>
      </c>
      <c r="AG19" s="6">
        <v>85643</v>
      </c>
      <c r="AH19" s="6">
        <v>172041</v>
      </c>
      <c r="AI19" s="6">
        <v>91539</v>
      </c>
      <c r="AJ19" s="6">
        <v>103830</v>
      </c>
      <c r="AK19" s="6">
        <v>160278</v>
      </c>
      <c r="AL19" s="6">
        <v>92441</v>
      </c>
      <c r="AM19" s="6">
        <v>90094</v>
      </c>
      <c r="AN19" s="6">
        <v>71846</v>
      </c>
      <c r="AO19" s="6">
        <v>110596</v>
      </c>
      <c r="AP19" s="6">
        <v>117432</v>
      </c>
      <c r="AQ19" s="6">
        <v>83756</v>
      </c>
      <c r="AR19" s="6">
        <v>122348</v>
      </c>
    </row>
    <row r="20" spans="1:44">
      <c r="A20" s="4" t="s">
        <v>1202</v>
      </c>
      <c r="B20" s="1" t="s">
        <v>146</v>
      </c>
      <c r="C20" s="1" t="s">
        <v>91</v>
      </c>
      <c r="D20" s="1" t="str">
        <f>HYPERLINK("http://eros.fiehnlab.ucdavis.edu:8080/binbase-compound/bin/show/226186?db=rtx5","226186")</f>
        <v>226186</v>
      </c>
      <c r="E20" s="1" t="s">
        <v>147</v>
      </c>
      <c r="F20" s="1" t="str">
        <f>HYPERLINK("http://www.genome.ad.jp/dbget-bin/www_bget?compound+C00750","C00750")</f>
        <v>C00750</v>
      </c>
      <c r="G20" s="1" t="str">
        <f>HYPERLINK("http://pubchem.ncbi.nlm.nih.gov/summary/summary.cgi?cid=1103","1103")</f>
        <v>1103</v>
      </c>
      <c r="H20" s="1"/>
      <c r="I20" s="6">
        <v>1058</v>
      </c>
      <c r="J20" s="6">
        <v>339</v>
      </c>
      <c r="K20" s="6">
        <v>479</v>
      </c>
      <c r="L20" s="6">
        <v>5126</v>
      </c>
      <c r="M20" s="6">
        <v>866</v>
      </c>
      <c r="N20" s="6">
        <v>1955</v>
      </c>
      <c r="O20" s="6">
        <v>362</v>
      </c>
      <c r="P20" s="6">
        <v>452</v>
      </c>
      <c r="Q20" s="6">
        <v>934</v>
      </c>
      <c r="R20" s="6">
        <v>2205</v>
      </c>
      <c r="S20" s="6">
        <v>326</v>
      </c>
      <c r="T20" s="6">
        <v>330</v>
      </c>
      <c r="U20" s="6">
        <v>5629</v>
      </c>
      <c r="V20" s="6">
        <v>392</v>
      </c>
      <c r="W20" s="6">
        <v>1198</v>
      </c>
      <c r="X20" s="6">
        <v>1200</v>
      </c>
      <c r="Y20" s="6">
        <v>1524</v>
      </c>
      <c r="Z20" s="6">
        <v>2233</v>
      </c>
      <c r="AA20" s="6">
        <v>346</v>
      </c>
      <c r="AB20" s="6">
        <v>6260</v>
      </c>
      <c r="AC20" s="6">
        <v>520</v>
      </c>
      <c r="AD20" s="6">
        <v>2779</v>
      </c>
      <c r="AE20" s="6">
        <v>1664</v>
      </c>
      <c r="AF20" s="6">
        <v>403</v>
      </c>
      <c r="AG20" s="6">
        <v>478</v>
      </c>
      <c r="AH20" s="6">
        <v>6309</v>
      </c>
      <c r="AI20" s="6">
        <v>926</v>
      </c>
      <c r="AJ20" s="6">
        <v>388</v>
      </c>
      <c r="AK20" s="6">
        <v>1095</v>
      </c>
      <c r="AL20" s="6">
        <v>275</v>
      </c>
      <c r="AM20" s="6">
        <v>2793</v>
      </c>
      <c r="AN20" s="6">
        <v>557</v>
      </c>
      <c r="AO20" s="6">
        <v>2583</v>
      </c>
      <c r="AP20" s="6">
        <v>9794</v>
      </c>
      <c r="AQ20" s="6">
        <v>585</v>
      </c>
      <c r="AR20" s="6">
        <v>2573</v>
      </c>
    </row>
    <row r="21" spans="1:44">
      <c r="A21" s="4" t="s">
        <v>1203</v>
      </c>
      <c r="B21" s="1" t="s">
        <v>148</v>
      </c>
      <c r="C21" s="1" t="s">
        <v>91</v>
      </c>
      <c r="D21" s="1" t="str">
        <f>HYPERLINK("http://eros.fiehnlab.ucdavis.edu:8080/binbase-compound/bin/show/200990?db=rtx5","200990")</f>
        <v>200990</v>
      </c>
      <c r="E21" s="1" t="s">
        <v>149</v>
      </c>
      <c r="F21" s="1" t="str">
        <f>HYPERLINK("http://www.genome.ad.jp/dbget-bin/www_bget?compound+C00315","C00315")</f>
        <v>C00315</v>
      </c>
      <c r="G21" s="1" t="str">
        <f>HYPERLINK("http://pubchem.ncbi.nlm.nih.gov/summary/summary.cgi?cid=1102","1102")</f>
        <v>1102</v>
      </c>
      <c r="H21" s="1"/>
      <c r="I21" s="6">
        <v>65648</v>
      </c>
      <c r="J21" s="6">
        <v>2303</v>
      </c>
      <c r="K21" s="6">
        <v>5677</v>
      </c>
      <c r="L21" s="6">
        <v>171253</v>
      </c>
      <c r="M21" s="6">
        <v>7423</v>
      </c>
      <c r="N21" s="6">
        <v>35264</v>
      </c>
      <c r="O21" s="6">
        <v>7324</v>
      </c>
      <c r="P21" s="6">
        <v>1420</v>
      </c>
      <c r="Q21" s="6">
        <v>53280</v>
      </c>
      <c r="R21" s="6">
        <v>58848</v>
      </c>
      <c r="S21" s="6">
        <v>2732</v>
      </c>
      <c r="T21" s="6">
        <v>3364</v>
      </c>
      <c r="U21" s="6">
        <v>95990</v>
      </c>
      <c r="V21" s="6">
        <v>16327</v>
      </c>
      <c r="W21" s="6">
        <v>19227</v>
      </c>
      <c r="X21" s="6">
        <v>45036</v>
      </c>
      <c r="Y21" s="6">
        <v>13785</v>
      </c>
      <c r="Z21" s="6">
        <v>52868</v>
      </c>
      <c r="AA21" s="6">
        <v>3655</v>
      </c>
      <c r="AB21" s="6">
        <v>152501</v>
      </c>
      <c r="AC21" s="6">
        <v>12839</v>
      </c>
      <c r="AD21" s="6">
        <v>88859</v>
      </c>
      <c r="AE21" s="6">
        <v>39217</v>
      </c>
      <c r="AF21" s="6">
        <v>12206</v>
      </c>
      <c r="AG21" s="6">
        <v>12744</v>
      </c>
      <c r="AH21" s="6">
        <v>77901</v>
      </c>
      <c r="AI21" s="6">
        <v>37342</v>
      </c>
      <c r="AJ21" s="6">
        <v>7580</v>
      </c>
      <c r="AK21" s="6">
        <v>22685</v>
      </c>
      <c r="AL21" s="6">
        <v>2063</v>
      </c>
      <c r="AM21" s="6">
        <v>52911</v>
      </c>
      <c r="AN21" s="6">
        <v>32693</v>
      </c>
      <c r="AO21" s="6">
        <v>61554</v>
      </c>
      <c r="AP21" s="6">
        <v>190285</v>
      </c>
      <c r="AQ21" s="6">
        <v>14272</v>
      </c>
      <c r="AR21" s="6">
        <v>42048</v>
      </c>
    </row>
    <row r="22" spans="1:44">
      <c r="A22" s="4" t="s">
        <v>151</v>
      </c>
      <c r="B22" s="1" t="s">
        <v>152</v>
      </c>
      <c r="C22" s="1" t="s">
        <v>153</v>
      </c>
      <c r="D22" s="1" t="str">
        <f>HYPERLINK("http://eros.fiehnlab.ucdavis.edu:8080/binbase-compound/bin/show/213152?db=rtx5","213152")</f>
        <v>213152</v>
      </c>
      <c r="E22" s="1" t="s">
        <v>154</v>
      </c>
      <c r="F22" s="1" t="str">
        <f>HYPERLINK("http://www.genome.ad.jp/dbget-bin/www_bget?compound+C08250","C08250")</f>
        <v>C08250</v>
      </c>
      <c r="G22" s="1" t="str">
        <f>HYPERLINK("http://pubchem.ncbi.nlm.nih.gov/summary/summary.cgi?cid=441432","441432")</f>
        <v>441432</v>
      </c>
      <c r="H22" s="1"/>
      <c r="I22" s="6">
        <v>142</v>
      </c>
      <c r="J22" s="6">
        <v>197</v>
      </c>
      <c r="K22" s="6">
        <v>178</v>
      </c>
      <c r="L22" s="6">
        <v>144</v>
      </c>
      <c r="M22" s="6">
        <v>107</v>
      </c>
      <c r="N22" s="6">
        <v>164</v>
      </c>
      <c r="O22" s="6">
        <v>162</v>
      </c>
      <c r="P22" s="6">
        <v>166</v>
      </c>
      <c r="Q22" s="6">
        <v>145</v>
      </c>
      <c r="R22" s="6">
        <v>205</v>
      </c>
      <c r="S22" s="6">
        <v>235</v>
      </c>
      <c r="T22" s="6">
        <v>157</v>
      </c>
      <c r="U22" s="6">
        <v>184</v>
      </c>
      <c r="V22" s="6">
        <v>120</v>
      </c>
      <c r="W22" s="6">
        <v>133</v>
      </c>
      <c r="X22" s="6">
        <v>130</v>
      </c>
      <c r="Y22" s="6">
        <v>177</v>
      </c>
      <c r="Z22" s="6">
        <v>159</v>
      </c>
      <c r="AA22" s="6">
        <v>31</v>
      </c>
      <c r="AB22" s="6">
        <v>227</v>
      </c>
      <c r="AC22" s="6">
        <v>142</v>
      </c>
      <c r="AD22" s="6">
        <v>165</v>
      </c>
      <c r="AE22" s="6">
        <v>239</v>
      </c>
      <c r="AF22" s="6">
        <v>98</v>
      </c>
      <c r="AG22" s="6">
        <v>175</v>
      </c>
      <c r="AH22" s="6">
        <v>163</v>
      </c>
      <c r="AI22" s="6">
        <v>113</v>
      </c>
      <c r="AJ22" s="6">
        <v>100</v>
      </c>
      <c r="AK22" s="6">
        <v>128</v>
      </c>
      <c r="AL22" s="6">
        <v>102</v>
      </c>
      <c r="AM22" s="6">
        <v>107</v>
      </c>
      <c r="AN22" s="6">
        <v>126</v>
      </c>
      <c r="AO22" s="6">
        <v>125</v>
      </c>
      <c r="AP22" s="6">
        <v>171</v>
      </c>
      <c r="AQ22" s="6">
        <v>117</v>
      </c>
      <c r="AR22" s="6">
        <v>149</v>
      </c>
    </row>
    <row r="23" spans="1:44">
      <c r="A23" s="4" t="s">
        <v>157</v>
      </c>
      <c r="B23" s="1" t="s">
        <v>158</v>
      </c>
      <c r="C23" s="1" t="s">
        <v>159</v>
      </c>
      <c r="D23" s="1" t="str">
        <f>HYPERLINK("http://eros.fiehnlab.ucdavis.edu:8080/binbase-compound/bin/show/227962?db=rtx5","227962")</f>
        <v>227962</v>
      </c>
      <c r="E23" s="1" t="s">
        <v>160</v>
      </c>
      <c r="F23" s="1" t="str">
        <f>HYPERLINK("http://www.genome.ad.jp/dbget-bin/www_bget?compound+C00065","C00065")</f>
        <v>C00065</v>
      </c>
      <c r="G23" s="1" t="str">
        <f>HYPERLINK("http://pubchem.ncbi.nlm.nih.gov/summary/summary.cgi?cid=5951","5951")</f>
        <v>5951</v>
      </c>
      <c r="H23" s="1"/>
      <c r="I23" s="6">
        <v>4248</v>
      </c>
      <c r="J23" s="6">
        <v>4517</v>
      </c>
      <c r="K23" s="6">
        <v>3401</v>
      </c>
      <c r="L23" s="6">
        <v>7657</v>
      </c>
      <c r="M23" s="6">
        <v>12647</v>
      </c>
      <c r="N23" s="6">
        <v>5178</v>
      </c>
      <c r="O23" s="6">
        <v>8046</v>
      </c>
      <c r="P23" s="6">
        <v>1635</v>
      </c>
      <c r="Q23" s="6">
        <v>6878</v>
      </c>
      <c r="R23" s="6">
        <v>7735</v>
      </c>
      <c r="S23" s="6">
        <v>2672</v>
      </c>
      <c r="T23" s="6">
        <v>1800</v>
      </c>
      <c r="U23" s="6">
        <v>12614</v>
      </c>
      <c r="V23" s="6">
        <v>2356</v>
      </c>
      <c r="W23" s="6">
        <v>5431</v>
      </c>
      <c r="X23" s="6">
        <v>6934</v>
      </c>
      <c r="Y23" s="6">
        <v>2542</v>
      </c>
      <c r="Z23" s="6">
        <v>5789</v>
      </c>
      <c r="AA23" s="6">
        <v>4219</v>
      </c>
      <c r="AB23" s="6">
        <v>3838</v>
      </c>
      <c r="AC23" s="6">
        <v>5723</v>
      </c>
      <c r="AD23" s="6">
        <v>10719</v>
      </c>
      <c r="AE23" s="6">
        <v>3511</v>
      </c>
      <c r="AF23" s="6">
        <v>3598</v>
      </c>
      <c r="AG23" s="6">
        <v>2107</v>
      </c>
      <c r="AH23" s="6">
        <v>16928</v>
      </c>
      <c r="AI23" s="6">
        <v>5416</v>
      </c>
      <c r="AJ23" s="6">
        <v>1413</v>
      </c>
      <c r="AK23" s="6">
        <v>4751</v>
      </c>
      <c r="AL23" s="6">
        <v>2197</v>
      </c>
      <c r="AM23" s="6">
        <v>3571</v>
      </c>
      <c r="AN23" s="6">
        <v>1388</v>
      </c>
      <c r="AO23" s="6">
        <v>4942</v>
      </c>
      <c r="AP23" s="6">
        <v>7889</v>
      </c>
      <c r="AQ23" s="6">
        <v>2633</v>
      </c>
      <c r="AR23" s="6">
        <v>5440</v>
      </c>
    </row>
    <row r="24" spans="1:44">
      <c r="A24" s="4" t="s">
        <v>161</v>
      </c>
      <c r="B24" s="1" t="s">
        <v>162</v>
      </c>
      <c r="C24" s="1" t="s">
        <v>163</v>
      </c>
      <c r="D24" s="1" t="str">
        <f>HYPERLINK("http://eros.fiehnlab.ucdavis.edu:8080/binbase-compound/bin/show/228532?db=rtx5","228532")</f>
        <v>228532</v>
      </c>
      <c r="E24" s="1" t="s">
        <v>164</v>
      </c>
      <c r="F24" s="1" t="str">
        <f>HYPERLINK("http://www.genome.ad.jp/dbget-bin/www_bget?compound+C06202","C06202")</f>
        <v>C06202</v>
      </c>
      <c r="G24" s="1" t="str">
        <f>HYPERLINK("http://pubchem.ncbi.nlm.nih.gov/summary/summary.cgi?cid=6998","6998")</f>
        <v>6998</v>
      </c>
      <c r="H24" s="1"/>
      <c r="I24" s="6">
        <v>1550</v>
      </c>
      <c r="J24" s="6">
        <v>648</v>
      </c>
      <c r="K24" s="6">
        <v>732</v>
      </c>
      <c r="L24" s="6">
        <v>1537</v>
      </c>
      <c r="M24" s="6">
        <v>750</v>
      </c>
      <c r="N24" s="6">
        <v>1049</v>
      </c>
      <c r="O24" s="6">
        <v>931</v>
      </c>
      <c r="P24" s="6">
        <v>472</v>
      </c>
      <c r="Q24" s="6">
        <v>1525</v>
      </c>
      <c r="R24" s="6">
        <v>707</v>
      </c>
      <c r="S24" s="6">
        <v>400</v>
      </c>
      <c r="T24" s="6">
        <v>688</v>
      </c>
      <c r="U24" s="6">
        <v>959</v>
      </c>
      <c r="V24" s="6">
        <v>363</v>
      </c>
      <c r="W24" s="6">
        <v>782</v>
      </c>
      <c r="X24" s="6">
        <v>886</v>
      </c>
      <c r="Y24" s="6">
        <v>692</v>
      </c>
      <c r="Z24" s="6">
        <v>673</v>
      </c>
      <c r="AA24" s="6">
        <v>597</v>
      </c>
      <c r="AB24" s="6">
        <v>2231</v>
      </c>
      <c r="AC24" s="6">
        <v>1079</v>
      </c>
      <c r="AD24" s="6">
        <v>1364</v>
      </c>
      <c r="AE24" s="6">
        <v>1672</v>
      </c>
      <c r="AF24" s="6">
        <v>1017</v>
      </c>
      <c r="AG24" s="6">
        <v>522</v>
      </c>
      <c r="AH24" s="6">
        <v>1231</v>
      </c>
      <c r="AI24" s="6">
        <v>886</v>
      </c>
      <c r="AJ24" s="6">
        <v>420</v>
      </c>
      <c r="AK24" s="6">
        <v>497</v>
      </c>
      <c r="AL24" s="6">
        <v>288</v>
      </c>
      <c r="AM24" s="6">
        <v>703</v>
      </c>
      <c r="AN24" s="6">
        <v>716</v>
      </c>
      <c r="AO24" s="6">
        <v>1082</v>
      </c>
      <c r="AP24" s="6">
        <v>734</v>
      </c>
      <c r="AQ24" s="6">
        <v>410</v>
      </c>
      <c r="AR24" s="6">
        <v>966</v>
      </c>
    </row>
    <row r="25" spans="1:44">
      <c r="A25" s="4" t="s">
        <v>166</v>
      </c>
      <c r="B25" s="1" t="s">
        <v>167</v>
      </c>
      <c r="C25" s="1" t="s">
        <v>168</v>
      </c>
      <c r="D25" s="1" t="str">
        <f>HYPERLINK("http://eros.fiehnlab.ucdavis.edu:8080/binbase-compound/bin/show/199940?db=rtx5","199940")</f>
        <v>199940</v>
      </c>
      <c r="E25" s="1" t="s">
        <v>169</v>
      </c>
      <c r="F25" s="1" t="str">
        <f>HYPERLINK("http://www.genome.ad.jp/dbget-bin/www_bget?compound+C00199","C00199")</f>
        <v>C00199</v>
      </c>
      <c r="G25" s="1" t="str">
        <f>HYPERLINK("http://pubchem.ncbi.nlm.nih.gov/summary/summary.cgi?cid=439184","439184")</f>
        <v>439184</v>
      </c>
      <c r="H25" s="1"/>
      <c r="I25" s="6">
        <v>486</v>
      </c>
      <c r="J25" s="6">
        <v>430</v>
      </c>
      <c r="K25" s="6">
        <v>313</v>
      </c>
      <c r="L25" s="6">
        <v>625</v>
      </c>
      <c r="M25" s="6">
        <v>527</v>
      </c>
      <c r="N25" s="6">
        <v>629</v>
      </c>
      <c r="O25" s="6">
        <v>501</v>
      </c>
      <c r="P25" s="6">
        <v>264</v>
      </c>
      <c r="Q25" s="6">
        <v>645</v>
      </c>
      <c r="R25" s="6">
        <v>435</v>
      </c>
      <c r="S25" s="6">
        <v>280</v>
      </c>
      <c r="T25" s="6">
        <v>282</v>
      </c>
      <c r="U25" s="6">
        <v>381</v>
      </c>
      <c r="V25" s="6">
        <v>238</v>
      </c>
      <c r="W25" s="6">
        <v>271</v>
      </c>
      <c r="X25" s="6">
        <v>820</v>
      </c>
      <c r="Y25" s="6">
        <v>526</v>
      </c>
      <c r="Z25" s="6">
        <v>292</v>
      </c>
      <c r="AA25" s="6">
        <v>401</v>
      </c>
      <c r="AB25" s="6">
        <v>528</v>
      </c>
      <c r="AC25" s="6">
        <v>740</v>
      </c>
      <c r="AD25" s="6">
        <v>373</v>
      </c>
      <c r="AE25" s="6">
        <v>392</v>
      </c>
      <c r="AF25" s="6">
        <v>702</v>
      </c>
      <c r="AG25" s="6">
        <v>381</v>
      </c>
      <c r="AH25" s="6">
        <v>540</v>
      </c>
      <c r="AI25" s="6">
        <v>479</v>
      </c>
      <c r="AJ25" s="6">
        <v>257</v>
      </c>
      <c r="AK25" s="6">
        <v>296</v>
      </c>
      <c r="AL25" s="6">
        <v>130</v>
      </c>
      <c r="AM25" s="6">
        <v>354</v>
      </c>
      <c r="AN25" s="6">
        <v>408</v>
      </c>
      <c r="AO25" s="6">
        <v>276</v>
      </c>
      <c r="AP25" s="6">
        <v>397</v>
      </c>
      <c r="AQ25" s="6">
        <v>290</v>
      </c>
      <c r="AR25" s="6">
        <v>463</v>
      </c>
    </row>
    <row r="26" spans="1:44">
      <c r="A26" s="4" t="s">
        <v>170</v>
      </c>
      <c r="B26" s="1" t="s">
        <v>171</v>
      </c>
      <c r="C26" s="1" t="s">
        <v>134</v>
      </c>
      <c r="D26" s="1" t="str">
        <f>HYPERLINK("http://eros.fiehnlab.ucdavis.edu:8080/binbase-compound/bin/show/205473?db=rtx5","205473")</f>
        <v>205473</v>
      </c>
      <c r="E26" s="1" t="s">
        <v>172</v>
      </c>
      <c r="F26" s="1" t="str">
        <f>HYPERLINK("http://www.genome.ad.jp/dbget-bin/www_bget?compound+C00121","C00121")</f>
        <v>C00121</v>
      </c>
      <c r="G26" s="1" t="str">
        <f>HYPERLINK("http://pubchem.ncbi.nlm.nih.gov/summary/summary.cgi?cid=5779","5779")</f>
        <v>5779</v>
      </c>
      <c r="H26" s="1"/>
      <c r="I26" s="6">
        <v>29921</v>
      </c>
      <c r="J26" s="6">
        <v>27929</v>
      </c>
      <c r="K26" s="6">
        <v>21013</v>
      </c>
      <c r="L26" s="6">
        <v>32859</v>
      </c>
      <c r="M26" s="6">
        <v>82360</v>
      </c>
      <c r="N26" s="6">
        <v>73356</v>
      </c>
      <c r="O26" s="6">
        <v>58280</v>
      </c>
      <c r="P26" s="6">
        <v>16372</v>
      </c>
      <c r="Q26" s="6">
        <v>42850</v>
      </c>
      <c r="R26" s="6">
        <v>55076</v>
      </c>
      <c r="S26" s="6">
        <v>33968</v>
      </c>
      <c r="T26" s="6">
        <v>19174</v>
      </c>
      <c r="U26" s="6">
        <v>26655</v>
      </c>
      <c r="V26" s="6">
        <v>8840</v>
      </c>
      <c r="W26" s="6">
        <v>12378</v>
      </c>
      <c r="X26" s="6">
        <v>62500</v>
      </c>
      <c r="Y26" s="6">
        <v>27684</v>
      </c>
      <c r="Z26" s="6">
        <v>16765</v>
      </c>
      <c r="AA26" s="6">
        <v>35148</v>
      </c>
      <c r="AB26" s="6">
        <v>83082</v>
      </c>
      <c r="AC26" s="6">
        <v>71026</v>
      </c>
      <c r="AD26" s="6">
        <v>31972</v>
      </c>
      <c r="AE26" s="6">
        <v>61238</v>
      </c>
      <c r="AF26" s="6">
        <v>61325</v>
      </c>
      <c r="AG26" s="6">
        <v>24609</v>
      </c>
      <c r="AH26" s="6">
        <v>37087</v>
      </c>
      <c r="AI26" s="6">
        <v>15353</v>
      </c>
      <c r="AJ26" s="6">
        <v>9221</v>
      </c>
      <c r="AK26" s="6">
        <v>12879</v>
      </c>
      <c r="AL26" s="6">
        <v>4212</v>
      </c>
      <c r="AM26" s="6">
        <v>17128</v>
      </c>
      <c r="AN26" s="6">
        <v>11598</v>
      </c>
      <c r="AO26" s="6">
        <v>13886</v>
      </c>
      <c r="AP26" s="6">
        <v>40847</v>
      </c>
      <c r="AQ26" s="6">
        <v>20756</v>
      </c>
      <c r="AR26" s="6">
        <v>28425</v>
      </c>
    </row>
    <row r="27" spans="1:44">
      <c r="A27" s="4" t="s">
        <v>173</v>
      </c>
      <c r="B27" s="1" t="s">
        <v>174</v>
      </c>
      <c r="C27" s="1" t="s">
        <v>115</v>
      </c>
      <c r="D27" s="1" t="str">
        <f>HYPERLINK("http://eros.fiehnlab.ucdavis.edu:8080/binbase-compound/bin/show/241869?db=rtx5","241869")</f>
        <v>241869</v>
      </c>
      <c r="E27" s="1" t="s">
        <v>175</v>
      </c>
      <c r="F27" s="1" t="str">
        <f>HYPERLINK("http://www.genome.ad.jp/dbget-bin/www_bget?compound+C00022","C00022")</f>
        <v>C00022</v>
      </c>
      <c r="G27" s="1" t="str">
        <f>HYPERLINK("http://pubchem.ncbi.nlm.nih.gov/summary/summary.cgi?cid=1060","1060")</f>
        <v>1060</v>
      </c>
      <c r="H27" s="1"/>
      <c r="I27" s="6">
        <v>636</v>
      </c>
      <c r="J27" s="6">
        <v>428</v>
      </c>
      <c r="K27" s="6">
        <v>601</v>
      </c>
      <c r="L27" s="6">
        <v>2916</v>
      </c>
      <c r="M27" s="6">
        <v>768</v>
      </c>
      <c r="N27" s="6">
        <v>515</v>
      </c>
      <c r="O27" s="6">
        <v>591</v>
      </c>
      <c r="P27" s="6">
        <v>454</v>
      </c>
      <c r="Q27" s="6">
        <v>650</v>
      </c>
      <c r="R27" s="6">
        <v>5067</v>
      </c>
      <c r="S27" s="6">
        <v>472</v>
      </c>
      <c r="T27" s="6">
        <v>247</v>
      </c>
      <c r="U27" s="6">
        <v>4669</v>
      </c>
      <c r="V27" s="6">
        <v>1186</v>
      </c>
      <c r="W27" s="6">
        <v>1275</v>
      </c>
      <c r="X27" s="6">
        <v>520</v>
      </c>
      <c r="Y27" s="6">
        <v>1839</v>
      </c>
      <c r="Z27" s="6">
        <v>3053</v>
      </c>
      <c r="AA27" s="6">
        <v>434</v>
      </c>
      <c r="AB27" s="6">
        <v>5152</v>
      </c>
      <c r="AC27" s="6">
        <v>570</v>
      </c>
      <c r="AD27" s="6">
        <v>2747</v>
      </c>
      <c r="AE27" s="6">
        <v>552</v>
      </c>
      <c r="AF27" s="6">
        <v>441</v>
      </c>
      <c r="AG27" s="6">
        <v>742</v>
      </c>
      <c r="AH27" s="6">
        <v>1449</v>
      </c>
      <c r="AI27" s="6">
        <v>603</v>
      </c>
      <c r="AJ27" s="6">
        <v>541</v>
      </c>
      <c r="AK27" s="6">
        <v>589</v>
      </c>
      <c r="AL27" s="6">
        <v>306</v>
      </c>
      <c r="AM27" s="6">
        <v>2190</v>
      </c>
      <c r="AN27" s="6">
        <v>1846</v>
      </c>
      <c r="AO27" s="6">
        <v>2943</v>
      </c>
      <c r="AP27" s="6">
        <v>3805</v>
      </c>
      <c r="AQ27" s="6">
        <v>727</v>
      </c>
      <c r="AR27" s="6">
        <v>3538</v>
      </c>
    </row>
    <row r="28" spans="1:44">
      <c r="A28" s="4" t="s">
        <v>176</v>
      </c>
      <c r="B28" s="1" t="s">
        <v>177</v>
      </c>
      <c r="C28" s="1" t="s">
        <v>178</v>
      </c>
      <c r="D28" s="1" t="str">
        <f>HYPERLINK("http://eros.fiehnlab.ucdavis.edu:8080/binbase-compound/bin/show/284585?db=rtx5","284585")</f>
        <v>284585</v>
      </c>
      <c r="E28" s="1" t="s">
        <v>179</v>
      </c>
      <c r="F28" s="1" t="str">
        <f>HYPERLINK("http://www.genome.ad.jp/dbget-bin/www_bget?compound+C0013","C0013")</f>
        <v>C0013</v>
      </c>
      <c r="G28" s="1" t="str">
        <f>HYPERLINK("http://pubchem.ncbi.nlm.nih.gov/summary/summary.cgi?cid=1023","1023")</f>
        <v>1023</v>
      </c>
      <c r="H28" s="1"/>
      <c r="I28" s="6">
        <v>101184</v>
      </c>
      <c r="J28" s="6">
        <v>118376</v>
      </c>
      <c r="K28" s="6">
        <v>94461</v>
      </c>
      <c r="L28" s="6">
        <v>36556</v>
      </c>
      <c r="M28" s="6">
        <v>92586</v>
      </c>
      <c r="N28" s="6">
        <v>42162</v>
      </c>
      <c r="O28" s="6">
        <v>105269</v>
      </c>
      <c r="P28" s="6">
        <v>32137</v>
      </c>
      <c r="Q28" s="6">
        <v>94057</v>
      </c>
      <c r="R28" s="6">
        <v>68492</v>
      </c>
      <c r="S28" s="6">
        <v>66148</v>
      </c>
      <c r="T28" s="6">
        <v>30128</v>
      </c>
      <c r="U28" s="6">
        <v>81816</v>
      </c>
      <c r="V28" s="6">
        <v>71935</v>
      </c>
      <c r="W28" s="6">
        <v>97415</v>
      </c>
      <c r="X28" s="6">
        <v>57345</v>
      </c>
      <c r="Y28" s="6">
        <v>86519</v>
      </c>
      <c r="Z28" s="6">
        <v>98806</v>
      </c>
      <c r="AA28" s="6">
        <v>72639</v>
      </c>
      <c r="AB28" s="6">
        <v>40888</v>
      </c>
      <c r="AC28" s="6">
        <v>128010</v>
      </c>
      <c r="AD28" s="6">
        <v>109997</v>
      </c>
      <c r="AE28" s="6">
        <v>54901</v>
      </c>
      <c r="AF28" s="6">
        <v>105105</v>
      </c>
      <c r="AG28" s="6">
        <v>200905</v>
      </c>
      <c r="AH28" s="6">
        <v>173619</v>
      </c>
      <c r="AI28" s="6">
        <v>154713</v>
      </c>
      <c r="AJ28" s="6">
        <v>65611</v>
      </c>
      <c r="AK28" s="6">
        <v>73009</v>
      </c>
      <c r="AL28" s="6">
        <v>35937</v>
      </c>
      <c r="AM28" s="6">
        <v>77369</v>
      </c>
      <c r="AN28" s="6">
        <v>101103</v>
      </c>
      <c r="AO28" s="6">
        <v>144698</v>
      </c>
      <c r="AP28" s="6">
        <v>64824</v>
      </c>
      <c r="AQ28" s="6">
        <v>59067</v>
      </c>
      <c r="AR28" s="6">
        <v>96442</v>
      </c>
    </row>
    <row r="29" spans="1:44">
      <c r="A29" s="4" t="s">
        <v>180</v>
      </c>
      <c r="B29" s="1" t="s">
        <v>181</v>
      </c>
      <c r="C29" s="1" t="s">
        <v>115</v>
      </c>
      <c r="D29" s="1" t="str">
        <f>HYPERLINK("http://eros.fiehnlab.ucdavis.edu:8080/binbase-compound/bin/show/206261?db=rtx5","206261")</f>
        <v>206261</v>
      </c>
      <c r="E29" s="1" t="s">
        <v>182</v>
      </c>
      <c r="F29" s="1" t="str">
        <f>HYPERLINK("http://www.genome.ad.jp/dbget-bin/www_bget?compound+C00134","C00134")</f>
        <v>C00134</v>
      </c>
      <c r="G29" s="1" t="str">
        <f>HYPERLINK("http://pubchem.ncbi.nlm.nih.gov/summary/summary.cgi?cid=1045","1045")</f>
        <v>1045</v>
      </c>
      <c r="H29" s="1"/>
      <c r="I29" s="6">
        <v>1606743</v>
      </c>
      <c r="J29" s="6">
        <v>606284</v>
      </c>
      <c r="K29" s="6">
        <v>737404</v>
      </c>
      <c r="L29" s="6">
        <v>2249572</v>
      </c>
      <c r="M29" s="6">
        <v>857625</v>
      </c>
      <c r="N29" s="6">
        <v>1522221</v>
      </c>
      <c r="O29" s="6">
        <v>501684</v>
      </c>
      <c r="P29" s="6">
        <v>72743</v>
      </c>
      <c r="Q29" s="6">
        <v>875358</v>
      </c>
      <c r="R29" s="6">
        <v>640592</v>
      </c>
      <c r="S29" s="6">
        <v>110509</v>
      </c>
      <c r="T29" s="6">
        <v>258930</v>
      </c>
      <c r="U29" s="6">
        <v>1245822</v>
      </c>
      <c r="V29" s="6">
        <v>532908</v>
      </c>
      <c r="W29" s="6">
        <v>1039536</v>
      </c>
      <c r="X29" s="6">
        <v>955009</v>
      </c>
      <c r="Y29" s="6">
        <v>1301720</v>
      </c>
      <c r="Z29" s="6">
        <v>2005188</v>
      </c>
      <c r="AA29" s="6">
        <v>282351</v>
      </c>
      <c r="AB29" s="6">
        <v>1838767</v>
      </c>
      <c r="AC29" s="6">
        <v>911905</v>
      </c>
      <c r="AD29" s="6">
        <v>1873983</v>
      </c>
      <c r="AE29" s="6">
        <v>1474892</v>
      </c>
      <c r="AF29" s="6">
        <v>953409</v>
      </c>
      <c r="AG29" s="6">
        <v>649054</v>
      </c>
      <c r="AH29" s="6">
        <v>1974933</v>
      </c>
      <c r="AI29" s="6">
        <v>1260134</v>
      </c>
      <c r="AJ29" s="6">
        <v>659188</v>
      </c>
      <c r="AK29" s="6">
        <v>1307811</v>
      </c>
      <c r="AL29" s="6">
        <v>191266</v>
      </c>
      <c r="AM29" s="6">
        <v>983651</v>
      </c>
      <c r="AN29" s="6">
        <v>920073</v>
      </c>
      <c r="AO29" s="6">
        <v>1630038</v>
      </c>
      <c r="AP29" s="6">
        <v>2043511</v>
      </c>
      <c r="AQ29" s="6">
        <v>1011994</v>
      </c>
      <c r="AR29" s="6">
        <v>1976089</v>
      </c>
    </row>
    <row r="30" spans="1:44">
      <c r="A30" s="4" t="s">
        <v>183</v>
      </c>
      <c r="B30" s="1" t="s">
        <v>184</v>
      </c>
      <c r="C30" s="1" t="s">
        <v>185</v>
      </c>
      <c r="D30" s="1" t="str">
        <f>HYPERLINK("http://eros.fiehnlab.ucdavis.edu:8080/binbase-compound/bin/show/213381?db=rtx5","213381")</f>
        <v>213381</v>
      </c>
      <c r="E30" s="1" t="s">
        <v>186</v>
      </c>
      <c r="F30" s="1" t="str">
        <f>HYPERLINK("http://www.genome.ad.jp/dbget-bin/www_bget?compound+C02067","C02067")</f>
        <v>C02067</v>
      </c>
      <c r="G30" s="1" t="str">
        <f>HYPERLINK("http://pubchem.ncbi.nlm.nih.gov/summary/summary.cgi?cid=15047","15047")</f>
        <v>15047</v>
      </c>
      <c r="H30" s="1"/>
      <c r="I30" s="6">
        <v>3471</v>
      </c>
      <c r="J30" s="6">
        <v>1361</v>
      </c>
      <c r="K30" s="6">
        <v>1068</v>
      </c>
      <c r="L30" s="6">
        <v>4654</v>
      </c>
      <c r="M30" s="6">
        <v>5662</v>
      </c>
      <c r="N30" s="6">
        <v>3516</v>
      </c>
      <c r="O30" s="6">
        <v>4274</v>
      </c>
      <c r="P30" s="6">
        <v>1670</v>
      </c>
      <c r="Q30" s="6">
        <v>6756</v>
      </c>
      <c r="R30" s="6">
        <v>4094</v>
      </c>
      <c r="S30" s="6">
        <v>3423</v>
      </c>
      <c r="T30" s="6">
        <v>741</v>
      </c>
      <c r="U30" s="6">
        <v>6130</v>
      </c>
      <c r="V30" s="6">
        <v>1999</v>
      </c>
      <c r="W30" s="6">
        <v>3435</v>
      </c>
      <c r="X30" s="6">
        <v>5855</v>
      </c>
      <c r="Y30" s="6">
        <v>4934</v>
      </c>
      <c r="Z30" s="6">
        <v>4853</v>
      </c>
      <c r="AA30" s="6">
        <v>1997</v>
      </c>
      <c r="AB30" s="6">
        <v>11006</v>
      </c>
      <c r="AC30" s="6">
        <v>2647</v>
      </c>
      <c r="AD30" s="6">
        <v>5626</v>
      </c>
      <c r="AE30" s="6">
        <v>5871</v>
      </c>
      <c r="AF30" s="6">
        <v>2751</v>
      </c>
      <c r="AG30" s="6">
        <v>2198</v>
      </c>
      <c r="AH30" s="6">
        <v>6205</v>
      </c>
      <c r="AI30" s="6">
        <v>2215</v>
      </c>
      <c r="AJ30" s="6">
        <v>1552</v>
      </c>
      <c r="AK30" s="6">
        <v>3682</v>
      </c>
      <c r="AL30" s="6">
        <v>1253</v>
      </c>
      <c r="AM30" s="6">
        <v>3015</v>
      </c>
      <c r="AN30" s="6">
        <v>1891</v>
      </c>
      <c r="AO30" s="6">
        <v>4279</v>
      </c>
      <c r="AP30" s="6">
        <v>7715</v>
      </c>
      <c r="AQ30" s="6">
        <v>3733</v>
      </c>
      <c r="AR30" s="6">
        <v>5597</v>
      </c>
    </row>
    <row r="31" spans="1:44">
      <c r="A31" s="4" t="s">
        <v>187</v>
      </c>
      <c r="B31" s="1" t="s">
        <v>188</v>
      </c>
      <c r="C31" s="1" t="s">
        <v>189</v>
      </c>
      <c r="D31" s="1" t="str">
        <f>HYPERLINK("http://eros.fiehnlab.ucdavis.edu:8080/binbase-compound/bin/show/272666?db=rtx5","272666")</f>
        <v>272666</v>
      </c>
      <c r="E31" s="1" t="s">
        <v>190</v>
      </c>
      <c r="F31" s="1" t="str">
        <f>HYPERLINK("http://www.genome.ad.jp/dbget-bin/www_bget?compound+C02457","C02457")</f>
        <v>C02457</v>
      </c>
      <c r="G31" s="1" t="str">
        <f>HYPERLINK("http://pubchem.ncbi.nlm.nih.gov/summary/summary.cgi?cid=10442","10442")</f>
        <v>10442</v>
      </c>
      <c r="H31" s="1"/>
      <c r="I31" s="6">
        <v>933</v>
      </c>
      <c r="J31" s="6">
        <v>1049</v>
      </c>
      <c r="K31" s="6">
        <v>897</v>
      </c>
      <c r="L31" s="6">
        <v>674</v>
      </c>
      <c r="M31" s="6">
        <v>609</v>
      </c>
      <c r="N31" s="6">
        <v>822</v>
      </c>
      <c r="O31" s="6">
        <v>961</v>
      </c>
      <c r="P31" s="6">
        <v>721</v>
      </c>
      <c r="Q31" s="6">
        <v>937</v>
      </c>
      <c r="R31" s="6">
        <v>762</v>
      </c>
      <c r="S31" s="6">
        <v>879</v>
      </c>
      <c r="T31" s="6">
        <v>683</v>
      </c>
      <c r="U31" s="6">
        <v>815</v>
      </c>
      <c r="V31" s="6">
        <v>400</v>
      </c>
      <c r="W31" s="6">
        <v>590</v>
      </c>
      <c r="X31" s="6">
        <v>752</v>
      </c>
      <c r="Y31" s="6">
        <v>524</v>
      </c>
      <c r="Z31" s="6">
        <v>707</v>
      </c>
      <c r="AA31" s="6">
        <v>708</v>
      </c>
      <c r="AB31" s="6">
        <v>846</v>
      </c>
      <c r="AC31" s="6">
        <v>890</v>
      </c>
      <c r="AD31" s="6">
        <v>786</v>
      </c>
      <c r="AE31" s="6">
        <v>673</v>
      </c>
      <c r="AF31" s="6">
        <v>691</v>
      </c>
      <c r="AG31" s="6">
        <v>726</v>
      </c>
      <c r="AH31" s="6">
        <v>874</v>
      </c>
      <c r="AI31" s="6">
        <v>834</v>
      </c>
      <c r="AJ31" s="6">
        <v>615</v>
      </c>
      <c r="AK31" s="6">
        <v>592</v>
      </c>
      <c r="AL31" s="6">
        <v>560</v>
      </c>
      <c r="AM31" s="6">
        <v>660</v>
      </c>
      <c r="AN31" s="6">
        <v>716</v>
      </c>
      <c r="AO31" s="6">
        <v>891</v>
      </c>
      <c r="AP31" s="6">
        <v>771</v>
      </c>
      <c r="AQ31" s="6">
        <v>409</v>
      </c>
      <c r="AR31" s="6">
        <v>770</v>
      </c>
    </row>
    <row r="32" spans="1:44">
      <c r="A32" s="4" t="s">
        <v>191</v>
      </c>
      <c r="B32" s="1" t="s">
        <v>192</v>
      </c>
      <c r="C32" s="1" t="s">
        <v>193</v>
      </c>
      <c r="D32" s="1" t="str">
        <f>HYPERLINK("http://eros.fiehnlab.ucdavis.edu:8080/binbase-compound/bin/show/199611?db=rtx5","199611")</f>
        <v>199611</v>
      </c>
      <c r="E32" s="1" t="s">
        <v>194</v>
      </c>
      <c r="F32" s="1" t="str">
        <f>HYPERLINK("http://www.genome.ad.jp/dbget-bin/www_bget?compound+C00148","C00148")</f>
        <v>C00148</v>
      </c>
      <c r="G32" s="1" t="str">
        <f>HYPERLINK("http://pubchem.ncbi.nlm.nih.gov/summary/summary.cgi?cid=145742","145742")</f>
        <v>145742</v>
      </c>
      <c r="H32" s="1"/>
      <c r="I32" s="6">
        <v>307854</v>
      </c>
      <c r="J32" s="6">
        <v>38668</v>
      </c>
      <c r="K32" s="6">
        <v>24972</v>
      </c>
      <c r="L32" s="6">
        <v>426579</v>
      </c>
      <c r="M32" s="6">
        <v>272521</v>
      </c>
      <c r="N32" s="6">
        <v>410337</v>
      </c>
      <c r="O32" s="6">
        <v>29322</v>
      </c>
      <c r="P32" s="6">
        <v>4845</v>
      </c>
      <c r="Q32" s="6">
        <v>209852</v>
      </c>
      <c r="R32" s="6">
        <v>124454</v>
      </c>
      <c r="S32" s="6">
        <v>25765</v>
      </c>
      <c r="T32" s="6">
        <v>8186</v>
      </c>
      <c r="U32" s="6">
        <v>463892</v>
      </c>
      <c r="V32" s="6">
        <v>98962</v>
      </c>
      <c r="W32" s="6">
        <v>206726</v>
      </c>
      <c r="X32" s="6">
        <v>198195</v>
      </c>
      <c r="Y32" s="6">
        <v>323418</v>
      </c>
      <c r="Z32" s="6">
        <v>265307</v>
      </c>
      <c r="AA32" s="6">
        <v>39916</v>
      </c>
      <c r="AB32" s="6">
        <v>149716</v>
      </c>
      <c r="AC32" s="6">
        <v>19393</v>
      </c>
      <c r="AD32" s="6">
        <v>230992</v>
      </c>
      <c r="AE32" s="6">
        <v>236383</v>
      </c>
      <c r="AF32" s="6">
        <v>46455</v>
      </c>
      <c r="AG32" s="6">
        <v>100091</v>
      </c>
      <c r="AH32" s="6">
        <v>513004</v>
      </c>
      <c r="AI32" s="6">
        <v>101604</v>
      </c>
      <c r="AJ32" s="6">
        <v>76762</v>
      </c>
      <c r="AK32" s="6">
        <v>213259</v>
      </c>
      <c r="AL32" s="6">
        <v>38537</v>
      </c>
      <c r="AM32" s="6">
        <v>164656</v>
      </c>
      <c r="AN32" s="6">
        <v>62660</v>
      </c>
      <c r="AO32" s="6">
        <v>245327</v>
      </c>
      <c r="AP32" s="6">
        <v>354862</v>
      </c>
      <c r="AQ32" s="6">
        <v>170445</v>
      </c>
      <c r="AR32" s="6">
        <v>344028</v>
      </c>
    </row>
    <row r="33" spans="1:44">
      <c r="A33" s="4" t="s">
        <v>195</v>
      </c>
      <c r="B33" s="1" t="s">
        <v>197</v>
      </c>
      <c r="C33" s="1" t="s">
        <v>196</v>
      </c>
      <c r="D33" s="1" t="str">
        <f>HYPERLINK("http://eros.fiehnlab.ucdavis.edu:8080/binbase-compound/bin/show/218342?db=rtx5","218342")</f>
        <v>218342</v>
      </c>
      <c r="E33" s="1" t="s">
        <v>198</v>
      </c>
      <c r="F33" s="1" t="str">
        <f>HYPERLINK("http://www.genome.ad.jp/dbget-bin/www_bget?compound+C00009","C00009")</f>
        <v>C00009</v>
      </c>
      <c r="G33" s="1" t="str">
        <f>HYPERLINK("http://pubchem.ncbi.nlm.nih.gov/summary/summary.cgi?cid=1004","1004")</f>
        <v>1004</v>
      </c>
      <c r="H33" s="1"/>
      <c r="I33" s="6">
        <v>326431</v>
      </c>
      <c r="J33" s="6">
        <v>321012</v>
      </c>
      <c r="K33" s="6">
        <v>204984</v>
      </c>
      <c r="L33" s="6">
        <v>204399</v>
      </c>
      <c r="M33" s="6">
        <v>196122</v>
      </c>
      <c r="N33" s="6">
        <v>175452</v>
      </c>
      <c r="O33" s="6">
        <v>328102</v>
      </c>
      <c r="P33" s="6">
        <v>281847</v>
      </c>
      <c r="Q33" s="6">
        <v>215008</v>
      </c>
      <c r="R33" s="6">
        <v>663621</v>
      </c>
      <c r="S33" s="6">
        <v>172609</v>
      </c>
      <c r="T33" s="6">
        <v>186523</v>
      </c>
      <c r="U33" s="6">
        <v>299603</v>
      </c>
      <c r="V33" s="6">
        <v>344710</v>
      </c>
      <c r="W33" s="6">
        <v>197625</v>
      </c>
      <c r="X33" s="6">
        <v>113349</v>
      </c>
      <c r="Y33" s="6">
        <v>206398</v>
      </c>
      <c r="Z33" s="6">
        <v>201344</v>
      </c>
      <c r="AA33" s="6">
        <v>239759</v>
      </c>
      <c r="AB33" s="6">
        <v>324269</v>
      </c>
      <c r="AC33" s="6">
        <v>315479</v>
      </c>
      <c r="AD33" s="6">
        <v>213088</v>
      </c>
      <c r="AE33" s="6">
        <v>199566</v>
      </c>
      <c r="AF33" s="6">
        <v>201775</v>
      </c>
      <c r="AG33" s="6">
        <v>199303</v>
      </c>
      <c r="AH33" s="6">
        <v>214084</v>
      </c>
      <c r="AI33" s="6">
        <v>106509</v>
      </c>
      <c r="AJ33" s="6">
        <v>150128</v>
      </c>
      <c r="AK33" s="6">
        <v>150862</v>
      </c>
      <c r="AL33" s="6">
        <v>188055</v>
      </c>
      <c r="AM33" s="6">
        <v>205760</v>
      </c>
      <c r="AN33" s="6">
        <v>164832</v>
      </c>
      <c r="AO33" s="6">
        <v>214146</v>
      </c>
      <c r="AP33" s="6">
        <v>317081</v>
      </c>
      <c r="AQ33" s="6">
        <v>176904</v>
      </c>
      <c r="AR33" s="6">
        <v>206003</v>
      </c>
    </row>
    <row r="34" spans="1:44">
      <c r="A34" s="4" t="s">
        <v>199</v>
      </c>
      <c r="B34" s="1" t="s">
        <v>200</v>
      </c>
      <c r="C34" s="1" t="s">
        <v>201</v>
      </c>
      <c r="D34" s="1" t="str">
        <f>HYPERLINK("http://eros.fiehnlab.ucdavis.edu:8080/binbase-compound/bin/show/199628?db=rtx5","199628")</f>
        <v>199628</v>
      </c>
      <c r="E34" s="1" t="s">
        <v>202</v>
      </c>
      <c r="F34" s="1" t="str">
        <f>HYPERLINK("http://www.genome.ad.jp/dbget-bin/www_bget?compound+C00346","C00346")</f>
        <v>C00346</v>
      </c>
      <c r="G34" s="1" t="str">
        <f>HYPERLINK("http://pubchem.ncbi.nlm.nih.gov/summary/summary.cgi?cid=1015","1015")</f>
        <v>1015</v>
      </c>
      <c r="H34" s="1"/>
      <c r="I34" s="6">
        <v>6217</v>
      </c>
      <c r="J34" s="6">
        <v>7670</v>
      </c>
      <c r="K34" s="6">
        <v>5271</v>
      </c>
      <c r="L34" s="6">
        <v>2516</v>
      </c>
      <c r="M34" s="6">
        <v>8851</v>
      </c>
      <c r="N34" s="6">
        <v>1620</v>
      </c>
      <c r="O34" s="6">
        <v>5142</v>
      </c>
      <c r="P34" s="6">
        <v>4168</v>
      </c>
      <c r="Q34" s="6">
        <v>4662</v>
      </c>
      <c r="R34" s="6">
        <v>613</v>
      </c>
      <c r="S34" s="6">
        <v>3973</v>
      </c>
      <c r="T34" s="6">
        <v>2269</v>
      </c>
      <c r="U34" s="6">
        <v>2189</v>
      </c>
      <c r="V34" s="6">
        <v>2460</v>
      </c>
      <c r="W34" s="6">
        <v>3930</v>
      </c>
      <c r="X34" s="6">
        <v>6123</v>
      </c>
      <c r="Y34" s="6">
        <v>5989</v>
      </c>
      <c r="Z34" s="6">
        <v>4706</v>
      </c>
      <c r="AA34" s="6">
        <v>6363</v>
      </c>
      <c r="AB34" s="6">
        <v>8581</v>
      </c>
      <c r="AC34" s="6">
        <v>7211</v>
      </c>
      <c r="AD34" s="6">
        <v>6593</v>
      </c>
      <c r="AE34" s="6">
        <v>7678</v>
      </c>
      <c r="AF34" s="6">
        <v>7739</v>
      </c>
      <c r="AG34" s="6">
        <v>11081</v>
      </c>
      <c r="AH34" s="6">
        <v>6335</v>
      </c>
      <c r="AI34" s="6">
        <v>6860</v>
      </c>
      <c r="AJ34" s="6">
        <v>4438</v>
      </c>
      <c r="AK34" s="6">
        <v>3152</v>
      </c>
      <c r="AL34" s="6">
        <v>3760</v>
      </c>
      <c r="AM34" s="6">
        <v>3652</v>
      </c>
      <c r="AN34" s="6">
        <v>3560</v>
      </c>
      <c r="AO34" s="6">
        <v>5993</v>
      </c>
      <c r="AP34" s="6">
        <v>4518</v>
      </c>
      <c r="AQ34" s="6">
        <v>5145</v>
      </c>
      <c r="AR34" s="6">
        <v>6755</v>
      </c>
    </row>
    <row r="35" spans="1:44">
      <c r="A35" s="4" t="s">
        <v>204</v>
      </c>
      <c r="B35" s="1" t="s">
        <v>205</v>
      </c>
      <c r="C35" s="1" t="s">
        <v>115</v>
      </c>
      <c r="D35" s="1" t="str">
        <f>HYPERLINK("http://eros.fiehnlab.ucdavis.edu:8080/binbase-compound/bin/show/272665?db=rtx5","272665")</f>
        <v>272665</v>
      </c>
      <c r="E35" s="1" t="s">
        <v>206</v>
      </c>
      <c r="F35" s="1" t="str">
        <f>HYPERLINK("http://www.genome.ad.jp/dbget-bin/www_bget?compound+C05332","C05332")</f>
        <v>C05332</v>
      </c>
      <c r="G35" s="1" t="str">
        <f>HYPERLINK("http://pubchem.ncbi.nlm.nih.gov/summary/summary.cgi?cid=1001","1001")</f>
        <v>1001</v>
      </c>
      <c r="H35" s="1"/>
      <c r="I35" s="6">
        <v>8488</v>
      </c>
      <c r="J35" s="6">
        <v>1329</v>
      </c>
      <c r="K35" s="6">
        <v>220</v>
      </c>
      <c r="L35" s="6">
        <v>5547</v>
      </c>
      <c r="M35" s="6">
        <v>1967</v>
      </c>
      <c r="N35" s="6">
        <v>6758</v>
      </c>
      <c r="O35" s="6">
        <v>2026</v>
      </c>
      <c r="P35" s="6">
        <v>505</v>
      </c>
      <c r="Q35" s="6">
        <v>5052</v>
      </c>
      <c r="R35" s="6">
        <v>2141</v>
      </c>
      <c r="S35" s="6">
        <v>233</v>
      </c>
      <c r="T35" s="6">
        <v>157</v>
      </c>
      <c r="U35" s="6">
        <v>902</v>
      </c>
      <c r="V35" s="6">
        <v>257</v>
      </c>
      <c r="W35" s="6">
        <v>689</v>
      </c>
      <c r="X35" s="6">
        <v>1667</v>
      </c>
      <c r="Y35" s="6">
        <v>3106</v>
      </c>
      <c r="Z35" s="6">
        <v>1750</v>
      </c>
      <c r="AA35" s="6">
        <v>274</v>
      </c>
      <c r="AB35" s="6">
        <v>1080</v>
      </c>
      <c r="AC35" s="6">
        <v>299</v>
      </c>
      <c r="AD35" s="6">
        <v>1848</v>
      </c>
      <c r="AE35" s="6">
        <v>565</v>
      </c>
      <c r="AF35" s="6">
        <v>338</v>
      </c>
      <c r="AG35" s="6">
        <v>1022</v>
      </c>
      <c r="AH35" s="6">
        <v>9123</v>
      </c>
      <c r="AI35" s="6">
        <v>1289</v>
      </c>
      <c r="AJ35" s="6">
        <v>621</v>
      </c>
      <c r="AK35" s="6">
        <v>456</v>
      </c>
      <c r="AL35" s="6">
        <v>226</v>
      </c>
      <c r="AM35" s="6">
        <v>857</v>
      </c>
      <c r="AN35" s="6">
        <v>1284</v>
      </c>
      <c r="AO35" s="6">
        <v>1927</v>
      </c>
      <c r="AP35" s="6">
        <v>2770</v>
      </c>
      <c r="AQ35" s="6">
        <v>410</v>
      </c>
      <c r="AR35" s="6">
        <v>3070</v>
      </c>
    </row>
    <row r="36" spans="1:44">
      <c r="A36" s="4" t="s">
        <v>207</v>
      </c>
      <c r="B36" s="1" t="s">
        <v>208</v>
      </c>
      <c r="C36" s="1" t="s">
        <v>112</v>
      </c>
      <c r="D36" s="1" t="str">
        <f>HYPERLINK("http://eros.fiehnlab.ucdavis.edu:8080/binbase-compound/bin/show/217642?db=rtx5","217642")</f>
        <v>217642</v>
      </c>
      <c r="E36" s="1" t="s">
        <v>209</v>
      </c>
      <c r="F36" s="1" t="str">
        <f>HYPERLINK("http://www.genome.ad.jp/dbget-bin/www_bget?compound+C00079","C00079")</f>
        <v>C00079</v>
      </c>
      <c r="G36" s="1" t="str">
        <f>HYPERLINK("http://pubchem.ncbi.nlm.nih.gov/summary/summary.cgi?cid=6140","6140")</f>
        <v>6140</v>
      </c>
      <c r="H36" s="1"/>
      <c r="I36" s="6">
        <v>572023</v>
      </c>
      <c r="J36" s="6">
        <v>67076</v>
      </c>
      <c r="K36" s="6">
        <v>47968</v>
      </c>
      <c r="L36" s="6">
        <v>764785</v>
      </c>
      <c r="M36" s="6">
        <v>306666</v>
      </c>
      <c r="N36" s="6">
        <v>638919</v>
      </c>
      <c r="O36" s="6">
        <v>117362</v>
      </c>
      <c r="P36" s="6">
        <v>44504</v>
      </c>
      <c r="Q36" s="6">
        <v>408072</v>
      </c>
      <c r="R36" s="6">
        <v>208814</v>
      </c>
      <c r="S36" s="6">
        <v>67648</v>
      </c>
      <c r="T36" s="6">
        <v>38594</v>
      </c>
      <c r="U36" s="6">
        <v>913945</v>
      </c>
      <c r="V36" s="6">
        <v>93457</v>
      </c>
      <c r="W36" s="6">
        <v>269756</v>
      </c>
      <c r="X36" s="6">
        <v>451880</v>
      </c>
      <c r="Y36" s="6">
        <v>521655</v>
      </c>
      <c r="Z36" s="6">
        <v>392962</v>
      </c>
      <c r="AA36" s="6">
        <v>65761</v>
      </c>
      <c r="AB36" s="6">
        <v>919350</v>
      </c>
      <c r="AC36" s="6">
        <v>67184</v>
      </c>
      <c r="AD36" s="6">
        <v>407454</v>
      </c>
      <c r="AE36" s="6">
        <v>519629</v>
      </c>
      <c r="AF36" s="6">
        <v>133830</v>
      </c>
      <c r="AG36" s="6">
        <v>94441</v>
      </c>
      <c r="AH36" s="6">
        <v>889743</v>
      </c>
      <c r="AI36" s="6">
        <v>196266</v>
      </c>
      <c r="AJ36" s="6">
        <v>72351</v>
      </c>
      <c r="AK36" s="6">
        <v>284679</v>
      </c>
      <c r="AL36" s="6">
        <v>54226</v>
      </c>
      <c r="AM36" s="6">
        <v>330829</v>
      </c>
      <c r="AN36" s="6">
        <v>108343</v>
      </c>
      <c r="AO36" s="6">
        <v>494511</v>
      </c>
      <c r="AP36" s="6">
        <v>638488</v>
      </c>
      <c r="AQ36" s="6">
        <v>206232</v>
      </c>
      <c r="AR36" s="6">
        <v>491967</v>
      </c>
    </row>
    <row r="37" spans="1:44">
      <c r="A37" s="4" t="s">
        <v>210</v>
      </c>
      <c r="B37" s="1" t="s">
        <v>211</v>
      </c>
      <c r="C37" s="1" t="s">
        <v>128</v>
      </c>
      <c r="D37" s="1" t="str">
        <f>HYPERLINK("http://eros.fiehnlab.ucdavis.edu:8080/binbase-compound/bin/show/201810?db=rtx5","201810")</f>
        <v>201810</v>
      </c>
      <c r="E37" s="1" t="s">
        <v>212</v>
      </c>
      <c r="F37" s="1" t="str">
        <f>HYPERLINK("http://www.genome.ad.jp/dbget-bin/www_bget?compound+C01601","C01601")</f>
        <v>C01601</v>
      </c>
      <c r="G37" s="1" t="str">
        <f>HYPERLINK("http://pubchem.ncbi.nlm.nih.gov/summary/summary.cgi?cid=8158","8158")</f>
        <v>8158</v>
      </c>
      <c r="H37" s="1"/>
      <c r="I37" s="6">
        <v>16331</v>
      </c>
      <c r="J37" s="6">
        <v>16699</v>
      </c>
      <c r="K37" s="6">
        <v>17027</v>
      </c>
      <c r="L37" s="6">
        <v>14335</v>
      </c>
      <c r="M37" s="6">
        <v>19292</v>
      </c>
      <c r="N37" s="6">
        <v>13371</v>
      </c>
      <c r="O37" s="6">
        <v>15169</v>
      </c>
      <c r="P37" s="6">
        <v>10187</v>
      </c>
      <c r="Q37" s="6">
        <v>14725</v>
      </c>
      <c r="R37" s="6">
        <v>22405</v>
      </c>
      <c r="S37" s="6">
        <v>17506</v>
      </c>
      <c r="T37" s="6">
        <v>8083</v>
      </c>
      <c r="U37" s="6">
        <v>16976</v>
      </c>
      <c r="V37" s="6">
        <v>14819</v>
      </c>
      <c r="W37" s="6">
        <v>13129</v>
      </c>
      <c r="X37" s="6">
        <v>13972</v>
      </c>
      <c r="Y37" s="6">
        <v>13728</v>
      </c>
      <c r="Z37" s="6">
        <v>12121</v>
      </c>
      <c r="AA37" s="6">
        <v>15534</v>
      </c>
      <c r="AB37" s="6">
        <v>18058</v>
      </c>
      <c r="AC37" s="6">
        <v>8580</v>
      </c>
      <c r="AD37" s="6">
        <v>23261</v>
      </c>
      <c r="AE37" s="6">
        <v>11093</v>
      </c>
      <c r="AF37" s="6">
        <v>33413</v>
      </c>
      <c r="AG37" s="6">
        <v>19729</v>
      </c>
      <c r="AH37" s="6">
        <v>22972</v>
      </c>
      <c r="AI37" s="6">
        <v>15806</v>
      </c>
      <c r="AJ37" s="6">
        <v>8588</v>
      </c>
      <c r="AK37" s="6">
        <v>7234</v>
      </c>
      <c r="AL37" s="6">
        <v>9299</v>
      </c>
      <c r="AM37" s="6">
        <v>12283</v>
      </c>
      <c r="AN37" s="6">
        <v>8881</v>
      </c>
      <c r="AO37" s="6">
        <v>26677</v>
      </c>
      <c r="AP37" s="6">
        <v>11259</v>
      </c>
      <c r="AQ37" s="6">
        <v>13706</v>
      </c>
      <c r="AR37" s="6">
        <v>19093</v>
      </c>
    </row>
    <row r="38" spans="1:44">
      <c r="A38" s="4" t="s">
        <v>213</v>
      </c>
      <c r="B38" s="1" t="s">
        <v>214</v>
      </c>
      <c r="C38" s="1" t="s">
        <v>79</v>
      </c>
      <c r="D38" s="1" t="str">
        <f>HYPERLINK("http://eros.fiehnlab.ucdavis.edu:8080/binbase-compound/bin/show/205158?db=rtx5","205158")</f>
        <v>205158</v>
      </c>
      <c r="E38" s="1" t="s">
        <v>215</v>
      </c>
      <c r="F38" s="1" t="str">
        <f>HYPERLINK("http://www.genome.ad.jp/dbget-bin/www_bget?compound+C00864","C00864")</f>
        <v>C00864</v>
      </c>
      <c r="G38" s="1" t="str">
        <f>HYPERLINK("http://pubchem.ncbi.nlm.nih.gov/summary/summary.cgi?cid=6613","6613")</f>
        <v>6613</v>
      </c>
      <c r="H38" s="1"/>
      <c r="I38" s="6">
        <v>6506</v>
      </c>
      <c r="J38" s="6">
        <v>3197</v>
      </c>
      <c r="K38" s="6">
        <v>2511</v>
      </c>
      <c r="L38" s="6">
        <v>7734</v>
      </c>
      <c r="M38" s="6">
        <v>4146</v>
      </c>
      <c r="N38" s="6">
        <v>4747</v>
      </c>
      <c r="O38" s="6">
        <v>6188</v>
      </c>
      <c r="P38" s="6">
        <v>3467</v>
      </c>
      <c r="Q38" s="6">
        <v>4348</v>
      </c>
      <c r="R38" s="6">
        <v>4796</v>
      </c>
      <c r="S38" s="6">
        <v>4591</v>
      </c>
      <c r="T38" s="6">
        <v>2219</v>
      </c>
      <c r="U38" s="6">
        <v>8640</v>
      </c>
      <c r="V38" s="6">
        <v>4599</v>
      </c>
      <c r="W38" s="6">
        <v>6966</v>
      </c>
      <c r="X38" s="6">
        <v>10591</v>
      </c>
      <c r="Y38" s="6">
        <v>5857</v>
      </c>
      <c r="Z38" s="6">
        <v>5917</v>
      </c>
      <c r="AA38" s="6">
        <v>5719</v>
      </c>
      <c r="AB38" s="6">
        <v>8549</v>
      </c>
      <c r="AC38" s="6">
        <v>6246</v>
      </c>
      <c r="AD38" s="6">
        <v>7612</v>
      </c>
      <c r="AE38" s="6">
        <v>6668</v>
      </c>
      <c r="AF38" s="6">
        <v>9722</v>
      </c>
      <c r="AG38" s="6">
        <v>8810</v>
      </c>
      <c r="AH38" s="6">
        <v>9861</v>
      </c>
      <c r="AI38" s="6">
        <v>4411</v>
      </c>
      <c r="AJ38" s="6">
        <v>2908</v>
      </c>
      <c r="AK38" s="6">
        <v>5650</v>
      </c>
      <c r="AL38" s="6">
        <v>2404</v>
      </c>
      <c r="AM38" s="6">
        <v>4623</v>
      </c>
      <c r="AN38" s="6">
        <v>4336</v>
      </c>
      <c r="AO38" s="6">
        <v>6989</v>
      </c>
      <c r="AP38" s="6">
        <v>9144</v>
      </c>
      <c r="AQ38" s="6">
        <v>4159</v>
      </c>
      <c r="AR38" s="6">
        <v>7561</v>
      </c>
    </row>
    <row r="39" spans="1:44">
      <c r="A39" s="4" t="s">
        <v>216</v>
      </c>
      <c r="B39" s="1" t="s">
        <v>217</v>
      </c>
      <c r="C39" s="1" t="s">
        <v>218</v>
      </c>
      <c r="D39" s="1" t="str">
        <f>HYPERLINK("http://eros.fiehnlab.ucdavis.edu:8080/binbase-compound/bin/show/203265?db=rtx5","203265")</f>
        <v>203265</v>
      </c>
      <c r="E39" s="1" t="s">
        <v>219</v>
      </c>
      <c r="F39" s="1" t="str">
        <f>HYPERLINK("http://www.genome.ad.jp/dbget-bin/www_bget?compound+C08362","C08362")</f>
        <v>C08362</v>
      </c>
      <c r="G39" s="1" t="str">
        <f>HYPERLINK("http://pubchem.ncbi.nlm.nih.gov/summary/summary.cgi?cid=445638","445638")</f>
        <v>445638</v>
      </c>
      <c r="H39" s="1"/>
      <c r="I39" s="6">
        <v>1316</v>
      </c>
      <c r="J39" s="6">
        <v>1593</v>
      </c>
      <c r="K39" s="6">
        <v>2134</v>
      </c>
      <c r="L39" s="6">
        <v>1223</v>
      </c>
      <c r="M39" s="6">
        <v>1720</v>
      </c>
      <c r="N39" s="6">
        <v>1082</v>
      </c>
      <c r="O39" s="6">
        <v>2581</v>
      </c>
      <c r="P39" s="6">
        <v>1631</v>
      </c>
      <c r="Q39" s="6">
        <v>1306</v>
      </c>
      <c r="R39" s="6">
        <v>1796</v>
      </c>
      <c r="S39" s="6">
        <v>787</v>
      </c>
      <c r="T39" s="6">
        <v>4025</v>
      </c>
      <c r="U39" s="6">
        <v>791</v>
      </c>
      <c r="V39" s="6">
        <v>598</v>
      </c>
      <c r="W39" s="6">
        <v>844</v>
      </c>
      <c r="X39" s="6">
        <v>1907</v>
      </c>
      <c r="Y39" s="6">
        <v>1132</v>
      </c>
      <c r="Z39" s="6">
        <v>846</v>
      </c>
      <c r="AA39" s="6">
        <v>917</v>
      </c>
      <c r="AB39" s="6">
        <v>2283</v>
      </c>
      <c r="AC39" s="6">
        <v>1771</v>
      </c>
      <c r="AD39" s="6">
        <v>1617</v>
      </c>
      <c r="AE39" s="6">
        <v>1336</v>
      </c>
      <c r="AF39" s="6">
        <v>2017</v>
      </c>
      <c r="AG39" s="6">
        <v>889</v>
      </c>
      <c r="AH39" s="6">
        <v>1277</v>
      </c>
      <c r="AI39" s="6">
        <v>960</v>
      </c>
      <c r="AJ39" s="6">
        <v>1140</v>
      </c>
      <c r="AK39" s="6">
        <v>900</v>
      </c>
      <c r="AL39" s="6">
        <v>1534</v>
      </c>
      <c r="AM39" s="6">
        <v>798</v>
      </c>
      <c r="AN39" s="6">
        <v>648</v>
      </c>
      <c r="AO39" s="6">
        <v>1237</v>
      </c>
      <c r="AP39" s="6">
        <v>1779</v>
      </c>
      <c r="AQ39" s="6">
        <v>1313</v>
      </c>
      <c r="AR39" s="6">
        <v>1676</v>
      </c>
    </row>
    <row r="40" spans="1:44">
      <c r="A40" s="4" t="s">
        <v>220</v>
      </c>
      <c r="B40" s="1" t="s">
        <v>221</v>
      </c>
      <c r="C40" s="1" t="s">
        <v>222</v>
      </c>
      <c r="D40" s="1" t="str">
        <f>HYPERLINK("http://eros.fiehnlab.ucdavis.edu:8080/binbase-compound/bin/show/227993?db=rtx5","227993")</f>
        <v>227993</v>
      </c>
      <c r="E40" s="1" t="s">
        <v>223</v>
      </c>
      <c r="F40" s="1" t="str">
        <f>HYPERLINK("http://www.genome.ad.jp/dbget-bin/www_bget?compound+C00249","C00249")</f>
        <v>C00249</v>
      </c>
      <c r="G40" s="1" t="str">
        <f>HYPERLINK("http://pubchem.ncbi.nlm.nih.gov/summary/summary.cgi?cid=985","985")</f>
        <v>985</v>
      </c>
      <c r="H40" s="1"/>
      <c r="I40" s="6">
        <v>11904</v>
      </c>
      <c r="J40" s="6">
        <v>8128</v>
      </c>
      <c r="K40" s="6">
        <v>8772</v>
      </c>
      <c r="L40" s="6">
        <v>11672</v>
      </c>
      <c r="M40" s="6">
        <v>7866</v>
      </c>
      <c r="N40" s="6">
        <v>14193</v>
      </c>
      <c r="O40" s="6">
        <v>146</v>
      </c>
      <c r="P40" s="6">
        <v>8980</v>
      </c>
      <c r="Q40" s="6">
        <v>13571</v>
      </c>
      <c r="R40" s="6">
        <v>179</v>
      </c>
      <c r="S40" s="6">
        <v>6562</v>
      </c>
      <c r="T40" s="6">
        <v>9447</v>
      </c>
      <c r="U40" s="6">
        <v>10839</v>
      </c>
      <c r="V40" s="6">
        <v>4908</v>
      </c>
      <c r="W40" s="6">
        <v>9425</v>
      </c>
      <c r="X40" s="6">
        <v>16985</v>
      </c>
      <c r="Y40" s="6">
        <v>8085</v>
      </c>
      <c r="Z40" s="6">
        <v>10656</v>
      </c>
      <c r="AA40" s="6">
        <v>5659</v>
      </c>
      <c r="AB40" s="6">
        <v>12846</v>
      </c>
      <c r="AC40" s="6">
        <v>8578</v>
      </c>
      <c r="AD40" s="6">
        <v>10378</v>
      </c>
      <c r="AE40" s="6">
        <v>12362</v>
      </c>
      <c r="AF40" s="6">
        <v>8641</v>
      </c>
      <c r="AG40" s="6">
        <v>7118</v>
      </c>
      <c r="AH40" s="6">
        <v>13613</v>
      </c>
      <c r="AI40" s="6">
        <v>8409</v>
      </c>
      <c r="AJ40" s="6">
        <v>8271</v>
      </c>
      <c r="AK40" s="6">
        <v>10581</v>
      </c>
      <c r="AL40" s="6">
        <v>7435</v>
      </c>
      <c r="AM40" s="6">
        <v>9193</v>
      </c>
      <c r="AN40" s="6">
        <v>6529</v>
      </c>
      <c r="AO40" s="6">
        <v>9089</v>
      </c>
      <c r="AP40" s="6">
        <v>11724</v>
      </c>
      <c r="AQ40" s="6">
        <v>7855</v>
      </c>
      <c r="AR40" s="6">
        <v>10725</v>
      </c>
    </row>
    <row r="41" spans="1:44">
      <c r="A41" s="4" t="s">
        <v>224</v>
      </c>
      <c r="B41" s="1" t="s">
        <v>225</v>
      </c>
      <c r="C41" s="1" t="s">
        <v>165</v>
      </c>
      <c r="D41" s="1" t="str">
        <f>HYPERLINK("http://eros.fiehnlab.ucdavis.edu:8080/binbase-compound/bin/show/199593?db=rtx5","199593")</f>
        <v>199593</v>
      </c>
      <c r="E41" s="1" t="s">
        <v>226</v>
      </c>
      <c r="F41" s="1" t="str">
        <f>HYPERLINK("http://www.genome.ad.jp/dbget-bin/www_bget?compound+C01879","C01879")</f>
        <v>C01879</v>
      </c>
      <c r="G41" s="1" t="str">
        <f>HYPERLINK("http://pubchem.ncbi.nlm.nih.gov/summary/summary.cgi?cid=7405","7405")</f>
        <v>7405</v>
      </c>
      <c r="H41" s="1"/>
      <c r="I41" s="6">
        <v>1061395</v>
      </c>
      <c r="J41" s="6">
        <v>172887</v>
      </c>
      <c r="K41" s="6">
        <v>104884</v>
      </c>
      <c r="L41" s="6">
        <v>1279884</v>
      </c>
      <c r="M41" s="6">
        <v>635501</v>
      </c>
      <c r="N41" s="6">
        <v>1168723</v>
      </c>
      <c r="O41" s="6">
        <v>423131</v>
      </c>
      <c r="P41" s="6">
        <v>99224</v>
      </c>
      <c r="Q41" s="6">
        <v>784469</v>
      </c>
      <c r="R41" s="6">
        <v>560900</v>
      </c>
      <c r="S41" s="6">
        <v>159572</v>
      </c>
      <c r="T41" s="6">
        <v>71635</v>
      </c>
      <c r="U41" s="6">
        <v>1620155</v>
      </c>
      <c r="V41" s="6">
        <v>203578</v>
      </c>
      <c r="W41" s="6">
        <v>529565</v>
      </c>
      <c r="X41" s="6">
        <v>790497</v>
      </c>
      <c r="Y41" s="6">
        <v>958966</v>
      </c>
      <c r="Z41" s="6">
        <v>730864</v>
      </c>
      <c r="AA41" s="6">
        <v>140278</v>
      </c>
      <c r="AB41" s="6">
        <v>1651924</v>
      </c>
      <c r="AC41" s="6">
        <v>143234</v>
      </c>
      <c r="AD41" s="6">
        <v>790053</v>
      </c>
      <c r="AE41" s="6">
        <v>943427</v>
      </c>
      <c r="AF41" s="6">
        <v>258912</v>
      </c>
      <c r="AG41" s="6">
        <v>202282</v>
      </c>
      <c r="AH41" s="6">
        <v>1628008</v>
      </c>
      <c r="AI41" s="6">
        <v>401613</v>
      </c>
      <c r="AJ41" s="6">
        <v>154406</v>
      </c>
      <c r="AK41" s="6">
        <v>535201</v>
      </c>
      <c r="AL41" s="6">
        <v>98991</v>
      </c>
      <c r="AM41" s="6">
        <v>615071</v>
      </c>
      <c r="AN41" s="6">
        <v>220317</v>
      </c>
      <c r="AO41" s="6">
        <v>926829</v>
      </c>
      <c r="AP41" s="6">
        <v>1153564</v>
      </c>
      <c r="AQ41" s="6">
        <v>371134</v>
      </c>
      <c r="AR41" s="6">
        <v>903187</v>
      </c>
    </row>
    <row r="42" spans="1:44">
      <c r="A42" s="4" t="s">
        <v>228</v>
      </c>
      <c r="B42" s="1" t="s">
        <v>229</v>
      </c>
      <c r="C42" s="1" t="s">
        <v>230</v>
      </c>
      <c r="D42" s="1" t="str">
        <f>HYPERLINK("http://eros.fiehnlab.ucdavis.edu:8080/binbase-compound/bin/show/219029?db=rtx5","219029")</f>
        <v>219029</v>
      </c>
      <c r="E42" s="1" t="s">
        <v>231</v>
      </c>
      <c r="F42" s="1" t="str">
        <f>HYPERLINK("http://www.genome.ad.jp/dbget-bin/www_bget?compound+C00295","C00295")</f>
        <v>C00295</v>
      </c>
      <c r="G42" s="1" t="str">
        <f>HYPERLINK("http://pubchem.ncbi.nlm.nih.gov/summary/summary.cgi?cid=967","967")</f>
        <v>967</v>
      </c>
      <c r="H42" s="1"/>
      <c r="I42" s="6">
        <v>799</v>
      </c>
      <c r="J42" s="6">
        <v>184</v>
      </c>
      <c r="K42" s="6">
        <v>141</v>
      </c>
      <c r="L42" s="6">
        <v>1178</v>
      </c>
      <c r="M42" s="6">
        <v>463</v>
      </c>
      <c r="N42" s="6">
        <v>1349</v>
      </c>
      <c r="O42" s="6">
        <v>501</v>
      </c>
      <c r="P42" s="6">
        <v>235</v>
      </c>
      <c r="Q42" s="6">
        <v>561</v>
      </c>
      <c r="R42" s="6">
        <v>676</v>
      </c>
      <c r="S42" s="6">
        <v>441</v>
      </c>
      <c r="T42" s="6">
        <v>127</v>
      </c>
      <c r="U42" s="6">
        <v>2030</v>
      </c>
      <c r="V42" s="6">
        <v>473</v>
      </c>
      <c r="W42" s="6">
        <v>705</v>
      </c>
      <c r="X42" s="6">
        <v>742</v>
      </c>
      <c r="Y42" s="6">
        <v>918</v>
      </c>
      <c r="Z42" s="6">
        <v>678</v>
      </c>
      <c r="AA42" s="6">
        <v>247</v>
      </c>
      <c r="AB42" s="6">
        <v>1792</v>
      </c>
      <c r="AC42" s="6">
        <v>748</v>
      </c>
      <c r="AD42" s="6">
        <v>578</v>
      </c>
      <c r="AE42" s="6">
        <v>1198</v>
      </c>
      <c r="AF42" s="6">
        <v>410</v>
      </c>
      <c r="AG42" s="6">
        <v>235</v>
      </c>
      <c r="AH42" s="6">
        <v>1577</v>
      </c>
      <c r="AI42" s="6">
        <v>382</v>
      </c>
      <c r="AJ42" s="6">
        <v>204</v>
      </c>
      <c r="AK42" s="6">
        <v>510</v>
      </c>
      <c r="AL42" s="6">
        <v>129</v>
      </c>
      <c r="AM42" s="6">
        <v>463</v>
      </c>
      <c r="AN42" s="6">
        <v>215</v>
      </c>
      <c r="AO42" s="6">
        <v>882</v>
      </c>
      <c r="AP42" s="6">
        <v>920</v>
      </c>
      <c r="AQ42" s="6">
        <v>281</v>
      </c>
      <c r="AR42" s="6">
        <v>768</v>
      </c>
    </row>
    <row r="43" spans="1:44">
      <c r="A43" s="4" t="s">
        <v>232</v>
      </c>
      <c r="B43" s="1" t="s">
        <v>233</v>
      </c>
      <c r="C43" s="1" t="s">
        <v>193</v>
      </c>
      <c r="D43" s="1" t="str">
        <f>HYPERLINK("http://eros.fiehnlab.ucdavis.edu:8080/binbase-compound/bin/show/202829?db=rtx5","202829")</f>
        <v>202829</v>
      </c>
      <c r="E43" s="1" t="s">
        <v>234</v>
      </c>
      <c r="F43" s="1" t="str">
        <f>HYPERLINK("http://www.genome.ad.jp/dbget-bin/www_bget?compound+C00077","C00077")</f>
        <v>C00077</v>
      </c>
      <c r="G43" s="1" t="str">
        <f>HYPERLINK("http://pubchem.ncbi.nlm.nih.gov/summary/summary.cgi?cid=6262","6262")</f>
        <v>6262</v>
      </c>
      <c r="H43" s="1"/>
      <c r="I43" s="6">
        <v>35944</v>
      </c>
      <c r="J43" s="6">
        <v>8487</v>
      </c>
      <c r="K43" s="6">
        <v>7601</v>
      </c>
      <c r="L43" s="6">
        <v>90905</v>
      </c>
      <c r="M43" s="6">
        <v>38782</v>
      </c>
      <c r="N43" s="6">
        <v>67308</v>
      </c>
      <c r="O43" s="6">
        <v>2914</v>
      </c>
      <c r="P43" s="6">
        <v>1584</v>
      </c>
      <c r="Q43" s="6">
        <v>33908</v>
      </c>
      <c r="R43" s="6">
        <v>4059</v>
      </c>
      <c r="S43" s="6">
        <v>3606</v>
      </c>
      <c r="T43" s="6">
        <v>2497</v>
      </c>
      <c r="U43" s="6">
        <v>80431</v>
      </c>
      <c r="V43" s="6">
        <v>12885</v>
      </c>
      <c r="W43" s="6">
        <v>35097</v>
      </c>
      <c r="X43" s="6">
        <v>33025</v>
      </c>
      <c r="Y43" s="6">
        <v>68795</v>
      </c>
      <c r="Z43" s="6">
        <v>30743</v>
      </c>
      <c r="AA43" s="6">
        <v>8855</v>
      </c>
      <c r="AB43" s="6">
        <v>50745</v>
      </c>
      <c r="AC43" s="6">
        <v>8583</v>
      </c>
      <c r="AD43" s="6">
        <v>36633</v>
      </c>
      <c r="AE43" s="6">
        <v>69775</v>
      </c>
      <c r="AF43" s="6">
        <v>8967</v>
      </c>
      <c r="AG43" s="6">
        <v>9837</v>
      </c>
      <c r="AH43" s="6">
        <v>71205</v>
      </c>
      <c r="AI43" s="6">
        <v>14437</v>
      </c>
      <c r="AJ43" s="6">
        <v>14247</v>
      </c>
      <c r="AK43" s="6">
        <v>29585</v>
      </c>
      <c r="AL43" s="6">
        <v>5807</v>
      </c>
      <c r="AM43" s="6">
        <v>43510</v>
      </c>
      <c r="AN43" s="6">
        <v>7789</v>
      </c>
      <c r="AO43" s="6">
        <v>40787</v>
      </c>
      <c r="AP43" s="6">
        <v>58525</v>
      </c>
      <c r="AQ43" s="6">
        <v>26859</v>
      </c>
      <c r="AR43" s="6">
        <v>41754</v>
      </c>
    </row>
    <row r="44" spans="1:44">
      <c r="A44" s="4" t="s">
        <v>235</v>
      </c>
      <c r="B44" s="1" t="s">
        <v>236</v>
      </c>
      <c r="C44" s="1" t="s">
        <v>237</v>
      </c>
      <c r="D44" s="1" t="str">
        <f>HYPERLINK("http://eros.fiehnlab.ucdavis.edu:8080/binbase-compound/bin/show/215488?db=rtx5","215488")</f>
        <v>215488</v>
      </c>
      <c r="E44" s="1" t="s">
        <v>238</v>
      </c>
      <c r="F44" s="1" t="str">
        <f>HYPERLINK("http://www.genome.ad.jp/dbget-bin/www_bget?compound+C00712","C00712")</f>
        <v>C00712</v>
      </c>
      <c r="G44" s="1" t="str">
        <f>HYPERLINK("http://pubchem.ncbi.nlm.nih.gov/summary/summary.cgi?cid=445639","445639")</f>
        <v>445639</v>
      </c>
      <c r="H44" s="1"/>
      <c r="I44" s="6">
        <v>402</v>
      </c>
      <c r="J44" s="6">
        <v>164</v>
      </c>
      <c r="K44" s="6">
        <v>179</v>
      </c>
      <c r="L44" s="6">
        <v>328</v>
      </c>
      <c r="M44" s="6">
        <v>282</v>
      </c>
      <c r="N44" s="6">
        <v>326</v>
      </c>
      <c r="O44" s="6">
        <v>210</v>
      </c>
      <c r="P44" s="6">
        <v>158</v>
      </c>
      <c r="Q44" s="6">
        <v>522</v>
      </c>
      <c r="R44" s="6">
        <v>346</v>
      </c>
      <c r="S44" s="6">
        <v>200</v>
      </c>
      <c r="T44" s="6">
        <v>229</v>
      </c>
      <c r="U44" s="6">
        <v>355</v>
      </c>
      <c r="V44" s="6">
        <v>274</v>
      </c>
      <c r="W44" s="6">
        <v>315</v>
      </c>
      <c r="X44" s="6">
        <v>349</v>
      </c>
      <c r="Y44" s="6">
        <v>362</v>
      </c>
      <c r="Z44" s="6">
        <v>327</v>
      </c>
      <c r="AA44" s="6">
        <v>125</v>
      </c>
      <c r="AB44" s="6">
        <v>410</v>
      </c>
      <c r="AC44" s="6">
        <v>470</v>
      </c>
      <c r="AD44" s="6">
        <v>324</v>
      </c>
      <c r="AE44" s="6">
        <v>341</v>
      </c>
      <c r="AF44" s="6">
        <v>213</v>
      </c>
      <c r="AG44" s="6">
        <v>173</v>
      </c>
      <c r="AH44" s="6">
        <v>381</v>
      </c>
      <c r="AI44" s="6">
        <v>215</v>
      </c>
      <c r="AJ44" s="6">
        <v>192</v>
      </c>
      <c r="AK44" s="6">
        <v>274</v>
      </c>
      <c r="AL44" s="6">
        <v>163</v>
      </c>
      <c r="AM44" s="6">
        <v>309</v>
      </c>
      <c r="AN44" s="6">
        <v>137</v>
      </c>
      <c r="AO44" s="6">
        <v>344</v>
      </c>
      <c r="AP44" s="6">
        <v>352</v>
      </c>
      <c r="AQ44" s="6">
        <v>252</v>
      </c>
      <c r="AR44" s="6">
        <v>350</v>
      </c>
    </row>
    <row r="45" spans="1:44">
      <c r="A45" s="4" t="s">
        <v>239</v>
      </c>
      <c r="B45" s="1" t="s">
        <v>240</v>
      </c>
      <c r="C45" s="1" t="s">
        <v>241</v>
      </c>
      <c r="D45" s="1" t="str">
        <f>HYPERLINK("http://eros.fiehnlab.ucdavis.edu:8080/binbase-compound/bin/show/205663?db=rtx5","205663")</f>
        <v>205663</v>
      </c>
      <c r="E45" s="1" t="s">
        <v>242</v>
      </c>
      <c r="F45" s="1" t="str">
        <f>HYPERLINK("http://www.genome.ad.jp/dbget-bin/www_bget?compound+C02721","C02721")</f>
        <v>C02721</v>
      </c>
      <c r="G45" s="1" t="str">
        <f>HYPERLINK("http://pubchem.ncbi.nlm.nih.gov/summary/summary.cgi?cid=5288725","5288725")</f>
        <v>5288725</v>
      </c>
      <c r="H45" s="1"/>
      <c r="I45" s="6">
        <v>27040</v>
      </c>
      <c r="J45" s="6">
        <v>6400</v>
      </c>
      <c r="K45" s="6">
        <v>6288</v>
      </c>
      <c r="L45" s="6">
        <v>29351</v>
      </c>
      <c r="M45" s="6">
        <v>20630</v>
      </c>
      <c r="N45" s="6">
        <v>25373</v>
      </c>
      <c r="O45" s="6">
        <v>14832</v>
      </c>
      <c r="P45" s="6">
        <v>4680</v>
      </c>
      <c r="Q45" s="6">
        <v>23584</v>
      </c>
      <c r="R45" s="6">
        <v>17632</v>
      </c>
      <c r="S45" s="6">
        <v>9184</v>
      </c>
      <c r="T45" s="6">
        <v>4519</v>
      </c>
      <c r="U45" s="6">
        <v>29254</v>
      </c>
      <c r="V45" s="6">
        <v>10723</v>
      </c>
      <c r="W45" s="6">
        <v>17304</v>
      </c>
      <c r="X45" s="6">
        <v>28272</v>
      </c>
      <c r="Y45" s="6">
        <v>26555</v>
      </c>
      <c r="Z45" s="6">
        <v>20309</v>
      </c>
      <c r="AA45" s="6">
        <v>8614</v>
      </c>
      <c r="AB45" s="6">
        <v>14842</v>
      </c>
      <c r="AC45" s="6">
        <v>6289</v>
      </c>
      <c r="AD45" s="6">
        <v>20978</v>
      </c>
      <c r="AE45" s="6">
        <v>22135</v>
      </c>
      <c r="AF45" s="6">
        <v>11072</v>
      </c>
      <c r="AG45" s="6">
        <v>14371</v>
      </c>
      <c r="AH45" s="6">
        <v>37714</v>
      </c>
      <c r="AI45" s="6">
        <v>10173</v>
      </c>
      <c r="AJ45" s="6">
        <v>8249</v>
      </c>
      <c r="AK45" s="6">
        <v>17978</v>
      </c>
      <c r="AL45" s="6">
        <v>6345</v>
      </c>
      <c r="AM45" s="6">
        <v>13476</v>
      </c>
      <c r="AN45" s="6">
        <v>10634</v>
      </c>
      <c r="AO45" s="6">
        <v>22539</v>
      </c>
      <c r="AP45" s="6">
        <v>27858</v>
      </c>
      <c r="AQ45" s="6">
        <v>16638</v>
      </c>
      <c r="AR45" s="6">
        <v>25442</v>
      </c>
    </row>
    <row r="46" spans="1:44">
      <c r="A46" s="4" t="s">
        <v>243</v>
      </c>
      <c r="B46" s="1" t="s">
        <v>244</v>
      </c>
      <c r="C46" s="1" t="s">
        <v>114</v>
      </c>
      <c r="D46" s="1" t="str">
        <f>HYPERLINK("http://eros.fiehnlab.ucdavis.edu:8080/binbase-compound/bin/show/296490?db=rtx5","296490")</f>
        <v>296490</v>
      </c>
      <c r="E46" s="1" t="s">
        <v>245</v>
      </c>
      <c r="F46" s="1" t="str">
        <f>HYPERLINK("http://www.genome.ad.jp/dbget-bin/www_bget?compound+C00153","C00153")</f>
        <v>C00153</v>
      </c>
      <c r="G46" s="1" t="str">
        <f>HYPERLINK("http://pubchem.ncbi.nlm.nih.gov/summary/summary.cgi?cid=936","936")</f>
        <v>936</v>
      </c>
      <c r="H46" s="1"/>
      <c r="I46" s="6">
        <v>5772</v>
      </c>
      <c r="J46" s="6">
        <v>7015</v>
      </c>
      <c r="K46" s="6">
        <v>5411</v>
      </c>
      <c r="L46" s="6">
        <v>6157</v>
      </c>
      <c r="M46" s="6">
        <v>6025</v>
      </c>
      <c r="N46" s="6">
        <v>3833</v>
      </c>
      <c r="O46" s="6">
        <v>4118</v>
      </c>
      <c r="P46" s="6">
        <v>2550</v>
      </c>
      <c r="Q46" s="6">
        <v>6734</v>
      </c>
      <c r="R46" s="6">
        <v>5531</v>
      </c>
      <c r="S46" s="6">
        <v>6180</v>
      </c>
      <c r="T46" s="6">
        <v>1590</v>
      </c>
      <c r="U46" s="6">
        <v>8436</v>
      </c>
      <c r="V46" s="6">
        <v>14309</v>
      </c>
      <c r="W46" s="6">
        <v>11394</v>
      </c>
      <c r="X46" s="6">
        <v>6431</v>
      </c>
      <c r="Y46" s="6">
        <v>6500</v>
      </c>
      <c r="Z46" s="6">
        <v>8489</v>
      </c>
      <c r="AA46" s="6">
        <v>4271</v>
      </c>
      <c r="AB46" s="6">
        <v>6779</v>
      </c>
      <c r="AC46" s="6">
        <v>9604</v>
      </c>
      <c r="AD46" s="6">
        <v>8126</v>
      </c>
      <c r="AE46" s="6">
        <v>6021</v>
      </c>
      <c r="AF46" s="6">
        <v>7483</v>
      </c>
      <c r="AG46" s="6">
        <v>9443</v>
      </c>
      <c r="AH46" s="6">
        <v>10972</v>
      </c>
      <c r="AI46" s="6">
        <v>8335</v>
      </c>
      <c r="AJ46" s="6">
        <v>8133</v>
      </c>
      <c r="AK46" s="6">
        <v>9855</v>
      </c>
      <c r="AL46" s="6">
        <v>5183</v>
      </c>
      <c r="AM46" s="6">
        <v>7544</v>
      </c>
      <c r="AN46" s="6">
        <v>9079</v>
      </c>
      <c r="AO46" s="6">
        <v>8954</v>
      </c>
      <c r="AP46" s="6">
        <v>8441</v>
      </c>
      <c r="AQ46" s="6">
        <v>6145</v>
      </c>
      <c r="AR46" s="6">
        <v>9598</v>
      </c>
    </row>
    <row r="47" spans="1:44">
      <c r="A47" s="4" t="s">
        <v>247</v>
      </c>
      <c r="B47" s="1" t="s">
        <v>248</v>
      </c>
      <c r="C47" s="1" t="s">
        <v>246</v>
      </c>
      <c r="D47" s="1" t="str">
        <f>HYPERLINK("http://eros.fiehnlab.ucdavis.edu:8080/binbase-compound/bin/show/212819?db=rtx5","212819")</f>
        <v>212819</v>
      </c>
      <c r="E47" s="1" t="s">
        <v>249</v>
      </c>
      <c r="F47" s="1" t="str">
        <f>HYPERLINK("http://www.genome.ad.jp/dbget-bin/www_bget?compound+C00624","C00624")</f>
        <v>C00624</v>
      </c>
      <c r="G47" s="1" t="str">
        <f>HYPERLINK("http://pubchem.ncbi.nlm.nih.gov/summary/summary.cgi?cid=70914","70914")</f>
        <v>70914</v>
      </c>
      <c r="H47" s="1"/>
      <c r="I47" s="6">
        <v>1470</v>
      </c>
      <c r="J47" s="6">
        <v>1902</v>
      </c>
      <c r="K47" s="6">
        <v>1558</v>
      </c>
      <c r="L47" s="6">
        <v>1624</v>
      </c>
      <c r="M47" s="6">
        <v>784</v>
      </c>
      <c r="N47" s="6">
        <v>1637</v>
      </c>
      <c r="O47" s="6">
        <v>1385</v>
      </c>
      <c r="P47" s="6">
        <v>1164</v>
      </c>
      <c r="Q47" s="6">
        <v>2118</v>
      </c>
      <c r="R47" s="6">
        <v>1666</v>
      </c>
      <c r="S47" s="6">
        <v>1554</v>
      </c>
      <c r="T47" s="6">
        <v>631</v>
      </c>
      <c r="U47" s="6">
        <v>1996</v>
      </c>
      <c r="V47" s="6">
        <v>971</v>
      </c>
      <c r="W47" s="6">
        <v>1544</v>
      </c>
      <c r="X47" s="6">
        <v>1451</v>
      </c>
      <c r="Y47" s="6">
        <v>1473</v>
      </c>
      <c r="Z47" s="6">
        <v>1112</v>
      </c>
      <c r="AA47" s="6">
        <v>1636</v>
      </c>
      <c r="AB47" s="6">
        <v>2895</v>
      </c>
      <c r="AC47" s="6">
        <v>2253</v>
      </c>
      <c r="AD47" s="6">
        <v>1556</v>
      </c>
      <c r="AE47" s="6">
        <v>1416</v>
      </c>
      <c r="AF47" s="6">
        <v>1426</v>
      </c>
      <c r="AG47" s="6">
        <v>4258</v>
      </c>
      <c r="AH47" s="6">
        <v>4530</v>
      </c>
      <c r="AI47" s="6">
        <v>3243</v>
      </c>
      <c r="AJ47" s="6">
        <v>2813</v>
      </c>
      <c r="AK47" s="6">
        <v>2711</v>
      </c>
      <c r="AL47" s="6">
        <v>2331</v>
      </c>
      <c r="AM47" s="6">
        <v>1159</v>
      </c>
      <c r="AN47" s="6">
        <v>1179</v>
      </c>
      <c r="AO47" s="6">
        <v>1567</v>
      </c>
      <c r="AP47" s="6">
        <v>1748</v>
      </c>
      <c r="AQ47" s="6">
        <v>1226</v>
      </c>
      <c r="AR47" s="6">
        <v>1945</v>
      </c>
    </row>
    <row r="48" spans="1:44">
      <c r="A48" s="4" t="s">
        <v>1204</v>
      </c>
      <c r="B48" s="1" t="s">
        <v>250</v>
      </c>
      <c r="C48" s="1" t="s">
        <v>125</v>
      </c>
      <c r="D48" s="1" t="str">
        <f>HYPERLINK("http://eros.fiehnlab.ucdavis.edu:8080/binbase-compound/bin/show/205676?db=rtx5","205676")</f>
        <v>205676</v>
      </c>
      <c r="E48" s="1" t="s">
        <v>251</v>
      </c>
      <c r="F48" s="1" t="str">
        <f>HYPERLINK("http://www.genome.ad.jp/dbget-bin/www_bget?compound+C00645","C00645")</f>
        <v>C00645</v>
      </c>
      <c r="G48" s="1" t="str">
        <f>HYPERLINK("http://pubchem.ncbi.nlm.nih.gov/summary/summary.cgi?cid=65150","65150")</f>
        <v>65150</v>
      </c>
      <c r="H48" s="1"/>
      <c r="I48" s="6">
        <v>314</v>
      </c>
      <c r="J48" s="6">
        <v>344</v>
      </c>
      <c r="K48" s="6">
        <v>273</v>
      </c>
      <c r="L48" s="6">
        <v>518</v>
      </c>
      <c r="M48" s="6">
        <v>326</v>
      </c>
      <c r="N48" s="6">
        <v>618</v>
      </c>
      <c r="O48" s="6">
        <v>324</v>
      </c>
      <c r="P48" s="6">
        <v>273</v>
      </c>
      <c r="Q48" s="6">
        <v>523</v>
      </c>
      <c r="R48" s="6">
        <v>545</v>
      </c>
      <c r="S48" s="6">
        <v>354</v>
      </c>
      <c r="T48" s="6">
        <v>169</v>
      </c>
      <c r="U48" s="6">
        <v>484</v>
      </c>
      <c r="V48" s="6">
        <v>288</v>
      </c>
      <c r="W48" s="6">
        <v>203</v>
      </c>
      <c r="X48" s="6">
        <v>610</v>
      </c>
      <c r="Y48" s="6">
        <v>242</v>
      </c>
      <c r="Z48" s="6">
        <v>442</v>
      </c>
      <c r="AA48" s="6">
        <v>325</v>
      </c>
      <c r="AB48" s="6">
        <v>749</v>
      </c>
      <c r="AC48" s="6">
        <v>469</v>
      </c>
      <c r="AD48" s="6">
        <v>409</v>
      </c>
      <c r="AE48" s="6">
        <v>585</v>
      </c>
      <c r="AF48" s="6">
        <v>290</v>
      </c>
      <c r="AG48" s="6">
        <v>571</v>
      </c>
      <c r="AH48" s="6">
        <v>778</v>
      </c>
      <c r="AI48" s="6">
        <v>301</v>
      </c>
      <c r="AJ48" s="6">
        <v>217</v>
      </c>
      <c r="AK48" s="6">
        <v>145</v>
      </c>
      <c r="AL48" s="6">
        <v>192</v>
      </c>
      <c r="AM48" s="6">
        <v>340</v>
      </c>
      <c r="AN48" s="6">
        <v>287</v>
      </c>
      <c r="AO48" s="6">
        <v>247</v>
      </c>
      <c r="AP48" s="6">
        <v>483</v>
      </c>
      <c r="AQ48" s="6">
        <v>101</v>
      </c>
      <c r="AR48" s="6">
        <v>535</v>
      </c>
    </row>
    <row r="49" spans="1:44">
      <c r="A49" s="4" t="s">
        <v>252</v>
      </c>
      <c r="B49" s="1" t="s">
        <v>253</v>
      </c>
      <c r="C49" s="1" t="s">
        <v>254</v>
      </c>
      <c r="D49" s="1" t="str">
        <f>HYPERLINK("http://eros.fiehnlab.ucdavis.edu:8080/binbase-compound/bin/show/199929?db=rtx5","199929")</f>
        <v>199929</v>
      </c>
      <c r="E49" s="1" t="s">
        <v>255</v>
      </c>
      <c r="F49" s="1" t="str">
        <f>HYPERLINK("http://www.genome.ad.jp/dbget-bin/www_bget?compound+C06424","C06424")</f>
        <v>C06424</v>
      </c>
      <c r="G49" s="1" t="str">
        <f>HYPERLINK("http://pubchem.ncbi.nlm.nih.gov/summary/summary.cgi?cid=11005","11005")</f>
        <v>11005</v>
      </c>
      <c r="H49" s="1"/>
      <c r="I49" s="6">
        <v>1493</v>
      </c>
      <c r="J49" s="6">
        <v>1380</v>
      </c>
      <c r="K49" s="6">
        <v>1290</v>
      </c>
      <c r="L49" s="6">
        <v>1578</v>
      </c>
      <c r="M49" s="6">
        <v>1282</v>
      </c>
      <c r="N49" s="6">
        <v>1638</v>
      </c>
      <c r="O49" s="6">
        <v>1620</v>
      </c>
      <c r="P49" s="6">
        <v>892</v>
      </c>
      <c r="Q49" s="6">
        <v>1292</v>
      </c>
      <c r="R49" s="6">
        <v>1498</v>
      </c>
      <c r="S49" s="6">
        <v>974</v>
      </c>
      <c r="T49" s="6">
        <v>1010</v>
      </c>
      <c r="U49" s="6">
        <v>1339</v>
      </c>
      <c r="V49" s="6">
        <v>627</v>
      </c>
      <c r="W49" s="6">
        <v>1189</v>
      </c>
      <c r="X49" s="6">
        <v>1655</v>
      </c>
      <c r="Y49" s="6">
        <v>1314</v>
      </c>
      <c r="Z49" s="6">
        <v>1378</v>
      </c>
      <c r="AA49" s="6">
        <v>869</v>
      </c>
      <c r="AB49" s="6">
        <v>1845</v>
      </c>
      <c r="AC49" s="6">
        <v>1524</v>
      </c>
      <c r="AD49" s="6">
        <v>1470</v>
      </c>
      <c r="AE49" s="6">
        <v>1743</v>
      </c>
      <c r="AF49" s="6">
        <v>1827</v>
      </c>
      <c r="AG49" s="6">
        <v>1155</v>
      </c>
      <c r="AH49" s="6">
        <v>1325</v>
      </c>
      <c r="AI49" s="6">
        <v>1309</v>
      </c>
      <c r="AJ49" s="6">
        <v>1083</v>
      </c>
      <c r="AK49" s="6">
        <v>901</v>
      </c>
      <c r="AL49" s="6">
        <v>930</v>
      </c>
      <c r="AM49" s="6">
        <v>993</v>
      </c>
      <c r="AN49" s="6">
        <v>885</v>
      </c>
      <c r="AO49" s="6">
        <v>1228</v>
      </c>
      <c r="AP49" s="6">
        <v>1614</v>
      </c>
      <c r="AQ49" s="6">
        <v>1074</v>
      </c>
      <c r="AR49" s="6">
        <v>1249</v>
      </c>
    </row>
    <row r="50" spans="1:44">
      <c r="A50" s="4" t="s">
        <v>256</v>
      </c>
      <c r="B50" s="1" t="s">
        <v>257</v>
      </c>
      <c r="C50" s="1" t="s">
        <v>141</v>
      </c>
      <c r="D50" s="1" t="str">
        <f>HYPERLINK("http://eros.fiehnlab.ucdavis.edu:8080/binbase-compound/bin/show/296075?db=rtx5","296075")</f>
        <v>296075</v>
      </c>
      <c r="E50" s="1" t="s">
        <v>258</v>
      </c>
      <c r="F50" s="1" t="str">
        <f>HYPERLINK("http://www.genome.ad.jp/dbget-bin/www_bget?compound+C00418","C00418")</f>
        <v>C00418</v>
      </c>
      <c r="G50" s="1" t="str">
        <f>HYPERLINK("http://pubchem.ncbi.nlm.nih.gov/summary/summary.cgi?cid=439230","439230")</f>
        <v>439230</v>
      </c>
      <c r="H50" s="1"/>
      <c r="I50" s="6">
        <v>467</v>
      </c>
      <c r="J50" s="6">
        <v>164</v>
      </c>
      <c r="K50" s="6">
        <v>148</v>
      </c>
      <c r="L50" s="6">
        <v>522</v>
      </c>
      <c r="M50" s="6">
        <v>356</v>
      </c>
      <c r="N50" s="6">
        <v>453</v>
      </c>
      <c r="O50" s="6">
        <v>292</v>
      </c>
      <c r="P50" s="6">
        <v>145</v>
      </c>
      <c r="Q50" s="6">
        <v>321</v>
      </c>
      <c r="R50" s="6">
        <v>329</v>
      </c>
      <c r="S50" s="6">
        <v>146</v>
      </c>
      <c r="T50" s="6">
        <v>158</v>
      </c>
      <c r="U50" s="6">
        <v>599</v>
      </c>
      <c r="V50" s="6">
        <v>191</v>
      </c>
      <c r="W50" s="6">
        <v>357</v>
      </c>
      <c r="X50" s="6">
        <v>436</v>
      </c>
      <c r="Y50" s="6">
        <v>381</v>
      </c>
      <c r="Z50" s="6">
        <v>351</v>
      </c>
      <c r="AA50" s="6">
        <v>185</v>
      </c>
      <c r="AB50" s="6">
        <v>666</v>
      </c>
      <c r="AC50" s="6">
        <v>138</v>
      </c>
      <c r="AD50" s="6">
        <v>466</v>
      </c>
      <c r="AE50" s="6">
        <v>326</v>
      </c>
      <c r="AF50" s="6">
        <v>240</v>
      </c>
      <c r="AG50" s="6">
        <v>224</v>
      </c>
      <c r="AH50" s="6">
        <v>846</v>
      </c>
      <c r="AI50" s="6">
        <v>250</v>
      </c>
      <c r="AJ50" s="6">
        <v>167</v>
      </c>
      <c r="AK50" s="6">
        <v>374</v>
      </c>
      <c r="AL50" s="6">
        <v>136</v>
      </c>
      <c r="AM50" s="6">
        <v>400</v>
      </c>
      <c r="AN50" s="6">
        <v>174</v>
      </c>
      <c r="AO50" s="6">
        <v>403</v>
      </c>
      <c r="AP50" s="6">
        <v>410</v>
      </c>
      <c r="AQ50" s="6">
        <v>258</v>
      </c>
      <c r="AR50" s="6">
        <v>402</v>
      </c>
    </row>
    <row r="51" spans="1:44">
      <c r="A51" s="4" t="s">
        <v>262</v>
      </c>
      <c r="B51" s="1" t="s">
        <v>260</v>
      </c>
      <c r="C51" s="1" t="s">
        <v>259</v>
      </c>
      <c r="D51" s="1" t="str">
        <f>HYPERLINK("http://eros.fiehnlab.ucdavis.edu:8080/binbase-compound/bin/show/218901?db=rtx5","218901")</f>
        <v>218901</v>
      </c>
      <c r="E51" s="1" t="s">
        <v>261</v>
      </c>
      <c r="F51" s="1" t="str">
        <f>HYPERLINK("http://www.genome.ad.jp/dbget-bin/www_bget?compound+C02989","C02989")</f>
        <v>C02989</v>
      </c>
      <c r="G51" s="1" t="str">
        <f>HYPERLINK("http://pubchem.ncbi.nlm.nih.gov/summary/summary.cgi?cid=158980","158980")</f>
        <v>158980</v>
      </c>
      <c r="H51" s="1"/>
      <c r="I51" s="6">
        <v>113613</v>
      </c>
      <c r="J51" s="6">
        <v>26183</v>
      </c>
      <c r="K51" s="6">
        <v>19529</v>
      </c>
      <c r="L51" s="6">
        <v>8123</v>
      </c>
      <c r="M51" s="6">
        <v>64396</v>
      </c>
      <c r="N51" s="6">
        <v>105145</v>
      </c>
      <c r="O51" s="6">
        <v>68034</v>
      </c>
      <c r="P51" s="6">
        <v>10993</v>
      </c>
      <c r="Q51" s="6">
        <v>92012</v>
      </c>
      <c r="R51" s="6">
        <v>6115</v>
      </c>
      <c r="S51" s="6">
        <v>26343</v>
      </c>
      <c r="T51" s="6">
        <v>13051</v>
      </c>
      <c r="U51" s="6">
        <v>13734</v>
      </c>
      <c r="V51" s="6">
        <v>6864</v>
      </c>
      <c r="W51" s="6">
        <v>12567</v>
      </c>
      <c r="X51" s="6">
        <v>138414</v>
      </c>
      <c r="Y51" s="6">
        <v>11805</v>
      </c>
      <c r="Z51" s="6">
        <v>8157</v>
      </c>
      <c r="AA51" s="6">
        <v>28212</v>
      </c>
      <c r="AB51" s="6">
        <v>17696</v>
      </c>
      <c r="AC51" s="6">
        <v>28431</v>
      </c>
      <c r="AD51" s="6">
        <v>8730</v>
      </c>
      <c r="AE51" s="6">
        <v>101490</v>
      </c>
      <c r="AF51" s="6">
        <v>44686</v>
      </c>
      <c r="AG51" s="6">
        <v>37572</v>
      </c>
      <c r="AH51" s="6">
        <v>39131</v>
      </c>
      <c r="AI51" s="6">
        <v>60698</v>
      </c>
      <c r="AJ51" s="6">
        <v>20428</v>
      </c>
      <c r="AK51" s="6">
        <v>64238</v>
      </c>
      <c r="AL51" s="6">
        <v>22719</v>
      </c>
      <c r="AM51" s="6">
        <v>9159</v>
      </c>
      <c r="AN51" s="6">
        <v>2317</v>
      </c>
      <c r="AO51" s="6">
        <v>16042</v>
      </c>
      <c r="AP51" s="6">
        <v>8841</v>
      </c>
      <c r="AQ51" s="6">
        <v>59074</v>
      </c>
      <c r="AR51" s="6">
        <v>10558</v>
      </c>
    </row>
    <row r="52" spans="1:44">
      <c r="A52" s="4" t="s">
        <v>263</v>
      </c>
      <c r="B52" s="1" t="s">
        <v>264</v>
      </c>
      <c r="C52" s="1" t="s">
        <v>265</v>
      </c>
      <c r="D52" s="1" t="str">
        <f>HYPERLINK("http://eros.fiehnlab.ucdavis.edu:8080/binbase-compound/bin/show/243699?db=rtx5","243699")</f>
        <v>243699</v>
      </c>
      <c r="E52" s="1" t="s">
        <v>266</v>
      </c>
      <c r="F52" s="1" t="str">
        <f>HYPERLINK("http://www.genome.ad.jp/dbget-bin/www_bget?compound+C00073","C00073")</f>
        <v>C00073</v>
      </c>
      <c r="G52" s="1" t="str">
        <f>HYPERLINK("http://pubchem.ncbi.nlm.nih.gov/summary/summary.cgi?cid=6137","6137")</f>
        <v>6137</v>
      </c>
      <c r="H52" s="1"/>
      <c r="I52" s="6">
        <v>68937</v>
      </c>
      <c r="J52" s="6">
        <v>1828</v>
      </c>
      <c r="K52" s="6">
        <v>477</v>
      </c>
      <c r="L52" s="6">
        <v>243423</v>
      </c>
      <c r="M52" s="6">
        <v>62331</v>
      </c>
      <c r="N52" s="6">
        <v>115604</v>
      </c>
      <c r="O52" s="6">
        <v>331</v>
      </c>
      <c r="P52" s="6">
        <v>517</v>
      </c>
      <c r="Q52" s="6">
        <v>61741</v>
      </c>
      <c r="R52" s="6">
        <v>284</v>
      </c>
      <c r="S52" s="6">
        <v>364</v>
      </c>
      <c r="T52" s="6">
        <v>1085</v>
      </c>
      <c r="U52" s="6">
        <v>257259</v>
      </c>
      <c r="V52" s="6">
        <v>31255</v>
      </c>
      <c r="W52" s="6">
        <v>94685</v>
      </c>
      <c r="X52" s="6">
        <v>49146</v>
      </c>
      <c r="Y52" s="6">
        <v>146336</v>
      </c>
      <c r="Z52" s="6">
        <v>117798</v>
      </c>
      <c r="AA52" s="6">
        <v>1267</v>
      </c>
      <c r="AB52" s="6">
        <v>172141</v>
      </c>
      <c r="AC52" s="6">
        <v>1449</v>
      </c>
      <c r="AD52" s="6">
        <v>103559</v>
      </c>
      <c r="AE52" s="6">
        <v>85009</v>
      </c>
      <c r="AF52" s="6">
        <v>9867</v>
      </c>
      <c r="AG52" s="6">
        <v>7297</v>
      </c>
      <c r="AH52" s="6">
        <v>260903</v>
      </c>
      <c r="AI52" s="6">
        <v>20904</v>
      </c>
      <c r="AJ52" s="6">
        <v>12114</v>
      </c>
      <c r="AK52" s="6">
        <v>54395</v>
      </c>
      <c r="AL52" s="6">
        <v>985</v>
      </c>
      <c r="AM52" s="6">
        <v>81689</v>
      </c>
      <c r="AN52" s="6">
        <v>28618</v>
      </c>
      <c r="AO52" s="6">
        <v>123683</v>
      </c>
      <c r="AP52" s="6">
        <v>181338</v>
      </c>
      <c r="AQ52" s="6">
        <v>32335</v>
      </c>
      <c r="AR52" s="6">
        <v>139130</v>
      </c>
    </row>
    <row r="53" spans="1:44">
      <c r="A53" s="4" t="s">
        <v>267</v>
      </c>
      <c r="B53" s="1" t="s">
        <v>268</v>
      </c>
      <c r="C53" s="1" t="s">
        <v>269</v>
      </c>
      <c r="D53" s="1" t="str">
        <f>HYPERLINK("http://eros.fiehnlab.ucdavis.edu:8080/binbase-compound/bin/show/227823?db=rtx5","227823")</f>
        <v>227823</v>
      </c>
      <c r="E53" s="1" t="s">
        <v>270</v>
      </c>
      <c r="F53" s="1" t="str">
        <f>HYPERLINK("http://www.genome.ad.jp/dbget-bin/www_bget?compound+C00275","C00275")</f>
        <v>C00275</v>
      </c>
      <c r="G53" s="1" t="str">
        <f>HYPERLINK("http://pubchem.ncbi.nlm.nih.gov/summary/summary.cgi?cid=65127","65127")</f>
        <v>65127</v>
      </c>
      <c r="H53" s="1"/>
      <c r="I53" s="6">
        <v>159</v>
      </c>
      <c r="J53" s="6">
        <v>228</v>
      </c>
      <c r="K53" s="6">
        <v>325</v>
      </c>
      <c r="L53" s="6">
        <v>211</v>
      </c>
      <c r="M53" s="6">
        <v>564</v>
      </c>
      <c r="N53" s="6">
        <v>217</v>
      </c>
      <c r="O53" s="6">
        <v>238</v>
      </c>
      <c r="P53" s="6">
        <v>136</v>
      </c>
      <c r="Q53" s="6">
        <v>118</v>
      </c>
      <c r="R53" s="6">
        <v>137</v>
      </c>
      <c r="S53" s="6">
        <v>211</v>
      </c>
      <c r="T53" s="6">
        <v>212</v>
      </c>
      <c r="U53" s="6">
        <v>306</v>
      </c>
      <c r="V53" s="6">
        <v>132</v>
      </c>
      <c r="W53" s="6">
        <v>244</v>
      </c>
      <c r="X53" s="6">
        <v>186</v>
      </c>
      <c r="Y53" s="6">
        <v>330</v>
      </c>
      <c r="Z53" s="6">
        <v>220</v>
      </c>
      <c r="AA53" s="6">
        <v>169</v>
      </c>
      <c r="AB53" s="6">
        <v>165</v>
      </c>
      <c r="AC53" s="6">
        <v>297</v>
      </c>
      <c r="AD53" s="6">
        <v>203</v>
      </c>
      <c r="AE53" s="6">
        <v>266</v>
      </c>
      <c r="AF53" s="6">
        <v>199</v>
      </c>
      <c r="AG53" s="6">
        <v>291</v>
      </c>
      <c r="AH53" s="6">
        <v>219</v>
      </c>
      <c r="AI53" s="6">
        <v>119</v>
      </c>
      <c r="AJ53" s="6">
        <v>151</v>
      </c>
      <c r="AK53" s="6">
        <v>119</v>
      </c>
      <c r="AL53" s="6">
        <v>157</v>
      </c>
      <c r="AM53" s="6">
        <v>265</v>
      </c>
      <c r="AN53" s="6">
        <v>214</v>
      </c>
      <c r="AO53" s="6">
        <v>272</v>
      </c>
      <c r="AP53" s="6">
        <v>287</v>
      </c>
      <c r="AQ53" s="6">
        <v>328</v>
      </c>
      <c r="AR53" s="6">
        <v>289</v>
      </c>
    </row>
    <row r="54" spans="1:44">
      <c r="A54" s="4" t="s">
        <v>271</v>
      </c>
      <c r="B54" s="1" t="s">
        <v>272</v>
      </c>
      <c r="C54" s="1" t="s">
        <v>159</v>
      </c>
      <c r="D54" s="1" t="str">
        <f>HYPERLINK("http://eros.fiehnlab.ucdavis.edu:8080/binbase-compound/bin/show/203245?db=rtx5","203245")</f>
        <v>203245</v>
      </c>
      <c r="E54" s="1" t="s">
        <v>273</v>
      </c>
      <c r="F54" s="1" t="str">
        <f>HYPERLINK("http://www.genome.ad.jp/dbget-bin/www_bget?compound+C01835","C01835")</f>
        <v>C01835</v>
      </c>
      <c r="G54" s="1" t="str">
        <f>HYPERLINK("http://pubchem.ncbi.nlm.nih.gov/summary/summary.cgi?cid=92146","92146")</f>
        <v>92146</v>
      </c>
      <c r="H54" s="1"/>
      <c r="I54" s="6">
        <v>226</v>
      </c>
      <c r="J54" s="6">
        <v>643</v>
      </c>
      <c r="K54" s="6">
        <v>369</v>
      </c>
      <c r="L54" s="6">
        <v>175</v>
      </c>
      <c r="M54" s="6">
        <v>846</v>
      </c>
      <c r="N54" s="6">
        <v>545</v>
      </c>
      <c r="O54" s="6">
        <v>639</v>
      </c>
      <c r="P54" s="6">
        <v>1086</v>
      </c>
      <c r="Q54" s="6">
        <v>601</v>
      </c>
      <c r="R54" s="6">
        <v>723</v>
      </c>
      <c r="S54" s="6">
        <v>794</v>
      </c>
      <c r="T54" s="6">
        <v>399</v>
      </c>
      <c r="U54" s="6">
        <v>553</v>
      </c>
      <c r="V54" s="6">
        <v>230</v>
      </c>
      <c r="W54" s="6">
        <v>206</v>
      </c>
      <c r="X54" s="6">
        <v>294</v>
      </c>
      <c r="Y54" s="6">
        <v>425</v>
      </c>
      <c r="Z54" s="6">
        <v>380</v>
      </c>
      <c r="AA54" s="6">
        <v>532</v>
      </c>
      <c r="AB54" s="6">
        <v>974</v>
      </c>
      <c r="AC54" s="6">
        <v>690</v>
      </c>
      <c r="AD54" s="6">
        <v>519</v>
      </c>
      <c r="AE54" s="6">
        <v>596</v>
      </c>
      <c r="AF54" s="6">
        <v>882</v>
      </c>
      <c r="AG54" s="6">
        <v>429</v>
      </c>
      <c r="AH54" s="6">
        <v>509</v>
      </c>
      <c r="AI54" s="6">
        <v>386</v>
      </c>
      <c r="AJ54" s="6">
        <v>211</v>
      </c>
      <c r="AK54" s="6">
        <v>165</v>
      </c>
      <c r="AL54" s="6">
        <v>144</v>
      </c>
      <c r="AM54" s="6">
        <v>192</v>
      </c>
      <c r="AN54" s="6">
        <v>283</v>
      </c>
      <c r="AO54" s="6">
        <v>366</v>
      </c>
      <c r="AP54" s="6">
        <v>459</v>
      </c>
      <c r="AQ54" s="6">
        <v>218</v>
      </c>
      <c r="AR54" s="6">
        <v>383</v>
      </c>
    </row>
    <row r="55" spans="1:44">
      <c r="A55" s="4" t="s">
        <v>1205</v>
      </c>
      <c r="B55" s="1" t="s">
        <v>274</v>
      </c>
      <c r="C55" s="1" t="s">
        <v>275</v>
      </c>
      <c r="D55" s="1" t="str">
        <f>HYPERLINK("http://eros.fiehnlab.ucdavis.edu:8080/binbase-compound/bin/show/218711?db=rtx5","218711")</f>
        <v>218711</v>
      </c>
      <c r="E55" s="1" t="s">
        <v>276</v>
      </c>
      <c r="F55" s="1" t="str">
        <f>HYPERLINK("http://www.genome.ad.jp/dbget-bin/www_bget?compound+C01971","C01971")</f>
        <v>C01971</v>
      </c>
      <c r="G55" s="1" t="str">
        <f>HYPERLINK("http://pubchem.ncbi.nlm.nih.gov/summary/summary.cgi?cid=6255","6255")</f>
        <v>6255</v>
      </c>
      <c r="H55" s="1"/>
      <c r="I55" s="6">
        <v>203</v>
      </c>
      <c r="J55" s="6">
        <v>2263</v>
      </c>
      <c r="K55" s="6">
        <v>2139</v>
      </c>
      <c r="L55" s="6">
        <v>568</v>
      </c>
      <c r="M55" s="6">
        <v>2795</v>
      </c>
      <c r="N55" s="6">
        <v>2098</v>
      </c>
      <c r="O55" s="6">
        <v>1312</v>
      </c>
      <c r="P55" s="6">
        <v>2266</v>
      </c>
      <c r="Q55" s="6">
        <v>1075</v>
      </c>
      <c r="R55" s="6">
        <v>1993</v>
      </c>
      <c r="S55" s="6">
        <v>2758</v>
      </c>
      <c r="T55" s="6">
        <v>869</v>
      </c>
      <c r="U55" s="6">
        <v>2159</v>
      </c>
      <c r="V55" s="6">
        <v>749</v>
      </c>
      <c r="W55" s="6">
        <v>1032</v>
      </c>
      <c r="X55" s="6">
        <v>1167</v>
      </c>
      <c r="Y55" s="6">
        <v>1030</v>
      </c>
      <c r="Z55" s="6">
        <v>839</v>
      </c>
      <c r="AA55" s="6">
        <v>1158</v>
      </c>
      <c r="AB55" s="6">
        <v>3274</v>
      </c>
      <c r="AC55" s="6">
        <v>3373</v>
      </c>
      <c r="AD55" s="6">
        <v>1626</v>
      </c>
      <c r="AE55" s="6">
        <v>2864</v>
      </c>
      <c r="AF55" s="6">
        <v>2482</v>
      </c>
      <c r="AG55" s="6">
        <v>895</v>
      </c>
      <c r="AH55" s="6">
        <v>1362</v>
      </c>
      <c r="AI55" s="6">
        <v>740</v>
      </c>
      <c r="AJ55" s="6">
        <v>283</v>
      </c>
      <c r="AK55" s="6">
        <v>502</v>
      </c>
      <c r="AL55" s="6">
        <v>137</v>
      </c>
      <c r="AM55" s="6">
        <v>562</v>
      </c>
      <c r="AN55" s="6">
        <v>389</v>
      </c>
      <c r="AO55" s="6">
        <v>822</v>
      </c>
      <c r="AP55" s="6">
        <v>1143</v>
      </c>
      <c r="AQ55" s="6">
        <v>737</v>
      </c>
      <c r="AR55" s="6">
        <v>1015</v>
      </c>
    </row>
    <row r="56" spans="1:44">
      <c r="A56" s="4" t="s">
        <v>277</v>
      </c>
      <c r="B56" s="1" t="s">
        <v>278</v>
      </c>
      <c r="C56" s="1" t="s">
        <v>279</v>
      </c>
      <c r="D56" s="1" t="str">
        <f>HYPERLINK("http://eros.fiehnlab.ucdavis.edu:8080/binbase-compound/bin/show/247180?db=rtx5","247180")</f>
        <v>247180</v>
      </c>
      <c r="E56" s="1" t="s">
        <v>280</v>
      </c>
      <c r="F56" s="1" t="str">
        <f>HYPERLINK("http://www.genome.ad.jp/dbget-bin/www_bget?compound+C00149","C00149")</f>
        <v>C00149</v>
      </c>
      <c r="G56" s="1" t="str">
        <f>HYPERLINK("http://pubchem.ncbi.nlm.nih.gov/summary/summary.cgi?cid=222656","222656")</f>
        <v>222656</v>
      </c>
      <c r="H56" s="1"/>
      <c r="I56" s="6">
        <v>2642</v>
      </c>
      <c r="J56" s="6">
        <v>40267</v>
      </c>
      <c r="K56" s="6">
        <v>15003</v>
      </c>
      <c r="L56" s="6">
        <v>1295</v>
      </c>
      <c r="M56" s="6">
        <v>92359</v>
      </c>
      <c r="N56" s="6">
        <v>28263</v>
      </c>
      <c r="O56" s="6">
        <v>279</v>
      </c>
      <c r="P56" s="6">
        <v>9070</v>
      </c>
      <c r="Q56" s="6">
        <v>4243</v>
      </c>
      <c r="R56" s="6">
        <v>22642</v>
      </c>
      <c r="S56" s="6">
        <v>12021</v>
      </c>
      <c r="T56" s="6">
        <v>2488</v>
      </c>
      <c r="U56" s="6">
        <v>39145</v>
      </c>
      <c r="V56" s="6">
        <v>18733</v>
      </c>
      <c r="W56" s="6">
        <v>24162</v>
      </c>
      <c r="X56" s="6">
        <v>4872</v>
      </c>
      <c r="Y56" s="6">
        <v>62018</v>
      </c>
      <c r="Z56" s="6">
        <v>41893</v>
      </c>
      <c r="AA56" s="6">
        <v>5915</v>
      </c>
      <c r="AB56" s="6">
        <v>13486</v>
      </c>
      <c r="AC56" s="6">
        <v>9896</v>
      </c>
      <c r="AD56" s="6">
        <v>33274</v>
      </c>
      <c r="AE56" s="6">
        <v>7952</v>
      </c>
      <c r="AF56" s="6">
        <v>8013</v>
      </c>
      <c r="AG56" s="6">
        <v>29636</v>
      </c>
      <c r="AH56" s="6">
        <v>44556</v>
      </c>
      <c r="AI56" s="6">
        <v>8009</v>
      </c>
      <c r="AJ56" s="6">
        <v>16338</v>
      </c>
      <c r="AK56" s="6">
        <v>34201</v>
      </c>
      <c r="AL56" s="6">
        <v>3975</v>
      </c>
      <c r="AM56" s="6">
        <v>16740</v>
      </c>
      <c r="AN56" s="6">
        <v>13544</v>
      </c>
      <c r="AO56" s="6">
        <v>29572</v>
      </c>
      <c r="AP56" s="6">
        <v>34885</v>
      </c>
      <c r="AQ56" s="6">
        <v>29311</v>
      </c>
      <c r="AR56" s="6">
        <v>30528</v>
      </c>
    </row>
    <row r="57" spans="1:44">
      <c r="A57" s="4" t="s">
        <v>281</v>
      </c>
      <c r="B57" s="1" t="s">
        <v>282</v>
      </c>
      <c r="C57" s="1" t="s">
        <v>283</v>
      </c>
      <c r="D57" s="1" t="str">
        <f>HYPERLINK("http://eros.fiehnlab.ucdavis.edu:8080/binbase-compound/bin/show/200907?db=rtx5","200907")</f>
        <v>200907</v>
      </c>
      <c r="E57" s="1" t="s">
        <v>284</v>
      </c>
      <c r="F57" s="1" t="str">
        <f>HYPERLINK("http://www.genome.ad.jp/dbget-bin/www_bget?compound+C07272","C07272")</f>
        <v>C07272</v>
      </c>
      <c r="G57" s="1" t="str">
        <f>HYPERLINK("http://pubchem.ncbi.nlm.nih.gov/summary/summary.cgi?cid=10935","10935")</f>
        <v>10935</v>
      </c>
      <c r="H57" s="1"/>
      <c r="I57" s="6">
        <v>15612</v>
      </c>
      <c r="J57" s="6">
        <v>1722</v>
      </c>
      <c r="K57" s="6">
        <v>1925</v>
      </c>
      <c r="L57" s="6">
        <v>20636</v>
      </c>
      <c r="M57" s="6">
        <v>8239</v>
      </c>
      <c r="N57" s="6">
        <v>24132</v>
      </c>
      <c r="O57" s="6">
        <v>4682</v>
      </c>
      <c r="P57" s="6">
        <v>2925</v>
      </c>
      <c r="Q57" s="6">
        <v>15115</v>
      </c>
      <c r="R57" s="6">
        <v>5841</v>
      </c>
      <c r="S57" s="6">
        <v>2255</v>
      </c>
      <c r="T57" s="6">
        <v>1029</v>
      </c>
      <c r="U57" s="6">
        <v>33515</v>
      </c>
      <c r="V57" s="6">
        <v>3386</v>
      </c>
      <c r="W57" s="6">
        <v>7680</v>
      </c>
      <c r="X57" s="6">
        <v>15983</v>
      </c>
      <c r="Y57" s="6">
        <v>14770</v>
      </c>
      <c r="Z57" s="6">
        <v>8348</v>
      </c>
      <c r="AA57" s="6">
        <v>2472</v>
      </c>
      <c r="AB57" s="6">
        <v>26186</v>
      </c>
      <c r="AC57" s="6">
        <v>3782</v>
      </c>
      <c r="AD57" s="6">
        <v>8440</v>
      </c>
      <c r="AE57" s="6">
        <v>21189</v>
      </c>
      <c r="AF57" s="6">
        <v>3511</v>
      </c>
      <c r="AG57" s="6">
        <v>3521</v>
      </c>
      <c r="AH57" s="6">
        <v>37291</v>
      </c>
      <c r="AI57" s="6">
        <v>5804</v>
      </c>
      <c r="AJ57" s="6">
        <v>3373</v>
      </c>
      <c r="AK57" s="6">
        <v>11517</v>
      </c>
      <c r="AL57" s="6">
        <v>1990</v>
      </c>
      <c r="AM57" s="6">
        <v>10634</v>
      </c>
      <c r="AN57" s="6">
        <v>3098</v>
      </c>
      <c r="AO57" s="6">
        <v>16383</v>
      </c>
      <c r="AP57" s="6">
        <v>17078</v>
      </c>
      <c r="AQ57" s="6">
        <v>7320</v>
      </c>
      <c r="AR57" s="6">
        <v>10826</v>
      </c>
    </row>
    <row r="58" spans="1:44">
      <c r="A58" s="4" t="s">
        <v>1206</v>
      </c>
      <c r="B58" s="1" t="s">
        <v>285</v>
      </c>
      <c r="C58" s="1" t="s">
        <v>185</v>
      </c>
      <c r="D58" s="1" t="str">
        <f>HYPERLINK("http://eros.fiehnlab.ucdavis.edu:8080/binbase-compound/bin/show/323629?db=rtx5","323629")</f>
        <v>323629</v>
      </c>
      <c r="E58" s="1" t="s">
        <v>286</v>
      </c>
      <c r="F58" s="1" t="str">
        <f>HYPERLINK("http://www.genome.ad.jp/dbget-bin/www_bget?compound+n/a","n/a")</f>
        <v>n/a</v>
      </c>
      <c r="G58" s="1" t="str">
        <f>HYPERLINK("http://pubchem.ncbi.nlm.nih.gov/summary/summary.cgi?cid=65550","65550")</f>
        <v>65550</v>
      </c>
      <c r="H58" s="1"/>
      <c r="I58" s="6">
        <v>148342</v>
      </c>
      <c r="J58" s="6">
        <v>7904</v>
      </c>
      <c r="K58" s="6">
        <v>8862</v>
      </c>
      <c r="L58" s="6">
        <v>162892</v>
      </c>
      <c r="M58" s="6">
        <v>113070</v>
      </c>
      <c r="N58" s="6">
        <v>183886</v>
      </c>
      <c r="O58" s="6">
        <v>80295</v>
      </c>
      <c r="P58" s="6">
        <v>13113</v>
      </c>
      <c r="Q58" s="6">
        <v>71819</v>
      </c>
      <c r="R58" s="6">
        <v>78349</v>
      </c>
      <c r="S58" s="6">
        <v>22381</v>
      </c>
      <c r="T58" s="6">
        <v>10760</v>
      </c>
      <c r="U58" s="6">
        <v>110427</v>
      </c>
      <c r="V58" s="6">
        <v>23395</v>
      </c>
      <c r="W58" s="6">
        <v>55366</v>
      </c>
      <c r="X58" s="6">
        <v>121370</v>
      </c>
      <c r="Y58" s="6">
        <v>76124</v>
      </c>
      <c r="Z58" s="6">
        <v>72381</v>
      </c>
      <c r="AA58" s="6">
        <v>16970</v>
      </c>
      <c r="AB58" s="6">
        <v>25922</v>
      </c>
      <c r="AC58" s="6">
        <v>25900</v>
      </c>
      <c r="AD58" s="6">
        <v>77676</v>
      </c>
      <c r="AE58" s="6">
        <v>79079</v>
      </c>
      <c r="AF58" s="6">
        <v>67304</v>
      </c>
      <c r="AG58" s="6">
        <v>44738</v>
      </c>
      <c r="AH58" s="6">
        <v>460125</v>
      </c>
      <c r="AI58" s="6">
        <v>63349</v>
      </c>
      <c r="AJ58" s="6">
        <v>18258</v>
      </c>
      <c r="AK58" s="6">
        <v>53465</v>
      </c>
      <c r="AL58" s="6">
        <v>26861</v>
      </c>
      <c r="AM58" s="6">
        <v>107031</v>
      </c>
      <c r="AN58" s="6">
        <v>23959</v>
      </c>
      <c r="AO58" s="6">
        <v>134924</v>
      </c>
      <c r="AP58" s="6">
        <v>86225</v>
      </c>
      <c r="AQ58" s="6">
        <v>78201</v>
      </c>
      <c r="AR58" s="6">
        <v>127058</v>
      </c>
    </row>
    <row r="59" spans="1:44">
      <c r="A59" s="4" t="s">
        <v>287</v>
      </c>
      <c r="B59" s="1" t="s">
        <v>288</v>
      </c>
      <c r="C59" s="1" t="s">
        <v>165</v>
      </c>
      <c r="D59" s="1" t="str">
        <f>HYPERLINK("http://eros.fiehnlab.ucdavis.edu:8080/binbase-compound/bin/show/200530?db=rtx5","200530")</f>
        <v>200530</v>
      </c>
      <c r="E59" s="1" t="s">
        <v>289</v>
      </c>
      <c r="F59" s="1" t="str">
        <f>HYPERLINK("http://www.genome.ad.jp/dbget-bin/www_bget?compound+C00047","C00047")</f>
        <v>C00047</v>
      </c>
      <c r="G59" s="1" t="str">
        <f>HYPERLINK("http://pubchem.ncbi.nlm.nih.gov/summary/summary.cgi?cid=5962","5962")</f>
        <v>5962</v>
      </c>
      <c r="H59" s="1"/>
      <c r="I59" s="6">
        <v>712522</v>
      </c>
      <c r="J59" s="6">
        <v>29425</v>
      </c>
      <c r="K59" s="6">
        <v>15872</v>
      </c>
      <c r="L59" s="6">
        <v>988293</v>
      </c>
      <c r="M59" s="6">
        <v>238212</v>
      </c>
      <c r="N59" s="6">
        <v>672410</v>
      </c>
      <c r="O59" s="6">
        <v>239024</v>
      </c>
      <c r="P59" s="6">
        <v>30040</v>
      </c>
      <c r="Q59" s="6">
        <v>553006</v>
      </c>
      <c r="R59" s="6">
        <v>326505</v>
      </c>
      <c r="S59" s="6">
        <v>33305</v>
      </c>
      <c r="T59" s="6">
        <v>43158</v>
      </c>
      <c r="U59" s="6">
        <v>1107927</v>
      </c>
      <c r="V59" s="6">
        <v>105758</v>
      </c>
      <c r="W59" s="6">
        <v>357265</v>
      </c>
      <c r="X59" s="6">
        <v>580998</v>
      </c>
      <c r="Y59" s="6">
        <v>509572</v>
      </c>
      <c r="Z59" s="6">
        <v>486186</v>
      </c>
      <c r="AA59" s="6">
        <v>75124</v>
      </c>
      <c r="AB59" s="6">
        <v>617548</v>
      </c>
      <c r="AC59" s="6">
        <v>87357</v>
      </c>
      <c r="AD59" s="6">
        <v>551680</v>
      </c>
      <c r="AE59" s="6">
        <v>642278</v>
      </c>
      <c r="AF59" s="6">
        <v>142659</v>
      </c>
      <c r="AG59" s="6">
        <v>124588</v>
      </c>
      <c r="AH59" s="6">
        <v>1155340</v>
      </c>
      <c r="AI59" s="6">
        <v>250661</v>
      </c>
      <c r="AJ59" s="6">
        <v>77313</v>
      </c>
      <c r="AK59" s="6">
        <v>344657</v>
      </c>
      <c r="AL59" s="6">
        <v>22006</v>
      </c>
      <c r="AM59" s="6">
        <v>472501</v>
      </c>
      <c r="AN59" s="6">
        <v>121452</v>
      </c>
      <c r="AO59" s="6">
        <v>588625</v>
      </c>
      <c r="AP59" s="6">
        <v>919943</v>
      </c>
      <c r="AQ59" s="6">
        <v>201784</v>
      </c>
      <c r="AR59" s="6">
        <v>614132</v>
      </c>
    </row>
    <row r="60" spans="1:44">
      <c r="A60" s="4" t="s">
        <v>290</v>
      </c>
      <c r="B60" s="1" t="s">
        <v>291</v>
      </c>
      <c r="C60" s="1" t="s">
        <v>159</v>
      </c>
      <c r="D60" s="1" t="str">
        <f>HYPERLINK("http://eros.fiehnlab.ucdavis.edu:8080/binbase-compound/bin/show/199201?db=rtx5","199201")</f>
        <v>199201</v>
      </c>
      <c r="E60" s="1" t="s">
        <v>292</v>
      </c>
      <c r="F60" s="1" t="str">
        <f>HYPERLINK("http://www.genome.ad.jp/dbget-bin/www_bget?compound+n/a","n/a")</f>
        <v>n/a</v>
      </c>
      <c r="G60" s="1" t="str">
        <f>HYPERLINK("http://pubchem.ncbi.nlm.nih.gov/summary/summary.cgi?cid=2724705","2724705")</f>
        <v>2724705</v>
      </c>
      <c r="H60" s="1"/>
      <c r="I60" s="6">
        <v>1733</v>
      </c>
      <c r="J60" s="6">
        <v>555</v>
      </c>
      <c r="K60" s="6">
        <v>523</v>
      </c>
      <c r="L60" s="6">
        <v>2097</v>
      </c>
      <c r="M60" s="6">
        <v>1025</v>
      </c>
      <c r="N60" s="6">
        <v>1419</v>
      </c>
      <c r="O60" s="6">
        <v>1092</v>
      </c>
      <c r="P60" s="6">
        <v>450</v>
      </c>
      <c r="Q60" s="6">
        <v>1393</v>
      </c>
      <c r="R60" s="6">
        <v>921</v>
      </c>
      <c r="S60" s="6">
        <v>443</v>
      </c>
      <c r="T60" s="6">
        <v>416</v>
      </c>
      <c r="U60" s="6">
        <v>2857</v>
      </c>
      <c r="V60" s="6">
        <v>1083</v>
      </c>
      <c r="W60" s="6">
        <v>1243</v>
      </c>
      <c r="X60" s="6">
        <v>1138</v>
      </c>
      <c r="Y60" s="6">
        <v>1521</v>
      </c>
      <c r="Z60" s="6">
        <v>1249</v>
      </c>
      <c r="AA60" s="6">
        <v>570</v>
      </c>
      <c r="AB60" s="6">
        <v>2008</v>
      </c>
      <c r="AC60" s="6">
        <v>691</v>
      </c>
      <c r="AD60" s="6">
        <v>1396</v>
      </c>
      <c r="AE60" s="6">
        <v>1798</v>
      </c>
      <c r="AF60" s="6">
        <v>767</v>
      </c>
      <c r="AG60" s="6">
        <v>996</v>
      </c>
      <c r="AH60" s="6">
        <v>2529</v>
      </c>
      <c r="AI60" s="6">
        <v>888</v>
      </c>
      <c r="AJ60" s="6">
        <v>573</v>
      </c>
      <c r="AK60" s="6">
        <v>1048</v>
      </c>
      <c r="AL60" s="6">
        <v>331</v>
      </c>
      <c r="AM60" s="6">
        <v>1038</v>
      </c>
      <c r="AN60" s="6">
        <v>682</v>
      </c>
      <c r="AO60" s="6">
        <v>1518</v>
      </c>
      <c r="AP60" s="6">
        <v>1084</v>
      </c>
      <c r="AQ60" s="6">
        <v>1005</v>
      </c>
      <c r="AR60" s="6">
        <v>1497</v>
      </c>
    </row>
    <row r="61" spans="1:44">
      <c r="A61" s="4" t="s">
        <v>293</v>
      </c>
      <c r="B61" s="1" t="s">
        <v>294</v>
      </c>
      <c r="C61" s="1" t="s">
        <v>246</v>
      </c>
      <c r="D61" s="1" t="str">
        <f>HYPERLINK("http://eros.fiehnlab.ucdavis.edu:8080/binbase-compound/bin/show/232325?db=rtx5","232325")</f>
        <v>232325</v>
      </c>
      <c r="E61" s="1" t="s">
        <v>295</v>
      </c>
      <c r="F61" s="1" t="str">
        <f>HYPERLINK("http://www.genome.ad.jp/dbget-bin/www_bget?compound+C00123","C00123")</f>
        <v>C00123</v>
      </c>
      <c r="G61" s="1" t="str">
        <f>HYPERLINK("http://pubchem.ncbi.nlm.nih.gov/summary/summary.cgi?cid=6106","6106")</f>
        <v>6106</v>
      </c>
      <c r="H61" s="1"/>
      <c r="I61" s="6">
        <v>812049</v>
      </c>
      <c r="J61" s="6">
        <v>72617</v>
      </c>
      <c r="K61" s="6">
        <v>98550</v>
      </c>
      <c r="L61" s="6">
        <v>1096087</v>
      </c>
      <c r="M61" s="6">
        <v>613702</v>
      </c>
      <c r="N61" s="6">
        <v>1147383</v>
      </c>
      <c r="O61" s="6">
        <v>305159</v>
      </c>
      <c r="P61" s="6">
        <v>133609</v>
      </c>
      <c r="Q61" s="6">
        <v>721446</v>
      </c>
      <c r="R61" s="6">
        <v>479909</v>
      </c>
      <c r="S61" s="6">
        <v>233481</v>
      </c>
      <c r="T61" s="6">
        <v>76909</v>
      </c>
      <c r="U61" s="6">
        <v>1295747</v>
      </c>
      <c r="V61" s="6">
        <v>301868</v>
      </c>
      <c r="W61" s="6">
        <v>520017</v>
      </c>
      <c r="X61" s="6">
        <v>577121</v>
      </c>
      <c r="Y61" s="6">
        <v>889096</v>
      </c>
      <c r="Z61" s="6">
        <v>634469</v>
      </c>
      <c r="AA61" s="6">
        <v>133550</v>
      </c>
      <c r="AB61" s="6">
        <v>690199</v>
      </c>
      <c r="AC61" s="6">
        <v>91817</v>
      </c>
      <c r="AD61" s="6">
        <v>626025</v>
      </c>
      <c r="AE61" s="6">
        <v>840083</v>
      </c>
      <c r="AF61" s="6">
        <v>217435</v>
      </c>
      <c r="AG61" s="6">
        <v>174826</v>
      </c>
      <c r="AH61" s="6">
        <v>1318272</v>
      </c>
      <c r="AI61" s="6">
        <v>334734</v>
      </c>
      <c r="AJ61" s="6">
        <v>155443</v>
      </c>
      <c r="AK61" s="6">
        <v>558605</v>
      </c>
      <c r="AL61" s="6">
        <v>234378</v>
      </c>
      <c r="AM61" s="6">
        <v>568845</v>
      </c>
      <c r="AN61" s="6">
        <v>200247</v>
      </c>
      <c r="AO61" s="6">
        <v>829591</v>
      </c>
      <c r="AP61" s="6">
        <v>9067</v>
      </c>
      <c r="AQ61" s="6">
        <v>675450</v>
      </c>
      <c r="AR61" s="6">
        <v>796663</v>
      </c>
    </row>
    <row r="62" spans="1:44">
      <c r="A62" s="4" t="s">
        <v>296</v>
      </c>
      <c r="B62" s="1" t="s">
        <v>297</v>
      </c>
      <c r="C62" s="1" t="s">
        <v>120</v>
      </c>
      <c r="D62" s="1" t="str">
        <f>HYPERLINK("http://eros.fiehnlab.ucdavis.edu:8080/binbase-compound/bin/show/199591?db=rtx5","199591")</f>
        <v>199591</v>
      </c>
      <c r="E62" s="1" t="s">
        <v>298</v>
      </c>
      <c r="F62" s="1" t="str">
        <f>HYPERLINK("http://www.genome.ad.jp/dbget-bin/www_bget?compound+C00186","C00186")</f>
        <v>C00186</v>
      </c>
      <c r="G62" s="1" t="str">
        <f>HYPERLINK("http://pubchem.ncbi.nlm.nih.gov/summary/summary.cgi?cid=612","612")</f>
        <v>612</v>
      </c>
      <c r="H62" s="1"/>
      <c r="I62" s="6">
        <v>4393</v>
      </c>
      <c r="J62" s="6">
        <v>3136</v>
      </c>
      <c r="K62" s="6">
        <v>3564</v>
      </c>
      <c r="L62" s="6">
        <v>2668</v>
      </c>
      <c r="M62" s="6">
        <v>2844</v>
      </c>
      <c r="N62" s="6">
        <v>5572</v>
      </c>
      <c r="O62" s="6">
        <v>3526</v>
      </c>
      <c r="P62" s="6">
        <v>2400</v>
      </c>
      <c r="Q62" s="6">
        <v>4415</v>
      </c>
      <c r="R62" s="6">
        <v>4527</v>
      </c>
      <c r="S62" s="6">
        <v>4162</v>
      </c>
      <c r="T62" s="6">
        <v>3315</v>
      </c>
      <c r="U62" s="6">
        <v>3945</v>
      </c>
      <c r="V62" s="6">
        <v>2494</v>
      </c>
      <c r="W62" s="6">
        <v>2375</v>
      </c>
      <c r="X62" s="6">
        <v>4583</v>
      </c>
      <c r="Y62" s="6">
        <v>3321</v>
      </c>
      <c r="Z62" s="6">
        <v>4186</v>
      </c>
      <c r="AA62" s="6">
        <v>3222</v>
      </c>
      <c r="AB62" s="6">
        <v>3056</v>
      </c>
      <c r="AC62" s="6">
        <v>2874</v>
      </c>
      <c r="AD62" s="6">
        <v>3857</v>
      </c>
      <c r="AE62" s="6">
        <v>3684</v>
      </c>
      <c r="AF62" s="6">
        <v>4281</v>
      </c>
      <c r="AG62" s="6">
        <v>2738</v>
      </c>
      <c r="AH62" s="6">
        <v>8388</v>
      </c>
      <c r="AI62" s="6">
        <v>3246</v>
      </c>
      <c r="AJ62" s="6">
        <v>2805</v>
      </c>
      <c r="AK62" s="6">
        <v>4346</v>
      </c>
      <c r="AL62" s="6">
        <v>3232</v>
      </c>
      <c r="AM62" s="6">
        <v>2685</v>
      </c>
      <c r="AN62" s="6">
        <v>2354</v>
      </c>
      <c r="AO62" s="6">
        <v>4162</v>
      </c>
      <c r="AP62" s="6">
        <v>4371</v>
      </c>
      <c r="AQ62" s="6">
        <v>3137</v>
      </c>
      <c r="AR62" s="6">
        <v>3139</v>
      </c>
    </row>
    <row r="63" spans="1:44">
      <c r="A63" s="4" t="s">
        <v>299</v>
      </c>
      <c r="B63" s="1" t="s">
        <v>300</v>
      </c>
      <c r="C63" s="1" t="s">
        <v>131</v>
      </c>
      <c r="D63" s="1" t="str">
        <f>HYPERLINK("http://eros.fiehnlab.ucdavis.edu:8080/binbase-compound/bin/show/200467?db=rtx5","200467")</f>
        <v>200467</v>
      </c>
      <c r="E63" s="1" t="s">
        <v>301</v>
      </c>
      <c r="F63" s="1" t="str">
        <f>HYPERLINK("http://www.genome.ad.jp/dbget-bin/www_bget?compound+n/a","n/a")</f>
        <v>n/a</v>
      </c>
      <c r="G63" s="1" t="str">
        <f>HYPERLINK("http://pubchem.ncbi.nlm.nih.gov/summary/summary.cgi?cid=151152","151152")</f>
        <v>151152</v>
      </c>
      <c r="H63" s="1"/>
      <c r="I63" s="6">
        <v>9826</v>
      </c>
      <c r="J63" s="6">
        <v>2903</v>
      </c>
      <c r="K63" s="6">
        <v>2201</v>
      </c>
      <c r="L63" s="6">
        <v>3164</v>
      </c>
      <c r="M63" s="6">
        <v>1915</v>
      </c>
      <c r="N63" s="6">
        <v>6232</v>
      </c>
      <c r="O63" s="6">
        <v>13457</v>
      </c>
      <c r="P63" s="6">
        <v>14046</v>
      </c>
      <c r="Q63" s="6">
        <v>2903</v>
      </c>
      <c r="R63" s="6">
        <v>1428</v>
      </c>
      <c r="S63" s="6">
        <v>8866</v>
      </c>
      <c r="T63" s="6">
        <v>4910</v>
      </c>
      <c r="U63" s="6">
        <v>3679</v>
      </c>
      <c r="V63" s="6">
        <v>482</v>
      </c>
      <c r="W63" s="6">
        <v>1153</v>
      </c>
      <c r="X63" s="6">
        <v>9174</v>
      </c>
      <c r="Y63" s="6">
        <v>2069</v>
      </c>
      <c r="Z63" s="6">
        <v>1580</v>
      </c>
      <c r="AA63" s="6">
        <v>13308</v>
      </c>
      <c r="AB63" s="6">
        <v>4604</v>
      </c>
      <c r="AC63" s="6">
        <v>5052</v>
      </c>
      <c r="AD63" s="6">
        <v>1627</v>
      </c>
      <c r="AE63" s="6">
        <v>6615</v>
      </c>
      <c r="AF63" s="6">
        <v>3203</v>
      </c>
      <c r="AG63" s="6">
        <v>11307</v>
      </c>
      <c r="AH63" s="6">
        <v>4127</v>
      </c>
      <c r="AI63" s="6">
        <v>6140</v>
      </c>
      <c r="AJ63" s="6">
        <v>847</v>
      </c>
      <c r="AK63" s="6">
        <v>3810</v>
      </c>
      <c r="AL63" s="6">
        <v>2020</v>
      </c>
      <c r="AM63" s="6">
        <v>1604</v>
      </c>
      <c r="AN63" s="6">
        <v>511</v>
      </c>
      <c r="AO63" s="6">
        <v>2192</v>
      </c>
      <c r="AP63" s="6">
        <v>2828</v>
      </c>
      <c r="AQ63" s="6">
        <v>6525</v>
      </c>
      <c r="AR63" s="6">
        <v>2148</v>
      </c>
    </row>
    <row r="64" spans="1:44">
      <c r="A64" s="4" t="s">
        <v>302</v>
      </c>
      <c r="B64" s="1" t="s">
        <v>303</v>
      </c>
      <c r="C64" s="1" t="s">
        <v>304</v>
      </c>
      <c r="D64" s="1" t="str">
        <f>HYPERLINK("http://eros.fiehnlab.ucdavis.edu:8080/binbase-compound/bin/show/206136?db=rtx5","206136")</f>
        <v>206136</v>
      </c>
      <c r="E64" s="1" t="s">
        <v>305</v>
      </c>
      <c r="F64" s="1" t="str">
        <f>HYPERLINK("http://www.genome.ad.jp/dbget-bin/www_bget?compound+C07446","C07446")</f>
        <v>C07446</v>
      </c>
      <c r="G64" s="1" t="str">
        <f>HYPERLINK("http://pubchem.ncbi.nlm.nih.gov/summary/summary.cgi?cid=5922","5922")</f>
        <v>5922</v>
      </c>
      <c r="H64" s="1"/>
      <c r="I64" s="6">
        <v>15967</v>
      </c>
      <c r="J64" s="6">
        <v>3868</v>
      </c>
      <c r="K64" s="6">
        <v>3269</v>
      </c>
      <c r="L64" s="6">
        <v>17762</v>
      </c>
      <c r="M64" s="6">
        <v>17015</v>
      </c>
      <c r="N64" s="6">
        <v>16656</v>
      </c>
      <c r="O64" s="6">
        <v>10024</v>
      </c>
      <c r="P64" s="6">
        <v>3265</v>
      </c>
      <c r="Q64" s="6">
        <v>13928</v>
      </c>
      <c r="R64" s="6">
        <v>13688</v>
      </c>
      <c r="S64" s="6">
        <v>7561</v>
      </c>
      <c r="T64" s="6">
        <v>3229</v>
      </c>
      <c r="U64" s="6">
        <v>17909</v>
      </c>
      <c r="V64" s="6">
        <v>3865</v>
      </c>
      <c r="W64" s="6">
        <v>6046</v>
      </c>
      <c r="X64" s="6">
        <v>11940</v>
      </c>
      <c r="Y64" s="6">
        <v>11033</v>
      </c>
      <c r="Z64" s="6">
        <v>8615</v>
      </c>
      <c r="AA64" s="6">
        <v>5324</v>
      </c>
      <c r="AB64" s="6">
        <v>35838</v>
      </c>
      <c r="AC64" s="6">
        <v>8273</v>
      </c>
      <c r="AD64" s="6">
        <v>10659</v>
      </c>
      <c r="AE64" s="6">
        <v>15388</v>
      </c>
      <c r="AF64" s="6">
        <v>11176</v>
      </c>
      <c r="AG64" s="6">
        <v>3755</v>
      </c>
      <c r="AH64" s="6">
        <v>18683</v>
      </c>
      <c r="AI64" s="6">
        <v>4576</v>
      </c>
      <c r="AJ64" s="6">
        <v>1916</v>
      </c>
      <c r="AK64" s="6">
        <v>5513</v>
      </c>
      <c r="AL64" s="6">
        <v>1760</v>
      </c>
      <c r="AM64" s="6">
        <v>7116</v>
      </c>
      <c r="AN64" s="6">
        <v>3915</v>
      </c>
      <c r="AO64" s="6">
        <v>11206</v>
      </c>
      <c r="AP64" s="6">
        <v>16029</v>
      </c>
      <c r="AQ64" s="6">
        <v>6675</v>
      </c>
      <c r="AR64" s="6">
        <v>10503</v>
      </c>
    </row>
    <row r="65" spans="1:44">
      <c r="A65" s="4" t="s">
        <v>306</v>
      </c>
      <c r="B65" s="1" t="s">
        <v>307</v>
      </c>
      <c r="C65" s="1" t="s">
        <v>246</v>
      </c>
      <c r="D65" s="1" t="str">
        <f>HYPERLINK("http://eros.fiehnlab.ucdavis.edu:8080/binbase-compound/bin/show/214141?db=rtx5","214141")</f>
        <v>214141</v>
      </c>
      <c r="E65" s="1" t="s">
        <v>308</v>
      </c>
      <c r="F65" s="1" t="str">
        <f>HYPERLINK("http://www.genome.ad.jp/dbget-bin/www_bget?compound+C00407","C00407")</f>
        <v>C00407</v>
      </c>
      <c r="G65" s="1" t="str">
        <f>HYPERLINK("http://pubchem.ncbi.nlm.nih.gov/summary/summary.cgi?cid=6306","6306")</f>
        <v>6306</v>
      </c>
      <c r="H65" s="1"/>
      <c r="I65" s="6">
        <v>1024312</v>
      </c>
      <c r="J65" s="6">
        <v>114056</v>
      </c>
      <c r="K65" s="6">
        <v>82799</v>
      </c>
      <c r="L65" s="6">
        <v>1217881</v>
      </c>
      <c r="M65" s="6">
        <v>529816</v>
      </c>
      <c r="N65" s="6">
        <v>1044052</v>
      </c>
      <c r="O65" s="6">
        <v>407029</v>
      </c>
      <c r="P65" s="6">
        <v>69022</v>
      </c>
      <c r="Q65" s="6">
        <v>744663</v>
      </c>
      <c r="R65" s="6">
        <v>543394</v>
      </c>
      <c r="S65" s="6">
        <v>107491</v>
      </c>
      <c r="T65" s="6">
        <v>68654</v>
      </c>
      <c r="U65" s="6">
        <v>1316357</v>
      </c>
      <c r="V65" s="6">
        <v>180499</v>
      </c>
      <c r="W65" s="6">
        <v>489651</v>
      </c>
      <c r="X65" s="6">
        <v>814585</v>
      </c>
      <c r="Y65" s="6">
        <v>858084</v>
      </c>
      <c r="Z65" s="6">
        <v>668567</v>
      </c>
      <c r="AA65" s="6">
        <v>113984</v>
      </c>
      <c r="AB65" s="6">
        <v>1275254</v>
      </c>
      <c r="AC65" s="6">
        <v>123379</v>
      </c>
      <c r="AD65" s="6">
        <v>769104</v>
      </c>
      <c r="AE65" s="6">
        <v>815359</v>
      </c>
      <c r="AF65" s="6">
        <v>245640</v>
      </c>
      <c r="AG65" s="6">
        <v>196622</v>
      </c>
      <c r="AH65" s="6">
        <v>1501033</v>
      </c>
      <c r="AI65" s="6">
        <v>375194</v>
      </c>
      <c r="AJ65" s="6">
        <v>125952</v>
      </c>
      <c r="AK65" s="6">
        <v>473652</v>
      </c>
      <c r="AL65" s="6">
        <v>105221</v>
      </c>
      <c r="AM65" s="6">
        <v>512047</v>
      </c>
      <c r="AN65" s="6">
        <v>191775</v>
      </c>
      <c r="AO65" s="6">
        <v>778979</v>
      </c>
      <c r="AP65" s="6">
        <v>1056452</v>
      </c>
      <c r="AQ65" s="6">
        <v>383447</v>
      </c>
      <c r="AR65" s="6">
        <v>838794</v>
      </c>
    </row>
    <row r="66" spans="1:44">
      <c r="A66" s="4" t="s">
        <v>309</v>
      </c>
      <c r="B66" s="1" t="s">
        <v>310</v>
      </c>
      <c r="C66" s="1" t="s">
        <v>91</v>
      </c>
      <c r="D66" s="1" t="str">
        <f>HYPERLINK("http://eros.fiehnlab.ucdavis.edu:8080/binbase-compound/bin/show/300118?db=rtx5","300118")</f>
        <v>300118</v>
      </c>
      <c r="E66" s="1" t="s">
        <v>311</v>
      </c>
      <c r="F66" s="1" t="str">
        <f>HYPERLINK("http://www.genome.ad.jp/dbget-bin/www_bget?compound+n/a","n/a")</f>
        <v>n/a</v>
      </c>
      <c r="G66" s="1" t="str">
        <f>HYPERLINK("http://pubchem.ncbi.nlm.nih.gov/summary/summary.cgi?cid=68410","68410")</f>
        <v>68410</v>
      </c>
      <c r="H66" s="1"/>
      <c r="I66" s="6">
        <v>577</v>
      </c>
      <c r="J66" s="6">
        <v>403</v>
      </c>
      <c r="K66" s="6">
        <v>327</v>
      </c>
      <c r="L66" s="6">
        <v>429</v>
      </c>
      <c r="M66" s="6">
        <v>281</v>
      </c>
      <c r="N66" s="6">
        <v>195</v>
      </c>
      <c r="O66" s="6">
        <v>704</v>
      </c>
      <c r="P66" s="6">
        <v>559</v>
      </c>
      <c r="Q66" s="6">
        <v>606</v>
      </c>
      <c r="R66" s="6">
        <v>641</v>
      </c>
      <c r="S66" s="6">
        <v>605</v>
      </c>
      <c r="T66" s="6">
        <v>432</v>
      </c>
      <c r="U66" s="6">
        <v>653</v>
      </c>
      <c r="V66" s="6">
        <v>367</v>
      </c>
      <c r="W66" s="6">
        <v>295</v>
      </c>
      <c r="X66" s="6">
        <v>283</v>
      </c>
      <c r="Y66" s="6">
        <v>796</v>
      </c>
      <c r="Z66" s="6">
        <v>341</v>
      </c>
      <c r="AA66" s="6">
        <v>246</v>
      </c>
      <c r="AB66" s="6">
        <v>551</v>
      </c>
      <c r="AC66" s="6">
        <v>617</v>
      </c>
      <c r="AD66" s="6">
        <v>520</v>
      </c>
      <c r="AE66" s="6">
        <v>379</v>
      </c>
      <c r="AF66" s="6">
        <v>357</v>
      </c>
      <c r="AG66" s="6">
        <v>408</v>
      </c>
      <c r="AH66" s="6">
        <v>671</v>
      </c>
      <c r="AI66" s="6">
        <v>638</v>
      </c>
      <c r="AJ66" s="6">
        <v>358</v>
      </c>
      <c r="AK66" s="6">
        <v>487</v>
      </c>
      <c r="AL66" s="6">
        <v>372</v>
      </c>
      <c r="AM66" s="6">
        <v>327</v>
      </c>
      <c r="AN66" s="6">
        <v>630</v>
      </c>
      <c r="AO66" s="6">
        <v>650</v>
      </c>
      <c r="AP66" s="6">
        <v>414</v>
      </c>
      <c r="AQ66" s="6">
        <v>467</v>
      </c>
      <c r="AR66" s="6">
        <v>361</v>
      </c>
    </row>
    <row r="67" spans="1:44">
      <c r="A67" s="4" t="s">
        <v>312</v>
      </c>
      <c r="B67" s="1" t="s">
        <v>313</v>
      </c>
      <c r="C67" s="1" t="s">
        <v>314</v>
      </c>
      <c r="D67" s="1" t="str">
        <f>HYPERLINK("http://eros.fiehnlab.ucdavis.edu:8080/binbase-compound/bin/show/228005?db=rtx5","228005")</f>
        <v>228005</v>
      </c>
      <c r="E67" s="1" t="s">
        <v>315</v>
      </c>
      <c r="F67" s="1" t="str">
        <f>HYPERLINK("http://www.genome.ad.jp/dbget-bin/www_bget?compound+C00137","C00137")</f>
        <v>C00137</v>
      </c>
      <c r="G67" s="1" t="str">
        <f>HYPERLINK("http://pubchem.ncbi.nlm.nih.gov/summary/summary.cgi?cid=892","892")</f>
        <v>892</v>
      </c>
      <c r="H67" s="1"/>
      <c r="I67" s="6">
        <v>10018</v>
      </c>
      <c r="J67" s="6">
        <v>1052</v>
      </c>
      <c r="K67" s="6">
        <v>186</v>
      </c>
      <c r="L67" s="6">
        <v>14157</v>
      </c>
      <c r="M67" s="6">
        <v>5609</v>
      </c>
      <c r="N67" s="6">
        <v>12813</v>
      </c>
      <c r="O67" s="6">
        <v>4153</v>
      </c>
      <c r="P67" s="6">
        <v>1074</v>
      </c>
      <c r="Q67" s="6">
        <v>8639</v>
      </c>
      <c r="R67" s="6">
        <v>151</v>
      </c>
      <c r="S67" s="6">
        <v>1299</v>
      </c>
      <c r="T67" s="6">
        <v>181</v>
      </c>
      <c r="U67" s="6">
        <v>18907</v>
      </c>
      <c r="V67" s="6">
        <v>228</v>
      </c>
      <c r="W67" s="6">
        <v>5233</v>
      </c>
      <c r="X67" s="6">
        <v>8609</v>
      </c>
      <c r="Y67" s="6">
        <v>10339</v>
      </c>
      <c r="Z67" s="6">
        <v>7744</v>
      </c>
      <c r="AA67" s="6">
        <v>1405</v>
      </c>
      <c r="AB67" s="6">
        <v>16672</v>
      </c>
      <c r="AC67" s="6">
        <v>1167</v>
      </c>
      <c r="AD67" s="6">
        <v>7779</v>
      </c>
      <c r="AE67" s="6">
        <v>10853</v>
      </c>
      <c r="AF67" s="6">
        <v>433</v>
      </c>
      <c r="AG67" s="6">
        <v>1583</v>
      </c>
      <c r="AH67" s="6">
        <v>18485</v>
      </c>
      <c r="AI67" s="6">
        <v>3758</v>
      </c>
      <c r="AJ67" s="6">
        <v>1509</v>
      </c>
      <c r="AK67" s="6">
        <v>5519</v>
      </c>
      <c r="AL67" s="6">
        <v>891</v>
      </c>
      <c r="AM67" s="6">
        <v>6612</v>
      </c>
      <c r="AN67" s="6">
        <v>308</v>
      </c>
      <c r="AO67" s="6">
        <v>9153</v>
      </c>
      <c r="AP67" s="6">
        <v>12014</v>
      </c>
      <c r="AQ67" s="6">
        <v>4502</v>
      </c>
      <c r="AR67" s="6">
        <v>9688</v>
      </c>
    </row>
    <row r="68" spans="1:44">
      <c r="A68" s="4" t="s">
        <v>316</v>
      </c>
      <c r="B68" s="1" t="s">
        <v>317</v>
      </c>
      <c r="C68" s="1" t="s">
        <v>318</v>
      </c>
      <c r="D68" s="1" t="str">
        <f>HYPERLINK("http://eros.fiehnlab.ucdavis.edu:8080/binbase-compound/bin/show/203304?db=rtx5","203304")</f>
        <v>203304</v>
      </c>
      <c r="E68" s="1" t="s">
        <v>319</v>
      </c>
      <c r="F68" s="1" t="str">
        <f>HYPERLINK("http://www.genome.ad.jp/dbget-bin/www_bget?compound+n/a","n/a")</f>
        <v>n/a</v>
      </c>
      <c r="G68" s="1" t="str">
        <f>HYPERLINK("http://pubchem.ncbi.nlm.nih.gov/summary/summary.cgi?cid=892","892")</f>
        <v>892</v>
      </c>
      <c r="H68" s="1"/>
      <c r="I68" s="6">
        <v>1615</v>
      </c>
      <c r="J68" s="6">
        <v>253</v>
      </c>
      <c r="K68" s="6">
        <v>284</v>
      </c>
      <c r="L68" s="6">
        <v>1961</v>
      </c>
      <c r="M68" s="6">
        <v>788</v>
      </c>
      <c r="N68" s="6">
        <v>2132</v>
      </c>
      <c r="O68" s="6">
        <v>647</v>
      </c>
      <c r="P68" s="6">
        <v>376</v>
      </c>
      <c r="Q68" s="6">
        <v>1167</v>
      </c>
      <c r="R68" s="6">
        <v>940</v>
      </c>
      <c r="S68" s="6">
        <v>205</v>
      </c>
      <c r="T68" s="6">
        <v>210</v>
      </c>
      <c r="U68" s="6">
        <v>2836</v>
      </c>
      <c r="V68" s="6">
        <v>408</v>
      </c>
      <c r="W68" s="6">
        <v>776</v>
      </c>
      <c r="X68" s="6">
        <v>1202</v>
      </c>
      <c r="Y68" s="6">
        <v>1787</v>
      </c>
      <c r="Z68" s="6">
        <v>1109</v>
      </c>
      <c r="AA68" s="6">
        <v>374</v>
      </c>
      <c r="AB68" s="6">
        <v>2345</v>
      </c>
      <c r="AC68" s="6">
        <v>216</v>
      </c>
      <c r="AD68" s="6">
        <v>1270</v>
      </c>
      <c r="AE68" s="6">
        <v>1661</v>
      </c>
      <c r="AF68" s="6">
        <v>784</v>
      </c>
      <c r="AG68" s="6">
        <v>213</v>
      </c>
      <c r="AH68" s="6">
        <v>2639</v>
      </c>
      <c r="AI68" s="6">
        <v>680</v>
      </c>
      <c r="AJ68" s="6">
        <v>355</v>
      </c>
      <c r="AK68" s="6">
        <v>778</v>
      </c>
      <c r="AL68" s="6">
        <v>257</v>
      </c>
      <c r="AM68" s="6">
        <v>933</v>
      </c>
      <c r="AN68" s="6">
        <v>416</v>
      </c>
      <c r="AO68" s="6">
        <v>1274</v>
      </c>
      <c r="AP68" s="6">
        <v>1842</v>
      </c>
      <c r="AQ68" s="6">
        <v>851</v>
      </c>
      <c r="AR68" s="6">
        <v>1355</v>
      </c>
    </row>
    <row r="69" spans="1:44">
      <c r="A69" s="4" t="s">
        <v>320</v>
      </c>
      <c r="B69" s="1" t="s">
        <v>321</v>
      </c>
      <c r="C69" s="1" t="s">
        <v>185</v>
      </c>
      <c r="D69" s="1" t="str">
        <f>HYPERLINK("http://eros.fiehnlab.ucdavis.edu:8080/binbase-compound/bin/show/199606?db=rtx5","199606")</f>
        <v>199606</v>
      </c>
      <c r="E69" s="1" t="s">
        <v>322</v>
      </c>
      <c r="F69" s="1" t="str">
        <f>HYPERLINK("http://www.genome.ad.jp/dbget-bin/www_bget?compound+C00294","C00294")</f>
        <v>C00294</v>
      </c>
      <c r="G69" s="1" t="str">
        <f>HYPERLINK("http://pubchem.ncbi.nlm.nih.gov/summary/summary.cgi?cid=6021","6021")</f>
        <v>6021</v>
      </c>
      <c r="H69" s="1"/>
      <c r="I69" s="6">
        <v>608</v>
      </c>
      <c r="J69" s="6">
        <v>1784</v>
      </c>
      <c r="K69" s="6">
        <v>963</v>
      </c>
      <c r="L69" s="6">
        <v>787</v>
      </c>
      <c r="M69" s="6">
        <v>3458</v>
      </c>
      <c r="N69" s="6">
        <v>1022</v>
      </c>
      <c r="O69" s="6">
        <v>530</v>
      </c>
      <c r="P69" s="6">
        <v>1322</v>
      </c>
      <c r="Q69" s="6">
        <v>780</v>
      </c>
      <c r="R69" s="6">
        <v>2260</v>
      </c>
      <c r="S69" s="6">
        <v>3032</v>
      </c>
      <c r="T69" s="6">
        <v>466</v>
      </c>
      <c r="U69" s="6">
        <v>8995</v>
      </c>
      <c r="V69" s="6">
        <v>6425</v>
      </c>
      <c r="W69" s="6">
        <v>11760</v>
      </c>
      <c r="X69" s="6">
        <v>415</v>
      </c>
      <c r="Y69" s="6">
        <v>10892</v>
      </c>
      <c r="Z69" s="6">
        <v>6009</v>
      </c>
      <c r="AA69" s="6">
        <v>256</v>
      </c>
      <c r="AB69" s="6">
        <v>2836</v>
      </c>
      <c r="AC69" s="6">
        <v>1488</v>
      </c>
      <c r="AD69" s="6">
        <v>5237</v>
      </c>
      <c r="AE69" s="6">
        <v>446</v>
      </c>
      <c r="AF69" s="6">
        <v>361</v>
      </c>
      <c r="AG69" s="6">
        <v>11667</v>
      </c>
      <c r="AH69" s="6">
        <v>11640</v>
      </c>
      <c r="AI69" s="6">
        <v>1894</v>
      </c>
      <c r="AJ69" s="6">
        <v>3736</v>
      </c>
      <c r="AK69" s="6">
        <v>5097</v>
      </c>
      <c r="AL69" s="6">
        <v>584</v>
      </c>
      <c r="AM69" s="6">
        <v>4565</v>
      </c>
      <c r="AN69" s="6">
        <v>6238</v>
      </c>
      <c r="AO69" s="6">
        <v>6048</v>
      </c>
      <c r="AP69" s="6">
        <v>7869</v>
      </c>
      <c r="AQ69" s="6">
        <v>5188</v>
      </c>
      <c r="AR69" s="6">
        <v>6922</v>
      </c>
    </row>
    <row r="70" spans="1:44">
      <c r="A70" s="4" t="s">
        <v>323</v>
      </c>
      <c r="B70" s="1" t="s">
        <v>324</v>
      </c>
      <c r="C70" s="1" t="s">
        <v>325</v>
      </c>
      <c r="D70" s="1" t="str">
        <f>HYPERLINK("http://eros.fiehnlab.ucdavis.edu:8080/binbase-compound/bin/show/199598?db=rtx5","199598")</f>
        <v>199598</v>
      </c>
      <c r="E70" s="1" t="s">
        <v>326</v>
      </c>
      <c r="F70" s="1" t="str">
        <f>HYPERLINK("http://www.genome.ad.jp/dbget-bin/www_bget?compound+C00262","C00262")</f>
        <v>C00262</v>
      </c>
      <c r="G70" s="1" t="str">
        <f>HYPERLINK("http://pubchem.ncbi.nlm.nih.gov/summary/summary.cgi?cid=790","790")</f>
        <v>790</v>
      </c>
      <c r="H70" s="1"/>
      <c r="I70" s="6">
        <v>3424</v>
      </c>
      <c r="J70" s="6">
        <v>22480</v>
      </c>
      <c r="K70" s="6">
        <v>19896</v>
      </c>
      <c r="L70" s="6">
        <v>2999</v>
      </c>
      <c r="M70" s="6">
        <v>68253</v>
      </c>
      <c r="N70" s="6">
        <v>17978</v>
      </c>
      <c r="O70" s="6">
        <v>7154</v>
      </c>
      <c r="P70" s="6">
        <v>12387</v>
      </c>
      <c r="Q70" s="6">
        <v>3548</v>
      </c>
      <c r="R70" s="6">
        <v>15048</v>
      </c>
      <c r="S70" s="6">
        <v>38627</v>
      </c>
      <c r="T70" s="6">
        <v>5467</v>
      </c>
      <c r="U70" s="6">
        <v>20811</v>
      </c>
      <c r="V70" s="6">
        <v>26618</v>
      </c>
      <c r="W70" s="6">
        <v>19815</v>
      </c>
      <c r="X70" s="6">
        <v>5105</v>
      </c>
      <c r="Y70" s="6">
        <v>27306</v>
      </c>
      <c r="Z70" s="6">
        <v>22194</v>
      </c>
      <c r="AA70" s="6">
        <v>5961</v>
      </c>
      <c r="AB70" s="6">
        <v>12473</v>
      </c>
      <c r="AC70" s="6">
        <v>17022</v>
      </c>
      <c r="AD70" s="6">
        <v>32267</v>
      </c>
      <c r="AE70" s="6">
        <v>8514</v>
      </c>
      <c r="AF70" s="6">
        <v>7101</v>
      </c>
      <c r="AG70" s="6">
        <v>41640</v>
      </c>
      <c r="AH70" s="6">
        <v>28307</v>
      </c>
      <c r="AI70" s="6">
        <v>9035</v>
      </c>
      <c r="AJ70" s="6">
        <v>17177</v>
      </c>
      <c r="AK70" s="6">
        <v>15749</v>
      </c>
      <c r="AL70" s="6">
        <v>15688</v>
      </c>
      <c r="AM70" s="6">
        <v>15556</v>
      </c>
      <c r="AN70" s="6">
        <v>21653</v>
      </c>
      <c r="AO70" s="6">
        <v>16917</v>
      </c>
      <c r="AP70" s="6">
        <v>41352</v>
      </c>
      <c r="AQ70" s="6">
        <v>21518</v>
      </c>
      <c r="AR70" s="6">
        <v>33750</v>
      </c>
    </row>
    <row r="71" spans="1:44">
      <c r="A71" s="4" t="s">
        <v>327</v>
      </c>
      <c r="B71" s="1" t="s">
        <v>328</v>
      </c>
      <c r="C71" s="1" t="s">
        <v>88</v>
      </c>
      <c r="D71" s="1" t="str">
        <f>HYPERLINK("http://eros.fiehnlab.ucdavis.edu:8080/binbase-compound/bin/show/336352?db=rtx5","336352")</f>
        <v>336352</v>
      </c>
      <c r="E71" s="1" t="s">
        <v>329</v>
      </c>
      <c r="F71" s="1" t="str">
        <f>HYPERLINK("http://www.genome.ad.jp/dbget-bin/www_bget?compound+C00192","C00192")</f>
        <v>C00192</v>
      </c>
      <c r="G71" s="1" t="str">
        <f>HYPERLINK("http://pubchem.ncbi.nlm.nih.gov/summary/summary.cgi?cid=787","787")</f>
        <v>787</v>
      </c>
      <c r="H71" s="1"/>
      <c r="I71" s="6">
        <v>10022</v>
      </c>
      <c r="J71" s="6">
        <v>6427</v>
      </c>
      <c r="K71" s="6">
        <v>2049</v>
      </c>
      <c r="L71" s="6">
        <v>4317</v>
      </c>
      <c r="M71" s="6">
        <v>13573</v>
      </c>
      <c r="N71" s="6">
        <v>7244</v>
      </c>
      <c r="O71" s="6">
        <v>2141</v>
      </c>
      <c r="P71" s="6">
        <v>3508</v>
      </c>
      <c r="Q71" s="6">
        <v>8428</v>
      </c>
      <c r="R71" s="6">
        <v>15061</v>
      </c>
      <c r="S71" s="6">
        <v>3027</v>
      </c>
      <c r="T71" s="6">
        <v>1631</v>
      </c>
      <c r="U71" s="6">
        <v>4127</v>
      </c>
      <c r="V71" s="6">
        <v>3297</v>
      </c>
      <c r="W71" s="6">
        <v>4019</v>
      </c>
      <c r="X71" s="6">
        <v>1219</v>
      </c>
      <c r="Y71" s="6">
        <v>9488</v>
      </c>
      <c r="Z71" s="6">
        <v>8065</v>
      </c>
      <c r="AA71" s="6">
        <v>1864</v>
      </c>
      <c r="AB71" s="6">
        <v>17189</v>
      </c>
      <c r="AC71" s="6">
        <v>1254</v>
      </c>
      <c r="AD71" s="6">
        <v>11693</v>
      </c>
      <c r="AE71" s="6">
        <v>2674</v>
      </c>
      <c r="AF71" s="6">
        <v>2814</v>
      </c>
      <c r="AG71" s="6">
        <v>7749</v>
      </c>
      <c r="AH71" s="6">
        <v>10130</v>
      </c>
      <c r="AI71" s="6">
        <v>4439</v>
      </c>
      <c r="AJ71" s="6">
        <v>5021</v>
      </c>
      <c r="AK71" s="6">
        <v>3521</v>
      </c>
      <c r="AL71" s="6">
        <v>9393</v>
      </c>
      <c r="AM71" s="6">
        <v>6590</v>
      </c>
      <c r="AN71" s="6">
        <v>12283</v>
      </c>
      <c r="AO71" s="6">
        <v>8681</v>
      </c>
      <c r="AP71" s="6">
        <v>7706</v>
      </c>
      <c r="AQ71" s="6">
        <v>4682</v>
      </c>
      <c r="AR71" s="6">
        <v>7475</v>
      </c>
    </row>
    <row r="72" spans="1:44">
      <c r="A72" s="4" t="s">
        <v>330</v>
      </c>
      <c r="B72" s="1" t="s">
        <v>331</v>
      </c>
      <c r="C72" s="1" t="s">
        <v>332</v>
      </c>
      <c r="D72" s="1" t="str">
        <f>HYPERLINK("http://eros.fiehnlab.ucdavis.edu:8080/binbase-compound/bin/show/203241?db=rtx5","203241")</f>
        <v>203241</v>
      </c>
      <c r="E72" s="1" t="s">
        <v>333</v>
      </c>
      <c r="F72" s="1" t="str">
        <f>HYPERLINK("http://www.genome.ad.jp/dbget-bin/www_bget?compound+n/a","n/a")</f>
        <v>n/a</v>
      </c>
      <c r="G72" s="1" t="str">
        <f>HYPERLINK("http://pubchem.ncbi.nlm.nih.gov/summary/summary.cgi?cid=18931500","18931500")</f>
        <v>18931500</v>
      </c>
      <c r="H72" s="1"/>
      <c r="I72" s="6">
        <v>769</v>
      </c>
      <c r="J72" s="6">
        <v>269</v>
      </c>
      <c r="K72" s="6">
        <v>174</v>
      </c>
      <c r="L72" s="6">
        <v>507</v>
      </c>
      <c r="M72" s="6">
        <v>827</v>
      </c>
      <c r="N72" s="6">
        <v>693</v>
      </c>
      <c r="O72" s="6">
        <v>239</v>
      </c>
      <c r="P72" s="6">
        <v>177</v>
      </c>
      <c r="Q72" s="6">
        <v>642</v>
      </c>
      <c r="R72" s="6">
        <v>1023</v>
      </c>
      <c r="S72" s="6">
        <v>275</v>
      </c>
      <c r="T72" s="6">
        <v>163</v>
      </c>
      <c r="U72" s="6">
        <v>619</v>
      </c>
      <c r="V72" s="6">
        <v>249</v>
      </c>
      <c r="W72" s="6">
        <v>457</v>
      </c>
      <c r="X72" s="6">
        <v>199</v>
      </c>
      <c r="Y72" s="6">
        <v>852</v>
      </c>
      <c r="Z72" s="6">
        <v>694</v>
      </c>
      <c r="AA72" s="6">
        <v>168</v>
      </c>
      <c r="AB72" s="6">
        <v>603</v>
      </c>
      <c r="AC72" s="6">
        <v>190</v>
      </c>
      <c r="AD72" s="6">
        <v>955</v>
      </c>
      <c r="AE72" s="6">
        <v>313</v>
      </c>
      <c r="AF72" s="6">
        <v>240</v>
      </c>
      <c r="AG72" s="6">
        <v>472</v>
      </c>
      <c r="AH72" s="6">
        <v>1042</v>
      </c>
      <c r="AI72" s="6">
        <v>330</v>
      </c>
      <c r="AJ72" s="6">
        <v>320</v>
      </c>
      <c r="AK72" s="6">
        <v>303</v>
      </c>
      <c r="AL72" s="6">
        <v>485</v>
      </c>
      <c r="AM72" s="6">
        <v>383</v>
      </c>
      <c r="AN72" s="6">
        <v>421</v>
      </c>
      <c r="AO72" s="6">
        <v>861</v>
      </c>
      <c r="AP72" s="6">
        <v>597</v>
      </c>
      <c r="AQ72" s="6">
        <v>308</v>
      </c>
      <c r="AR72" s="6">
        <v>792</v>
      </c>
    </row>
    <row r="73" spans="1:44">
      <c r="A73" s="4" t="s">
        <v>334</v>
      </c>
      <c r="B73" s="1" t="s">
        <v>335</v>
      </c>
      <c r="C73" s="1" t="s">
        <v>112</v>
      </c>
      <c r="D73" s="1" t="str">
        <f>HYPERLINK("http://eros.fiehnlab.ucdavis.edu:8080/binbase-compound/bin/show/228149?db=rtx5","228149")</f>
        <v>228149</v>
      </c>
      <c r="E73" s="1" t="s">
        <v>336</v>
      </c>
      <c r="F73" s="1" t="str">
        <f>HYPERLINK("http://www.genome.ad.jp/dbget-bin/www_bget?compound+C00263","C00263")</f>
        <v>C00263</v>
      </c>
      <c r="G73" s="1" t="str">
        <f>HYPERLINK("http://pubchem.ncbi.nlm.nih.gov/summary/summary.cgi?cid=12647","12647")</f>
        <v>12647</v>
      </c>
      <c r="H73" s="1"/>
      <c r="I73" s="6">
        <v>4293</v>
      </c>
      <c r="J73" s="6">
        <v>1629</v>
      </c>
      <c r="K73" s="6">
        <v>770</v>
      </c>
      <c r="L73" s="6">
        <v>5937</v>
      </c>
      <c r="M73" s="6">
        <v>3398</v>
      </c>
      <c r="N73" s="6">
        <v>3110</v>
      </c>
      <c r="O73" s="6">
        <v>985</v>
      </c>
      <c r="P73" s="6">
        <v>295</v>
      </c>
      <c r="Q73" s="6">
        <v>888</v>
      </c>
      <c r="R73" s="6">
        <v>112</v>
      </c>
      <c r="S73" s="6">
        <v>889</v>
      </c>
      <c r="T73" s="6">
        <v>228</v>
      </c>
      <c r="U73" s="6">
        <v>2574</v>
      </c>
      <c r="V73" s="6">
        <v>1284</v>
      </c>
      <c r="W73" s="6">
        <v>2033</v>
      </c>
      <c r="X73" s="6">
        <v>1155</v>
      </c>
      <c r="Y73" s="6">
        <v>2217</v>
      </c>
      <c r="Z73" s="6">
        <v>2391</v>
      </c>
      <c r="AA73" s="6">
        <v>305</v>
      </c>
      <c r="AB73" s="6">
        <v>1555</v>
      </c>
      <c r="AC73" s="6">
        <v>641</v>
      </c>
      <c r="AD73" s="6">
        <v>2343</v>
      </c>
      <c r="AE73" s="6">
        <v>749</v>
      </c>
      <c r="AF73" s="6">
        <v>624</v>
      </c>
      <c r="AG73" s="6">
        <v>696</v>
      </c>
      <c r="AH73" s="6">
        <v>4232</v>
      </c>
      <c r="AI73" s="6">
        <v>2284</v>
      </c>
      <c r="AJ73" s="6">
        <v>681</v>
      </c>
      <c r="AK73" s="6">
        <v>2337</v>
      </c>
      <c r="AL73" s="6">
        <v>547</v>
      </c>
      <c r="AM73" s="6">
        <v>1285</v>
      </c>
      <c r="AN73" s="6">
        <v>760</v>
      </c>
      <c r="AO73" s="6">
        <v>2277</v>
      </c>
      <c r="AP73" s="6">
        <v>3240</v>
      </c>
      <c r="AQ73" s="6">
        <v>1419</v>
      </c>
      <c r="AR73" s="6">
        <v>2495</v>
      </c>
    </row>
    <row r="74" spans="1:44">
      <c r="A74" s="4" t="s">
        <v>337</v>
      </c>
      <c r="B74" s="1" t="s">
        <v>338</v>
      </c>
      <c r="C74" s="1" t="s">
        <v>259</v>
      </c>
      <c r="D74" s="1" t="str">
        <f>HYPERLINK("http://eros.fiehnlab.ucdavis.edu:8080/binbase-compound/bin/show/236875?db=rtx5","236875")</f>
        <v>236875</v>
      </c>
      <c r="E74" s="1" t="s">
        <v>339</v>
      </c>
      <c r="F74" s="1" t="str">
        <f>HYPERLINK("http://www.genome.ad.jp/dbget-bin/www_bget?compound+C01817","C01817")</f>
        <v>C01817</v>
      </c>
      <c r="G74" s="1" t="str">
        <f>HYPERLINK("http://pubchem.ncbi.nlm.nih.gov/summary/summary.cgi?cid=439579","439579")</f>
        <v>439579</v>
      </c>
      <c r="H74" s="1"/>
      <c r="I74" s="6">
        <v>1481</v>
      </c>
      <c r="J74" s="6">
        <v>280</v>
      </c>
      <c r="K74" s="6">
        <v>269</v>
      </c>
      <c r="L74" s="6">
        <v>1506</v>
      </c>
      <c r="M74" s="6">
        <v>715</v>
      </c>
      <c r="N74" s="6">
        <v>3054</v>
      </c>
      <c r="O74" s="6">
        <v>711</v>
      </c>
      <c r="P74" s="6">
        <v>236</v>
      </c>
      <c r="Q74" s="6">
        <v>515</v>
      </c>
      <c r="R74" s="6">
        <v>2696</v>
      </c>
      <c r="S74" s="6">
        <v>404</v>
      </c>
      <c r="T74" s="6">
        <v>253</v>
      </c>
      <c r="U74" s="6">
        <v>2101</v>
      </c>
      <c r="V74" s="6">
        <v>1120</v>
      </c>
      <c r="W74" s="6">
        <v>1647</v>
      </c>
      <c r="X74" s="6">
        <v>846</v>
      </c>
      <c r="Y74" s="6">
        <v>2023</v>
      </c>
      <c r="Z74" s="6">
        <v>1803</v>
      </c>
      <c r="AA74" s="6">
        <v>336</v>
      </c>
      <c r="AB74" s="6">
        <v>1867</v>
      </c>
      <c r="AC74" s="6">
        <v>481</v>
      </c>
      <c r="AD74" s="6">
        <v>2342</v>
      </c>
      <c r="AE74" s="6">
        <v>1030</v>
      </c>
      <c r="AF74" s="6">
        <v>527</v>
      </c>
      <c r="AG74" s="6">
        <v>1410</v>
      </c>
      <c r="AH74" s="6">
        <v>2161</v>
      </c>
      <c r="AI74" s="6">
        <v>858</v>
      </c>
      <c r="AJ74" s="6">
        <v>464</v>
      </c>
      <c r="AK74" s="6">
        <v>691</v>
      </c>
      <c r="AL74" s="6">
        <v>207</v>
      </c>
      <c r="AM74" s="6">
        <v>854</v>
      </c>
      <c r="AN74" s="6">
        <v>747</v>
      </c>
      <c r="AO74" s="6">
        <v>1032</v>
      </c>
      <c r="AP74" s="6">
        <v>2221</v>
      </c>
      <c r="AQ74" s="6">
        <v>752</v>
      </c>
      <c r="AR74" s="6">
        <v>2237</v>
      </c>
    </row>
    <row r="75" spans="1:44">
      <c r="A75" s="4" t="s">
        <v>340</v>
      </c>
      <c r="B75" s="1" t="s">
        <v>341</v>
      </c>
      <c r="C75" s="1" t="s">
        <v>283</v>
      </c>
      <c r="D75" s="1" t="str">
        <f>HYPERLINK("http://eros.fiehnlab.ucdavis.edu:8080/binbase-compound/bin/show/227741?db=rtx5","227741")</f>
        <v>227741</v>
      </c>
      <c r="E75" s="1" t="s">
        <v>342</v>
      </c>
      <c r="F75" s="1" t="str">
        <f>HYPERLINK("http://www.genome.ad.jp/dbget-bin/www_bget?compound+C00135","C00135")</f>
        <v>C00135</v>
      </c>
      <c r="G75" s="1" t="str">
        <f>HYPERLINK("http://pubchem.ncbi.nlm.nih.gov/summary/summary.cgi?cid=6274","6274")</f>
        <v>6274</v>
      </c>
      <c r="H75" s="1"/>
      <c r="I75" s="6">
        <v>143010</v>
      </c>
      <c r="J75" s="6">
        <v>13648</v>
      </c>
      <c r="K75" s="6">
        <v>12338</v>
      </c>
      <c r="L75" s="6">
        <v>204265</v>
      </c>
      <c r="M75" s="6">
        <v>102255</v>
      </c>
      <c r="N75" s="6">
        <v>161759</v>
      </c>
      <c r="O75" s="6">
        <v>63647</v>
      </c>
      <c r="P75" s="6">
        <v>10734</v>
      </c>
      <c r="Q75" s="6">
        <v>136613</v>
      </c>
      <c r="R75" s="6">
        <v>84594</v>
      </c>
      <c r="S75" s="6">
        <v>15442</v>
      </c>
      <c r="T75" s="6">
        <v>10391</v>
      </c>
      <c r="U75" s="6">
        <v>261803</v>
      </c>
      <c r="V75" s="6">
        <v>45583</v>
      </c>
      <c r="W75" s="6">
        <v>112874</v>
      </c>
      <c r="X75" s="6">
        <v>173483</v>
      </c>
      <c r="Y75" s="6">
        <v>177433</v>
      </c>
      <c r="Z75" s="6">
        <v>126730</v>
      </c>
      <c r="AA75" s="6">
        <v>28846</v>
      </c>
      <c r="AB75" s="6">
        <v>192711</v>
      </c>
      <c r="AC75" s="6">
        <v>27171</v>
      </c>
      <c r="AD75" s="6">
        <v>131489</v>
      </c>
      <c r="AE75" s="6">
        <v>184404</v>
      </c>
      <c r="AF75" s="6">
        <v>39358</v>
      </c>
      <c r="AG75" s="6">
        <v>44504</v>
      </c>
      <c r="AH75" s="6">
        <v>265385</v>
      </c>
      <c r="AI75" s="6">
        <v>66424</v>
      </c>
      <c r="AJ75" s="6">
        <v>33072</v>
      </c>
      <c r="AK75" s="6">
        <v>108661</v>
      </c>
      <c r="AL75" s="6">
        <v>16990</v>
      </c>
      <c r="AM75" s="6">
        <v>119128</v>
      </c>
      <c r="AN75" s="6">
        <v>42105</v>
      </c>
      <c r="AO75" s="6">
        <v>156681</v>
      </c>
      <c r="AP75" s="6">
        <v>209333</v>
      </c>
      <c r="AQ75" s="6">
        <v>83029</v>
      </c>
      <c r="AR75" s="6">
        <v>154273</v>
      </c>
    </row>
    <row r="76" spans="1:44">
      <c r="A76" s="4" t="s">
        <v>343</v>
      </c>
      <c r="B76" s="1" t="s">
        <v>344</v>
      </c>
      <c r="C76" s="1" t="s">
        <v>345</v>
      </c>
      <c r="D76" s="1" t="str">
        <f>HYPERLINK("http://eros.fiehnlab.ucdavis.edu:8080/binbase-compound/bin/show/233104?db=rtx5","233104")</f>
        <v>233104</v>
      </c>
      <c r="E76" s="1" t="s">
        <v>346</v>
      </c>
      <c r="F76" s="1" t="str">
        <f>HYPERLINK("http://www.genome.ad.jp/dbget-bin/www_bget?compound+n/a","n/a")</f>
        <v>n/a</v>
      </c>
      <c r="G76" s="1" t="str">
        <f>HYPERLINK("http://pubchem.ncbi.nlm.nih.gov/summary/summary.cgi?cid=19770757","19770757")</f>
        <v>19770757</v>
      </c>
      <c r="H76" s="1"/>
      <c r="I76" s="6">
        <v>260</v>
      </c>
      <c r="J76" s="6">
        <v>108</v>
      </c>
      <c r="K76" s="6">
        <v>108</v>
      </c>
      <c r="L76" s="6">
        <v>383</v>
      </c>
      <c r="M76" s="6">
        <v>140</v>
      </c>
      <c r="N76" s="6">
        <v>244</v>
      </c>
      <c r="O76" s="6">
        <v>175</v>
      </c>
      <c r="P76" s="6">
        <v>131</v>
      </c>
      <c r="Q76" s="6">
        <v>331</v>
      </c>
      <c r="R76" s="6">
        <v>234</v>
      </c>
      <c r="S76" s="6">
        <v>144</v>
      </c>
      <c r="T76" s="6">
        <v>105</v>
      </c>
      <c r="U76" s="6">
        <v>516</v>
      </c>
      <c r="V76" s="6">
        <v>114</v>
      </c>
      <c r="W76" s="6">
        <v>249</v>
      </c>
      <c r="X76" s="6">
        <v>282</v>
      </c>
      <c r="Y76" s="6">
        <v>333</v>
      </c>
      <c r="Z76" s="6">
        <v>256</v>
      </c>
      <c r="AA76" s="6">
        <v>110</v>
      </c>
      <c r="AB76" s="6">
        <v>654</v>
      </c>
      <c r="AC76" s="6">
        <v>135</v>
      </c>
      <c r="AD76" s="6">
        <v>278</v>
      </c>
      <c r="AE76" s="6">
        <v>441</v>
      </c>
      <c r="AF76" s="6">
        <v>136</v>
      </c>
      <c r="AG76" s="6">
        <v>112</v>
      </c>
      <c r="AH76" s="6">
        <v>505</v>
      </c>
      <c r="AI76" s="6">
        <v>188</v>
      </c>
      <c r="AJ76" s="6">
        <v>114</v>
      </c>
      <c r="AK76" s="6">
        <v>239</v>
      </c>
      <c r="AL76" s="6">
        <v>97</v>
      </c>
      <c r="AM76" s="6">
        <v>178</v>
      </c>
      <c r="AN76" s="6">
        <v>148</v>
      </c>
      <c r="AO76" s="6">
        <v>196</v>
      </c>
      <c r="AP76" s="6">
        <v>428</v>
      </c>
      <c r="AQ76" s="6">
        <v>126</v>
      </c>
      <c r="AR76" s="6">
        <v>307</v>
      </c>
    </row>
    <row r="77" spans="1:44">
      <c r="A77" s="4" t="s">
        <v>347</v>
      </c>
      <c r="B77" s="1" t="s">
        <v>348</v>
      </c>
      <c r="C77" s="1" t="s">
        <v>349</v>
      </c>
      <c r="D77" s="1" t="str">
        <f>HYPERLINK("http://eros.fiehnlab.ucdavis.edu:8080/binbase-compound/bin/show/213207?db=rtx5","213207")</f>
        <v>213207</v>
      </c>
      <c r="E77" s="1" t="s">
        <v>350</v>
      </c>
      <c r="F77" s="1" t="str">
        <f>HYPERLINK("http://www.genome.ad.jp/dbget-bin/www_bget?compound+C00387","C00387")</f>
        <v>C00387</v>
      </c>
      <c r="G77" s="1" t="str">
        <f>HYPERLINK("http://pubchem.ncbi.nlm.nih.gov/summary/summary.cgi?cid=6802","6802")</f>
        <v>6802</v>
      </c>
      <c r="H77" s="1"/>
      <c r="I77" s="6">
        <v>1340</v>
      </c>
      <c r="J77" s="6">
        <v>130</v>
      </c>
      <c r="K77" s="6">
        <v>166</v>
      </c>
      <c r="L77" s="6">
        <v>3517</v>
      </c>
      <c r="M77" s="6">
        <v>495</v>
      </c>
      <c r="N77" s="6">
        <v>935</v>
      </c>
      <c r="O77" s="6">
        <v>435</v>
      </c>
      <c r="P77" s="6">
        <v>141</v>
      </c>
      <c r="Q77" s="6">
        <v>3256</v>
      </c>
      <c r="R77" s="6">
        <v>830</v>
      </c>
      <c r="S77" s="6">
        <v>269</v>
      </c>
      <c r="T77" s="6">
        <v>339</v>
      </c>
      <c r="U77" s="6">
        <v>1904</v>
      </c>
      <c r="V77" s="6">
        <v>483</v>
      </c>
      <c r="W77" s="6">
        <v>766</v>
      </c>
      <c r="X77" s="6">
        <v>928</v>
      </c>
      <c r="Y77" s="6">
        <v>552</v>
      </c>
      <c r="Z77" s="6">
        <v>922</v>
      </c>
      <c r="AA77" s="6">
        <v>250</v>
      </c>
      <c r="AB77" s="6">
        <v>7095</v>
      </c>
      <c r="AC77" s="6">
        <v>648</v>
      </c>
      <c r="AD77" s="6">
        <v>2415</v>
      </c>
      <c r="AE77" s="6">
        <v>1484</v>
      </c>
      <c r="AF77" s="6">
        <v>568</v>
      </c>
      <c r="AG77" s="6">
        <v>803</v>
      </c>
      <c r="AH77" s="6">
        <v>1860</v>
      </c>
      <c r="AI77" s="6">
        <v>715</v>
      </c>
      <c r="AJ77" s="6">
        <v>390</v>
      </c>
      <c r="AK77" s="6">
        <v>413</v>
      </c>
      <c r="AL77" s="6">
        <v>125</v>
      </c>
      <c r="AM77" s="6">
        <v>814</v>
      </c>
      <c r="AN77" s="6">
        <v>816</v>
      </c>
      <c r="AO77" s="6">
        <v>2074</v>
      </c>
      <c r="AP77" s="6">
        <v>4830</v>
      </c>
      <c r="AQ77" s="6">
        <v>480</v>
      </c>
      <c r="AR77" s="6">
        <v>705</v>
      </c>
    </row>
    <row r="78" spans="1:44">
      <c r="A78" s="4" t="s">
        <v>351</v>
      </c>
      <c r="B78" s="1" t="s">
        <v>352</v>
      </c>
      <c r="C78" s="1" t="s">
        <v>353</v>
      </c>
      <c r="D78" s="1" t="str">
        <f>HYPERLINK("http://eros.fiehnlab.ucdavis.edu:8080/binbase-compound/bin/show/352795?db=rtx5","352795")</f>
        <v>352795</v>
      </c>
      <c r="E78" s="1" t="s">
        <v>354</v>
      </c>
      <c r="F78" s="1" t="s">
        <v>0</v>
      </c>
      <c r="G78" s="1" t="s">
        <v>0</v>
      </c>
      <c r="H78" s="1"/>
      <c r="I78" s="6">
        <v>3366</v>
      </c>
      <c r="J78" s="6">
        <v>730</v>
      </c>
      <c r="K78" s="6">
        <v>993</v>
      </c>
      <c r="L78" s="6">
        <v>3493</v>
      </c>
      <c r="M78" s="6">
        <v>518</v>
      </c>
      <c r="N78" s="6">
        <v>803</v>
      </c>
      <c r="O78" s="6">
        <v>2077</v>
      </c>
      <c r="P78" s="6">
        <v>1471</v>
      </c>
      <c r="Q78" s="6">
        <v>4890</v>
      </c>
      <c r="R78" s="6">
        <v>2400</v>
      </c>
      <c r="S78" s="6">
        <v>609</v>
      </c>
      <c r="T78" s="6">
        <v>1915</v>
      </c>
      <c r="U78" s="6">
        <v>1739</v>
      </c>
      <c r="V78" s="6">
        <v>1050</v>
      </c>
      <c r="W78" s="6">
        <v>685</v>
      </c>
      <c r="X78" s="6">
        <v>5035</v>
      </c>
      <c r="Y78" s="6">
        <v>601</v>
      </c>
      <c r="Z78" s="6">
        <v>1276</v>
      </c>
      <c r="AA78" s="6">
        <v>1531</v>
      </c>
      <c r="AB78" s="6">
        <v>12065</v>
      </c>
      <c r="AC78" s="6">
        <v>5381</v>
      </c>
      <c r="AD78" s="6">
        <v>2049</v>
      </c>
      <c r="AE78" s="6">
        <v>6074</v>
      </c>
      <c r="AF78" s="6">
        <v>3725</v>
      </c>
      <c r="AG78" s="6">
        <v>1329</v>
      </c>
      <c r="AH78" s="6">
        <v>1001</v>
      </c>
      <c r="AI78" s="6">
        <v>1094</v>
      </c>
      <c r="AJ78" s="6">
        <v>564</v>
      </c>
      <c r="AK78" s="6">
        <v>412</v>
      </c>
      <c r="AL78" s="6">
        <v>255</v>
      </c>
      <c r="AM78" s="6">
        <v>1451</v>
      </c>
      <c r="AN78" s="6">
        <v>1228</v>
      </c>
      <c r="AO78" s="6">
        <v>1395</v>
      </c>
      <c r="AP78" s="6">
        <v>5512</v>
      </c>
      <c r="AQ78" s="6">
        <v>491</v>
      </c>
      <c r="AR78" s="6">
        <v>1378</v>
      </c>
    </row>
    <row r="79" spans="1:44">
      <c r="A79" s="4" t="s">
        <v>355</v>
      </c>
      <c r="B79" s="1" t="s">
        <v>356</v>
      </c>
      <c r="C79" s="1" t="s">
        <v>189</v>
      </c>
      <c r="D79" s="1" t="str">
        <f>HYPERLINK("http://eros.fiehnlab.ucdavis.edu:8080/binbase-compound/bin/show/202167?db=rtx5","202167")</f>
        <v>202167</v>
      </c>
      <c r="E79" s="1" t="s">
        <v>357</v>
      </c>
      <c r="F79" s="1" t="str">
        <f>HYPERLINK("http://www.genome.ad.jp/dbget-bin/www_bget?compound+C00160","C00160")</f>
        <v>C00160</v>
      </c>
      <c r="G79" s="1" t="str">
        <f>HYPERLINK("http://pubchem.ncbi.nlm.nih.gov/summary/summary.cgi?cid=757","757")</f>
        <v>757</v>
      </c>
      <c r="H79" s="1"/>
      <c r="I79" s="6">
        <v>4332</v>
      </c>
      <c r="J79" s="6">
        <v>2492</v>
      </c>
      <c r="K79" s="6">
        <v>3261</v>
      </c>
      <c r="L79" s="6">
        <v>2052</v>
      </c>
      <c r="M79" s="6">
        <v>2788</v>
      </c>
      <c r="N79" s="6">
        <v>3526</v>
      </c>
      <c r="O79" s="6">
        <v>3477</v>
      </c>
      <c r="P79" s="6">
        <v>4002</v>
      </c>
      <c r="Q79" s="6">
        <v>2589</v>
      </c>
      <c r="R79" s="6">
        <v>1399</v>
      </c>
      <c r="S79" s="6">
        <v>3748</v>
      </c>
      <c r="T79" s="6">
        <v>2059</v>
      </c>
      <c r="U79" s="6">
        <v>4321</v>
      </c>
      <c r="V79" s="6">
        <v>1513</v>
      </c>
      <c r="W79" s="6">
        <v>2650</v>
      </c>
      <c r="X79" s="6">
        <v>2386</v>
      </c>
      <c r="Y79" s="6">
        <v>2102</v>
      </c>
      <c r="Z79" s="6">
        <v>3613</v>
      </c>
      <c r="AA79" s="6">
        <v>5082</v>
      </c>
      <c r="AB79" s="6">
        <v>3604</v>
      </c>
      <c r="AC79" s="6">
        <v>2608</v>
      </c>
      <c r="AD79" s="6">
        <v>2780</v>
      </c>
      <c r="AE79" s="6">
        <v>2561</v>
      </c>
      <c r="AF79" s="6">
        <v>1780</v>
      </c>
      <c r="AG79" s="6">
        <v>3559</v>
      </c>
      <c r="AH79" s="6">
        <v>3621</v>
      </c>
      <c r="AI79" s="6">
        <v>2709</v>
      </c>
      <c r="AJ79" s="6">
        <v>1884</v>
      </c>
      <c r="AK79" s="6">
        <v>2663</v>
      </c>
      <c r="AL79" s="6">
        <v>1890</v>
      </c>
      <c r="AM79" s="6">
        <v>2940</v>
      </c>
      <c r="AN79" s="6">
        <v>1377</v>
      </c>
      <c r="AO79" s="6">
        <v>3779</v>
      </c>
      <c r="AP79" s="6">
        <v>3238</v>
      </c>
      <c r="AQ79" s="6">
        <v>2281</v>
      </c>
      <c r="AR79" s="6">
        <v>3945</v>
      </c>
    </row>
    <row r="80" spans="1:44">
      <c r="A80" s="4" t="s">
        <v>358</v>
      </c>
      <c r="B80" s="1" t="s">
        <v>359</v>
      </c>
      <c r="C80" s="1" t="s">
        <v>115</v>
      </c>
      <c r="D80" s="1" t="str">
        <f>HYPERLINK("http://eros.fiehnlab.ucdavis.edu:8080/binbase-compound/bin/show/227957?db=rtx5","227957")</f>
        <v>227957</v>
      </c>
      <c r="E80" s="1" t="s">
        <v>360</v>
      </c>
      <c r="F80" s="1" t="str">
        <f>HYPERLINK("http://www.genome.ad.jp/dbget-bin/www_bget?compound+C00037","C00037")</f>
        <v>C00037</v>
      </c>
      <c r="G80" s="1" t="str">
        <f>HYPERLINK("http://pubchem.ncbi.nlm.nih.gov/summary/summary.cgi?cid=750","750")</f>
        <v>750</v>
      </c>
      <c r="H80" s="1"/>
      <c r="I80" s="6">
        <v>489638</v>
      </c>
      <c r="J80" s="6">
        <v>60770</v>
      </c>
      <c r="K80" s="6">
        <v>50154</v>
      </c>
      <c r="L80" s="6">
        <v>442525</v>
      </c>
      <c r="M80" s="6">
        <v>314824</v>
      </c>
      <c r="N80" s="6">
        <v>585576</v>
      </c>
      <c r="O80" s="6">
        <v>154461</v>
      </c>
      <c r="P80" s="6">
        <v>46628</v>
      </c>
      <c r="Q80" s="6">
        <v>399152</v>
      </c>
      <c r="R80" s="6">
        <v>258450</v>
      </c>
      <c r="S80" s="6">
        <v>73696</v>
      </c>
      <c r="T80" s="6">
        <v>35811</v>
      </c>
      <c r="U80" s="6">
        <v>721479</v>
      </c>
      <c r="V80" s="6">
        <v>71949</v>
      </c>
      <c r="W80" s="6">
        <v>228418</v>
      </c>
      <c r="X80" s="6">
        <v>279261</v>
      </c>
      <c r="Y80" s="6">
        <v>480351</v>
      </c>
      <c r="Z80" s="6">
        <v>366602</v>
      </c>
      <c r="AA80" s="6">
        <v>53438</v>
      </c>
      <c r="AB80" s="6">
        <v>634303</v>
      </c>
      <c r="AC80" s="6">
        <v>50195</v>
      </c>
      <c r="AD80" s="6">
        <v>390273</v>
      </c>
      <c r="AE80" s="6">
        <v>394604</v>
      </c>
      <c r="AF80" s="6">
        <v>101145</v>
      </c>
      <c r="AG80" s="6">
        <v>87289</v>
      </c>
      <c r="AH80" s="6">
        <v>774795</v>
      </c>
      <c r="AI80" s="6">
        <v>175940</v>
      </c>
      <c r="AJ80" s="6">
        <v>67783</v>
      </c>
      <c r="AK80" s="6">
        <v>254009</v>
      </c>
      <c r="AL80" s="6">
        <v>38866</v>
      </c>
      <c r="AM80" s="6">
        <v>320625</v>
      </c>
      <c r="AN80" s="6">
        <v>93932</v>
      </c>
      <c r="AO80" s="6">
        <v>444129</v>
      </c>
      <c r="AP80" s="6">
        <v>539620</v>
      </c>
      <c r="AQ80" s="6">
        <v>186272</v>
      </c>
      <c r="AR80" s="6">
        <v>402679</v>
      </c>
    </row>
    <row r="81" spans="1:44">
      <c r="A81" s="4" t="s">
        <v>361</v>
      </c>
      <c r="B81" s="1" t="s">
        <v>362</v>
      </c>
      <c r="C81" s="1" t="s">
        <v>363</v>
      </c>
      <c r="D81" s="1" t="str">
        <f>HYPERLINK("http://eros.fiehnlab.ucdavis.edu:8080/binbase-compound/bin/show/199419?db=rtx5","199419")</f>
        <v>199419</v>
      </c>
      <c r="E81" s="1" t="s">
        <v>364</v>
      </c>
      <c r="F81" s="1" t="str">
        <f>HYPERLINK("http://www.genome.ad.jp/dbget-bin/www_bget?compound+C00093","C00093")</f>
        <v>C00093</v>
      </c>
      <c r="G81" s="1" t="str">
        <f>HYPERLINK("http://pubchem.ncbi.nlm.nih.gov/summary/summary.cgi?cid=754","754")</f>
        <v>754</v>
      </c>
      <c r="H81" s="1"/>
      <c r="I81" s="6">
        <v>8431</v>
      </c>
      <c r="J81" s="6">
        <v>9993</v>
      </c>
      <c r="K81" s="6">
        <v>12391</v>
      </c>
      <c r="L81" s="6">
        <v>5635</v>
      </c>
      <c r="M81" s="6">
        <v>16626</v>
      </c>
      <c r="N81" s="6">
        <v>6402</v>
      </c>
      <c r="O81" s="6">
        <v>10420</v>
      </c>
      <c r="P81" s="6">
        <v>15235</v>
      </c>
      <c r="Q81" s="6">
        <v>10246</v>
      </c>
      <c r="R81" s="6">
        <v>7434</v>
      </c>
      <c r="S81" s="6">
        <v>8208</v>
      </c>
      <c r="T81" s="6">
        <v>9447</v>
      </c>
      <c r="U81" s="6">
        <v>9398</v>
      </c>
      <c r="V81" s="6">
        <v>5483</v>
      </c>
      <c r="W81" s="6">
        <v>7185</v>
      </c>
      <c r="X81" s="6">
        <v>7703</v>
      </c>
      <c r="Y81" s="6">
        <v>11014</v>
      </c>
      <c r="Z81" s="6">
        <v>8307</v>
      </c>
      <c r="AA81" s="6">
        <v>13291</v>
      </c>
      <c r="AB81" s="6">
        <v>12603</v>
      </c>
      <c r="AC81" s="6">
        <v>11775</v>
      </c>
      <c r="AD81" s="6">
        <v>12529</v>
      </c>
      <c r="AE81" s="6">
        <v>9105</v>
      </c>
      <c r="AF81" s="6">
        <v>11387</v>
      </c>
      <c r="AG81" s="6">
        <v>15539</v>
      </c>
      <c r="AH81" s="6">
        <v>10692</v>
      </c>
      <c r="AI81" s="6">
        <v>10185</v>
      </c>
      <c r="AJ81" s="6">
        <v>6759</v>
      </c>
      <c r="AK81" s="6">
        <v>5689</v>
      </c>
      <c r="AL81" s="6">
        <v>5674</v>
      </c>
      <c r="AM81" s="6">
        <v>8489</v>
      </c>
      <c r="AN81" s="6">
        <v>10556</v>
      </c>
      <c r="AO81" s="6">
        <v>12722</v>
      </c>
      <c r="AP81" s="6">
        <v>13902</v>
      </c>
      <c r="AQ81" s="6">
        <v>9578</v>
      </c>
      <c r="AR81" s="6">
        <v>12113</v>
      </c>
    </row>
    <row r="82" spans="1:44">
      <c r="A82" s="4" t="s">
        <v>365</v>
      </c>
      <c r="B82" s="1" t="s">
        <v>366</v>
      </c>
      <c r="C82" s="1" t="s">
        <v>159</v>
      </c>
      <c r="D82" s="1" t="str">
        <f>HYPERLINK("http://eros.fiehnlab.ucdavis.edu:8080/binbase-compound/bin/show/225851?db=rtx5","225851")</f>
        <v>225851</v>
      </c>
      <c r="E82" s="1" t="s">
        <v>367</v>
      </c>
      <c r="F82" s="1" t="str">
        <f>HYPERLINK("http://www.genome.ad.jp/dbget-bin/www_bget?compound+C05401","C05401")</f>
        <v>C05401</v>
      </c>
      <c r="G82" s="1" t="str">
        <f>HYPERLINK("http://pubchem.ncbi.nlm.nih.gov/summary/summary.cgi?cid=656504","656504")</f>
        <v>656504</v>
      </c>
      <c r="H82" s="1"/>
      <c r="I82" s="6">
        <v>16223</v>
      </c>
      <c r="J82" s="6">
        <v>12801</v>
      </c>
      <c r="K82" s="6">
        <v>11857</v>
      </c>
      <c r="L82" s="6">
        <v>15211</v>
      </c>
      <c r="M82" s="6">
        <v>15354</v>
      </c>
      <c r="N82" s="6">
        <v>11046</v>
      </c>
      <c r="O82" s="6">
        <v>13249</v>
      </c>
      <c r="P82" s="6">
        <v>11354</v>
      </c>
      <c r="Q82" s="6">
        <v>16545</v>
      </c>
      <c r="R82" s="6">
        <v>14648</v>
      </c>
      <c r="S82" s="6">
        <v>11711</v>
      </c>
      <c r="T82" s="6">
        <v>6104</v>
      </c>
      <c r="U82" s="6">
        <v>17727</v>
      </c>
      <c r="V82" s="6">
        <v>12531</v>
      </c>
      <c r="W82" s="6">
        <v>15729</v>
      </c>
      <c r="X82" s="6">
        <v>15548</v>
      </c>
      <c r="Y82" s="6">
        <v>14033</v>
      </c>
      <c r="Z82" s="6">
        <v>19210</v>
      </c>
      <c r="AA82" s="6">
        <v>12858</v>
      </c>
      <c r="AB82" s="6">
        <v>18088</v>
      </c>
      <c r="AC82" s="6">
        <v>17066</v>
      </c>
      <c r="AD82" s="6">
        <v>18187</v>
      </c>
      <c r="AE82" s="6">
        <v>15551</v>
      </c>
      <c r="AF82" s="6">
        <v>15107</v>
      </c>
      <c r="AG82" s="6">
        <v>15720</v>
      </c>
      <c r="AH82" s="6">
        <v>20183</v>
      </c>
      <c r="AI82" s="6">
        <v>14664</v>
      </c>
      <c r="AJ82" s="6">
        <v>9594</v>
      </c>
      <c r="AK82" s="6">
        <v>14904</v>
      </c>
      <c r="AL82" s="6">
        <v>8853</v>
      </c>
      <c r="AM82" s="6">
        <v>12219</v>
      </c>
      <c r="AN82" s="6">
        <v>12915</v>
      </c>
      <c r="AO82" s="6">
        <v>16659</v>
      </c>
      <c r="AP82" s="6">
        <v>19022</v>
      </c>
      <c r="AQ82" s="6">
        <v>13953</v>
      </c>
      <c r="AR82" s="6">
        <v>18831</v>
      </c>
    </row>
    <row r="83" spans="1:44">
      <c r="A83" s="4" t="s">
        <v>368</v>
      </c>
      <c r="B83" s="1" t="s">
        <v>369</v>
      </c>
      <c r="C83" s="1" t="s">
        <v>370</v>
      </c>
      <c r="D83" s="1" t="str">
        <f>HYPERLINK("http://eros.fiehnlab.ucdavis.edu:8080/binbase-compound/bin/show/228009?db=rtx5","228009")</f>
        <v>228009</v>
      </c>
      <c r="E83" s="1" t="s">
        <v>371</v>
      </c>
      <c r="F83" s="1" t="str">
        <f>HYPERLINK("http://www.genome.ad.jp/dbget-bin/www_bget?compound+C00258","C00258")</f>
        <v>C00258</v>
      </c>
      <c r="G83" s="1" t="str">
        <f>HYPERLINK("http://pubchem.ncbi.nlm.nih.gov/summary/summary.cgi?cid=439194","439194")</f>
        <v>439194</v>
      </c>
      <c r="H83" s="1"/>
      <c r="I83" s="6">
        <v>13505</v>
      </c>
      <c r="J83" s="6">
        <v>4064</v>
      </c>
      <c r="K83" s="6">
        <v>4586</v>
      </c>
      <c r="L83" s="6">
        <v>6231</v>
      </c>
      <c r="M83" s="6">
        <v>5066</v>
      </c>
      <c r="N83" s="6">
        <v>8482</v>
      </c>
      <c r="O83" s="6">
        <v>15025</v>
      </c>
      <c r="P83" s="6">
        <v>17652</v>
      </c>
      <c r="Q83" s="6">
        <v>8992</v>
      </c>
      <c r="R83" s="6">
        <v>6062</v>
      </c>
      <c r="S83" s="6">
        <v>17207</v>
      </c>
      <c r="T83" s="6">
        <v>6078</v>
      </c>
      <c r="U83" s="6">
        <v>7821</v>
      </c>
      <c r="V83" s="6">
        <v>2394</v>
      </c>
      <c r="W83" s="6">
        <v>3716</v>
      </c>
      <c r="X83" s="6">
        <v>8630</v>
      </c>
      <c r="Y83" s="6">
        <v>3721</v>
      </c>
      <c r="Z83" s="6">
        <v>4791</v>
      </c>
      <c r="AA83" s="6">
        <v>14988</v>
      </c>
      <c r="AB83" s="6">
        <v>16939</v>
      </c>
      <c r="AC83" s="6">
        <v>10600</v>
      </c>
      <c r="AD83" s="6">
        <v>5419</v>
      </c>
      <c r="AE83" s="6">
        <v>11916</v>
      </c>
      <c r="AF83" s="6">
        <v>7815</v>
      </c>
      <c r="AG83" s="6">
        <v>15314</v>
      </c>
      <c r="AH83" s="6">
        <v>6819</v>
      </c>
      <c r="AI83" s="6">
        <v>6517</v>
      </c>
      <c r="AJ83" s="6">
        <v>2041</v>
      </c>
      <c r="AK83" s="6">
        <v>6025</v>
      </c>
      <c r="AL83" s="6">
        <v>3417</v>
      </c>
      <c r="AM83" s="6">
        <v>3353</v>
      </c>
      <c r="AN83" s="6">
        <v>2023</v>
      </c>
      <c r="AO83" s="6">
        <v>4650</v>
      </c>
      <c r="AP83" s="6">
        <v>7055</v>
      </c>
      <c r="AQ83" s="6">
        <v>7000</v>
      </c>
      <c r="AR83" s="6">
        <v>4341</v>
      </c>
    </row>
    <row r="84" spans="1:44">
      <c r="A84" s="4" t="s">
        <v>372</v>
      </c>
      <c r="B84" s="1" t="s">
        <v>373</v>
      </c>
      <c r="C84" s="1" t="s">
        <v>374</v>
      </c>
      <c r="D84" s="1" t="str">
        <f>HYPERLINK("http://eros.fiehnlab.ucdavis.edu:8080/binbase-compound/bin/show/227977?db=rtx5","227977")</f>
        <v>227977</v>
      </c>
      <c r="E84" s="1" t="s">
        <v>375</v>
      </c>
      <c r="F84" s="1" t="str">
        <f>HYPERLINK("http://www.genome.ad.jp/dbget-bin/www_bget?compound+C00025","C00025")</f>
        <v>C00025</v>
      </c>
      <c r="G84" s="1" t="str">
        <f>HYPERLINK("http://pubchem.ncbi.nlm.nih.gov/summary/summary.cgi?cid=33032","33032")</f>
        <v>33032</v>
      </c>
      <c r="H84" s="1"/>
      <c r="I84" s="6">
        <v>332388</v>
      </c>
      <c r="J84" s="6">
        <v>39549</v>
      </c>
      <c r="K84" s="6">
        <v>16423</v>
      </c>
      <c r="L84" s="6">
        <v>444503</v>
      </c>
      <c r="M84" s="6">
        <v>212765</v>
      </c>
      <c r="N84" s="6">
        <v>407158</v>
      </c>
      <c r="O84" s="6">
        <v>54878</v>
      </c>
      <c r="P84" s="6">
        <v>7757</v>
      </c>
      <c r="Q84" s="6">
        <v>205519</v>
      </c>
      <c r="R84" s="6">
        <v>177737</v>
      </c>
      <c r="S84" s="6">
        <v>27722</v>
      </c>
      <c r="T84" s="6">
        <v>13713</v>
      </c>
      <c r="U84" s="6">
        <v>503674</v>
      </c>
      <c r="V84" s="6">
        <v>87707</v>
      </c>
      <c r="W84" s="6">
        <v>180621</v>
      </c>
      <c r="X84" s="6">
        <v>201318</v>
      </c>
      <c r="Y84" s="6">
        <v>320988</v>
      </c>
      <c r="Z84" s="6">
        <v>227923</v>
      </c>
      <c r="AA84" s="6">
        <v>26766</v>
      </c>
      <c r="AB84" s="6">
        <v>421336</v>
      </c>
      <c r="AC84" s="6">
        <v>18539</v>
      </c>
      <c r="AD84" s="6">
        <v>239121</v>
      </c>
      <c r="AE84" s="6">
        <v>260888</v>
      </c>
      <c r="AF84" s="6">
        <v>29580</v>
      </c>
      <c r="AG84" s="6">
        <v>38488</v>
      </c>
      <c r="AH84" s="6">
        <v>546419</v>
      </c>
      <c r="AI84" s="6">
        <v>104975</v>
      </c>
      <c r="AJ84" s="6">
        <v>53642</v>
      </c>
      <c r="AK84" s="6">
        <v>161018</v>
      </c>
      <c r="AL84" s="6">
        <v>20038</v>
      </c>
      <c r="AM84" s="6">
        <v>199497</v>
      </c>
      <c r="AN84" s="6">
        <v>55447</v>
      </c>
      <c r="AO84" s="6">
        <v>270364</v>
      </c>
      <c r="AP84" s="6">
        <v>316641</v>
      </c>
      <c r="AQ84" s="6">
        <v>114872</v>
      </c>
      <c r="AR84" s="6">
        <v>263447</v>
      </c>
    </row>
    <row r="85" spans="1:44">
      <c r="A85" s="4" t="s">
        <v>1207</v>
      </c>
      <c r="B85" s="1" t="s">
        <v>376</v>
      </c>
      <c r="C85" s="1" t="s">
        <v>269</v>
      </c>
      <c r="D85" s="1" t="str">
        <f>HYPERLINK("http://eros.fiehnlab.ucdavis.edu:8080/binbase-compound/bin/show/199915?db=rtx5","199915")</f>
        <v>199915</v>
      </c>
      <c r="E85" s="1" t="s">
        <v>377</v>
      </c>
      <c r="F85" s="1" t="str">
        <f>HYPERLINK("http://www.genome.ad.jp/dbget-bin/www_bget?compound+C00092","C00092")</f>
        <v>C00092</v>
      </c>
      <c r="G85" s="1" t="str">
        <f>HYPERLINK("http://pubchem.ncbi.nlm.nih.gov/summary/summary.cgi?cid=5958","5958")</f>
        <v>5958</v>
      </c>
      <c r="H85" s="1"/>
      <c r="I85" s="6">
        <v>2206</v>
      </c>
      <c r="J85" s="6">
        <v>2551</v>
      </c>
      <c r="K85" s="6">
        <v>1612</v>
      </c>
      <c r="L85" s="6">
        <v>2286</v>
      </c>
      <c r="M85" s="6">
        <v>3204</v>
      </c>
      <c r="N85" s="6">
        <v>2140</v>
      </c>
      <c r="O85" s="6">
        <v>1533</v>
      </c>
      <c r="P85" s="6">
        <v>736</v>
      </c>
      <c r="Q85" s="6">
        <v>2202</v>
      </c>
      <c r="R85" s="6">
        <v>2079</v>
      </c>
      <c r="S85" s="6">
        <v>1079</v>
      </c>
      <c r="T85" s="6">
        <v>1388</v>
      </c>
      <c r="U85" s="6">
        <v>3791</v>
      </c>
      <c r="V85" s="6">
        <v>1612</v>
      </c>
      <c r="W85" s="6">
        <v>1062</v>
      </c>
      <c r="X85" s="6">
        <v>1362</v>
      </c>
      <c r="Y85" s="6">
        <v>1631</v>
      </c>
      <c r="Z85" s="6">
        <v>2709</v>
      </c>
      <c r="AA85" s="6">
        <v>763</v>
      </c>
      <c r="AB85" s="6">
        <v>1482</v>
      </c>
      <c r="AC85" s="6">
        <v>1494</v>
      </c>
      <c r="AD85" s="6">
        <v>3015</v>
      </c>
      <c r="AE85" s="6">
        <v>1274</v>
      </c>
      <c r="AF85" s="6">
        <v>943</v>
      </c>
      <c r="AG85" s="6">
        <v>1157</v>
      </c>
      <c r="AH85" s="6">
        <v>1705</v>
      </c>
      <c r="AI85" s="6">
        <v>2287</v>
      </c>
      <c r="AJ85" s="6">
        <v>1928</v>
      </c>
      <c r="AK85" s="6">
        <v>2109</v>
      </c>
      <c r="AL85" s="6">
        <v>684</v>
      </c>
      <c r="AM85" s="6">
        <v>2259</v>
      </c>
      <c r="AN85" s="6">
        <v>1560</v>
      </c>
      <c r="AO85" s="6">
        <v>1560</v>
      </c>
      <c r="AP85" s="6">
        <v>3172</v>
      </c>
      <c r="AQ85" s="6">
        <v>1569</v>
      </c>
      <c r="AR85" s="6">
        <v>2880</v>
      </c>
    </row>
    <row r="86" spans="1:44">
      <c r="A86" s="4" t="s">
        <v>378</v>
      </c>
      <c r="B86" s="1" t="s">
        <v>379</v>
      </c>
      <c r="C86" s="1" t="s">
        <v>185</v>
      </c>
      <c r="D86" s="1" t="str">
        <f>HYPERLINK("http://eros.fiehnlab.ucdavis.edu:8080/binbase-compound/bin/show/199178?db=rtx5","199178")</f>
        <v>199178</v>
      </c>
      <c r="E86" s="1" t="s">
        <v>380</v>
      </c>
      <c r="F86" s="1" t="str">
        <f>HYPERLINK("http://www.genome.ad.jp/dbget-bin/www_bget?compound+C00103","C00103")</f>
        <v>C00103</v>
      </c>
      <c r="G86" s="1" t="str">
        <f>HYPERLINK("http://pubchem.ncbi.nlm.nih.gov/summary/summary.cgi?cid=65533","65533")</f>
        <v>65533</v>
      </c>
      <c r="H86" s="1"/>
      <c r="I86" s="6">
        <v>2624</v>
      </c>
      <c r="J86" s="6">
        <v>2425</v>
      </c>
      <c r="K86" s="6">
        <v>2897</v>
      </c>
      <c r="L86" s="6">
        <v>3742</v>
      </c>
      <c r="M86" s="6">
        <v>2111</v>
      </c>
      <c r="N86" s="6">
        <v>3129</v>
      </c>
      <c r="O86" s="6">
        <v>2428</v>
      </c>
      <c r="P86" s="6">
        <v>2868</v>
      </c>
      <c r="Q86" s="6">
        <v>2315</v>
      </c>
      <c r="R86" s="6">
        <v>1505</v>
      </c>
      <c r="S86" s="6">
        <v>2237</v>
      </c>
      <c r="T86" s="6">
        <v>1827</v>
      </c>
      <c r="U86" s="6">
        <v>3486</v>
      </c>
      <c r="V86" s="6">
        <v>3118</v>
      </c>
      <c r="W86" s="6">
        <v>3225</v>
      </c>
      <c r="X86" s="6">
        <v>2754</v>
      </c>
      <c r="Y86" s="6">
        <v>3281</v>
      </c>
      <c r="Z86" s="6">
        <v>2488</v>
      </c>
      <c r="AA86" s="6">
        <v>3159</v>
      </c>
      <c r="AB86" s="6">
        <v>5868</v>
      </c>
      <c r="AC86" s="6">
        <v>3540</v>
      </c>
      <c r="AD86" s="6">
        <v>3423</v>
      </c>
      <c r="AE86" s="6">
        <v>2981</v>
      </c>
      <c r="AF86" s="6">
        <v>2873</v>
      </c>
      <c r="AG86" s="6">
        <v>2538</v>
      </c>
      <c r="AH86" s="6">
        <v>7647</v>
      </c>
      <c r="AI86" s="6">
        <v>1870</v>
      </c>
      <c r="AJ86" s="6">
        <v>1152</v>
      </c>
      <c r="AK86" s="6">
        <v>1799</v>
      </c>
      <c r="AL86" s="6">
        <v>1185</v>
      </c>
      <c r="AM86" s="6">
        <v>3165</v>
      </c>
      <c r="AN86" s="6">
        <v>2374</v>
      </c>
      <c r="AO86" s="6">
        <v>3550</v>
      </c>
      <c r="AP86" s="6">
        <v>3195</v>
      </c>
      <c r="AQ86" s="6">
        <v>2989</v>
      </c>
      <c r="AR86" s="6">
        <v>3168</v>
      </c>
    </row>
    <row r="87" spans="1:44">
      <c r="A87" s="4" t="s">
        <v>1208</v>
      </c>
      <c r="B87" s="1" t="s">
        <v>381</v>
      </c>
      <c r="C87" s="1" t="s">
        <v>133</v>
      </c>
      <c r="D87" s="1" t="str">
        <f>HYPERLINK("http://eros.fiehnlab.ucdavis.edu:8080/binbase-compound/bin/show/199413?db=rtx5","199413")</f>
        <v>199413</v>
      </c>
      <c r="E87" s="1" t="s">
        <v>382</v>
      </c>
      <c r="F87" s="1" t="str">
        <f>HYPERLINK("http://www.genome.ad.jp/dbget-bin/www_bget?compound+C00031","C00031")</f>
        <v>C00031</v>
      </c>
      <c r="G87" s="1" t="str">
        <f>HYPERLINK("http://pubchem.ncbi.nlm.nih.gov/summary/summary.cgi?cid=5793","5793")</f>
        <v>5793</v>
      </c>
      <c r="H87" s="1"/>
      <c r="I87" s="6">
        <v>6227</v>
      </c>
      <c r="J87" s="6">
        <v>2552</v>
      </c>
      <c r="K87" s="6">
        <v>4965</v>
      </c>
      <c r="L87" s="6">
        <v>12336</v>
      </c>
      <c r="M87" s="6">
        <v>2646</v>
      </c>
      <c r="N87" s="6">
        <v>6150</v>
      </c>
      <c r="O87" s="6">
        <v>984</v>
      </c>
      <c r="P87" s="6">
        <v>6202</v>
      </c>
      <c r="Q87" s="6">
        <v>4619</v>
      </c>
      <c r="R87" s="6">
        <v>987</v>
      </c>
      <c r="S87" s="6">
        <v>6615</v>
      </c>
      <c r="T87" s="6">
        <v>2662</v>
      </c>
      <c r="U87" s="6">
        <v>5740</v>
      </c>
      <c r="V87" s="6">
        <v>3506</v>
      </c>
      <c r="W87" s="6">
        <v>5130</v>
      </c>
      <c r="X87" s="6">
        <v>7708</v>
      </c>
      <c r="Y87" s="6">
        <v>3274</v>
      </c>
      <c r="Z87" s="6">
        <v>7505</v>
      </c>
      <c r="AA87" s="6">
        <v>5300</v>
      </c>
      <c r="AB87" s="6">
        <v>14477</v>
      </c>
      <c r="AC87" s="6">
        <v>10546</v>
      </c>
      <c r="AD87" s="6">
        <v>8687</v>
      </c>
      <c r="AE87" s="6">
        <v>13509</v>
      </c>
      <c r="AF87" s="6">
        <v>10322</v>
      </c>
      <c r="AG87" s="6">
        <v>3325</v>
      </c>
      <c r="AH87" s="6">
        <v>7867</v>
      </c>
      <c r="AI87" s="6">
        <v>4157</v>
      </c>
      <c r="AJ87" s="6">
        <v>736</v>
      </c>
      <c r="AK87" s="6">
        <v>5769</v>
      </c>
      <c r="AL87" s="6">
        <v>1934</v>
      </c>
      <c r="AM87" s="6">
        <v>2783</v>
      </c>
      <c r="AN87" s="6">
        <v>2812</v>
      </c>
      <c r="AO87" s="6">
        <v>4052</v>
      </c>
      <c r="AP87" s="6">
        <v>6395</v>
      </c>
      <c r="AQ87" s="6">
        <v>5544</v>
      </c>
      <c r="AR87" s="6">
        <v>3367</v>
      </c>
    </row>
    <row r="88" spans="1:44">
      <c r="A88" s="4" t="s">
        <v>1210</v>
      </c>
      <c r="B88" s="1" t="s">
        <v>384</v>
      </c>
      <c r="C88" s="1" t="s">
        <v>269</v>
      </c>
      <c r="D88" s="1" t="str">
        <f>HYPERLINK("http://eros.fiehnlab.ucdavis.edu:8080/binbase-compound/bin/show/199932?db=rtx5","199932")</f>
        <v>199932</v>
      </c>
      <c r="E88" s="1" t="s">
        <v>385</v>
      </c>
      <c r="F88" s="1" t="str">
        <f>HYPERLINK("http://www.genome.ad.jp/dbget-bin/www_bget?compound+C00446","C00446")</f>
        <v>C00446</v>
      </c>
      <c r="G88" s="1" t="str">
        <f>HYPERLINK("http://pubchem.ncbi.nlm.nih.gov/summary/summary.cgi?cid=99058","99058")</f>
        <v>99058</v>
      </c>
      <c r="H88" s="1"/>
      <c r="I88" s="6">
        <v>818</v>
      </c>
      <c r="J88" s="6">
        <v>566</v>
      </c>
      <c r="K88" s="6">
        <v>712</v>
      </c>
      <c r="L88" s="6">
        <v>950</v>
      </c>
      <c r="M88" s="6">
        <v>903</v>
      </c>
      <c r="N88" s="6">
        <v>614</v>
      </c>
      <c r="O88" s="6">
        <v>1410</v>
      </c>
      <c r="P88" s="6">
        <v>973</v>
      </c>
      <c r="Q88" s="6">
        <v>1562</v>
      </c>
      <c r="R88" s="6">
        <v>1646</v>
      </c>
      <c r="S88" s="6">
        <v>1610</v>
      </c>
      <c r="T88" s="6">
        <v>452</v>
      </c>
      <c r="U88" s="6">
        <v>1450</v>
      </c>
      <c r="V88" s="6">
        <v>908</v>
      </c>
      <c r="W88" s="6">
        <v>1282</v>
      </c>
      <c r="X88" s="6">
        <v>1870</v>
      </c>
      <c r="Y88" s="6">
        <v>1152</v>
      </c>
      <c r="Z88" s="6">
        <v>1123</v>
      </c>
      <c r="AA88" s="6">
        <v>1381</v>
      </c>
      <c r="AB88" s="6">
        <v>1157</v>
      </c>
      <c r="AC88" s="6">
        <v>840</v>
      </c>
      <c r="AD88" s="6">
        <v>1919</v>
      </c>
      <c r="AE88" s="6">
        <v>828</v>
      </c>
      <c r="AF88" s="6">
        <v>516</v>
      </c>
      <c r="AG88" s="6">
        <v>1510</v>
      </c>
      <c r="AH88" s="6">
        <v>1755</v>
      </c>
      <c r="AI88" s="6">
        <v>721</v>
      </c>
      <c r="AJ88" s="6">
        <v>811</v>
      </c>
      <c r="AK88" s="6">
        <v>646</v>
      </c>
      <c r="AL88" s="6">
        <v>395</v>
      </c>
      <c r="AM88" s="6">
        <v>467</v>
      </c>
      <c r="AN88" s="6">
        <v>1090</v>
      </c>
      <c r="AO88" s="6">
        <v>1592</v>
      </c>
      <c r="AP88" s="6">
        <v>1958</v>
      </c>
      <c r="AQ88" s="6">
        <v>406</v>
      </c>
      <c r="AR88" s="6">
        <v>966</v>
      </c>
    </row>
    <row r="89" spans="1:44">
      <c r="A89" s="4" t="s">
        <v>1209</v>
      </c>
      <c r="B89" s="1" t="s">
        <v>386</v>
      </c>
      <c r="C89" s="1" t="s">
        <v>159</v>
      </c>
      <c r="D89" s="1" t="str">
        <f>HYPERLINK("http://eros.fiehnlab.ucdavis.edu:8080/binbase-compound/bin/show/211957?db=rtx5","211957")</f>
        <v>211957</v>
      </c>
      <c r="E89" s="1" t="s">
        <v>387</v>
      </c>
      <c r="F89" s="1" t="str">
        <f>HYPERLINK("http://www.genome.ad.jp/dbget-bin/www_bget?compound+C01235","C01235")</f>
        <v>C01235</v>
      </c>
      <c r="G89" s="1" t="str">
        <f>HYPERLINK("http://pubchem.ncbi.nlm.nih.gov/summary/summary.cgi?cid=439451","439451")</f>
        <v>439451</v>
      </c>
      <c r="H89" s="1"/>
      <c r="I89" s="6">
        <v>2592</v>
      </c>
      <c r="J89" s="6">
        <v>683</v>
      </c>
      <c r="K89" s="6">
        <v>551</v>
      </c>
      <c r="L89" s="6">
        <v>1479</v>
      </c>
      <c r="M89" s="6">
        <v>1566</v>
      </c>
      <c r="N89" s="6">
        <v>3269</v>
      </c>
      <c r="O89" s="6">
        <v>1377</v>
      </c>
      <c r="P89" s="6">
        <v>513</v>
      </c>
      <c r="Q89" s="6">
        <v>1592</v>
      </c>
      <c r="R89" s="6">
        <v>1558</v>
      </c>
      <c r="S89" s="6">
        <v>594</v>
      </c>
      <c r="T89" s="6">
        <v>450</v>
      </c>
      <c r="U89" s="6">
        <v>4331</v>
      </c>
      <c r="V89" s="6">
        <v>489</v>
      </c>
      <c r="W89" s="6">
        <v>885</v>
      </c>
      <c r="X89" s="6">
        <v>925</v>
      </c>
      <c r="Y89" s="6">
        <v>2750</v>
      </c>
      <c r="Z89" s="6">
        <v>1825</v>
      </c>
      <c r="AA89" s="6">
        <v>640</v>
      </c>
      <c r="AB89" s="6">
        <v>4582</v>
      </c>
      <c r="AC89" s="6">
        <v>741</v>
      </c>
      <c r="AD89" s="6">
        <v>2137</v>
      </c>
      <c r="AE89" s="6">
        <v>1721</v>
      </c>
      <c r="AF89" s="6">
        <v>994</v>
      </c>
      <c r="AG89" s="6">
        <v>659</v>
      </c>
      <c r="AH89" s="6">
        <v>4518</v>
      </c>
      <c r="AI89" s="6">
        <v>1577</v>
      </c>
      <c r="AJ89" s="6">
        <v>565</v>
      </c>
      <c r="AK89" s="6">
        <v>897</v>
      </c>
      <c r="AL89" s="6">
        <v>327</v>
      </c>
      <c r="AM89" s="6">
        <v>1316</v>
      </c>
      <c r="AN89" s="6">
        <v>987</v>
      </c>
      <c r="AO89" s="6">
        <v>2319</v>
      </c>
      <c r="AP89" s="6">
        <v>2757</v>
      </c>
      <c r="AQ89" s="6">
        <v>1144</v>
      </c>
      <c r="AR89" s="6">
        <v>2515</v>
      </c>
    </row>
    <row r="90" spans="1:44">
      <c r="A90" s="4" t="s">
        <v>389</v>
      </c>
      <c r="B90" s="1" t="s">
        <v>390</v>
      </c>
      <c r="C90" s="1" t="s">
        <v>115</v>
      </c>
      <c r="D90" s="1" t="str">
        <f>HYPERLINK("http://eros.fiehnlab.ucdavis.edu:8080/binbase-compound/bin/show/227952?db=rtx5","227952")</f>
        <v>227952</v>
      </c>
      <c r="E90" s="1" t="s">
        <v>391</v>
      </c>
      <c r="F90" s="1" t="str">
        <f>HYPERLINK("http://www.genome.ad.jp/dbget-bin/www_bget?compound+C00334","C00334")</f>
        <v>C00334</v>
      </c>
      <c r="G90" s="1" t="str">
        <f>HYPERLINK("http://pubchem.ncbi.nlm.nih.gov/summary/summary.cgi?cid=119","119")</f>
        <v>119</v>
      </c>
      <c r="H90" s="1"/>
      <c r="I90" s="6">
        <v>77694</v>
      </c>
      <c r="J90" s="6">
        <v>556</v>
      </c>
      <c r="K90" s="6">
        <v>338</v>
      </c>
      <c r="L90" s="6">
        <v>89525</v>
      </c>
      <c r="M90" s="6">
        <v>40097</v>
      </c>
      <c r="N90" s="6">
        <v>101416</v>
      </c>
      <c r="O90" s="6">
        <v>1040</v>
      </c>
      <c r="P90" s="6">
        <v>90665</v>
      </c>
      <c r="Q90" s="6">
        <v>178238</v>
      </c>
      <c r="R90" s="6">
        <v>939</v>
      </c>
      <c r="S90" s="6">
        <v>523</v>
      </c>
      <c r="T90" s="6">
        <v>44706</v>
      </c>
      <c r="U90" s="6">
        <v>84388</v>
      </c>
      <c r="V90" s="6">
        <v>66908</v>
      </c>
      <c r="W90" s="6">
        <v>41369</v>
      </c>
      <c r="X90" s="6">
        <v>358639</v>
      </c>
      <c r="Y90" s="6">
        <v>65854</v>
      </c>
      <c r="Z90" s="6">
        <v>53959</v>
      </c>
      <c r="AA90" s="6">
        <v>124539</v>
      </c>
      <c r="AB90" s="6">
        <v>492176</v>
      </c>
      <c r="AC90" s="6">
        <v>278337</v>
      </c>
      <c r="AD90" s="6">
        <v>3058</v>
      </c>
      <c r="AE90" s="6">
        <v>167846</v>
      </c>
      <c r="AF90" s="6">
        <v>384996</v>
      </c>
      <c r="AG90" s="6">
        <v>243006</v>
      </c>
      <c r="AH90" s="6">
        <v>72693</v>
      </c>
      <c r="AI90" s="6">
        <v>1058</v>
      </c>
      <c r="AJ90" s="6">
        <v>17495</v>
      </c>
      <c r="AK90" s="6">
        <v>1394</v>
      </c>
      <c r="AL90" s="6">
        <v>12029</v>
      </c>
      <c r="AM90" s="6">
        <v>1515</v>
      </c>
      <c r="AN90" s="6">
        <v>1647</v>
      </c>
      <c r="AO90" s="6">
        <v>2283</v>
      </c>
      <c r="AP90" s="6">
        <v>2884</v>
      </c>
      <c r="AQ90" s="6">
        <v>1046</v>
      </c>
      <c r="AR90" s="6">
        <v>72701</v>
      </c>
    </row>
    <row r="91" spans="1:44">
      <c r="A91" s="4" t="s">
        <v>392</v>
      </c>
      <c r="B91" s="1" t="s">
        <v>393</v>
      </c>
      <c r="C91" s="1" t="s">
        <v>394</v>
      </c>
      <c r="D91" s="1" t="str">
        <f>HYPERLINK("http://eros.fiehnlab.ucdavis.edu:8080/binbase-compound/bin/show/325032?db=rtx5","325032")</f>
        <v>325032</v>
      </c>
      <c r="E91" s="1" t="s">
        <v>395</v>
      </c>
      <c r="F91" s="1" t="str">
        <f>HYPERLINK("http://www.genome.ad.jp/dbget-bin/www_bget?compound+C00122","C00122")</f>
        <v>C00122</v>
      </c>
      <c r="G91" s="1" t="str">
        <f>HYPERLINK("http://pubchem.ncbi.nlm.nih.gov/summary/summary.cgi?cid=444972","444972")</f>
        <v>444972</v>
      </c>
      <c r="H91" s="1"/>
      <c r="I91" s="6">
        <v>6825</v>
      </c>
      <c r="J91" s="6">
        <v>22301</v>
      </c>
      <c r="K91" s="6">
        <v>14746</v>
      </c>
      <c r="L91" s="6">
        <v>6446</v>
      </c>
      <c r="M91" s="6">
        <v>46813</v>
      </c>
      <c r="N91" s="6">
        <v>38026</v>
      </c>
      <c r="O91" s="6">
        <v>10419</v>
      </c>
      <c r="P91" s="6">
        <v>6761</v>
      </c>
      <c r="Q91" s="6">
        <v>18021</v>
      </c>
      <c r="R91" s="6">
        <v>26047</v>
      </c>
      <c r="S91" s="6">
        <v>10028</v>
      </c>
      <c r="T91" s="6">
        <v>4537</v>
      </c>
      <c r="U91" s="6">
        <v>49287</v>
      </c>
      <c r="V91" s="6">
        <v>8480</v>
      </c>
      <c r="W91" s="6">
        <v>14788</v>
      </c>
      <c r="X91" s="6">
        <v>9268</v>
      </c>
      <c r="Y91" s="6">
        <v>31694</v>
      </c>
      <c r="Z91" s="6">
        <v>24005</v>
      </c>
      <c r="AA91" s="6">
        <v>7894</v>
      </c>
      <c r="AB91" s="6">
        <v>30237</v>
      </c>
      <c r="AC91" s="6">
        <v>11162</v>
      </c>
      <c r="AD91" s="6">
        <v>24326</v>
      </c>
      <c r="AE91" s="6">
        <v>15389</v>
      </c>
      <c r="AF91" s="6">
        <v>12738</v>
      </c>
      <c r="AG91" s="6">
        <v>16248</v>
      </c>
      <c r="AH91" s="6">
        <v>28645</v>
      </c>
      <c r="AI91" s="6">
        <v>13627</v>
      </c>
      <c r="AJ91" s="6">
        <v>12400</v>
      </c>
      <c r="AK91" s="6">
        <v>18966</v>
      </c>
      <c r="AL91" s="6">
        <v>4184</v>
      </c>
      <c r="AM91" s="6">
        <v>22762</v>
      </c>
      <c r="AN91" s="6">
        <v>11389</v>
      </c>
      <c r="AO91" s="6">
        <v>20705</v>
      </c>
      <c r="AP91" s="6">
        <v>33775</v>
      </c>
      <c r="AQ91" s="6">
        <v>14828</v>
      </c>
      <c r="AR91" s="6">
        <v>19520</v>
      </c>
    </row>
    <row r="92" spans="1:44">
      <c r="A92" s="4" t="s">
        <v>1212</v>
      </c>
      <c r="B92" s="1" t="s">
        <v>396</v>
      </c>
      <c r="C92" s="1" t="s">
        <v>128</v>
      </c>
      <c r="D92" s="1" t="str">
        <f>HYPERLINK("http://eros.fiehnlab.ucdavis.edu:8080/binbase-compound/bin/show/205102?db=rtx5","205102")</f>
        <v>205102</v>
      </c>
      <c r="E92" s="1" t="s">
        <v>397</v>
      </c>
      <c r="F92" s="1" t="str">
        <f>HYPERLINK("http://www.genome.ad.jp/dbget-bin/www_bget?compound+C01018","C01018")</f>
        <v>C01018</v>
      </c>
      <c r="G92" s="1" t="str">
        <f>HYPERLINK("http://pubchem.ncbi.nlm.nih.gov/summary/summary.cgi?cid=94270","94270")</f>
        <v>94270</v>
      </c>
      <c r="H92" s="1"/>
      <c r="I92" s="6">
        <v>2329</v>
      </c>
      <c r="J92" s="6">
        <v>435</v>
      </c>
      <c r="K92" s="6">
        <v>533</v>
      </c>
      <c r="L92" s="6">
        <v>2924</v>
      </c>
      <c r="M92" s="6">
        <v>2005</v>
      </c>
      <c r="N92" s="6">
        <v>3303</v>
      </c>
      <c r="O92" s="6">
        <v>998</v>
      </c>
      <c r="P92" s="6">
        <v>630</v>
      </c>
      <c r="Q92" s="6">
        <v>2234</v>
      </c>
      <c r="R92" s="6">
        <v>1893</v>
      </c>
      <c r="S92" s="6">
        <v>2217</v>
      </c>
      <c r="T92" s="6">
        <v>407</v>
      </c>
      <c r="U92" s="6">
        <v>4497</v>
      </c>
      <c r="V92" s="6">
        <v>532</v>
      </c>
      <c r="W92" s="6">
        <v>1172</v>
      </c>
      <c r="X92" s="6">
        <v>2251</v>
      </c>
      <c r="Y92" s="6">
        <v>2306</v>
      </c>
      <c r="Z92" s="6">
        <v>1919</v>
      </c>
      <c r="AA92" s="6">
        <v>559</v>
      </c>
      <c r="AB92" s="6">
        <v>3639</v>
      </c>
      <c r="AC92" s="6">
        <v>1060</v>
      </c>
      <c r="AD92" s="6">
        <v>1954</v>
      </c>
      <c r="AE92" s="6">
        <v>2657</v>
      </c>
      <c r="AF92" s="6">
        <v>909</v>
      </c>
      <c r="AG92" s="6">
        <v>6671</v>
      </c>
      <c r="AH92" s="6">
        <v>3730</v>
      </c>
      <c r="AI92" s="6">
        <v>2303</v>
      </c>
      <c r="AJ92" s="6">
        <v>2184</v>
      </c>
      <c r="AK92" s="6">
        <v>1578</v>
      </c>
      <c r="AL92" s="6">
        <v>1789</v>
      </c>
      <c r="AM92" s="6">
        <v>1820</v>
      </c>
      <c r="AN92" s="6">
        <v>608</v>
      </c>
      <c r="AO92" s="6">
        <v>1927</v>
      </c>
      <c r="AP92" s="6">
        <v>2607</v>
      </c>
      <c r="AQ92" s="6">
        <v>747</v>
      </c>
      <c r="AR92" s="6">
        <v>2346</v>
      </c>
    </row>
    <row r="93" spans="1:44">
      <c r="A93" s="4" t="s">
        <v>398</v>
      </c>
      <c r="B93" s="1" t="s">
        <v>399</v>
      </c>
      <c r="C93" s="1" t="s">
        <v>95</v>
      </c>
      <c r="D93" s="1" t="str">
        <f>HYPERLINK("http://eros.fiehnlab.ucdavis.edu:8080/binbase-compound/bin/show/201024?db=rtx5","201024")</f>
        <v>201024</v>
      </c>
      <c r="E93" s="1" t="s">
        <v>400</v>
      </c>
      <c r="F93" s="1" t="str">
        <f>HYPERLINK("http://www.genome.ad.jp/dbget-bin/www_bget?compound+C00085","C00085")</f>
        <v>C00085</v>
      </c>
      <c r="G93" s="1" t="str">
        <f>HYPERLINK("http://pubchem.ncbi.nlm.nih.gov/summary/summary.cgi?cid=69507","69507")</f>
        <v>69507</v>
      </c>
      <c r="H93" s="1"/>
      <c r="I93" s="6">
        <v>753</v>
      </c>
      <c r="J93" s="6">
        <v>1038</v>
      </c>
      <c r="K93" s="6">
        <v>626</v>
      </c>
      <c r="L93" s="6">
        <v>927</v>
      </c>
      <c r="M93" s="6">
        <v>1271</v>
      </c>
      <c r="N93" s="6">
        <v>828</v>
      </c>
      <c r="O93" s="6">
        <v>656</v>
      </c>
      <c r="P93" s="6">
        <v>178</v>
      </c>
      <c r="Q93" s="6">
        <v>844</v>
      </c>
      <c r="R93" s="6">
        <v>500</v>
      </c>
      <c r="S93" s="6">
        <v>470</v>
      </c>
      <c r="T93" s="6">
        <v>413</v>
      </c>
      <c r="U93" s="6">
        <v>1171</v>
      </c>
      <c r="V93" s="6">
        <v>671</v>
      </c>
      <c r="W93" s="6">
        <v>869</v>
      </c>
      <c r="X93" s="6">
        <v>648</v>
      </c>
      <c r="Y93" s="6">
        <v>1226</v>
      </c>
      <c r="Z93" s="6">
        <v>870</v>
      </c>
      <c r="AA93" s="6">
        <v>362</v>
      </c>
      <c r="AB93" s="6">
        <v>931</v>
      </c>
      <c r="AC93" s="6">
        <v>573</v>
      </c>
      <c r="AD93" s="6">
        <v>1015</v>
      </c>
      <c r="AE93" s="6">
        <v>459</v>
      </c>
      <c r="AF93" s="6">
        <v>392</v>
      </c>
      <c r="AG93" s="6">
        <v>662</v>
      </c>
      <c r="AH93" s="6">
        <v>1708</v>
      </c>
      <c r="AI93" s="6">
        <v>718</v>
      </c>
      <c r="AJ93" s="6">
        <v>711</v>
      </c>
      <c r="AK93" s="6">
        <v>786</v>
      </c>
      <c r="AL93" s="6">
        <v>309</v>
      </c>
      <c r="AM93" s="6">
        <v>752</v>
      </c>
      <c r="AN93" s="6">
        <v>539</v>
      </c>
      <c r="AO93" s="6">
        <v>1062</v>
      </c>
      <c r="AP93" s="6">
        <v>1060</v>
      </c>
      <c r="AQ93" s="6">
        <v>660</v>
      </c>
      <c r="AR93" s="6">
        <v>755</v>
      </c>
    </row>
    <row r="94" spans="1:44">
      <c r="A94" s="4" t="s">
        <v>1211</v>
      </c>
      <c r="B94" s="1" t="s">
        <v>401</v>
      </c>
      <c r="C94" s="1" t="s">
        <v>134</v>
      </c>
      <c r="D94" s="1" t="str">
        <f>HYPERLINK("http://eros.fiehnlab.ucdavis.edu:8080/binbase-compound/bin/show/335365?db=rtx5","335365")</f>
        <v>335365</v>
      </c>
      <c r="E94" s="1" t="s">
        <v>402</v>
      </c>
      <c r="F94" s="1" t="str">
        <f>HYPERLINK("http://www.genome.ad.jp/dbget-bin/www_bget?compound+n/a","n/a")</f>
        <v>n/a</v>
      </c>
      <c r="G94" s="1" t="str">
        <f>HYPERLINK("http://pubchem.ncbi.nlm.nih.gov/summary/summary.cgi?cid=107428","107428")</f>
        <v>107428</v>
      </c>
      <c r="H94" s="1"/>
      <c r="I94" s="6">
        <v>922</v>
      </c>
      <c r="J94" s="6">
        <v>797</v>
      </c>
      <c r="K94" s="6">
        <v>1140</v>
      </c>
      <c r="L94" s="6">
        <v>994</v>
      </c>
      <c r="M94" s="6">
        <v>675</v>
      </c>
      <c r="N94" s="6">
        <v>1314</v>
      </c>
      <c r="O94" s="6">
        <v>1022</v>
      </c>
      <c r="P94" s="6">
        <v>610</v>
      </c>
      <c r="Q94" s="6">
        <v>976</v>
      </c>
      <c r="R94" s="6">
        <v>1133</v>
      </c>
      <c r="S94" s="6">
        <v>1264</v>
      </c>
      <c r="T94" s="6">
        <v>606</v>
      </c>
      <c r="U94" s="6">
        <v>1238</v>
      </c>
      <c r="V94" s="6">
        <v>711</v>
      </c>
      <c r="W94" s="6">
        <v>1212</v>
      </c>
      <c r="X94" s="6">
        <v>1259</v>
      </c>
      <c r="Y94" s="6">
        <v>832</v>
      </c>
      <c r="Z94" s="6">
        <v>1247</v>
      </c>
      <c r="AA94" s="6">
        <v>1019</v>
      </c>
      <c r="AB94" s="6">
        <v>1671</v>
      </c>
      <c r="AC94" s="6">
        <v>1699</v>
      </c>
      <c r="AD94" s="6">
        <v>1304</v>
      </c>
      <c r="AE94" s="6">
        <v>1353</v>
      </c>
      <c r="AF94" s="6">
        <v>1136</v>
      </c>
      <c r="AG94" s="6">
        <v>1020</v>
      </c>
      <c r="AH94" s="6">
        <v>1358</v>
      </c>
      <c r="AI94" s="6">
        <v>673</v>
      </c>
      <c r="AJ94" s="6">
        <v>387</v>
      </c>
      <c r="AK94" s="6">
        <v>1308</v>
      </c>
      <c r="AL94" s="6">
        <v>596</v>
      </c>
      <c r="AM94" s="6">
        <v>665</v>
      </c>
      <c r="AN94" s="6">
        <v>552</v>
      </c>
      <c r="AO94" s="6">
        <v>850</v>
      </c>
      <c r="AP94" s="6">
        <v>980</v>
      </c>
      <c r="AQ94" s="6">
        <v>918</v>
      </c>
      <c r="AR94" s="6">
        <v>910</v>
      </c>
    </row>
    <row r="95" spans="1:44">
      <c r="A95" s="4" t="s">
        <v>403</v>
      </c>
      <c r="B95" s="1" t="s">
        <v>404</v>
      </c>
      <c r="C95" s="1" t="s">
        <v>125</v>
      </c>
      <c r="D95" s="1" t="str">
        <f>HYPERLINK("http://eros.fiehnlab.ucdavis.edu:8080/binbase-compound/bin/show/228540?db=rtx5","228540")</f>
        <v>228540</v>
      </c>
      <c r="E95" s="1" t="s">
        <v>405</v>
      </c>
      <c r="F95" s="1" t="str">
        <f>HYPERLINK("http://www.genome.ad.jp/dbget-bin/www_bget?compound+n/a","n/a")</f>
        <v>n/a</v>
      </c>
      <c r="G95" s="1" t="str">
        <f>HYPERLINK("http://pubchem.ncbi.nlm.nih.gov/summary/summary.cgi?cid=94176","94176")</f>
        <v>94176</v>
      </c>
      <c r="H95" s="1"/>
      <c r="I95" s="6">
        <v>281</v>
      </c>
      <c r="J95" s="6">
        <v>361</v>
      </c>
      <c r="K95" s="6">
        <v>336</v>
      </c>
      <c r="L95" s="6">
        <v>600</v>
      </c>
      <c r="M95" s="6">
        <v>235</v>
      </c>
      <c r="N95" s="6">
        <v>524</v>
      </c>
      <c r="O95" s="6">
        <v>2040</v>
      </c>
      <c r="P95" s="6">
        <v>626</v>
      </c>
      <c r="Q95" s="6">
        <v>386</v>
      </c>
      <c r="R95" s="6">
        <v>313</v>
      </c>
      <c r="S95" s="6">
        <v>1157</v>
      </c>
      <c r="T95" s="6">
        <v>426</v>
      </c>
      <c r="U95" s="6">
        <v>433</v>
      </c>
      <c r="V95" s="6">
        <v>141</v>
      </c>
      <c r="W95" s="6">
        <v>230</v>
      </c>
      <c r="X95" s="6">
        <v>825</v>
      </c>
      <c r="Y95" s="6">
        <v>291</v>
      </c>
      <c r="Z95" s="6">
        <v>274</v>
      </c>
      <c r="AA95" s="6">
        <v>578</v>
      </c>
      <c r="AB95" s="6">
        <v>390</v>
      </c>
      <c r="AC95" s="6">
        <v>668</v>
      </c>
      <c r="AD95" s="6">
        <v>389</v>
      </c>
      <c r="AE95" s="6">
        <v>561</v>
      </c>
      <c r="AF95" s="6">
        <v>452</v>
      </c>
      <c r="AG95" s="6">
        <v>502</v>
      </c>
      <c r="AH95" s="6">
        <v>558</v>
      </c>
      <c r="AI95" s="6">
        <v>272</v>
      </c>
      <c r="AJ95" s="6">
        <v>188</v>
      </c>
      <c r="AK95" s="6">
        <v>249</v>
      </c>
      <c r="AL95" s="6">
        <v>212</v>
      </c>
      <c r="AM95" s="6">
        <v>285</v>
      </c>
      <c r="AN95" s="6">
        <v>223</v>
      </c>
      <c r="AO95" s="6">
        <v>303</v>
      </c>
      <c r="AP95" s="6">
        <v>450</v>
      </c>
      <c r="AQ95" s="6">
        <v>537</v>
      </c>
      <c r="AR95" s="6">
        <v>440</v>
      </c>
    </row>
    <row r="96" spans="1:44">
      <c r="A96" s="4" t="s">
        <v>406</v>
      </c>
      <c r="B96" s="1" t="s">
        <v>407</v>
      </c>
      <c r="C96" s="1" t="s">
        <v>125</v>
      </c>
      <c r="D96" s="1" t="str">
        <f>HYPERLINK("http://eros.fiehnlab.ucdavis.edu:8080/binbase-compound/bin/show/200514?db=rtx5","200514")</f>
        <v>200514</v>
      </c>
      <c r="E96" s="1" t="s">
        <v>408</v>
      </c>
      <c r="F96" s="1" t="str">
        <f>HYPERLINK("http://www.genome.ad.jp/dbget-bin/www_bget?compound+C00503","C00503")</f>
        <v>C00503</v>
      </c>
      <c r="G96" s="1" t="str">
        <f>HYPERLINK("http://pubchem.ncbi.nlm.nih.gov/summary/summary.cgi?cid=222285","222285")</f>
        <v>222285</v>
      </c>
      <c r="H96" s="1"/>
      <c r="I96" s="6">
        <v>1379</v>
      </c>
      <c r="J96" s="6">
        <v>447</v>
      </c>
      <c r="K96" s="6">
        <v>141</v>
      </c>
      <c r="L96" s="6">
        <v>3315</v>
      </c>
      <c r="M96" s="6">
        <v>1411</v>
      </c>
      <c r="N96" s="6">
        <v>1212</v>
      </c>
      <c r="O96" s="6">
        <v>1043</v>
      </c>
      <c r="P96" s="6">
        <v>80</v>
      </c>
      <c r="Q96" s="6">
        <v>1155</v>
      </c>
      <c r="R96" s="6">
        <v>2062</v>
      </c>
      <c r="S96" s="6">
        <v>437</v>
      </c>
      <c r="T96" s="6">
        <v>201</v>
      </c>
      <c r="U96" s="6">
        <v>1342</v>
      </c>
      <c r="V96" s="6">
        <v>181</v>
      </c>
      <c r="W96" s="6">
        <v>552</v>
      </c>
      <c r="X96" s="6">
        <v>2185</v>
      </c>
      <c r="Y96" s="6">
        <v>916</v>
      </c>
      <c r="Z96" s="6">
        <v>793</v>
      </c>
      <c r="AA96" s="6">
        <v>394</v>
      </c>
      <c r="AB96" s="6">
        <v>1793</v>
      </c>
      <c r="AC96" s="6">
        <v>175</v>
      </c>
      <c r="AD96" s="6">
        <v>2015</v>
      </c>
      <c r="AE96" s="6">
        <v>1002</v>
      </c>
      <c r="AF96" s="6">
        <v>303</v>
      </c>
      <c r="AG96" s="6">
        <v>1052</v>
      </c>
      <c r="AH96" s="6">
        <v>2570</v>
      </c>
      <c r="AI96" s="6">
        <v>611</v>
      </c>
      <c r="AJ96" s="6">
        <v>278</v>
      </c>
      <c r="AK96" s="6">
        <v>635</v>
      </c>
      <c r="AL96" s="6">
        <v>106</v>
      </c>
      <c r="AM96" s="6">
        <v>650</v>
      </c>
      <c r="AN96" s="6">
        <v>430</v>
      </c>
      <c r="AO96" s="6">
        <v>899</v>
      </c>
      <c r="AP96" s="6">
        <v>2452</v>
      </c>
      <c r="AQ96" s="6">
        <v>310</v>
      </c>
      <c r="AR96" s="6">
        <v>1003</v>
      </c>
    </row>
    <row r="97" spans="1:44">
      <c r="A97" s="4" t="s">
        <v>409</v>
      </c>
      <c r="B97" s="1" t="s">
        <v>410</v>
      </c>
      <c r="C97" s="1" t="s">
        <v>237</v>
      </c>
      <c r="D97" s="1" t="str">
        <f>HYPERLINK("http://eros.fiehnlab.ucdavis.edu:8080/binbase-compound/bin/show/201152?db=rtx5","201152")</f>
        <v>201152</v>
      </c>
      <c r="E97" s="1" t="s">
        <v>411</v>
      </c>
      <c r="F97" s="1" t="str">
        <f>HYPERLINK("http://www.genome.ad.jp/dbget-bin/www_bget?compound+C01712","C01712")</f>
        <v>C01712</v>
      </c>
      <c r="G97" s="1" t="str">
        <f>HYPERLINK("http://pubchem.ncbi.nlm.nih.gov/summary/summary.cgi?cid=5282749","5282749")</f>
        <v>5282749</v>
      </c>
      <c r="H97" s="1"/>
      <c r="I97" s="6">
        <v>188</v>
      </c>
      <c r="J97" s="6">
        <v>137</v>
      </c>
      <c r="K97" s="6">
        <v>218</v>
      </c>
      <c r="L97" s="6">
        <v>141</v>
      </c>
      <c r="M97" s="6">
        <v>188</v>
      </c>
      <c r="N97" s="6">
        <v>191</v>
      </c>
      <c r="O97" s="6">
        <v>617</v>
      </c>
      <c r="P97" s="6">
        <v>1023</v>
      </c>
      <c r="Q97" s="6">
        <v>495</v>
      </c>
      <c r="R97" s="6">
        <v>413</v>
      </c>
      <c r="S97" s="6">
        <v>304</v>
      </c>
      <c r="T97" s="6">
        <v>1873</v>
      </c>
      <c r="U97" s="6">
        <v>128</v>
      </c>
      <c r="V97" s="6">
        <v>112</v>
      </c>
      <c r="W97" s="6">
        <v>214</v>
      </c>
      <c r="X97" s="6">
        <v>209</v>
      </c>
      <c r="Y97" s="6">
        <v>367</v>
      </c>
      <c r="Z97" s="6">
        <v>150</v>
      </c>
      <c r="AA97" s="6">
        <v>283</v>
      </c>
      <c r="AB97" s="6">
        <v>437</v>
      </c>
      <c r="AC97" s="6">
        <v>634</v>
      </c>
      <c r="AD97" s="6">
        <v>292</v>
      </c>
      <c r="AE97" s="6">
        <v>326</v>
      </c>
      <c r="AF97" s="6">
        <v>458</v>
      </c>
      <c r="AG97" s="6">
        <v>124</v>
      </c>
      <c r="AH97" s="6">
        <v>319</v>
      </c>
      <c r="AI97" s="6">
        <v>172</v>
      </c>
      <c r="AJ97" s="6">
        <v>76</v>
      </c>
      <c r="AK97" s="6">
        <v>97</v>
      </c>
      <c r="AL97" s="6">
        <v>207</v>
      </c>
      <c r="AM97" s="6">
        <v>226</v>
      </c>
      <c r="AN97" s="6">
        <v>181</v>
      </c>
      <c r="AO97" s="6">
        <v>254</v>
      </c>
      <c r="AP97" s="6">
        <v>408</v>
      </c>
      <c r="AQ97" s="6">
        <v>220</v>
      </c>
      <c r="AR97" s="6">
        <v>280</v>
      </c>
    </row>
    <row r="98" spans="1:44">
      <c r="A98" s="4" t="s">
        <v>412</v>
      </c>
      <c r="B98" s="1" t="s">
        <v>413</v>
      </c>
      <c r="C98" s="1" t="s">
        <v>414</v>
      </c>
      <c r="D98" s="1" t="str">
        <f>HYPERLINK("http://eros.fiehnlab.ucdavis.edu:8080/binbase-compound/bin/show/218955?db=rtx5","218955")</f>
        <v>218955</v>
      </c>
      <c r="E98" s="1" t="s">
        <v>415</v>
      </c>
      <c r="F98" s="1" t="str">
        <f>HYPERLINK("http://www.genome.ad.jp/dbget-bin/www_bget?compound+C02277","C02277")</f>
        <v>C02277</v>
      </c>
      <c r="G98" s="1" t="str">
        <f>HYPERLINK("http://pubchem.ncbi.nlm.nih.gov/summary/summary.cgi?cid=8193","8193")</f>
        <v>8193</v>
      </c>
      <c r="H98" s="1"/>
      <c r="I98" s="6">
        <v>598</v>
      </c>
      <c r="J98" s="6">
        <v>1229</v>
      </c>
      <c r="K98" s="6">
        <v>849</v>
      </c>
      <c r="L98" s="6">
        <v>401</v>
      </c>
      <c r="M98" s="6">
        <v>725</v>
      </c>
      <c r="N98" s="6">
        <v>469</v>
      </c>
      <c r="O98" s="6">
        <v>489</v>
      </c>
      <c r="P98" s="6">
        <v>650</v>
      </c>
      <c r="Q98" s="6">
        <v>503</v>
      </c>
      <c r="R98" s="6">
        <v>590</v>
      </c>
      <c r="S98" s="6">
        <v>670</v>
      </c>
      <c r="T98" s="6">
        <v>587</v>
      </c>
      <c r="U98" s="6">
        <v>488</v>
      </c>
      <c r="V98" s="6">
        <v>684</v>
      </c>
      <c r="W98" s="6">
        <v>347</v>
      </c>
      <c r="X98" s="6">
        <v>381</v>
      </c>
      <c r="Y98" s="6">
        <v>1152</v>
      </c>
      <c r="Z98" s="6">
        <v>460</v>
      </c>
      <c r="AA98" s="6">
        <v>469</v>
      </c>
      <c r="AB98" s="6">
        <v>604</v>
      </c>
      <c r="AC98" s="6">
        <v>707</v>
      </c>
      <c r="AD98" s="6">
        <v>457</v>
      </c>
      <c r="AE98" s="6">
        <v>386</v>
      </c>
      <c r="AF98" s="6">
        <v>944</v>
      </c>
      <c r="AG98" s="6">
        <v>703</v>
      </c>
      <c r="AH98" s="6">
        <v>578</v>
      </c>
      <c r="AI98" s="6">
        <v>434</v>
      </c>
      <c r="AJ98" s="6">
        <v>964</v>
      </c>
      <c r="AK98" s="6">
        <v>396</v>
      </c>
      <c r="AL98" s="6">
        <v>491</v>
      </c>
      <c r="AM98" s="6">
        <v>401</v>
      </c>
      <c r="AN98" s="6">
        <v>9640</v>
      </c>
      <c r="AO98" s="6">
        <v>526</v>
      </c>
      <c r="AP98" s="6">
        <v>475</v>
      </c>
      <c r="AQ98" s="6">
        <v>1913</v>
      </c>
      <c r="AR98" s="6">
        <v>462</v>
      </c>
    </row>
    <row r="99" spans="1:44">
      <c r="A99" s="4" t="s">
        <v>416</v>
      </c>
      <c r="B99" s="1" t="s">
        <v>417</v>
      </c>
      <c r="C99" s="1" t="s">
        <v>418</v>
      </c>
      <c r="D99" s="1" t="str">
        <f>HYPERLINK("http://eros.fiehnlab.ucdavis.edu:8080/binbase-compound/bin/show/221584?db=rtx5","221584")</f>
        <v>221584</v>
      </c>
      <c r="E99" s="1" t="s">
        <v>419</v>
      </c>
      <c r="F99" s="1" t="str">
        <f>HYPERLINK("http://www.genome.ad.jp/dbget-bin/www_bget?compound+C08374","C08374")</f>
        <v>C08374</v>
      </c>
      <c r="G99" s="1" t="str">
        <f>HYPERLINK("http://pubchem.ncbi.nlm.nih.gov/summary/summary.cgi?cid=8182","8182")</f>
        <v>8182</v>
      </c>
      <c r="H99" s="1"/>
      <c r="I99" s="6">
        <v>1842</v>
      </c>
      <c r="J99" s="6">
        <v>591</v>
      </c>
      <c r="K99" s="6">
        <v>419</v>
      </c>
      <c r="L99" s="6">
        <v>1939</v>
      </c>
      <c r="M99" s="6">
        <v>562</v>
      </c>
      <c r="N99" s="6">
        <v>333</v>
      </c>
      <c r="O99" s="6">
        <v>640</v>
      </c>
      <c r="P99" s="6">
        <v>528</v>
      </c>
      <c r="Q99" s="6">
        <v>290</v>
      </c>
      <c r="R99" s="6">
        <v>1127</v>
      </c>
      <c r="S99" s="6">
        <v>260</v>
      </c>
      <c r="T99" s="6">
        <v>336</v>
      </c>
      <c r="U99" s="6">
        <v>301</v>
      </c>
      <c r="V99" s="6">
        <v>347</v>
      </c>
      <c r="W99" s="6">
        <v>516</v>
      </c>
      <c r="X99" s="6">
        <v>155</v>
      </c>
      <c r="Y99" s="6">
        <v>349</v>
      </c>
      <c r="Z99" s="6">
        <v>380</v>
      </c>
      <c r="AA99" s="6">
        <v>345</v>
      </c>
      <c r="AB99" s="6">
        <v>1493</v>
      </c>
      <c r="AC99" s="6">
        <v>378</v>
      </c>
      <c r="AD99" s="6">
        <v>198</v>
      </c>
      <c r="AE99" s="6">
        <v>470</v>
      </c>
      <c r="AF99" s="6">
        <v>242</v>
      </c>
      <c r="AG99" s="6">
        <v>384</v>
      </c>
      <c r="AH99" s="6">
        <v>2565</v>
      </c>
      <c r="AI99" s="6">
        <v>656</v>
      </c>
      <c r="AJ99" s="6">
        <v>496</v>
      </c>
      <c r="AK99" s="6">
        <v>490</v>
      </c>
      <c r="AL99" s="6">
        <v>414</v>
      </c>
      <c r="AM99" s="6">
        <v>576</v>
      </c>
      <c r="AN99" s="6">
        <v>302</v>
      </c>
      <c r="AO99" s="6">
        <v>192</v>
      </c>
      <c r="AP99" s="6">
        <v>677</v>
      </c>
      <c r="AQ99" s="6">
        <v>485</v>
      </c>
      <c r="AR99" s="6">
        <v>207</v>
      </c>
    </row>
    <row r="100" spans="1:44">
      <c r="A100" s="4" t="s">
        <v>420</v>
      </c>
      <c r="B100" s="1" t="s">
        <v>421</v>
      </c>
      <c r="C100" s="1" t="s">
        <v>422</v>
      </c>
      <c r="D100" s="1" t="str">
        <f>HYPERLINK("http://eros.fiehnlab.ucdavis.edu:8080/binbase-compound/bin/show/226283?db=rtx5","226283")</f>
        <v>226283</v>
      </c>
      <c r="E100" s="1" t="s">
        <v>423</v>
      </c>
      <c r="F100" s="1" t="str">
        <f>HYPERLINK("http://www.genome.ad.jp/dbget-bin/www_bget?compound+n/a","n/a")</f>
        <v>n/a</v>
      </c>
      <c r="G100" s="1" t="str">
        <f>HYPERLINK("http://pubchem.ncbi.nlm.nih.gov/summary/summary.cgi?cid=227277","227277")</f>
        <v>227277</v>
      </c>
      <c r="H100" s="1"/>
      <c r="I100" s="6">
        <v>652</v>
      </c>
      <c r="J100" s="6">
        <v>375</v>
      </c>
      <c r="K100" s="6">
        <v>342</v>
      </c>
      <c r="L100" s="6">
        <v>665</v>
      </c>
      <c r="M100" s="6">
        <v>530</v>
      </c>
      <c r="N100" s="6">
        <v>532</v>
      </c>
      <c r="O100" s="6">
        <v>341</v>
      </c>
      <c r="P100" s="6">
        <v>319</v>
      </c>
      <c r="Q100" s="6">
        <v>823</v>
      </c>
      <c r="R100" s="6">
        <v>560</v>
      </c>
      <c r="S100" s="6">
        <v>343</v>
      </c>
      <c r="T100" s="6">
        <v>368</v>
      </c>
      <c r="U100" s="6">
        <v>671</v>
      </c>
      <c r="V100" s="6">
        <v>346</v>
      </c>
      <c r="W100" s="6">
        <v>484</v>
      </c>
      <c r="X100" s="6">
        <v>571</v>
      </c>
      <c r="Y100" s="6">
        <v>621</v>
      </c>
      <c r="Z100" s="6">
        <v>499</v>
      </c>
      <c r="AA100" s="6">
        <v>267</v>
      </c>
      <c r="AB100" s="6">
        <v>813</v>
      </c>
      <c r="AC100" s="6">
        <v>367</v>
      </c>
      <c r="AD100" s="6">
        <v>540</v>
      </c>
      <c r="AE100" s="6">
        <v>660</v>
      </c>
      <c r="AF100" s="6">
        <v>430</v>
      </c>
      <c r="AG100" s="6">
        <v>408</v>
      </c>
      <c r="AH100" s="6">
        <v>876</v>
      </c>
      <c r="AI100" s="6">
        <v>388</v>
      </c>
      <c r="AJ100" s="6">
        <v>417</v>
      </c>
      <c r="AK100" s="6">
        <v>461</v>
      </c>
      <c r="AL100" s="6">
        <v>302</v>
      </c>
      <c r="AM100" s="6">
        <v>625</v>
      </c>
      <c r="AN100" s="6">
        <v>289</v>
      </c>
      <c r="AO100" s="6">
        <v>564</v>
      </c>
      <c r="AP100" s="6">
        <v>674</v>
      </c>
      <c r="AQ100" s="6">
        <v>478</v>
      </c>
      <c r="AR100" s="6">
        <v>585</v>
      </c>
    </row>
    <row r="101" spans="1:44">
      <c r="A101" s="4" t="s">
        <v>424</v>
      </c>
      <c r="B101" s="1" t="s">
        <v>425</v>
      </c>
      <c r="C101" s="1" t="s">
        <v>426</v>
      </c>
      <c r="D101" s="1" t="str">
        <f>HYPERLINK("http://eros.fiehnlab.ucdavis.edu:8080/binbase-compound/bin/show/307950?db=rtx5","307950")</f>
        <v>307950</v>
      </c>
      <c r="E101" s="1" t="s">
        <v>427</v>
      </c>
      <c r="F101" s="1" t="str">
        <f>HYPERLINK("http://www.genome.ad.jp/dbget-bin/www_bget?compound+C00475","C00475")</f>
        <v>C00475</v>
      </c>
      <c r="G101" s="1" t="str">
        <f>HYPERLINK("http://pubchem.ncbi.nlm.nih.gov/summary/summary.cgi?cid=6175","6175")</f>
        <v>6175</v>
      </c>
      <c r="H101" s="1"/>
      <c r="I101" s="6">
        <v>182</v>
      </c>
      <c r="J101" s="6">
        <v>186</v>
      </c>
      <c r="K101" s="6">
        <v>173</v>
      </c>
      <c r="L101" s="6">
        <v>449</v>
      </c>
      <c r="M101" s="6">
        <v>273</v>
      </c>
      <c r="N101" s="6">
        <v>404</v>
      </c>
      <c r="O101" s="6">
        <v>157</v>
      </c>
      <c r="P101" s="6">
        <v>156</v>
      </c>
      <c r="Q101" s="6">
        <v>421</v>
      </c>
      <c r="R101" s="6">
        <v>389</v>
      </c>
      <c r="S101" s="6">
        <v>153</v>
      </c>
      <c r="T101" s="6">
        <v>125</v>
      </c>
      <c r="U101" s="6">
        <v>581</v>
      </c>
      <c r="V101" s="6">
        <v>124</v>
      </c>
      <c r="W101" s="6">
        <v>125</v>
      </c>
      <c r="X101" s="6">
        <v>184</v>
      </c>
      <c r="Y101" s="6">
        <v>224</v>
      </c>
      <c r="Z101" s="6">
        <v>321</v>
      </c>
      <c r="AA101" s="6">
        <v>167</v>
      </c>
      <c r="AB101" s="6">
        <v>1648</v>
      </c>
      <c r="AC101" s="6">
        <v>134</v>
      </c>
      <c r="AD101" s="6">
        <v>717</v>
      </c>
      <c r="AE101" s="6">
        <v>236</v>
      </c>
      <c r="AF101" s="6">
        <v>195</v>
      </c>
      <c r="AG101" s="6">
        <v>176</v>
      </c>
      <c r="AH101" s="6">
        <v>459</v>
      </c>
      <c r="AI101" s="6">
        <v>197</v>
      </c>
      <c r="AJ101" s="6">
        <v>179</v>
      </c>
      <c r="AK101" s="6">
        <v>147</v>
      </c>
      <c r="AL101" s="6">
        <v>145</v>
      </c>
      <c r="AM101" s="6">
        <v>395</v>
      </c>
      <c r="AN101" s="6">
        <v>302</v>
      </c>
      <c r="AO101" s="6">
        <v>489</v>
      </c>
      <c r="AP101" s="6">
        <v>2881</v>
      </c>
      <c r="AQ101" s="6">
        <v>200</v>
      </c>
      <c r="AR101" s="6">
        <v>295</v>
      </c>
    </row>
    <row r="102" spans="1:44">
      <c r="A102" s="4" t="s">
        <v>428</v>
      </c>
      <c r="B102" s="1" t="s">
        <v>429</v>
      </c>
      <c r="C102" s="1" t="s">
        <v>430</v>
      </c>
      <c r="D102" s="1" t="str">
        <f>HYPERLINK("http://eros.fiehnlab.ucdavis.edu:8080/binbase-compound/bin/show/227594?db=rtx5","227594")</f>
        <v>227594</v>
      </c>
      <c r="E102" s="1" t="s">
        <v>431</v>
      </c>
      <c r="F102" s="1" t="str">
        <f>HYPERLINK("http://www.genome.ad.jp/dbget-bin/www_bget?compound+C01419","C01419")</f>
        <v>C01419</v>
      </c>
      <c r="G102" s="1" t="str">
        <f>HYPERLINK("http://pubchem.ncbi.nlm.nih.gov/summary/summary.cgi?cid=439498","439498")</f>
        <v>439498</v>
      </c>
      <c r="H102" s="1"/>
      <c r="I102" s="6">
        <v>1113</v>
      </c>
      <c r="J102" s="6">
        <v>422</v>
      </c>
      <c r="K102" s="6">
        <v>320</v>
      </c>
      <c r="L102" s="6">
        <v>2621</v>
      </c>
      <c r="M102" s="6">
        <v>1296</v>
      </c>
      <c r="N102" s="6">
        <v>1854</v>
      </c>
      <c r="O102" s="6">
        <v>706</v>
      </c>
      <c r="P102" s="6">
        <v>308</v>
      </c>
      <c r="Q102" s="6">
        <v>894</v>
      </c>
      <c r="R102" s="6">
        <v>3306</v>
      </c>
      <c r="S102" s="6">
        <v>442</v>
      </c>
      <c r="T102" s="6">
        <v>168</v>
      </c>
      <c r="U102" s="6">
        <v>3364</v>
      </c>
      <c r="V102" s="6">
        <v>640</v>
      </c>
      <c r="W102" s="6">
        <v>978</v>
      </c>
      <c r="X102" s="6">
        <v>670</v>
      </c>
      <c r="Y102" s="6">
        <v>1827</v>
      </c>
      <c r="Z102" s="6">
        <v>1924</v>
      </c>
      <c r="AA102" s="6">
        <v>382</v>
      </c>
      <c r="AB102" s="6">
        <v>1918</v>
      </c>
      <c r="AC102" s="6">
        <v>672</v>
      </c>
      <c r="AD102" s="6">
        <v>4051</v>
      </c>
      <c r="AE102" s="6">
        <v>941</v>
      </c>
      <c r="AF102" s="6">
        <v>359</v>
      </c>
      <c r="AG102" s="6">
        <v>436</v>
      </c>
      <c r="AH102" s="6">
        <v>3037</v>
      </c>
      <c r="AI102" s="6">
        <v>736</v>
      </c>
      <c r="AJ102" s="6">
        <v>284</v>
      </c>
      <c r="AK102" s="6">
        <v>335</v>
      </c>
      <c r="AL102" s="6">
        <v>207</v>
      </c>
      <c r="AM102" s="6">
        <v>779</v>
      </c>
      <c r="AN102" s="6">
        <v>1997</v>
      </c>
      <c r="AO102" s="6">
        <v>1195</v>
      </c>
      <c r="AP102" s="6">
        <v>3684</v>
      </c>
      <c r="AQ102" s="6">
        <v>471</v>
      </c>
      <c r="AR102" s="6">
        <v>2295</v>
      </c>
    </row>
    <row r="103" spans="1:44">
      <c r="A103" s="4" t="s">
        <v>432</v>
      </c>
      <c r="B103" s="1" t="s">
        <v>433</v>
      </c>
      <c r="C103" s="1" t="s">
        <v>430</v>
      </c>
      <c r="D103" s="1" t="str">
        <f>HYPERLINK("http://eros.fiehnlab.ucdavis.edu:8080/binbase-compound/bin/show/223529?db=rtx5","223529")</f>
        <v>223529</v>
      </c>
      <c r="E103" s="1" t="s">
        <v>434</v>
      </c>
      <c r="F103" s="1" t="str">
        <f>HYPERLINK("http://www.genome.ad.jp/dbget-bin/www_bget?compound+C00097","C00097")</f>
        <v>C00097</v>
      </c>
      <c r="G103" s="1" t="str">
        <f>HYPERLINK("http://pubchem.ncbi.nlm.nih.gov/summary/summary.cgi?cid=594","594")</f>
        <v>594</v>
      </c>
      <c r="H103" s="1"/>
      <c r="I103" s="6">
        <v>582</v>
      </c>
      <c r="J103" s="6">
        <v>107</v>
      </c>
      <c r="K103" s="6">
        <v>129</v>
      </c>
      <c r="L103" s="6">
        <v>3745</v>
      </c>
      <c r="M103" s="6">
        <v>699</v>
      </c>
      <c r="N103" s="6">
        <v>1418</v>
      </c>
      <c r="O103" s="6">
        <v>126</v>
      </c>
      <c r="P103" s="6">
        <v>152</v>
      </c>
      <c r="Q103" s="6">
        <v>948</v>
      </c>
      <c r="R103" s="6">
        <v>1521</v>
      </c>
      <c r="S103" s="6">
        <v>95</v>
      </c>
      <c r="T103" s="6">
        <v>103</v>
      </c>
      <c r="U103" s="6">
        <v>4905</v>
      </c>
      <c r="V103" s="6">
        <v>478</v>
      </c>
      <c r="W103" s="6">
        <v>1587</v>
      </c>
      <c r="X103" s="6">
        <v>805</v>
      </c>
      <c r="Y103" s="6">
        <v>2017</v>
      </c>
      <c r="Z103" s="6">
        <v>1542</v>
      </c>
      <c r="AA103" s="6">
        <v>199</v>
      </c>
      <c r="AB103" s="6">
        <v>2238</v>
      </c>
      <c r="AC103" s="6">
        <v>207</v>
      </c>
      <c r="AD103" s="6">
        <v>1997</v>
      </c>
      <c r="AE103" s="6">
        <v>1278</v>
      </c>
      <c r="AF103" s="6">
        <v>266</v>
      </c>
      <c r="AG103" s="6">
        <v>353</v>
      </c>
      <c r="AH103" s="6">
        <v>3906</v>
      </c>
      <c r="AI103" s="6">
        <v>394</v>
      </c>
      <c r="AJ103" s="6">
        <v>386</v>
      </c>
      <c r="AK103" s="6">
        <v>762</v>
      </c>
      <c r="AL103" s="6">
        <v>129</v>
      </c>
      <c r="AM103" s="6">
        <v>1359</v>
      </c>
      <c r="AN103" s="6">
        <v>496</v>
      </c>
      <c r="AO103" s="6">
        <v>1824</v>
      </c>
      <c r="AP103" s="6">
        <v>3000</v>
      </c>
      <c r="AQ103" s="6">
        <v>480</v>
      </c>
      <c r="AR103" s="6">
        <v>1894</v>
      </c>
    </row>
    <row r="104" spans="1:44">
      <c r="A104" s="4" t="s">
        <v>1213</v>
      </c>
      <c r="B104" s="1" t="s">
        <v>435</v>
      </c>
      <c r="C104" s="1" t="s">
        <v>259</v>
      </c>
      <c r="D104" s="1" t="str">
        <f>HYPERLINK("http://eros.fiehnlab.ucdavis.edu:8080/binbase-compound/bin/show/237860?db=rtx5","237860")</f>
        <v>237860</v>
      </c>
      <c r="E104" s="1" t="s">
        <v>436</v>
      </c>
      <c r="F104" s="1" t="str">
        <f>HYPERLINK("http://www.genome.ad.jp/dbget-bin/www_bget?compound+C02291","C02291")</f>
        <v>C02291</v>
      </c>
      <c r="G104" s="1" t="str">
        <f>HYPERLINK("http://pubchem.ncbi.nlm.nih.gov/summary/summary.cgi?cid=439258","439258")</f>
        <v>439258</v>
      </c>
      <c r="H104" s="1"/>
      <c r="I104" s="6">
        <v>558</v>
      </c>
      <c r="J104" s="6">
        <v>194</v>
      </c>
      <c r="K104" s="6">
        <v>207</v>
      </c>
      <c r="L104" s="6">
        <v>734</v>
      </c>
      <c r="M104" s="6">
        <v>294</v>
      </c>
      <c r="N104" s="6">
        <v>666</v>
      </c>
      <c r="O104" s="6">
        <v>217</v>
      </c>
      <c r="P104" s="6">
        <v>159</v>
      </c>
      <c r="Q104" s="6">
        <v>585</v>
      </c>
      <c r="R104" s="6">
        <v>460</v>
      </c>
      <c r="S104" s="6">
        <v>193</v>
      </c>
      <c r="T104" s="6">
        <v>181</v>
      </c>
      <c r="U104" s="6">
        <v>2222</v>
      </c>
      <c r="V104" s="6">
        <v>249</v>
      </c>
      <c r="W104" s="6">
        <v>229</v>
      </c>
      <c r="X104" s="6">
        <v>326</v>
      </c>
      <c r="Y104" s="6">
        <v>410</v>
      </c>
      <c r="Z104" s="6">
        <v>508</v>
      </c>
      <c r="AA104" s="6">
        <v>172</v>
      </c>
      <c r="AB104" s="6">
        <v>800</v>
      </c>
      <c r="AC104" s="6">
        <v>242</v>
      </c>
      <c r="AD104" s="6">
        <v>502</v>
      </c>
      <c r="AE104" s="6">
        <v>399</v>
      </c>
      <c r="AF104" s="6">
        <v>241</v>
      </c>
      <c r="AG104" s="6">
        <v>221</v>
      </c>
      <c r="AH104" s="6">
        <v>1164</v>
      </c>
      <c r="AI104" s="6">
        <v>288</v>
      </c>
      <c r="AJ104" s="6">
        <v>226</v>
      </c>
      <c r="AK104" s="6">
        <v>393</v>
      </c>
      <c r="AL104" s="6">
        <v>186</v>
      </c>
      <c r="AM104" s="6">
        <v>546</v>
      </c>
      <c r="AN104" s="6">
        <v>394</v>
      </c>
      <c r="AO104" s="6">
        <v>1008</v>
      </c>
      <c r="AP104" s="6">
        <v>744</v>
      </c>
      <c r="AQ104" s="6">
        <v>255</v>
      </c>
      <c r="AR104" s="6">
        <v>398</v>
      </c>
    </row>
    <row r="105" spans="1:44">
      <c r="A105" s="4" t="s">
        <v>437</v>
      </c>
      <c r="B105" s="1" t="s">
        <v>438</v>
      </c>
      <c r="C105" s="1" t="s">
        <v>259</v>
      </c>
      <c r="D105" s="1" t="str">
        <f>HYPERLINK("http://eros.fiehnlab.ucdavis.edu:8080/binbase-compound/bin/show/234665?db=rtx5","234665")</f>
        <v>234665</v>
      </c>
      <c r="E105" s="1" t="s">
        <v>439</v>
      </c>
      <c r="F105" s="1" t="str">
        <f>HYPERLINK("http://www.genome.ad.jp/dbget-bin/www_bget?compound+C00571","C00571")</f>
        <v>C00571</v>
      </c>
      <c r="G105" s="1" t="str">
        <f>HYPERLINK("http://pubchem.ncbi.nlm.nih.gov/summary/summary.cgi?cid=7965","7965")</f>
        <v>7965</v>
      </c>
      <c r="H105" s="1"/>
      <c r="I105" s="6">
        <v>2883</v>
      </c>
      <c r="J105" s="6">
        <v>1606</v>
      </c>
      <c r="K105" s="6">
        <v>1102</v>
      </c>
      <c r="L105" s="6">
        <v>2239</v>
      </c>
      <c r="M105" s="6">
        <v>824</v>
      </c>
      <c r="N105" s="6">
        <v>1274</v>
      </c>
      <c r="O105" s="6">
        <v>1143</v>
      </c>
      <c r="P105" s="6">
        <v>678</v>
      </c>
      <c r="Q105" s="6">
        <v>1729</v>
      </c>
      <c r="R105" s="6">
        <v>1337</v>
      </c>
      <c r="S105" s="6">
        <v>503</v>
      </c>
      <c r="T105" s="6">
        <v>619</v>
      </c>
      <c r="U105" s="6">
        <v>1774</v>
      </c>
      <c r="V105" s="6">
        <v>799</v>
      </c>
      <c r="W105" s="6">
        <v>1010</v>
      </c>
      <c r="X105" s="6">
        <v>1668</v>
      </c>
      <c r="Y105" s="6">
        <v>1335</v>
      </c>
      <c r="Z105" s="6">
        <v>1477</v>
      </c>
      <c r="AA105" s="6">
        <v>689</v>
      </c>
      <c r="AB105" s="6">
        <v>3336</v>
      </c>
      <c r="AC105" s="6">
        <v>1052</v>
      </c>
      <c r="AD105" s="6">
        <v>2060</v>
      </c>
      <c r="AE105" s="6">
        <v>2145</v>
      </c>
      <c r="AF105" s="6">
        <v>1006</v>
      </c>
      <c r="AG105" s="6">
        <v>847</v>
      </c>
      <c r="AH105" s="6">
        <v>2361</v>
      </c>
      <c r="AI105" s="6">
        <v>1022</v>
      </c>
      <c r="AJ105" s="6">
        <v>580</v>
      </c>
      <c r="AK105" s="6">
        <v>826</v>
      </c>
      <c r="AL105" s="6">
        <v>362</v>
      </c>
      <c r="AM105" s="6">
        <v>950</v>
      </c>
      <c r="AN105" s="6">
        <v>811</v>
      </c>
      <c r="AO105" s="6">
        <v>1876</v>
      </c>
      <c r="AP105" s="6">
        <v>1932</v>
      </c>
      <c r="AQ105" s="6">
        <v>789</v>
      </c>
      <c r="AR105" s="6">
        <v>1723</v>
      </c>
    </row>
    <row r="106" spans="1:44">
      <c r="A106" s="4" t="s">
        <v>440</v>
      </c>
      <c r="B106" s="1" t="s">
        <v>441</v>
      </c>
      <c r="C106" s="1" t="s">
        <v>318</v>
      </c>
      <c r="D106" s="1" t="str">
        <f>HYPERLINK("http://eros.fiehnlab.ucdavis.edu:8080/binbase-compound/bin/show/227948?db=rtx5","227948")</f>
        <v>227948</v>
      </c>
      <c r="E106" s="1" t="s">
        <v>442</v>
      </c>
      <c r="F106" s="1" t="str">
        <f>HYPERLINK("http://www.genome.ad.jp/dbget-bin/www_bget?compound+n/a","n/a")</f>
        <v>n/a</v>
      </c>
      <c r="G106" s="1" t="str">
        <f>HYPERLINK("http://pubchem.ncbi.nlm.nih.gov/summary/summary.cgi?cid=119054","119054")</f>
        <v>119054</v>
      </c>
      <c r="H106" s="1"/>
      <c r="I106" s="6">
        <v>227</v>
      </c>
      <c r="J106" s="6">
        <v>121</v>
      </c>
      <c r="K106" s="6">
        <v>108</v>
      </c>
      <c r="L106" s="6">
        <v>306</v>
      </c>
      <c r="M106" s="6">
        <v>122</v>
      </c>
      <c r="N106" s="6">
        <v>273</v>
      </c>
      <c r="O106" s="6">
        <v>143</v>
      </c>
      <c r="P106" s="6">
        <v>107</v>
      </c>
      <c r="Q106" s="6">
        <v>156</v>
      </c>
      <c r="R106" s="6">
        <v>103</v>
      </c>
      <c r="S106" s="6">
        <v>115</v>
      </c>
      <c r="T106" s="6">
        <v>102</v>
      </c>
      <c r="U106" s="6">
        <v>371</v>
      </c>
      <c r="V106" s="6">
        <v>105</v>
      </c>
      <c r="W106" s="6">
        <v>126</v>
      </c>
      <c r="X106" s="6">
        <v>139</v>
      </c>
      <c r="Y106" s="6">
        <v>142</v>
      </c>
      <c r="Z106" s="6">
        <v>149</v>
      </c>
      <c r="AA106" s="6">
        <v>106</v>
      </c>
      <c r="AB106" s="6">
        <v>340</v>
      </c>
      <c r="AC106" s="6">
        <v>107</v>
      </c>
      <c r="AD106" s="6">
        <v>108</v>
      </c>
      <c r="AE106" s="6">
        <v>140</v>
      </c>
      <c r="AF106" s="6">
        <v>121</v>
      </c>
      <c r="AG106" s="6">
        <v>107</v>
      </c>
      <c r="AH106" s="6">
        <v>173</v>
      </c>
      <c r="AI106" s="6">
        <v>116</v>
      </c>
      <c r="AJ106" s="6">
        <v>100</v>
      </c>
      <c r="AK106" s="6">
        <v>150</v>
      </c>
      <c r="AL106" s="6">
        <v>115</v>
      </c>
      <c r="AM106" s="6">
        <v>123</v>
      </c>
      <c r="AN106" s="6">
        <v>117</v>
      </c>
      <c r="AO106" s="6">
        <v>143</v>
      </c>
      <c r="AP106" s="6">
        <v>250</v>
      </c>
      <c r="AQ106" s="6">
        <v>118</v>
      </c>
      <c r="AR106" s="6">
        <v>141</v>
      </c>
    </row>
    <row r="107" spans="1:44">
      <c r="A107" s="4" t="s">
        <v>443</v>
      </c>
      <c r="B107" s="1" t="s">
        <v>444</v>
      </c>
      <c r="C107" s="1" t="s">
        <v>445</v>
      </c>
      <c r="D107" s="1" t="str">
        <f>HYPERLINK("http://eros.fiehnlab.ucdavis.edu:8080/binbase-compound/bin/show/339415?db=rtx5","339415")</f>
        <v>339415</v>
      </c>
      <c r="E107" s="1" t="s">
        <v>446</v>
      </c>
      <c r="F107" s="1" t="str">
        <f>HYPERLINK("http://www.genome.ad.jp/dbget-bin/www_bget?compound+C00327","C00327")</f>
        <v>C00327</v>
      </c>
      <c r="G107" s="1" t="str">
        <f>HYPERLINK("http://pubchem.ncbi.nlm.nih.gov/summary/summary.cgi?cid=9750","9750")</f>
        <v>9750</v>
      </c>
      <c r="H107" s="1"/>
      <c r="I107" s="6">
        <v>9538</v>
      </c>
      <c r="J107" s="6">
        <v>2724</v>
      </c>
      <c r="K107" s="6">
        <v>2295</v>
      </c>
      <c r="L107" s="6">
        <v>12363</v>
      </c>
      <c r="M107" s="6">
        <v>10965</v>
      </c>
      <c r="N107" s="6">
        <v>14682</v>
      </c>
      <c r="O107" s="6">
        <v>4723</v>
      </c>
      <c r="P107" s="6">
        <v>1273</v>
      </c>
      <c r="Q107" s="6">
        <v>9669</v>
      </c>
      <c r="R107" s="6">
        <v>5461</v>
      </c>
      <c r="S107" s="6">
        <v>1858</v>
      </c>
      <c r="T107" s="6">
        <v>1569</v>
      </c>
      <c r="U107" s="6">
        <v>16624</v>
      </c>
      <c r="V107" s="6">
        <v>2137</v>
      </c>
      <c r="W107" s="6">
        <v>5996</v>
      </c>
      <c r="X107" s="6">
        <v>6858</v>
      </c>
      <c r="Y107" s="6">
        <v>13631</v>
      </c>
      <c r="Z107" s="6">
        <v>6331</v>
      </c>
      <c r="AA107" s="6">
        <v>3526</v>
      </c>
      <c r="AB107" s="6">
        <v>10803</v>
      </c>
      <c r="AC107" s="6">
        <v>3263</v>
      </c>
      <c r="AD107" s="6">
        <v>8854</v>
      </c>
      <c r="AE107" s="6">
        <v>11779</v>
      </c>
      <c r="AF107" s="6">
        <v>4878</v>
      </c>
      <c r="AG107" s="6">
        <v>3902</v>
      </c>
      <c r="AH107" s="6">
        <v>16194</v>
      </c>
      <c r="AI107" s="6">
        <v>5754</v>
      </c>
      <c r="AJ107" s="6">
        <v>2648</v>
      </c>
      <c r="AK107" s="6">
        <v>6114</v>
      </c>
      <c r="AL107" s="6">
        <v>1395</v>
      </c>
      <c r="AM107" s="6">
        <v>9227</v>
      </c>
      <c r="AN107" s="6">
        <v>3274</v>
      </c>
      <c r="AO107" s="6">
        <v>11878</v>
      </c>
      <c r="AP107" s="6">
        <v>14758</v>
      </c>
      <c r="AQ107" s="6">
        <v>6066</v>
      </c>
      <c r="AR107" s="6">
        <v>11321</v>
      </c>
    </row>
    <row r="108" spans="1:44">
      <c r="A108" s="4" t="s">
        <v>448</v>
      </c>
      <c r="B108" s="1" t="s">
        <v>449</v>
      </c>
      <c r="C108" s="1" t="s">
        <v>128</v>
      </c>
      <c r="D108" s="1" t="str">
        <f>HYPERLINK("http://eros.fiehnlab.ucdavis.edu:8080/binbase-compound/bin/show/213517?db=rtx5","213517")</f>
        <v>213517</v>
      </c>
      <c r="E108" s="1" t="s">
        <v>450</v>
      </c>
      <c r="F108" s="1" t="str">
        <f>HYPERLINK("http://www.genome.ad.jp/dbget-bin/www_bget?compound+C01571","C01571")</f>
        <v>C01571</v>
      </c>
      <c r="G108" s="1" t="str">
        <f>HYPERLINK("http://pubchem.ncbi.nlm.nih.gov/summary/summary.cgi?cid=2969","2969")</f>
        <v>2969</v>
      </c>
      <c r="H108" s="1"/>
      <c r="I108" s="6">
        <v>2976</v>
      </c>
      <c r="J108" s="6">
        <v>2615</v>
      </c>
      <c r="K108" s="6">
        <v>2512</v>
      </c>
      <c r="L108" s="6">
        <v>3714</v>
      </c>
      <c r="M108" s="6">
        <v>2320</v>
      </c>
      <c r="N108" s="6">
        <v>3351</v>
      </c>
      <c r="O108" s="6">
        <v>2735</v>
      </c>
      <c r="P108" s="6">
        <v>1738</v>
      </c>
      <c r="Q108" s="6">
        <v>3278</v>
      </c>
      <c r="R108" s="6">
        <v>3188</v>
      </c>
      <c r="S108" s="6">
        <v>2019</v>
      </c>
      <c r="T108" s="6">
        <v>1648</v>
      </c>
      <c r="U108" s="6">
        <v>3808</v>
      </c>
      <c r="V108" s="6">
        <v>2052</v>
      </c>
      <c r="W108" s="6">
        <v>1899</v>
      </c>
      <c r="X108" s="6">
        <v>2727</v>
      </c>
      <c r="Y108" s="6">
        <v>3103</v>
      </c>
      <c r="Z108" s="6">
        <v>2327</v>
      </c>
      <c r="AA108" s="6">
        <v>2808</v>
      </c>
      <c r="AB108" s="6">
        <v>4762</v>
      </c>
      <c r="AC108" s="6">
        <v>2215</v>
      </c>
      <c r="AD108" s="6">
        <v>3316</v>
      </c>
      <c r="AE108" s="6">
        <v>2853</v>
      </c>
      <c r="AF108" s="6">
        <v>4025</v>
      </c>
      <c r="AG108" s="6">
        <v>2963</v>
      </c>
      <c r="AH108" s="6">
        <v>3793</v>
      </c>
      <c r="AI108" s="6">
        <v>2626</v>
      </c>
      <c r="AJ108" s="6">
        <v>1435</v>
      </c>
      <c r="AK108" s="6">
        <v>1594</v>
      </c>
      <c r="AL108" s="6">
        <v>1420</v>
      </c>
      <c r="AM108" s="6">
        <v>1995</v>
      </c>
      <c r="AN108" s="6">
        <v>2085</v>
      </c>
      <c r="AO108" s="6">
        <v>3888</v>
      </c>
      <c r="AP108" s="6">
        <v>3327</v>
      </c>
      <c r="AQ108" s="6">
        <v>2317</v>
      </c>
      <c r="AR108" s="6">
        <v>3331</v>
      </c>
    </row>
    <row r="109" spans="1:44">
      <c r="A109" s="4" t="s">
        <v>451</v>
      </c>
      <c r="B109" s="1" t="s">
        <v>452</v>
      </c>
      <c r="C109" s="1" t="s">
        <v>193</v>
      </c>
      <c r="D109" s="1" t="str">
        <f>HYPERLINK("http://eros.fiehnlab.ucdavis.edu:8080/binbase-compound/bin/show/200952?db=rtx5","200952")</f>
        <v>200952</v>
      </c>
      <c r="E109" s="1" t="s">
        <v>453</v>
      </c>
      <c r="F109" s="1" t="str">
        <f>HYPERLINK("http://www.genome.ad.jp/dbget-bin/www_bget?compound+n/a","n/a")</f>
        <v>n/a</v>
      </c>
      <c r="G109" s="1" t="str">
        <f>HYPERLINK("http://pubchem.ncbi.nlm.nih.gov/summary/summary.cgi?cid=12025","12025")</f>
        <v>12025</v>
      </c>
      <c r="H109" s="1"/>
      <c r="I109" s="6">
        <v>3516</v>
      </c>
      <c r="J109" s="6">
        <v>985</v>
      </c>
      <c r="K109" s="6">
        <v>1098</v>
      </c>
      <c r="L109" s="6">
        <v>2864</v>
      </c>
      <c r="M109" s="6">
        <v>2373</v>
      </c>
      <c r="N109" s="6">
        <v>3650</v>
      </c>
      <c r="O109" s="6">
        <v>5041</v>
      </c>
      <c r="P109" s="6">
        <v>2815</v>
      </c>
      <c r="Q109" s="6">
        <v>4262</v>
      </c>
      <c r="R109" s="6">
        <v>2236</v>
      </c>
      <c r="S109" s="6">
        <v>947</v>
      </c>
      <c r="T109" s="6">
        <v>1253</v>
      </c>
      <c r="U109" s="6">
        <v>4116</v>
      </c>
      <c r="V109" s="6">
        <v>1278</v>
      </c>
      <c r="W109" s="6">
        <v>1398</v>
      </c>
      <c r="X109" s="6">
        <v>6296</v>
      </c>
      <c r="Y109" s="6">
        <v>2814</v>
      </c>
      <c r="Z109" s="6">
        <v>1938</v>
      </c>
      <c r="AA109" s="6">
        <v>2793</v>
      </c>
      <c r="AB109" s="6">
        <v>8843</v>
      </c>
      <c r="AC109" s="6">
        <v>4603</v>
      </c>
      <c r="AD109" s="6">
        <v>2118</v>
      </c>
      <c r="AE109" s="6">
        <v>7561</v>
      </c>
      <c r="AF109" s="6">
        <v>6702</v>
      </c>
      <c r="AG109" s="6">
        <v>4255</v>
      </c>
      <c r="AH109" s="6">
        <v>4195</v>
      </c>
      <c r="AI109" s="6">
        <v>1625</v>
      </c>
      <c r="AJ109" s="6">
        <v>679</v>
      </c>
      <c r="AK109" s="6">
        <v>1148</v>
      </c>
      <c r="AL109" s="6">
        <v>666</v>
      </c>
      <c r="AM109" s="6">
        <v>1443</v>
      </c>
      <c r="AN109" s="6">
        <v>581</v>
      </c>
      <c r="AO109" s="6">
        <v>2530</v>
      </c>
      <c r="AP109" s="6">
        <v>2380</v>
      </c>
      <c r="AQ109" s="6">
        <v>1293</v>
      </c>
      <c r="AR109" s="6">
        <v>2877</v>
      </c>
    </row>
    <row r="110" spans="1:44">
      <c r="A110" s="4" t="s">
        <v>1214</v>
      </c>
      <c r="B110" s="1" t="s">
        <v>454</v>
      </c>
      <c r="C110" s="1" t="s">
        <v>128</v>
      </c>
      <c r="D110" s="1" t="str">
        <f>HYPERLINK("http://eros.fiehnlab.ucdavis.edu:8080/binbase-compound/bin/show/225839?db=rtx5","225839")</f>
        <v>225839</v>
      </c>
      <c r="E110" s="1" t="s">
        <v>455</v>
      </c>
      <c r="F110" s="1" t="str">
        <f>HYPERLINK("http://www.genome.ad.jp/dbget-bin/www_bget?compound+C03044","C03044")</f>
        <v>C03044</v>
      </c>
      <c r="G110" s="1" t="str">
        <f>HYPERLINK("http://pubchem.ncbi.nlm.nih.gov/summary/summary.cgi?cid=262","262")</f>
        <v>262</v>
      </c>
      <c r="H110" s="1"/>
      <c r="I110" s="6">
        <v>1374</v>
      </c>
      <c r="J110" s="6">
        <v>412</v>
      </c>
      <c r="K110" s="6">
        <v>323</v>
      </c>
      <c r="L110" s="6">
        <v>1530</v>
      </c>
      <c r="M110" s="6">
        <v>597</v>
      </c>
      <c r="N110" s="6">
        <v>1600</v>
      </c>
      <c r="O110" s="6">
        <v>558</v>
      </c>
      <c r="P110" s="6">
        <v>409</v>
      </c>
      <c r="Q110" s="6">
        <v>1349</v>
      </c>
      <c r="R110" s="6">
        <v>744</v>
      </c>
      <c r="S110" s="6">
        <v>522</v>
      </c>
      <c r="T110" s="6">
        <v>371</v>
      </c>
      <c r="U110" s="6">
        <v>2407</v>
      </c>
      <c r="V110" s="6">
        <v>441</v>
      </c>
      <c r="W110" s="6">
        <v>842</v>
      </c>
      <c r="X110" s="6">
        <v>1140</v>
      </c>
      <c r="Y110" s="6">
        <v>1640</v>
      </c>
      <c r="Z110" s="6">
        <v>1022</v>
      </c>
      <c r="AA110" s="6">
        <v>468</v>
      </c>
      <c r="AB110" s="6">
        <v>1998</v>
      </c>
      <c r="AC110" s="6">
        <v>459</v>
      </c>
      <c r="AD110" s="6">
        <v>846</v>
      </c>
      <c r="AE110" s="6">
        <v>1377</v>
      </c>
      <c r="AF110" s="6">
        <v>492</v>
      </c>
      <c r="AG110" s="6">
        <v>491</v>
      </c>
      <c r="AH110" s="6">
        <v>1682</v>
      </c>
      <c r="AI110" s="6">
        <v>788</v>
      </c>
      <c r="AJ110" s="6">
        <v>500</v>
      </c>
      <c r="AK110" s="6">
        <v>812</v>
      </c>
      <c r="AL110" s="6">
        <v>257</v>
      </c>
      <c r="AM110" s="6">
        <v>902</v>
      </c>
      <c r="AN110" s="6">
        <v>554</v>
      </c>
      <c r="AO110" s="6">
        <v>1257</v>
      </c>
      <c r="AP110" s="6">
        <v>1277</v>
      </c>
      <c r="AQ110" s="6">
        <v>519</v>
      </c>
      <c r="AR110" s="6">
        <v>997</v>
      </c>
    </row>
    <row r="111" spans="1:44">
      <c r="A111" s="4" t="s">
        <v>1215</v>
      </c>
      <c r="B111" s="1" t="s">
        <v>456</v>
      </c>
      <c r="C111" s="1" t="s">
        <v>133</v>
      </c>
      <c r="D111" s="1" t="str">
        <f>HYPERLINK("http://eros.fiehnlab.ucdavis.edu:8080/binbase-compound/bin/show/233311?db=rtx5","233311")</f>
        <v>233311</v>
      </c>
      <c r="E111" s="1" t="s">
        <v>457</v>
      </c>
      <c r="F111" s="1" t="str">
        <f>HYPERLINK("http://www.genome.ad.jp/dbget-bin/www_bget?compound+C08240","C08240")</f>
        <v>C08240</v>
      </c>
      <c r="G111" s="1" t="str">
        <f>HYPERLINK("http://pubchem.ncbi.nlm.nih.gov/summary/summary.cgi?cid=441422","441422")</f>
        <v>441422</v>
      </c>
      <c r="H111" s="1"/>
      <c r="I111" s="6">
        <v>502</v>
      </c>
      <c r="J111" s="6">
        <v>518</v>
      </c>
      <c r="K111" s="6">
        <v>181</v>
      </c>
      <c r="L111" s="6">
        <v>490</v>
      </c>
      <c r="M111" s="6">
        <v>479</v>
      </c>
      <c r="N111" s="6">
        <v>648</v>
      </c>
      <c r="O111" s="6">
        <v>383</v>
      </c>
      <c r="P111" s="6">
        <v>321</v>
      </c>
      <c r="Q111" s="6">
        <v>344</v>
      </c>
      <c r="R111" s="6">
        <v>480</v>
      </c>
      <c r="S111" s="6">
        <v>391</v>
      </c>
      <c r="T111" s="6">
        <v>166</v>
      </c>
      <c r="U111" s="6">
        <v>642</v>
      </c>
      <c r="V111" s="6">
        <v>218</v>
      </c>
      <c r="W111" s="6">
        <v>191</v>
      </c>
      <c r="X111" s="6">
        <v>343</v>
      </c>
      <c r="Y111" s="6">
        <v>327</v>
      </c>
      <c r="Z111" s="6">
        <v>332</v>
      </c>
      <c r="AA111" s="6">
        <v>267</v>
      </c>
      <c r="AB111" s="6">
        <v>831</v>
      </c>
      <c r="AC111" s="6">
        <v>258</v>
      </c>
      <c r="AD111" s="6">
        <v>481</v>
      </c>
      <c r="AE111" s="6">
        <v>385</v>
      </c>
      <c r="AF111" s="6">
        <v>421</v>
      </c>
      <c r="AG111" s="6">
        <v>786</v>
      </c>
      <c r="AH111" s="6">
        <v>1255</v>
      </c>
      <c r="AI111" s="6">
        <v>323</v>
      </c>
      <c r="AJ111" s="6">
        <v>242</v>
      </c>
      <c r="AK111" s="6">
        <v>327</v>
      </c>
      <c r="AL111" s="6">
        <v>133</v>
      </c>
      <c r="AM111" s="6">
        <v>455</v>
      </c>
      <c r="AN111" s="6">
        <v>230</v>
      </c>
      <c r="AO111" s="6">
        <v>445</v>
      </c>
      <c r="AP111" s="6">
        <v>486</v>
      </c>
      <c r="AQ111" s="6">
        <v>374</v>
      </c>
      <c r="AR111" s="6">
        <v>425</v>
      </c>
    </row>
    <row r="112" spans="1:44">
      <c r="A112" s="4" t="s">
        <v>458</v>
      </c>
      <c r="B112" s="1" t="s">
        <v>459</v>
      </c>
      <c r="C112" s="1" t="s">
        <v>460</v>
      </c>
      <c r="D112" s="1" t="str">
        <f>HYPERLINK("http://eros.fiehnlab.ucdavis.edu:8080/binbase-compound/bin/show/233412?db=rtx5","233412")</f>
        <v>233412</v>
      </c>
      <c r="E112" s="1" t="s">
        <v>461</v>
      </c>
      <c r="F112" s="1" t="str">
        <f>HYPERLINK("http://www.genome.ad.jp/dbget-bin/www_bget?compound+C00099","C00099")</f>
        <v>C00099</v>
      </c>
      <c r="G112" s="1" t="str">
        <f>HYPERLINK("http://pubchem.ncbi.nlm.nih.gov/summary/summary.cgi?cid=239","239")</f>
        <v>239</v>
      </c>
      <c r="H112" s="1"/>
      <c r="I112" s="6">
        <v>759</v>
      </c>
      <c r="J112" s="6">
        <v>581</v>
      </c>
      <c r="K112" s="6">
        <v>690</v>
      </c>
      <c r="L112" s="6">
        <v>268</v>
      </c>
      <c r="M112" s="6">
        <v>356</v>
      </c>
      <c r="N112" s="6">
        <v>464</v>
      </c>
      <c r="O112" s="6">
        <v>707</v>
      </c>
      <c r="P112" s="6">
        <v>310</v>
      </c>
      <c r="Q112" s="6">
        <v>511</v>
      </c>
      <c r="R112" s="6">
        <v>490</v>
      </c>
      <c r="S112" s="6">
        <v>472</v>
      </c>
      <c r="T112" s="6">
        <v>413</v>
      </c>
      <c r="U112" s="6">
        <v>396</v>
      </c>
      <c r="V112" s="6">
        <v>224</v>
      </c>
      <c r="W112" s="6">
        <v>272</v>
      </c>
      <c r="X112" s="6">
        <v>350</v>
      </c>
      <c r="Y112" s="6">
        <v>353</v>
      </c>
      <c r="Z112" s="6">
        <v>297</v>
      </c>
      <c r="AA112" s="6">
        <v>424</v>
      </c>
      <c r="AB112" s="6">
        <v>1052</v>
      </c>
      <c r="AC112" s="6">
        <v>921</v>
      </c>
      <c r="AD112" s="6">
        <v>486</v>
      </c>
      <c r="AE112" s="6">
        <v>347</v>
      </c>
      <c r="AF112" s="6">
        <v>623</v>
      </c>
      <c r="AG112" s="6">
        <v>349</v>
      </c>
      <c r="AH112" s="6">
        <v>337</v>
      </c>
      <c r="AI112" s="6">
        <v>460</v>
      </c>
      <c r="AJ112" s="6">
        <v>279</v>
      </c>
      <c r="AK112" s="6">
        <v>305</v>
      </c>
      <c r="AL112" s="6">
        <v>437</v>
      </c>
      <c r="AM112" s="6">
        <v>258</v>
      </c>
      <c r="AN112" s="6">
        <v>509</v>
      </c>
      <c r="AO112" s="6">
        <v>655</v>
      </c>
      <c r="AP112" s="6">
        <v>339</v>
      </c>
      <c r="AQ112" s="6">
        <v>347</v>
      </c>
      <c r="AR112" s="6">
        <v>360</v>
      </c>
    </row>
    <row r="113" spans="1:44">
      <c r="A113" s="4" t="s">
        <v>1216</v>
      </c>
      <c r="B113" s="1" t="s">
        <v>462</v>
      </c>
      <c r="C113" s="1" t="s">
        <v>114</v>
      </c>
      <c r="D113" s="1" t="str">
        <f>HYPERLINK("http://eros.fiehnlab.ucdavis.edu:8080/binbase-compound/bin/show/386128?db=rtx5","386128")</f>
        <v>386128</v>
      </c>
      <c r="E113" s="1" t="s">
        <v>463</v>
      </c>
      <c r="F113" s="1" t="s">
        <v>0</v>
      </c>
      <c r="G113" s="1" t="s">
        <v>0</v>
      </c>
      <c r="H113" s="1"/>
      <c r="I113" s="6">
        <v>140409</v>
      </c>
      <c r="J113" s="6">
        <v>138042</v>
      </c>
      <c r="K113" s="6">
        <v>133032</v>
      </c>
      <c r="L113" s="6">
        <v>116247</v>
      </c>
      <c r="M113" s="6">
        <v>119075</v>
      </c>
      <c r="N113" s="6">
        <v>120288</v>
      </c>
      <c r="O113" s="6">
        <v>135017</v>
      </c>
      <c r="P113" s="6">
        <v>108384</v>
      </c>
      <c r="Q113" s="6">
        <v>126852</v>
      </c>
      <c r="R113" s="6">
        <v>128453</v>
      </c>
      <c r="S113" s="6">
        <v>130037</v>
      </c>
      <c r="T113" s="6">
        <v>111179</v>
      </c>
      <c r="U113" s="6">
        <v>105137</v>
      </c>
      <c r="V113" s="6">
        <v>86924</v>
      </c>
      <c r="W113" s="6">
        <v>103098</v>
      </c>
      <c r="X113" s="6">
        <v>110163</v>
      </c>
      <c r="Y113" s="6">
        <v>116487</v>
      </c>
      <c r="Z113" s="6">
        <v>117436</v>
      </c>
      <c r="AA113" s="6">
        <v>100887</v>
      </c>
      <c r="AB113" s="6">
        <v>133241</v>
      </c>
      <c r="AC113" s="6">
        <v>134377</v>
      </c>
      <c r="AD113" s="6">
        <v>126592</v>
      </c>
      <c r="AE113" s="6">
        <v>108529</v>
      </c>
      <c r="AF113" s="6">
        <v>133170</v>
      </c>
      <c r="AG113" s="6">
        <v>124147</v>
      </c>
      <c r="AH113" s="6">
        <v>143432</v>
      </c>
      <c r="AI113" s="6">
        <v>130501</v>
      </c>
      <c r="AJ113" s="6">
        <v>93826</v>
      </c>
      <c r="AK113" s="6">
        <v>100981</v>
      </c>
      <c r="AL113" s="6">
        <v>124121</v>
      </c>
      <c r="AM113" s="6">
        <v>113418</v>
      </c>
      <c r="AN113" s="6">
        <v>112974</v>
      </c>
      <c r="AO113" s="6">
        <v>124252</v>
      </c>
      <c r="AP113" s="6">
        <v>117444</v>
      </c>
      <c r="AQ113" s="6">
        <v>115896</v>
      </c>
      <c r="AR113" s="6">
        <v>114961</v>
      </c>
    </row>
    <row r="114" spans="1:44">
      <c r="A114" s="4" t="s">
        <v>464</v>
      </c>
      <c r="B114" s="1" t="s">
        <v>465</v>
      </c>
      <c r="C114" s="1" t="s">
        <v>466</v>
      </c>
      <c r="D114" s="1" t="str">
        <f>HYPERLINK("http://eros.fiehnlab.ucdavis.edu:8080/binbase-compound/bin/show/227949?db=rtx5","227949")</f>
        <v>227949</v>
      </c>
      <c r="E114" s="1" t="s">
        <v>467</v>
      </c>
      <c r="F114" s="1" t="str">
        <f>HYPERLINK("http://www.genome.ad.jp/dbget-bin/www_bget?compound+C00049","C00049")</f>
        <v>C00049</v>
      </c>
      <c r="G114" s="1" t="str">
        <f>HYPERLINK("http://pubchem.ncbi.nlm.nih.gov/summary/summary.cgi?cid=5960","5960")</f>
        <v>5960</v>
      </c>
      <c r="H114" s="1"/>
      <c r="I114" s="6">
        <v>42825</v>
      </c>
      <c r="J114" s="6">
        <v>22072</v>
      </c>
      <c r="K114" s="6">
        <v>12121</v>
      </c>
      <c r="L114" s="6">
        <v>50656</v>
      </c>
      <c r="M114" s="6">
        <v>82972</v>
      </c>
      <c r="N114" s="6">
        <v>51902</v>
      </c>
      <c r="O114" s="6">
        <v>28542</v>
      </c>
      <c r="P114" s="6">
        <v>6543</v>
      </c>
      <c r="Q114" s="6">
        <v>33118</v>
      </c>
      <c r="R114" s="6">
        <v>34788</v>
      </c>
      <c r="S114" s="6">
        <v>23596</v>
      </c>
      <c r="T114" s="6">
        <v>4578</v>
      </c>
      <c r="U114" s="6">
        <v>86583</v>
      </c>
      <c r="V114" s="6">
        <v>15528</v>
      </c>
      <c r="W114" s="6">
        <v>44388</v>
      </c>
      <c r="X114" s="6">
        <v>42841</v>
      </c>
      <c r="Y114" s="6">
        <v>55757</v>
      </c>
      <c r="Z114" s="6">
        <v>65881</v>
      </c>
      <c r="AA114" s="6">
        <v>6603</v>
      </c>
      <c r="AB114" s="6">
        <v>52001</v>
      </c>
      <c r="AC114" s="6">
        <v>20000</v>
      </c>
      <c r="AD114" s="6">
        <v>60388</v>
      </c>
      <c r="AE114" s="6">
        <v>46865</v>
      </c>
      <c r="AF114" s="6">
        <v>22867</v>
      </c>
      <c r="AG114" s="6">
        <v>29698</v>
      </c>
      <c r="AH114" s="6">
        <v>108358</v>
      </c>
      <c r="AI114" s="6">
        <v>29126</v>
      </c>
      <c r="AJ114" s="6">
        <v>20431</v>
      </c>
      <c r="AK114" s="6">
        <v>60063</v>
      </c>
      <c r="AL114" s="6">
        <v>15379</v>
      </c>
      <c r="AM114" s="6">
        <v>43698</v>
      </c>
      <c r="AN114" s="6">
        <v>7019</v>
      </c>
      <c r="AO114" s="6">
        <v>61196</v>
      </c>
      <c r="AP114" s="6">
        <v>77813</v>
      </c>
      <c r="AQ114" s="6">
        <v>29342</v>
      </c>
      <c r="AR114" s="6">
        <v>70247</v>
      </c>
    </row>
    <row r="115" spans="1:44">
      <c r="A115" s="4" t="s">
        <v>1217</v>
      </c>
      <c r="B115" s="1" t="s">
        <v>468</v>
      </c>
      <c r="C115" s="1" t="s">
        <v>201</v>
      </c>
      <c r="D115" s="1" t="str">
        <f>HYPERLINK("http://eros.fiehnlab.ucdavis.edu:8080/binbase-compound/bin/show/200518?db=rtx5","200518")</f>
        <v>200518</v>
      </c>
      <c r="E115" s="1" t="s">
        <v>469</v>
      </c>
      <c r="F115" s="1" t="str">
        <f>HYPERLINK("http://www.genome.ad.jp/dbget-bin/www_bget?compound+C00152","C00152")</f>
        <v>C00152</v>
      </c>
      <c r="G115" s="1" t="str">
        <f>HYPERLINK("http://pubchem.ncbi.nlm.nih.gov/summary/summary.cgi?cid=236","236")</f>
        <v>236</v>
      </c>
      <c r="H115" s="1"/>
      <c r="I115" s="6">
        <v>3606</v>
      </c>
      <c r="J115" s="6">
        <v>1197</v>
      </c>
      <c r="K115" s="6">
        <v>1438</v>
      </c>
      <c r="L115" s="6">
        <v>7627</v>
      </c>
      <c r="M115" s="6">
        <v>2254</v>
      </c>
      <c r="N115" s="6">
        <v>5847</v>
      </c>
      <c r="O115" s="6">
        <v>2410</v>
      </c>
      <c r="P115" s="6">
        <v>1214</v>
      </c>
      <c r="Q115" s="6">
        <v>3121</v>
      </c>
      <c r="R115" s="6">
        <v>2297</v>
      </c>
      <c r="S115" s="6">
        <v>1226</v>
      </c>
      <c r="T115" s="6">
        <v>1060</v>
      </c>
      <c r="U115" s="6">
        <v>8728</v>
      </c>
      <c r="V115" s="6">
        <v>1101</v>
      </c>
      <c r="W115" s="6">
        <v>1940</v>
      </c>
      <c r="X115" s="6">
        <v>3525</v>
      </c>
      <c r="Y115" s="6">
        <v>4870</v>
      </c>
      <c r="Z115" s="6">
        <v>2871</v>
      </c>
      <c r="AA115" s="6">
        <v>1904</v>
      </c>
      <c r="AB115" s="6">
        <v>5012</v>
      </c>
      <c r="AC115" s="6">
        <v>2028</v>
      </c>
      <c r="AD115" s="6">
        <v>2564</v>
      </c>
      <c r="AE115" s="6">
        <v>5860</v>
      </c>
      <c r="AF115" s="6">
        <v>1600</v>
      </c>
      <c r="AG115" s="6">
        <v>2094</v>
      </c>
      <c r="AH115" s="6">
        <v>9127</v>
      </c>
      <c r="AI115" s="6">
        <v>2466</v>
      </c>
      <c r="AJ115" s="6">
        <v>1110</v>
      </c>
      <c r="AK115" s="6">
        <v>2893</v>
      </c>
      <c r="AL115" s="6">
        <v>748</v>
      </c>
      <c r="AM115" s="6">
        <v>3056</v>
      </c>
      <c r="AN115" s="6">
        <v>1038</v>
      </c>
      <c r="AO115" s="6">
        <v>3961</v>
      </c>
      <c r="AP115" s="6">
        <v>6047</v>
      </c>
      <c r="AQ115" s="6">
        <v>2185</v>
      </c>
      <c r="AR115" s="6">
        <v>2909</v>
      </c>
    </row>
    <row r="116" spans="1:44">
      <c r="A116" s="4" t="s">
        <v>470</v>
      </c>
      <c r="B116" s="1" t="s">
        <v>471</v>
      </c>
      <c r="C116" s="1" t="s">
        <v>193</v>
      </c>
      <c r="D116" s="1" t="str">
        <f>HYPERLINK("http://eros.fiehnlab.ucdavis.edu:8080/binbase-compound/bin/show/199796?db=rtx5","199796")</f>
        <v>199796</v>
      </c>
      <c r="E116" s="1" t="s">
        <v>472</v>
      </c>
      <c r="F116" s="1" t="str">
        <f>HYPERLINK("http://www.genome.ad.jp/dbget-bin/www_bget?compound+C00062","C00062")</f>
        <v>C00062</v>
      </c>
      <c r="G116" s="1" t="str">
        <f>HYPERLINK("http://pubchem.ncbi.nlm.nih.gov/summary/summary.cgi?cid=232","232")</f>
        <v>232</v>
      </c>
      <c r="H116" s="1"/>
      <c r="I116" s="6">
        <v>50450</v>
      </c>
      <c r="J116" s="6">
        <v>10315</v>
      </c>
      <c r="K116" s="6">
        <v>9342</v>
      </c>
      <c r="L116" s="6">
        <v>72933</v>
      </c>
      <c r="M116" s="6">
        <v>43024</v>
      </c>
      <c r="N116" s="6">
        <v>76246</v>
      </c>
      <c r="O116" s="6">
        <v>18227</v>
      </c>
      <c r="P116" s="6">
        <v>5891</v>
      </c>
      <c r="Q116" s="6">
        <v>55294</v>
      </c>
      <c r="R116" s="6">
        <v>31894</v>
      </c>
      <c r="S116" s="6">
        <v>12620</v>
      </c>
      <c r="T116" s="6">
        <v>4556</v>
      </c>
      <c r="U116" s="6">
        <v>94876</v>
      </c>
      <c r="V116" s="6">
        <v>10517</v>
      </c>
      <c r="W116" s="6">
        <v>29702</v>
      </c>
      <c r="X116" s="6">
        <v>43542</v>
      </c>
      <c r="Y116" s="6">
        <v>65554</v>
      </c>
      <c r="Z116" s="6">
        <v>34231</v>
      </c>
      <c r="AA116" s="6">
        <v>12197</v>
      </c>
      <c r="AB116" s="6">
        <v>70915</v>
      </c>
      <c r="AC116" s="6">
        <v>9987</v>
      </c>
      <c r="AD116" s="6">
        <v>40457</v>
      </c>
      <c r="AE116" s="6">
        <v>66266</v>
      </c>
      <c r="AF116" s="6">
        <v>19513</v>
      </c>
      <c r="AG116" s="6">
        <v>16413</v>
      </c>
      <c r="AH116" s="6">
        <v>97778</v>
      </c>
      <c r="AI116" s="6">
        <v>25103</v>
      </c>
      <c r="AJ116" s="6">
        <v>13695</v>
      </c>
      <c r="AK116" s="6">
        <v>33422</v>
      </c>
      <c r="AL116" s="6">
        <v>11487</v>
      </c>
      <c r="AM116" s="6">
        <v>45394</v>
      </c>
      <c r="AN116" s="6">
        <v>13374</v>
      </c>
      <c r="AO116" s="6">
        <v>55113</v>
      </c>
      <c r="AP116" s="6">
        <v>76975</v>
      </c>
      <c r="AQ116" s="6">
        <v>32339</v>
      </c>
      <c r="AR116" s="6">
        <v>49950</v>
      </c>
    </row>
    <row r="117" spans="1:44">
      <c r="A117" s="4" t="s">
        <v>473</v>
      </c>
      <c r="B117" s="1" t="s">
        <v>474</v>
      </c>
      <c r="C117" s="1" t="s">
        <v>134</v>
      </c>
      <c r="D117" s="1" t="str">
        <f>HYPERLINK("http://eros.fiehnlab.ucdavis.edu:8080/binbase-compound/bin/show/200493?db=rtx5","200493")</f>
        <v>200493</v>
      </c>
      <c r="E117" s="1" t="s">
        <v>475</v>
      </c>
      <c r="F117" s="1" t="str">
        <f>HYPERLINK("http://www.genome.ad.jp/dbget-bin/www_bget?compound+C01904","C01904")</f>
        <v>C01904</v>
      </c>
      <c r="G117" s="1" t="str">
        <f>HYPERLINK("http://pubchem.ncbi.nlm.nih.gov/summary/summary.cgi?cid=94154","94154")</f>
        <v>94154</v>
      </c>
      <c r="H117" s="1"/>
      <c r="I117" s="6">
        <v>1977</v>
      </c>
      <c r="J117" s="6">
        <v>827</v>
      </c>
      <c r="K117" s="6">
        <v>648</v>
      </c>
      <c r="L117" s="6">
        <v>5206</v>
      </c>
      <c r="M117" s="6">
        <v>2539</v>
      </c>
      <c r="N117" s="6">
        <v>4372</v>
      </c>
      <c r="O117" s="6">
        <v>201</v>
      </c>
      <c r="P117" s="6">
        <v>563</v>
      </c>
      <c r="Q117" s="6">
        <v>2653</v>
      </c>
      <c r="R117" s="6">
        <v>204</v>
      </c>
      <c r="S117" s="6">
        <v>1127</v>
      </c>
      <c r="T117" s="6">
        <v>519</v>
      </c>
      <c r="U117" s="6">
        <v>4368</v>
      </c>
      <c r="V117" s="6">
        <v>1342</v>
      </c>
      <c r="W117" s="6">
        <v>2214</v>
      </c>
      <c r="X117" s="6">
        <v>4814</v>
      </c>
      <c r="Y117" s="6">
        <v>5115</v>
      </c>
      <c r="Z117" s="6">
        <v>4101</v>
      </c>
      <c r="AA117" s="6">
        <v>1440</v>
      </c>
      <c r="AB117" s="6">
        <v>6683</v>
      </c>
      <c r="AC117" s="6">
        <v>2159</v>
      </c>
      <c r="AD117" s="6">
        <v>4628</v>
      </c>
      <c r="AE117" s="6">
        <v>6089</v>
      </c>
      <c r="AF117" s="6">
        <v>2707</v>
      </c>
      <c r="AG117" s="6">
        <v>3762</v>
      </c>
      <c r="AH117" s="6">
        <v>4643</v>
      </c>
      <c r="AI117" s="6">
        <v>1378</v>
      </c>
      <c r="AJ117" s="6">
        <v>942</v>
      </c>
      <c r="AK117" s="6">
        <v>1671</v>
      </c>
      <c r="AL117" s="6">
        <v>619</v>
      </c>
      <c r="AM117" s="6">
        <v>1814</v>
      </c>
      <c r="AN117" s="6">
        <v>893</v>
      </c>
      <c r="AO117" s="6">
        <v>1931</v>
      </c>
      <c r="AP117" s="6">
        <v>4266</v>
      </c>
      <c r="AQ117" s="6">
        <v>3098</v>
      </c>
      <c r="AR117" s="6">
        <v>5009</v>
      </c>
    </row>
    <row r="118" spans="1:44">
      <c r="A118" s="4" t="s">
        <v>476</v>
      </c>
      <c r="B118" s="1" t="s">
        <v>477</v>
      </c>
      <c r="C118" s="1" t="s">
        <v>185</v>
      </c>
      <c r="D118" s="1" t="str">
        <f>HYPERLINK("http://eros.fiehnlab.ucdavis.edu:8080/binbase-compound/bin/show/202065?db=rtx5","202065")</f>
        <v>202065</v>
      </c>
      <c r="E118" s="1" t="s">
        <v>478</v>
      </c>
      <c r="F118" s="1" t="str">
        <f>HYPERLINK("http://www.genome.ad.jp/dbget-bin/www_bget?compound+C00259","C00259")</f>
        <v>C00259</v>
      </c>
      <c r="G118" s="1" t="str">
        <f>HYPERLINK("http://pubchem.ncbi.nlm.nih.gov/summary/summary.cgi?cid=229","229")</f>
        <v>229</v>
      </c>
      <c r="H118" s="1"/>
      <c r="I118" s="6">
        <v>1146076</v>
      </c>
      <c r="J118" s="6">
        <v>409379</v>
      </c>
      <c r="K118" s="6">
        <v>257697</v>
      </c>
      <c r="L118" s="6">
        <v>648642</v>
      </c>
      <c r="M118" s="6">
        <v>879552</v>
      </c>
      <c r="N118" s="6">
        <v>967066</v>
      </c>
      <c r="O118" s="6">
        <v>1270274</v>
      </c>
      <c r="P118" s="6">
        <v>293298</v>
      </c>
      <c r="Q118" s="6">
        <v>941798</v>
      </c>
      <c r="R118" s="6">
        <v>1300534</v>
      </c>
      <c r="S118" s="6">
        <v>473623</v>
      </c>
      <c r="T118" s="6">
        <v>251528</v>
      </c>
      <c r="U118" s="6">
        <v>966016</v>
      </c>
      <c r="V118" s="6">
        <v>467962</v>
      </c>
      <c r="W118" s="6">
        <v>1000774</v>
      </c>
      <c r="X118" s="6">
        <v>1099060</v>
      </c>
      <c r="Y118" s="6">
        <v>913047</v>
      </c>
      <c r="Z118" s="6">
        <v>1169582</v>
      </c>
      <c r="AA118" s="6">
        <v>415809</v>
      </c>
      <c r="AB118" s="6">
        <v>938457</v>
      </c>
      <c r="AC118" s="6">
        <v>474999</v>
      </c>
      <c r="AD118" s="6">
        <v>917701</v>
      </c>
      <c r="AE118" s="6">
        <v>991238</v>
      </c>
      <c r="AF118" s="6">
        <v>679665</v>
      </c>
      <c r="AG118" s="6">
        <v>888699</v>
      </c>
      <c r="AH118" s="6">
        <v>58465</v>
      </c>
      <c r="AI118" s="6">
        <v>956170</v>
      </c>
      <c r="AJ118" s="6">
        <v>432589</v>
      </c>
      <c r="AK118" s="6">
        <v>1042081</v>
      </c>
      <c r="AL118" s="6">
        <v>260651</v>
      </c>
      <c r="AM118" s="6">
        <v>938873</v>
      </c>
      <c r="AN118" s="6">
        <v>669022</v>
      </c>
      <c r="AO118" s="6">
        <v>1182839</v>
      </c>
      <c r="AP118" s="6">
        <v>933384</v>
      </c>
      <c r="AQ118" s="6">
        <v>1012970</v>
      </c>
      <c r="AR118" s="6">
        <v>1178719</v>
      </c>
    </row>
    <row r="119" spans="1:44">
      <c r="A119" s="4" t="s">
        <v>479</v>
      </c>
      <c r="B119" s="1" t="s">
        <v>480</v>
      </c>
      <c r="C119" s="1" t="s">
        <v>112</v>
      </c>
      <c r="D119" s="1" t="str">
        <f>HYPERLINK("http://eros.fiehnlab.ucdavis.edu:8080/binbase-compound/bin/show/240264?db=rtx5","240264")</f>
        <v>240264</v>
      </c>
      <c r="E119" s="1" t="s">
        <v>481</v>
      </c>
      <c r="F119" s="1" t="str">
        <f>HYPERLINK("http://www.genome.ad.jp/dbget-bin/www_bget?compound+C00872","C00872")</f>
        <v>C00872</v>
      </c>
      <c r="G119" s="1" t="str">
        <f>HYPERLINK("http://pubchem.ncbi.nlm.nih.gov/summary/summary.cgi?cid=100714","100714")</f>
        <v>100714</v>
      </c>
      <c r="H119" s="1"/>
      <c r="I119" s="6">
        <v>2234</v>
      </c>
      <c r="J119" s="6">
        <v>330</v>
      </c>
      <c r="K119" s="6">
        <v>254</v>
      </c>
      <c r="L119" s="6">
        <v>2401</v>
      </c>
      <c r="M119" s="6">
        <v>1252</v>
      </c>
      <c r="N119" s="6">
        <v>1364</v>
      </c>
      <c r="O119" s="6">
        <v>642</v>
      </c>
      <c r="P119" s="6">
        <v>239</v>
      </c>
      <c r="Q119" s="6">
        <v>1748</v>
      </c>
      <c r="R119" s="6">
        <v>1169</v>
      </c>
      <c r="S119" s="6">
        <v>355</v>
      </c>
      <c r="T119" s="6">
        <v>228</v>
      </c>
      <c r="U119" s="6">
        <v>4681</v>
      </c>
      <c r="V119" s="6">
        <v>314</v>
      </c>
      <c r="W119" s="6">
        <v>1252</v>
      </c>
      <c r="X119" s="6">
        <v>1136</v>
      </c>
      <c r="Y119" s="6">
        <v>2092</v>
      </c>
      <c r="Z119" s="6">
        <v>1512</v>
      </c>
      <c r="AA119" s="6">
        <v>276</v>
      </c>
      <c r="AB119" s="6">
        <v>2884</v>
      </c>
      <c r="AC119" s="6">
        <v>286</v>
      </c>
      <c r="AD119" s="6">
        <v>1668</v>
      </c>
      <c r="AE119" s="6">
        <v>1808</v>
      </c>
      <c r="AF119" s="6">
        <v>483</v>
      </c>
      <c r="AG119" s="6">
        <v>402</v>
      </c>
      <c r="AH119" s="6">
        <v>4922</v>
      </c>
      <c r="AI119" s="6">
        <v>631</v>
      </c>
      <c r="AJ119" s="6">
        <v>270</v>
      </c>
      <c r="AK119" s="6">
        <v>1038</v>
      </c>
      <c r="AL119" s="6">
        <v>240</v>
      </c>
      <c r="AM119" s="6">
        <v>1258</v>
      </c>
      <c r="AN119" s="6">
        <v>347</v>
      </c>
      <c r="AO119" s="6">
        <v>2674</v>
      </c>
      <c r="AP119" s="6">
        <v>3284</v>
      </c>
      <c r="AQ119" s="6">
        <v>655</v>
      </c>
      <c r="AR119" s="6">
        <v>1951</v>
      </c>
    </row>
    <row r="120" spans="1:44">
      <c r="A120" s="4" t="s">
        <v>482</v>
      </c>
      <c r="B120" s="1" t="s">
        <v>483</v>
      </c>
      <c r="C120" s="1" t="s">
        <v>484</v>
      </c>
      <c r="D120" s="1" t="str">
        <f>HYPERLINK("http://eros.fiehnlab.ucdavis.edu:8080/binbase-compound/bin/show/200425?db=rtx5","200425")</f>
        <v>200425</v>
      </c>
      <c r="E120" s="1" t="s">
        <v>485</v>
      </c>
      <c r="F120" s="1" t="str">
        <f>HYPERLINK("http://www.genome.ad.jp/dbget-bin/www_bget?compound+C00026","C00026")</f>
        <v>C00026</v>
      </c>
      <c r="G120" s="1" t="str">
        <f>HYPERLINK("http://pubchem.ncbi.nlm.nih.gov/summary/summary.cgi?cid=51","51")</f>
        <v>51</v>
      </c>
      <c r="H120" s="1"/>
      <c r="I120" s="6">
        <v>346</v>
      </c>
      <c r="J120" s="6">
        <v>266</v>
      </c>
      <c r="K120" s="6">
        <v>190</v>
      </c>
      <c r="L120" s="6">
        <v>718</v>
      </c>
      <c r="M120" s="6">
        <v>203</v>
      </c>
      <c r="N120" s="6">
        <v>275</v>
      </c>
      <c r="O120" s="6">
        <v>241</v>
      </c>
      <c r="P120" s="6">
        <v>188</v>
      </c>
      <c r="Q120" s="6">
        <v>240</v>
      </c>
      <c r="R120" s="6">
        <v>1632</v>
      </c>
      <c r="S120" s="6">
        <v>246</v>
      </c>
      <c r="T120" s="6">
        <v>157</v>
      </c>
      <c r="U120" s="6">
        <v>1538</v>
      </c>
      <c r="V120" s="6">
        <v>195</v>
      </c>
      <c r="W120" s="6">
        <v>256</v>
      </c>
      <c r="X120" s="6">
        <v>210</v>
      </c>
      <c r="Y120" s="6">
        <v>383</v>
      </c>
      <c r="Z120" s="6">
        <v>465</v>
      </c>
      <c r="AA120" s="6">
        <v>221</v>
      </c>
      <c r="AB120" s="6">
        <v>3830</v>
      </c>
      <c r="AC120" s="6">
        <v>297</v>
      </c>
      <c r="AD120" s="6">
        <v>812</v>
      </c>
      <c r="AE120" s="6">
        <v>238</v>
      </c>
      <c r="AF120" s="6">
        <v>315</v>
      </c>
      <c r="AG120" s="6">
        <v>194</v>
      </c>
      <c r="AH120" s="6">
        <v>328</v>
      </c>
      <c r="AI120" s="6">
        <v>200</v>
      </c>
      <c r="AJ120" s="6">
        <v>174</v>
      </c>
      <c r="AK120" s="6">
        <v>167</v>
      </c>
      <c r="AL120" s="6">
        <v>207</v>
      </c>
      <c r="AM120" s="6">
        <v>553</v>
      </c>
      <c r="AN120" s="6">
        <v>521</v>
      </c>
      <c r="AO120" s="6">
        <v>855</v>
      </c>
      <c r="AP120" s="6">
        <v>1253</v>
      </c>
      <c r="AQ120" s="6">
        <v>185</v>
      </c>
      <c r="AR120" s="6">
        <v>469</v>
      </c>
    </row>
    <row r="121" spans="1:44">
      <c r="A121" s="4" t="s">
        <v>486</v>
      </c>
      <c r="B121" s="1" t="s">
        <v>487</v>
      </c>
      <c r="C121" s="1" t="s">
        <v>203</v>
      </c>
      <c r="D121" s="1" t="str">
        <f>HYPERLINK("http://eros.fiehnlab.ucdavis.edu:8080/binbase-compound/bin/show/213144?db=rtx5","213144")</f>
        <v>213144</v>
      </c>
      <c r="E121" s="1" t="s">
        <v>488</v>
      </c>
      <c r="F121" s="1" t="str">
        <f>HYPERLINK("http://www.genome.ad.jp/dbget-bin/www_bget?compound+C00041","C00041")</f>
        <v>C00041</v>
      </c>
      <c r="G121" s="1" t="str">
        <f>HYPERLINK("http://pubchem.ncbi.nlm.nih.gov/summary/summary.cgi?cid=5950","5950")</f>
        <v>5950</v>
      </c>
      <c r="H121" s="1"/>
      <c r="I121" s="6">
        <v>814183</v>
      </c>
      <c r="J121" s="6">
        <v>131485</v>
      </c>
      <c r="K121" s="6">
        <v>104978</v>
      </c>
      <c r="L121" s="6">
        <v>888768</v>
      </c>
      <c r="M121" s="6">
        <v>691264</v>
      </c>
      <c r="N121" s="6">
        <v>1196215</v>
      </c>
      <c r="O121" s="6">
        <v>284440</v>
      </c>
      <c r="P121" s="6">
        <v>89192</v>
      </c>
      <c r="Q121" s="6">
        <v>779588</v>
      </c>
      <c r="R121" s="6">
        <v>439330</v>
      </c>
      <c r="S121" s="6">
        <v>159469</v>
      </c>
      <c r="T121" s="6">
        <v>73521</v>
      </c>
      <c r="U121" s="6">
        <v>1377322</v>
      </c>
      <c r="V121" s="6">
        <v>196050</v>
      </c>
      <c r="W121" s="6">
        <v>487795</v>
      </c>
      <c r="X121" s="6">
        <v>657255</v>
      </c>
      <c r="Y121" s="6">
        <v>933768</v>
      </c>
      <c r="Z121" s="6">
        <v>697876</v>
      </c>
      <c r="AA121" s="6">
        <v>153816</v>
      </c>
      <c r="AB121" s="6">
        <v>712860</v>
      </c>
      <c r="AC121" s="6">
        <v>100635</v>
      </c>
      <c r="AD121" s="6">
        <v>672714</v>
      </c>
      <c r="AE121" s="6">
        <v>873295</v>
      </c>
      <c r="AF121" s="6">
        <v>207758</v>
      </c>
      <c r="AG121" s="6">
        <v>189823</v>
      </c>
      <c r="AH121" s="6">
        <v>1341642</v>
      </c>
      <c r="AI121" s="6">
        <v>362262</v>
      </c>
      <c r="AJ121" s="6">
        <v>167253</v>
      </c>
      <c r="AK121" s="6">
        <v>576902</v>
      </c>
      <c r="AL121" s="6">
        <v>79417</v>
      </c>
      <c r="AM121" s="6">
        <v>604251</v>
      </c>
      <c r="AN121" s="6">
        <v>203480</v>
      </c>
      <c r="AO121" s="6">
        <v>887060</v>
      </c>
      <c r="AP121" s="6">
        <v>1031253</v>
      </c>
      <c r="AQ121" s="6">
        <v>396199</v>
      </c>
      <c r="AR121" s="6">
        <v>856307</v>
      </c>
    </row>
    <row r="122" spans="1:44">
      <c r="A122" s="4" t="s">
        <v>489</v>
      </c>
      <c r="B122" s="1" t="s">
        <v>490</v>
      </c>
      <c r="C122" s="1" t="s">
        <v>491</v>
      </c>
      <c r="D122" s="1" t="str">
        <f>HYPERLINK("http://eros.fiehnlab.ucdavis.edu:8080/binbase-compound/bin/show/218815?db=rtx5","218815")</f>
        <v>218815</v>
      </c>
      <c r="E122" s="1" t="s">
        <v>492</v>
      </c>
      <c r="F122" s="1" t="str">
        <f>HYPERLINK("http://www.genome.ad.jp/dbget-bin/www_bget?compound+C06104","C06104")</f>
        <v>C06104</v>
      </c>
      <c r="G122" s="1" t="str">
        <f>HYPERLINK("http://pubchem.ncbi.nlm.nih.gov/summary/summary.cgi?cid=196","196")</f>
        <v>196</v>
      </c>
      <c r="H122" s="1"/>
      <c r="I122" s="6">
        <v>559</v>
      </c>
      <c r="J122" s="6">
        <v>745</v>
      </c>
      <c r="K122" s="6">
        <v>599</v>
      </c>
      <c r="L122" s="6">
        <v>1611</v>
      </c>
      <c r="M122" s="6">
        <v>621</v>
      </c>
      <c r="N122" s="6">
        <v>922</v>
      </c>
      <c r="O122" s="6">
        <v>534</v>
      </c>
      <c r="P122" s="6">
        <v>471</v>
      </c>
      <c r="Q122" s="6">
        <v>726</v>
      </c>
      <c r="R122" s="6">
        <v>546</v>
      </c>
      <c r="S122" s="6">
        <v>669</v>
      </c>
      <c r="T122" s="6">
        <v>410</v>
      </c>
      <c r="U122" s="6">
        <v>871</v>
      </c>
      <c r="V122" s="6">
        <v>554</v>
      </c>
      <c r="W122" s="6">
        <v>463</v>
      </c>
      <c r="X122" s="6">
        <v>665</v>
      </c>
      <c r="Y122" s="6">
        <v>425</v>
      </c>
      <c r="Z122" s="6">
        <v>527</v>
      </c>
      <c r="AA122" s="6">
        <v>729</v>
      </c>
      <c r="AB122" s="6">
        <v>756</v>
      </c>
      <c r="AC122" s="6">
        <v>893</v>
      </c>
      <c r="AD122" s="6">
        <v>743</v>
      </c>
      <c r="AE122" s="6">
        <v>632</v>
      </c>
      <c r="AF122" s="6">
        <v>480</v>
      </c>
      <c r="AG122" s="6">
        <v>822</v>
      </c>
      <c r="AH122" s="6">
        <v>888</v>
      </c>
      <c r="AI122" s="6">
        <v>696</v>
      </c>
      <c r="AJ122" s="6">
        <v>993</v>
      </c>
      <c r="AK122" s="6">
        <v>830</v>
      </c>
      <c r="AL122" s="6">
        <v>479</v>
      </c>
      <c r="AM122" s="6">
        <v>510</v>
      </c>
      <c r="AN122" s="6">
        <v>606</v>
      </c>
      <c r="AO122" s="6">
        <v>957</v>
      </c>
      <c r="AP122" s="6">
        <v>700</v>
      </c>
      <c r="AQ122" s="6">
        <v>459</v>
      </c>
      <c r="AR122" s="6">
        <v>744</v>
      </c>
    </row>
    <row r="123" spans="1:44">
      <c r="A123" s="4" t="s">
        <v>493</v>
      </c>
      <c r="B123" s="1" t="s">
        <v>494</v>
      </c>
      <c r="C123" s="1" t="s">
        <v>495</v>
      </c>
      <c r="D123" s="1" t="str">
        <f>HYPERLINK("http://eros.fiehnlab.ucdavis.edu:8080/binbase-compound/bin/show/362124?db=rtx5","362124")</f>
        <v>362124</v>
      </c>
      <c r="E123" s="1" t="s">
        <v>496</v>
      </c>
      <c r="F123" s="1" t="s">
        <v>0</v>
      </c>
      <c r="G123" s="1" t="s">
        <v>0</v>
      </c>
      <c r="H123" s="1"/>
      <c r="I123" s="6">
        <v>20439</v>
      </c>
      <c r="J123" s="6">
        <v>15925</v>
      </c>
      <c r="K123" s="6">
        <v>11593</v>
      </c>
      <c r="L123" s="6">
        <v>11011</v>
      </c>
      <c r="M123" s="6">
        <v>13706</v>
      </c>
      <c r="N123" s="6">
        <v>11298</v>
      </c>
      <c r="O123" s="6">
        <v>18601</v>
      </c>
      <c r="P123" s="6">
        <v>11252</v>
      </c>
      <c r="Q123" s="6">
        <v>17203</v>
      </c>
      <c r="R123" s="6">
        <v>9588</v>
      </c>
      <c r="S123" s="6">
        <v>12150</v>
      </c>
      <c r="T123" s="6">
        <v>3856</v>
      </c>
      <c r="U123" s="6">
        <v>31139</v>
      </c>
      <c r="V123" s="6">
        <v>16621</v>
      </c>
      <c r="W123" s="6">
        <v>18890</v>
      </c>
      <c r="X123" s="6">
        <v>12975</v>
      </c>
      <c r="Y123" s="6">
        <v>16885</v>
      </c>
      <c r="Z123" s="6">
        <v>20807</v>
      </c>
      <c r="AA123" s="6">
        <v>17968</v>
      </c>
      <c r="AB123" s="6">
        <v>12467</v>
      </c>
      <c r="AC123" s="6">
        <v>13187</v>
      </c>
      <c r="AD123" s="6">
        <v>19222</v>
      </c>
      <c r="AE123" s="6">
        <v>11625</v>
      </c>
      <c r="AF123" s="6">
        <v>11365</v>
      </c>
      <c r="AG123" s="6">
        <v>30826</v>
      </c>
      <c r="AH123" s="6">
        <v>42872</v>
      </c>
      <c r="AI123" s="6">
        <v>22906</v>
      </c>
      <c r="AJ123" s="6">
        <v>19462</v>
      </c>
      <c r="AK123" s="6">
        <v>23998</v>
      </c>
      <c r="AL123" s="6">
        <v>8174</v>
      </c>
      <c r="AM123" s="6">
        <v>13140</v>
      </c>
      <c r="AN123" s="6">
        <v>11762</v>
      </c>
      <c r="AO123" s="6">
        <v>20914</v>
      </c>
      <c r="AP123" s="6">
        <v>16623</v>
      </c>
      <c r="AQ123" s="6">
        <v>11475</v>
      </c>
      <c r="AR123" s="6">
        <v>26507</v>
      </c>
    </row>
    <row r="124" spans="1:44">
      <c r="A124" s="4" t="s">
        <v>497</v>
      </c>
      <c r="B124" s="1" t="s">
        <v>498</v>
      </c>
      <c r="C124" s="1" t="s">
        <v>499</v>
      </c>
      <c r="D124" s="1" t="str">
        <f>HYPERLINK("http://eros.fiehnlab.ucdavis.edu:8080/binbase-compound/bin/show/211944?db=rtx5","211944")</f>
        <v>211944</v>
      </c>
      <c r="E124" s="1" t="s">
        <v>500</v>
      </c>
      <c r="F124" s="1" t="str">
        <f>HYPERLINK("http://www.genome.ad.jp/dbget-bin/www_bget?compound+C00212","C00212")</f>
        <v>C00212</v>
      </c>
      <c r="G124" s="1" t="str">
        <f>HYPERLINK("http://pubchem.ncbi.nlm.nih.gov/summary/summary.cgi?cid=60961","60961")</f>
        <v>60961</v>
      </c>
      <c r="H124" s="1"/>
      <c r="I124" s="6">
        <v>15608</v>
      </c>
      <c r="J124" s="6">
        <v>4438</v>
      </c>
      <c r="K124" s="6">
        <v>2830</v>
      </c>
      <c r="L124" s="6">
        <v>20444</v>
      </c>
      <c r="M124" s="6">
        <v>3352</v>
      </c>
      <c r="N124" s="6">
        <v>8344</v>
      </c>
      <c r="O124" s="6">
        <v>12423</v>
      </c>
      <c r="P124" s="6">
        <v>2527</v>
      </c>
      <c r="Q124" s="6">
        <v>21761</v>
      </c>
      <c r="R124" s="6">
        <v>13368</v>
      </c>
      <c r="S124" s="6">
        <v>864</v>
      </c>
      <c r="T124" s="6">
        <v>4729</v>
      </c>
      <c r="U124" s="6">
        <v>17655</v>
      </c>
      <c r="V124" s="6">
        <v>2105</v>
      </c>
      <c r="W124" s="6">
        <v>4291</v>
      </c>
      <c r="X124" s="6">
        <v>13626</v>
      </c>
      <c r="Y124" s="6">
        <v>4869</v>
      </c>
      <c r="Z124" s="6">
        <v>9883</v>
      </c>
      <c r="AA124" s="6">
        <v>3903</v>
      </c>
      <c r="AB124" s="6">
        <v>39312</v>
      </c>
      <c r="AC124" s="6">
        <v>9101</v>
      </c>
      <c r="AD124" s="6">
        <v>15705</v>
      </c>
      <c r="AE124" s="6">
        <v>17470</v>
      </c>
      <c r="AF124" s="6">
        <v>8744</v>
      </c>
      <c r="AG124" s="6">
        <v>3827</v>
      </c>
      <c r="AH124" s="6">
        <v>10931</v>
      </c>
      <c r="AI124" s="6">
        <v>11252</v>
      </c>
      <c r="AJ124" s="6">
        <v>1580</v>
      </c>
      <c r="AK124" s="6">
        <v>2612</v>
      </c>
      <c r="AL124" s="6">
        <v>792</v>
      </c>
      <c r="AM124" s="6">
        <v>8100</v>
      </c>
      <c r="AN124" s="6">
        <v>5163</v>
      </c>
      <c r="AO124" s="6">
        <v>20929</v>
      </c>
      <c r="AP124" s="6">
        <v>26888</v>
      </c>
      <c r="AQ124" s="6">
        <v>1773</v>
      </c>
      <c r="AR124" s="6">
        <v>7569</v>
      </c>
    </row>
    <row r="125" spans="1:44">
      <c r="A125" s="4" t="s">
        <v>501</v>
      </c>
      <c r="B125" s="1" t="s">
        <v>502</v>
      </c>
      <c r="C125" s="1" t="s">
        <v>503</v>
      </c>
      <c r="D125" s="1" t="str">
        <f>HYPERLINK("http://eros.fiehnlab.ucdavis.edu:8080/binbase-compound/bin/show/203388?db=rtx5","203388")</f>
        <v>203388</v>
      </c>
      <c r="E125" s="1" t="s">
        <v>504</v>
      </c>
      <c r="F125" s="1" t="str">
        <f>HYPERLINK("http://www.genome.ad.jp/dbget-bin/www_bget?compound+C00147","C00147")</f>
        <v>C00147</v>
      </c>
      <c r="G125" s="1" t="str">
        <f>HYPERLINK("http://pubchem.ncbi.nlm.nih.gov/summary/summary.cgi?cid=190","190")</f>
        <v>190</v>
      </c>
      <c r="H125" s="1"/>
      <c r="I125" s="6">
        <v>74195</v>
      </c>
      <c r="J125" s="6">
        <v>18094</v>
      </c>
      <c r="K125" s="6">
        <v>18699</v>
      </c>
      <c r="L125" s="6">
        <v>73929</v>
      </c>
      <c r="M125" s="6">
        <v>19010</v>
      </c>
      <c r="N125" s="6">
        <v>54318</v>
      </c>
      <c r="O125" s="6">
        <v>24984</v>
      </c>
      <c r="P125" s="6">
        <v>14122</v>
      </c>
      <c r="Q125" s="6">
        <v>60568</v>
      </c>
      <c r="R125" s="6">
        <v>16226</v>
      </c>
      <c r="S125" s="6">
        <v>4305</v>
      </c>
      <c r="T125" s="6">
        <v>26857</v>
      </c>
      <c r="U125" s="6">
        <v>26887</v>
      </c>
      <c r="V125" s="6">
        <v>3800</v>
      </c>
      <c r="W125" s="6">
        <v>6043</v>
      </c>
      <c r="X125" s="6">
        <v>79625</v>
      </c>
      <c r="Y125" s="6">
        <v>5458</v>
      </c>
      <c r="Z125" s="6">
        <v>23780</v>
      </c>
      <c r="AA125" s="6">
        <v>67141</v>
      </c>
      <c r="AB125" s="6">
        <v>98869</v>
      </c>
      <c r="AC125" s="6">
        <v>85362</v>
      </c>
      <c r="AD125" s="6">
        <v>21048</v>
      </c>
      <c r="AE125" s="6">
        <v>73273</v>
      </c>
      <c r="AF125" s="6">
        <v>79683</v>
      </c>
      <c r="AG125" s="6">
        <v>5900</v>
      </c>
      <c r="AH125" s="6">
        <v>10016</v>
      </c>
      <c r="AI125" s="6">
        <v>21315</v>
      </c>
      <c r="AJ125" s="6">
        <v>3777</v>
      </c>
      <c r="AK125" s="6">
        <v>4378</v>
      </c>
      <c r="AL125" s="6">
        <v>2256</v>
      </c>
      <c r="AM125" s="6">
        <v>15851</v>
      </c>
      <c r="AN125" s="6">
        <v>9125</v>
      </c>
      <c r="AO125" s="6">
        <v>19031</v>
      </c>
      <c r="AP125" s="6">
        <v>40784</v>
      </c>
      <c r="AQ125" s="6">
        <v>3111</v>
      </c>
      <c r="AR125" s="6">
        <v>20057</v>
      </c>
    </row>
    <row r="126" spans="1:44">
      <c r="A126" s="4" t="s">
        <v>505</v>
      </c>
      <c r="B126" s="1" t="s">
        <v>506</v>
      </c>
      <c r="C126" s="1" t="s">
        <v>115</v>
      </c>
      <c r="D126" s="1" t="str">
        <f>HYPERLINK("http://eros.fiehnlab.ucdavis.edu:8080/binbase-compound/bin/show/200896?db=rtx5","200896")</f>
        <v>200896</v>
      </c>
      <c r="E126" s="1" t="s">
        <v>507</v>
      </c>
      <c r="F126" s="1" t="str">
        <f>HYPERLINK("http://www.genome.ad.jp/dbget-bin/www_bget?compound+C05659","C05659")</f>
        <v>C05659</v>
      </c>
      <c r="G126" s="1" t="str">
        <f>HYPERLINK("http://pubchem.ncbi.nlm.nih.gov/summary/summary.cgi?cid=1833","1833")</f>
        <v>1833</v>
      </c>
      <c r="H126" s="1"/>
      <c r="I126" s="6">
        <v>2268</v>
      </c>
      <c r="J126" s="6">
        <v>204</v>
      </c>
      <c r="K126" s="6">
        <v>216</v>
      </c>
      <c r="L126" s="6">
        <v>4361</v>
      </c>
      <c r="M126" s="6">
        <v>1065</v>
      </c>
      <c r="N126" s="6">
        <v>2000</v>
      </c>
      <c r="O126" s="6">
        <v>518</v>
      </c>
      <c r="P126" s="6">
        <v>209</v>
      </c>
      <c r="Q126" s="6">
        <v>1516</v>
      </c>
      <c r="R126" s="6">
        <v>1900</v>
      </c>
      <c r="S126" s="6">
        <v>277</v>
      </c>
      <c r="T126" s="6">
        <v>209</v>
      </c>
      <c r="U126" s="6">
        <v>3402</v>
      </c>
      <c r="V126" s="6">
        <v>510</v>
      </c>
      <c r="W126" s="6">
        <v>1147</v>
      </c>
      <c r="X126" s="6">
        <v>1021</v>
      </c>
      <c r="Y126" s="6">
        <v>1363</v>
      </c>
      <c r="Z126" s="6">
        <v>2453</v>
      </c>
      <c r="AA126" s="6">
        <v>268</v>
      </c>
      <c r="AB126" s="6">
        <v>6709</v>
      </c>
      <c r="AC126" s="6">
        <v>345</v>
      </c>
      <c r="AD126" s="6">
        <v>2649</v>
      </c>
      <c r="AE126" s="6">
        <v>1737</v>
      </c>
      <c r="AF126" s="6">
        <v>463</v>
      </c>
      <c r="AG126" s="6">
        <v>585</v>
      </c>
      <c r="AH126" s="6">
        <v>3321</v>
      </c>
      <c r="AI126" s="6">
        <v>589</v>
      </c>
      <c r="AJ126" s="6">
        <v>256</v>
      </c>
      <c r="AK126" s="6">
        <v>1078</v>
      </c>
      <c r="AL126" s="6">
        <v>219</v>
      </c>
      <c r="AM126" s="6">
        <v>1559</v>
      </c>
      <c r="AN126" s="6">
        <v>597</v>
      </c>
      <c r="AO126" s="6">
        <v>2498</v>
      </c>
      <c r="AP126" s="6">
        <v>5313</v>
      </c>
      <c r="AQ126" s="6">
        <v>636</v>
      </c>
      <c r="AR126" s="6">
        <v>3623</v>
      </c>
    </row>
    <row r="127" spans="1:44">
      <c r="A127" s="4" t="s">
        <v>508</v>
      </c>
      <c r="B127" s="1" t="s">
        <v>509</v>
      </c>
      <c r="C127" s="1" t="s">
        <v>499</v>
      </c>
      <c r="D127" s="1" t="str">
        <f>HYPERLINK("http://eros.fiehnlab.ucdavis.edu:8080/binbase-compound/bin/show/213373?db=rtx5","213373")</f>
        <v>213373</v>
      </c>
      <c r="E127" s="1" t="s">
        <v>510</v>
      </c>
      <c r="F127" s="1" t="str">
        <f>HYPERLINK("http://www.genome.ad.jp/dbget-bin/www_bget?compound+C00170","C00170")</f>
        <v>C00170</v>
      </c>
      <c r="G127" s="1" t="str">
        <f>HYPERLINK("http://pubchem.ncbi.nlm.nih.gov/summary/summary.cgi?cid=439176","439176")</f>
        <v>439176</v>
      </c>
      <c r="H127" s="1"/>
      <c r="I127" s="6">
        <v>1055</v>
      </c>
      <c r="J127" s="6">
        <v>345</v>
      </c>
      <c r="K127" s="6">
        <v>299</v>
      </c>
      <c r="L127" s="6">
        <v>674</v>
      </c>
      <c r="M127" s="6">
        <v>918</v>
      </c>
      <c r="N127" s="6">
        <v>620</v>
      </c>
      <c r="O127" s="6">
        <v>394</v>
      </c>
      <c r="P127" s="6">
        <v>267</v>
      </c>
      <c r="Q127" s="6">
        <v>579</v>
      </c>
      <c r="R127" s="6">
        <v>486</v>
      </c>
      <c r="S127" s="6">
        <v>253</v>
      </c>
      <c r="T127" s="6">
        <v>167</v>
      </c>
      <c r="U127" s="6">
        <v>1804</v>
      </c>
      <c r="V127" s="6">
        <v>961</v>
      </c>
      <c r="W127" s="6">
        <v>1737</v>
      </c>
      <c r="X127" s="6">
        <v>538</v>
      </c>
      <c r="Y127" s="6">
        <v>713</v>
      </c>
      <c r="Z127" s="6">
        <v>1319</v>
      </c>
      <c r="AA127" s="6">
        <v>343</v>
      </c>
      <c r="AB127" s="6">
        <v>859</v>
      </c>
      <c r="AC127" s="6">
        <v>410</v>
      </c>
      <c r="AD127" s="6">
        <v>1331</v>
      </c>
      <c r="AE127" s="6">
        <v>760</v>
      </c>
      <c r="AF127" s="6">
        <v>458</v>
      </c>
      <c r="AG127" s="6">
        <v>356</v>
      </c>
      <c r="AH127" s="6">
        <v>1533</v>
      </c>
      <c r="AI127" s="6">
        <v>458</v>
      </c>
      <c r="AJ127" s="6">
        <v>341</v>
      </c>
      <c r="AK127" s="6">
        <v>820</v>
      </c>
      <c r="AL127" s="6">
        <v>165</v>
      </c>
      <c r="AM127" s="6">
        <v>899</v>
      </c>
      <c r="AN127" s="6">
        <v>518</v>
      </c>
      <c r="AO127" s="6">
        <v>1019</v>
      </c>
      <c r="AP127" s="6">
        <v>1288</v>
      </c>
      <c r="AQ127" s="6">
        <v>297</v>
      </c>
      <c r="AR127" s="6">
        <v>1459</v>
      </c>
    </row>
    <row r="128" spans="1:44">
      <c r="A128" s="4" t="s">
        <v>512</v>
      </c>
      <c r="B128" s="1" t="s">
        <v>513</v>
      </c>
      <c r="C128" s="1" t="s">
        <v>115</v>
      </c>
      <c r="D128" s="1" t="str">
        <f>HYPERLINK("http://eros.fiehnlab.ucdavis.edu:8080/binbase-compound/bin/show/238442?db=rtx5","238442")</f>
        <v>238442</v>
      </c>
      <c r="E128" s="1" t="s">
        <v>514</v>
      </c>
      <c r="F128" s="1" t="str">
        <f>HYPERLINK("http://www.genome.ad.jp/dbget-bin/www_bget?compound+C00431","C00431")</f>
        <v>C00431</v>
      </c>
      <c r="G128" s="1" t="str">
        <f>HYPERLINK("http://pubchem.ncbi.nlm.nih.gov/summary/summary.cgi?cid=138","138")</f>
        <v>138</v>
      </c>
      <c r="H128" s="1"/>
      <c r="I128" s="6">
        <v>5804</v>
      </c>
      <c r="J128" s="6">
        <v>1573</v>
      </c>
      <c r="K128" s="6">
        <v>5240</v>
      </c>
      <c r="L128" s="6">
        <v>9311</v>
      </c>
      <c r="M128" s="6">
        <v>3112</v>
      </c>
      <c r="N128" s="6">
        <v>6851</v>
      </c>
      <c r="O128" s="6">
        <v>5293</v>
      </c>
      <c r="P128" s="6">
        <v>945</v>
      </c>
      <c r="Q128" s="6">
        <v>4081</v>
      </c>
      <c r="R128" s="6">
        <v>12308</v>
      </c>
      <c r="S128" s="6">
        <v>4188</v>
      </c>
      <c r="T128" s="6">
        <v>617</v>
      </c>
      <c r="U128" s="6">
        <v>10564</v>
      </c>
      <c r="V128" s="6">
        <v>2101</v>
      </c>
      <c r="W128" s="6">
        <v>5528</v>
      </c>
      <c r="X128" s="6">
        <v>4684</v>
      </c>
      <c r="Y128" s="6">
        <v>5633</v>
      </c>
      <c r="Z128" s="6">
        <v>3849</v>
      </c>
      <c r="AA128" s="6">
        <v>755</v>
      </c>
      <c r="AB128" s="6">
        <v>10565</v>
      </c>
      <c r="AC128" s="6">
        <v>4014</v>
      </c>
      <c r="AD128" s="6">
        <v>4572</v>
      </c>
      <c r="AE128" s="6">
        <v>5522</v>
      </c>
      <c r="AF128" s="6">
        <v>1470</v>
      </c>
      <c r="AG128" s="6">
        <v>3839</v>
      </c>
      <c r="AH128" s="6">
        <v>10388</v>
      </c>
      <c r="AI128" s="6">
        <v>3198</v>
      </c>
      <c r="AJ128" s="6">
        <v>3309</v>
      </c>
      <c r="AK128" s="6">
        <v>2731</v>
      </c>
      <c r="AL128" s="6">
        <v>4371</v>
      </c>
      <c r="AM128" s="6">
        <v>3290</v>
      </c>
      <c r="AN128" s="6">
        <v>1735</v>
      </c>
      <c r="AO128" s="6">
        <v>5131</v>
      </c>
      <c r="AP128" s="6">
        <v>6794</v>
      </c>
      <c r="AQ128" s="6">
        <v>4307</v>
      </c>
      <c r="AR128" s="6">
        <v>5130</v>
      </c>
    </row>
    <row r="129" spans="1:44">
      <c r="A129" s="4" t="s">
        <v>515</v>
      </c>
      <c r="B129" s="1" t="s">
        <v>516</v>
      </c>
      <c r="C129" s="1" t="s">
        <v>414</v>
      </c>
      <c r="D129" s="1" t="str">
        <f>HYPERLINK("http://eros.fiehnlab.ucdavis.edu:8080/binbase-compound/bin/show/308130?db=rtx5","308130")</f>
        <v>308130</v>
      </c>
      <c r="E129" s="1" t="s">
        <v>517</v>
      </c>
      <c r="F129" s="1" t="str">
        <f>HYPERLINK("http://www.genome.ad.jp/dbget-bin/www_bget?compound+C00429","C00429")</f>
        <v>C00429</v>
      </c>
      <c r="G129" s="1" t="str">
        <f>HYPERLINK("http://pubchem.ncbi.nlm.nih.gov/summary/summary.cgi?cid=649","649")</f>
        <v>649</v>
      </c>
      <c r="H129" s="1"/>
      <c r="I129" s="6">
        <v>763</v>
      </c>
      <c r="J129" s="6">
        <v>235</v>
      </c>
      <c r="K129" s="6">
        <v>206</v>
      </c>
      <c r="L129" s="6">
        <v>4317</v>
      </c>
      <c r="M129" s="6">
        <v>950</v>
      </c>
      <c r="N129" s="6">
        <v>1696</v>
      </c>
      <c r="O129" s="6">
        <v>405</v>
      </c>
      <c r="P129" s="6">
        <v>270</v>
      </c>
      <c r="Q129" s="6">
        <v>891</v>
      </c>
      <c r="R129" s="6">
        <v>618</v>
      </c>
      <c r="S129" s="6">
        <v>255</v>
      </c>
      <c r="T129" s="6">
        <v>208</v>
      </c>
      <c r="U129" s="6">
        <v>3629</v>
      </c>
      <c r="V129" s="6">
        <v>724</v>
      </c>
      <c r="W129" s="6">
        <v>1010</v>
      </c>
      <c r="X129" s="6">
        <v>2128</v>
      </c>
      <c r="Y129" s="6">
        <v>1723</v>
      </c>
      <c r="Z129" s="6">
        <v>1532</v>
      </c>
      <c r="AA129" s="6">
        <v>269</v>
      </c>
      <c r="AB129" s="6">
        <v>1432</v>
      </c>
      <c r="AC129" s="6">
        <v>254</v>
      </c>
      <c r="AD129" s="6">
        <v>806</v>
      </c>
      <c r="AE129" s="6">
        <v>1914</v>
      </c>
      <c r="AF129" s="6">
        <v>370</v>
      </c>
      <c r="AG129" s="6">
        <v>293</v>
      </c>
      <c r="AH129" s="6">
        <v>2363</v>
      </c>
      <c r="AI129" s="6">
        <v>367</v>
      </c>
      <c r="AJ129" s="6">
        <v>428</v>
      </c>
      <c r="AK129" s="6">
        <v>1211</v>
      </c>
      <c r="AL129" s="6">
        <v>360</v>
      </c>
      <c r="AM129" s="6">
        <v>707</v>
      </c>
      <c r="AN129" s="6">
        <v>334</v>
      </c>
      <c r="AO129" s="6">
        <v>900</v>
      </c>
      <c r="AP129" s="6">
        <v>1810</v>
      </c>
      <c r="AQ129" s="6">
        <v>967</v>
      </c>
      <c r="AR129" s="6">
        <v>1348</v>
      </c>
    </row>
    <row r="130" spans="1:44">
      <c r="A130" s="4" t="s">
        <v>642</v>
      </c>
      <c r="B130" s="1" t="s">
        <v>643</v>
      </c>
      <c r="C130" s="1" t="s">
        <v>363</v>
      </c>
      <c r="D130" s="1" t="str">
        <f>HYPERLINK("http://eros.fiehnlab.ucdavis.edu:8080/binbase-compound/bin/show/234616?db=rtx5","234616")</f>
        <v>234616</v>
      </c>
      <c r="E130" s="1" t="s">
        <v>644</v>
      </c>
      <c r="F130" s="1" t="str">
        <f>HYPERLINK("http://www.genome.ad.jp/dbget-bin/www_bget?compound+C00197","C00197")</f>
        <v>C00197</v>
      </c>
      <c r="G130" s="1" t="str">
        <f>HYPERLINK("http://pubchem.ncbi.nlm.nih.gov/summary/summary.cgi?cid=724","724")</f>
        <v>724</v>
      </c>
      <c r="H130" s="1"/>
      <c r="I130" s="6">
        <v>60909</v>
      </c>
      <c r="J130" s="6">
        <v>31301</v>
      </c>
      <c r="K130" s="6">
        <v>37799</v>
      </c>
      <c r="L130" s="6">
        <v>63258</v>
      </c>
      <c r="M130" s="6">
        <v>38411</v>
      </c>
      <c r="N130" s="6">
        <v>28163</v>
      </c>
      <c r="O130" s="6">
        <v>47297</v>
      </c>
      <c r="P130" s="6">
        <v>33064</v>
      </c>
      <c r="Q130" s="6">
        <v>55161</v>
      </c>
      <c r="R130" s="6">
        <v>29084</v>
      </c>
      <c r="S130" s="6">
        <v>53168</v>
      </c>
      <c r="T130" s="6">
        <v>14319</v>
      </c>
      <c r="U130" s="6">
        <v>68792</v>
      </c>
      <c r="V130" s="6">
        <v>59755</v>
      </c>
      <c r="W130" s="6">
        <v>107849</v>
      </c>
      <c r="X130" s="6">
        <v>45048</v>
      </c>
      <c r="Y130" s="6">
        <v>52666</v>
      </c>
      <c r="Z130" s="6">
        <v>61594</v>
      </c>
      <c r="AA130" s="6">
        <v>35671</v>
      </c>
      <c r="AB130" s="6">
        <v>62724</v>
      </c>
      <c r="AC130" s="6">
        <v>49986</v>
      </c>
      <c r="AD130" s="6">
        <v>68567</v>
      </c>
      <c r="AE130" s="6">
        <v>52863</v>
      </c>
      <c r="AF130" s="6">
        <v>39196</v>
      </c>
      <c r="AG130" s="6">
        <v>81145</v>
      </c>
      <c r="AH130" s="6">
        <v>84397</v>
      </c>
      <c r="AI130" s="6">
        <v>53619</v>
      </c>
      <c r="AJ130" s="6">
        <v>45642</v>
      </c>
      <c r="AK130" s="6">
        <v>68807</v>
      </c>
      <c r="AL130" s="6">
        <v>43153</v>
      </c>
      <c r="AM130" s="6">
        <v>47357</v>
      </c>
      <c r="AN130" s="6">
        <v>48364</v>
      </c>
      <c r="AO130" s="6">
        <v>50038</v>
      </c>
      <c r="AP130" s="6">
        <v>82255</v>
      </c>
      <c r="AQ130" s="6">
        <v>68673</v>
      </c>
      <c r="AR130" s="6">
        <v>62586</v>
      </c>
    </row>
    <row r="131" spans="1:44">
      <c r="A131" s="4" t="s">
        <v>645</v>
      </c>
      <c r="B131" s="1" t="s">
        <v>646</v>
      </c>
      <c r="C131" s="1" t="s">
        <v>163</v>
      </c>
      <c r="D131" s="1" t="str">
        <f>HYPERLINK("http://eros.fiehnlab.ucdavis.edu:8080/binbase-compound/bin/show/213134?db=rtx5","213134")</f>
        <v>213134</v>
      </c>
      <c r="E131" s="1" t="s">
        <v>647</v>
      </c>
      <c r="F131" s="1" t="str">
        <f>HYPERLINK("http://www.genome.ad.jp/dbget-bin/www_bget?compound+C05607","C05607")</f>
        <v>C05607</v>
      </c>
      <c r="G131" s="1" t="str">
        <f>HYPERLINK("http://pubchem.ncbi.nlm.nih.gov/summary/summary.cgi?cid=3848","3848")</f>
        <v>3848</v>
      </c>
      <c r="H131" s="1"/>
      <c r="I131" s="6">
        <v>1606</v>
      </c>
      <c r="J131" s="6">
        <v>630</v>
      </c>
      <c r="K131" s="6">
        <v>934</v>
      </c>
      <c r="L131" s="6">
        <v>2846</v>
      </c>
      <c r="M131" s="6">
        <v>1448</v>
      </c>
      <c r="N131" s="6">
        <v>2439</v>
      </c>
      <c r="O131" s="6">
        <v>1590</v>
      </c>
      <c r="P131" s="6">
        <v>600</v>
      </c>
      <c r="Q131" s="6">
        <v>1605</v>
      </c>
      <c r="R131" s="6">
        <v>1963</v>
      </c>
      <c r="S131" s="6">
        <v>845</v>
      </c>
      <c r="T131" s="6">
        <v>515</v>
      </c>
      <c r="U131" s="6">
        <v>2307</v>
      </c>
      <c r="V131" s="6">
        <v>1231</v>
      </c>
      <c r="W131" s="6">
        <v>2197</v>
      </c>
      <c r="X131" s="6">
        <v>2729</v>
      </c>
      <c r="Y131" s="6">
        <v>2110</v>
      </c>
      <c r="Z131" s="6">
        <v>1907</v>
      </c>
      <c r="AA131" s="6">
        <v>771</v>
      </c>
      <c r="AB131" s="6">
        <v>3033</v>
      </c>
      <c r="AC131" s="6">
        <v>1231</v>
      </c>
      <c r="AD131" s="6">
        <v>2000</v>
      </c>
      <c r="AE131" s="6">
        <v>2781</v>
      </c>
      <c r="AF131" s="6">
        <v>1623</v>
      </c>
      <c r="AG131" s="6">
        <v>1780</v>
      </c>
      <c r="AH131" s="6">
        <v>2753</v>
      </c>
      <c r="AI131" s="6">
        <v>893</v>
      </c>
      <c r="AJ131" s="6">
        <v>977</v>
      </c>
      <c r="AK131" s="6">
        <v>1257</v>
      </c>
      <c r="AL131" s="6">
        <v>1138</v>
      </c>
      <c r="AM131" s="6">
        <v>1255</v>
      </c>
      <c r="AN131" s="6">
        <v>1104</v>
      </c>
      <c r="AO131" s="6">
        <v>1466</v>
      </c>
      <c r="AP131" s="6">
        <v>3264</v>
      </c>
      <c r="AQ131" s="6">
        <v>1820</v>
      </c>
      <c r="AR131" s="6">
        <v>3597</v>
      </c>
    </row>
    <row r="132" spans="1:44">
      <c r="A132" s="4" t="s">
        <v>648</v>
      </c>
      <c r="B132" s="1" t="s">
        <v>649</v>
      </c>
      <c r="C132" s="1" t="s">
        <v>189</v>
      </c>
      <c r="D132" s="1" t="str">
        <f>HYPERLINK("http://eros.fiehnlab.ucdavis.edu:8080/binbase-compound/bin/show/213283?db=rtx5","213283")</f>
        <v>213283</v>
      </c>
      <c r="E132" s="1" t="s">
        <v>650</v>
      </c>
      <c r="F132" s="1" t="str">
        <f>HYPERLINK("http://www.genome.ad.jp/dbget-bin/www_bget?compound+C01013","C01013")</f>
        <v>C01013</v>
      </c>
      <c r="G132" s="1" t="str">
        <f>HYPERLINK("http://pubchem.ncbi.nlm.nih.gov/summary/summary.cgi?cid=68152","68152")</f>
        <v>68152</v>
      </c>
      <c r="H132" s="1"/>
      <c r="I132" s="6">
        <v>3526</v>
      </c>
      <c r="J132" s="6">
        <v>1165</v>
      </c>
      <c r="K132" s="6">
        <v>962</v>
      </c>
      <c r="L132" s="6">
        <v>3082</v>
      </c>
      <c r="M132" s="6">
        <v>1632</v>
      </c>
      <c r="N132" s="6">
        <v>3790</v>
      </c>
      <c r="O132" s="6">
        <v>1864</v>
      </c>
      <c r="P132" s="6">
        <v>762</v>
      </c>
      <c r="Q132" s="6">
        <v>2448</v>
      </c>
      <c r="R132" s="6">
        <v>1876</v>
      </c>
      <c r="S132" s="6">
        <v>1182</v>
      </c>
      <c r="T132" s="6">
        <v>871</v>
      </c>
      <c r="U132" s="6">
        <v>3538</v>
      </c>
      <c r="V132" s="6">
        <v>918</v>
      </c>
      <c r="W132" s="6">
        <v>1926</v>
      </c>
      <c r="X132" s="6">
        <v>2176</v>
      </c>
      <c r="Y132" s="6">
        <v>2511</v>
      </c>
      <c r="Z132" s="6">
        <v>2003</v>
      </c>
      <c r="AA132" s="6">
        <v>1026</v>
      </c>
      <c r="AB132" s="6">
        <v>4269</v>
      </c>
      <c r="AC132" s="6">
        <v>1046</v>
      </c>
      <c r="AD132" s="6">
        <v>2557</v>
      </c>
      <c r="AE132" s="6">
        <v>2648</v>
      </c>
      <c r="AF132" s="6">
        <v>1663</v>
      </c>
      <c r="AG132" s="6">
        <v>1774</v>
      </c>
      <c r="AH132" s="6">
        <v>4746</v>
      </c>
      <c r="AI132" s="6">
        <v>1663</v>
      </c>
      <c r="AJ132" s="6">
        <v>940</v>
      </c>
      <c r="AK132" s="6">
        <v>1834</v>
      </c>
      <c r="AL132" s="6">
        <v>843</v>
      </c>
      <c r="AM132" s="6">
        <v>1514</v>
      </c>
      <c r="AN132" s="6">
        <v>1011</v>
      </c>
      <c r="AO132" s="6">
        <v>3043</v>
      </c>
      <c r="AP132" s="6">
        <v>3328</v>
      </c>
      <c r="AQ132" s="6">
        <v>1462</v>
      </c>
      <c r="AR132" s="6">
        <v>2593</v>
      </c>
    </row>
    <row r="133" spans="1:44">
      <c r="A133" s="4" t="s">
        <v>769</v>
      </c>
      <c r="B133" s="1" t="s">
        <v>770</v>
      </c>
      <c r="C133" s="1" t="s">
        <v>746</v>
      </c>
      <c r="D133" s="1" t="str">
        <f>HYPERLINK("http://eros.fiehnlab.ucdavis.edu:8080/binbase-compound/bin/show/228128?db=rtx5","228128")</f>
        <v>228128</v>
      </c>
      <c r="E133" s="1" t="s">
        <v>771</v>
      </c>
      <c r="F133" s="1" t="str">
        <f>HYPERLINK("http://www.genome.ad.jp/dbget-bin/www_bget?compound+n/a","n/a")</f>
        <v>n/a</v>
      </c>
      <c r="G133" s="1" t="str">
        <f>HYPERLINK("http://pubchem.ncbi.nlm.nih.gov/summary/summary.cgi?cid=152265","152265")</f>
        <v>152265</v>
      </c>
      <c r="H133" s="1"/>
      <c r="I133" s="6">
        <v>9157</v>
      </c>
      <c r="J133" s="6">
        <v>966</v>
      </c>
      <c r="K133" s="6">
        <v>576</v>
      </c>
      <c r="L133" s="6">
        <v>10099</v>
      </c>
      <c r="M133" s="6">
        <v>4316</v>
      </c>
      <c r="N133" s="6">
        <v>9913</v>
      </c>
      <c r="O133" s="6">
        <v>3489</v>
      </c>
      <c r="P133" s="6">
        <v>602</v>
      </c>
      <c r="Q133" s="6">
        <v>6941</v>
      </c>
      <c r="R133" s="6">
        <v>5157</v>
      </c>
      <c r="S133" s="6">
        <v>861</v>
      </c>
      <c r="T133" s="6">
        <v>518</v>
      </c>
      <c r="U133" s="6">
        <v>13975</v>
      </c>
      <c r="V133" s="6">
        <v>1196</v>
      </c>
      <c r="W133" s="6">
        <v>4017</v>
      </c>
      <c r="X133" s="6">
        <v>6245</v>
      </c>
      <c r="Y133" s="6">
        <v>7239</v>
      </c>
      <c r="Z133" s="6">
        <v>5652</v>
      </c>
      <c r="AA133" s="6">
        <v>840</v>
      </c>
      <c r="AB133" s="6">
        <v>15133</v>
      </c>
      <c r="AC133" s="6">
        <v>1013</v>
      </c>
      <c r="AD133" s="6">
        <v>6383</v>
      </c>
      <c r="AE133" s="6">
        <v>7880</v>
      </c>
      <c r="AF133" s="6">
        <v>2057</v>
      </c>
      <c r="AG133" s="6">
        <v>1218</v>
      </c>
      <c r="AH133" s="6">
        <v>13770</v>
      </c>
      <c r="AI133" s="6">
        <v>3032</v>
      </c>
      <c r="AJ133" s="6">
        <v>891</v>
      </c>
      <c r="AK133" s="6">
        <v>3922</v>
      </c>
      <c r="AL133" s="6">
        <v>562</v>
      </c>
      <c r="AM133" s="6">
        <v>4523</v>
      </c>
      <c r="AN133" s="6">
        <v>1399</v>
      </c>
      <c r="AO133" s="6">
        <v>7338</v>
      </c>
      <c r="AP133" s="6">
        <v>9191</v>
      </c>
      <c r="AQ133" s="6">
        <v>2679</v>
      </c>
      <c r="AR133" s="6">
        <v>7061</v>
      </c>
    </row>
    <row r="134" spans="1:44">
      <c r="A134" s="4" t="s">
        <v>1218</v>
      </c>
      <c r="B134" s="1" t="s">
        <v>772</v>
      </c>
      <c r="C134" s="1" t="s">
        <v>773</v>
      </c>
      <c r="D134" s="1" t="str">
        <f>HYPERLINK("http://eros.fiehnlab.ucdavis.edu:8080/binbase-compound/bin/show/213388?db=rtx5","213388")</f>
        <v>213388</v>
      </c>
      <c r="E134" s="1" t="s">
        <v>774</v>
      </c>
      <c r="F134" s="1" t="str">
        <f>HYPERLINK("http://www.genome.ad.jp/dbget-bin/www_bget?compound+C00233","C00233")</f>
        <v>C00233</v>
      </c>
      <c r="G134" s="1" t="str">
        <f>HYPERLINK("http://pubchem.ncbi.nlm.nih.gov/summary/summary.cgi?cid=70","70")</f>
        <v>70</v>
      </c>
      <c r="H134" s="1"/>
      <c r="I134" s="6">
        <v>742</v>
      </c>
      <c r="J134" s="6">
        <v>194</v>
      </c>
      <c r="K134" s="6">
        <v>221</v>
      </c>
      <c r="L134" s="6">
        <v>2051</v>
      </c>
      <c r="M134" s="6">
        <v>302</v>
      </c>
      <c r="N134" s="6">
        <v>344</v>
      </c>
      <c r="O134" s="6">
        <v>203</v>
      </c>
      <c r="P134" s="6">
        <v>210</v>
      </c>
      <c r="Q134" s="6">
        <v>386</v>
      </c>
      <c r="R134" s="6">
        <v>877</v>
      </c>
      <c r="S134" s="6">
        <v>182</v>
      </c>
      <c r="T134" s="6">
        <v>189</v>
      </c>
      <c r="U134" s="6">
        <v>1346</v>
      </c>
      <c r="V134" s="6">
        <v>467</v>
      </c>
      <c r="W134" s="6">
        <v>1097</v>
      </c>
      <c r="X134" s="6">
        <v>299</v>
      </c>
      <c r="Y134" s="6">
        <v>781</v>
      </c>
      <c r="Z134" s="6">
        <v>724</v>
      </c>
      <c r="AA134" s="6">
        <v>216</v>
      </c>
      <c r="AB134" s="6">
        <v>1806</v>
      </c>
      <c r="AC134" s="6">
        <v>243</v>
      </c>
      <c r="AD134" s="6">
        <v>1408</v>
      </c>
      <c r="AE134" s="6">
        <v>276</v>
      </c>
      <c r="AF134" s="6">
        <v>190</v>
      </c>
      <c r="AG134" s="6">
        <v>201</v>
      </c>
      <c r="AH134" s="6">
        <v>1364</v>
      </c>
      <c r="AI134" s="6">
        <v>221</v>
      </c>
      <c r="AJ134" s="6">
        <v>251</v>
      </c>
      <c r="AK134" s="6">
        <v>268</v>
      </c>
      <c r="AL134" s="6">
        <v>227</v>
      </c>
      <c r="AM134" s="6">
        <v>701</v>
      </c>
      <c r="AN134" s="6">
        <v>748</v>
      </c>
      <c r="AO134" s="6">
        <v>1119</v>
      </c>
      <c r="AP134" s="6">
        <v>1172</v>
      </c>
      <c r="AQ134" s="6">
        <v>209</v>
      </c>
      <c r="AR134" s="6">
        <v>1066</v>
      </c>
    </row>
    <row r="135" spans="1:44">
      <c r="A135" s="4" t="s">
        <v>775</v>
      </c>
      <c r="B135" s="1" t="s">
        <v>776</v>
      </c>
      <c r="C135" s="1" t="s">
        <v>218</v>
      </c>
      <c r="D135" s="1" t="str">
        <f>HYPERLINK("http://eros.fiehnlab.ucdavis.edu:8080/binbase-compound/bin/show/214409?db=rtx5","214409")</f>
        <v>214409</v>
      </c>
      <c r="E135" s="1" t="s">
        <v>777</v>
      </c>
      <c r="F135" s="1" t="str">
        <f>HYPERLINK("http://www.genome.ad.jp/dbget-bin/www_bget?compound+C02630","C02630")</f>
        <v>C02630</v>
      </c>
      <c r="G135" s="1" t="str">
        <f>HYPERLINK("http://pubchem.ncbi.nlm.nih.gov/summary/summary.cgi?cid=43","43")</f>
        <v>43</v>
      </c>
      <c r="H135" s="1"/>
      <c r="I135" s="6">
        <v>16572</v>
      </c>
      <c r="J135" s="6">
        <v>4218</v>
      </c>
      <c r="K135" s="6">
        <v>2239</v>
      </c>
      <c r="L135" s="6">
        <v>19517</v>
      </c>
      <c r="M135" s="6">
        <v>7348</v>
      </c>
      <c r="N135" s="6">
        <v>12075</v>
      </c>
      <c r="O135" s="6">
        <v>11328</v>
      </c>
      <c r="P135" s="6">
        <v>1464</v>
      </c>
      <c r="Q135" s="6">
        <v>11957</v>
      </c>
      <c r="R135" s="6">
        <v>14253</v>
      </c>
      <c r="S135" s="6">
        <v>4953</v>
      </c>
      <c r="T135" s="6">
        <v>1506</v>
      </c>
      <c r="U135" s="6">
        <v>18605</v>
      </c>
      <c r="V135" s="6">
        <v>4945</v>
      </c>
      <c r="W135" s="6">
        <v>6171</v>
      </c>
      <c r="X135" s="6">
        <v>14544</v>
      </c>
      <c r="Y135" s="6">
        <v>10506</v>
      </c>
      <c r="Z135" s="6">
        <v>7911</v>
      </c>
      <c r="AA135" s="6">
        <v>4304</v>
      </c>
      <c r="AB135" s="6">
        <v>23037</v>
      </c>
      <c r="AC135" s="6">
        <v>3255</v>
      </c>
      <c r="AD135" s="6">
        <v>9882</v>
      </c>
      <c r="AE135" s="6">
        <v>12120</v>
      </c>
      <c r="AF135" s="6">
        <v>4580</v>
      </c>
      <c r="AG135" s="6">
        <v>4848</v>
      </c>
      <c r="AH135" s="6">
        <v>19472</v>
      </c>
      <c r="AI135" s="6">
        <v>5219</v>
      </c>
      <c r="AJ135" s="6">
        <v>3232</v>
      </c>
      <c r="AK135" s="6">
        <v>5905</v>
      </c>
      <c r="AL135" s="6">
        <v>2903</v>
      </c>
      <c r="AM135" s="6">
        <v>7946</v>
      </c>
      <c r="AN135" s="6">
        <v>6122</v>
      </c>
      <c r="AO135" s="6">
        <v>12992</v>
      </c>
      <c r="AP135" s="6">
        <v>12550</v>
      </c>
      <c r="AQ135" s="6">
        <v>4817</v>
      </c>
      <c r="AR135" s="6">
        <v>8604</v>
      </c>
    </row>
    <row r="136" spans="1:44">
      <c r="A136" s="4" t="s">
        <v>779</v>
      </c>
      <c r="B136" s="1" t="s">
        <v>780</v>
      </c>
      <c r="C136" s="1" t="s">
        <v>781</v>
      </c>
      <c r="D136" s="1" t="str">
        <f>HYPERLINK("http://eros.fiehnlab.ucdavis.edu:8080/binbase-compound/bin/show/213131?db=rtx5","213131")</f>
        <v>213131</v>
      </c>
      <c r="E136" s="1" t="s">
        <v>782</v>
      </c>
      <c r="F136" s="1" t="str">
        <f>HYPERLINK("http://www.genome.ad.jp/dbget-bin/www_bget?compound+C00956","C00956")</f>
        <v>C00956</v>
      </c>
      <c r="G136" s="1" t="str">
        <f>HYPERLINK("http://pubchem.ncbi.nlm.nih.gov/summary/summary.cgi?cid=469","469")</f>
        <v>469</v>
      </c>
      <c r="H136" s="1"/>
      <c r="I136" s="6">
        <v>887</v>
      </c>
      <c r="J136" s="6">
        <v>453</v>
      </c>
      <c r="K136" s="6">
        <v>262</v>
      </c>
      <c r="L136" s="6">
        <v>1811</v>
      </c>
      <c r="M136" s="6">
        <v>812</v>
      </c>
      <c r="N136" s="6">
        <v>713</v>
      </c>
      <c r="O136" s="6">
        <v>565</v>
      </c>
      <c r="P136" s="6">
        <v>288</v>
      </c>
      <c r="Q136" s="6">
        <v>697</v>
      </c>
      <c r="R136" s="6">
        <v>1863</v>
      </c>
      <c r="S136" s="6">
        <v>515</v>
      </c>
      <c r="T136" s="6">
        <v>311</v>
      </c>
      <c r="U136" s="6">
        <v>1636</v>
      </c>
      <c r="V136" s="6">
        <v>1049</v>
      </c>
      <c r="W136" s="6">
        <v>1998</v>
      </c>
      <c r="X136" s="6">
        <v>1568</v>
      </c>
      <c r="Y136" s="6">
        <v>1387</v>
      </c>
      <c r="Z136" s="6">
        <v>1168</v>
      </c>
      <c r="AA136" s="6">
        <v>437</v>
      </c>
      <c r="AB136" s="6">
        <v>1070</v>
      </c>
      <c r="AC136" s="6">
        <v>554</v>
      </c>
      <c r="AD136" s="6">
        <v>3360</v>
      </c>
      <c r="AE136" s="6">
        <v>4696</v>
      </c>
      <c r="AF136" s="6">
        <v>487</v>
      </c>
      <c r="AG136" s="6">
        <v>1217</v>
      </c>
      <c r="AH136" s="6">
        <v>1228</v>
      </c>
      <c r="AI136" s="6">
        <v>840</v>
      </c>
      <c r="AJ136" s="6">
        <v>716</v>
      </c>
      <c r="AK136" s="6">
        <v>2824</v>
      </c>
      <c r="AL136" s="6">
        <v>407</v>
      </c>
      <c r="AM136" s="6">
        <v>606</v>
      </c>
      <c r="AN136" s="6">
        <v>472</v>
      </c>
      <c r="AO136" s="6">
        <v>3324</v>
      </c>
      <c r="AP136" s="6">
        <v>1366</v>
      </c>
      <c r="AQ136" s="6">
        <v>1116</v>
      </c>
      <c r="AR136" s="6">
        <v>1512</v>
      </c>
    </row>
    <row r="137" spans="1:44">
      <c r="A137" s="4" t="s">
        <v>1184</v>
      </c>
      <c r="B137" s="1" t="s">
        <v>1185</v>
      </c>
      <c r="C137" s="1" t="s">
        <v>363</v>
      </c>
      <c r="D137" s="1" t="str">
        <f>HYPERLINK("http://eros.fiehnlab.ucdavis.edu:8080/binbase-compound/bin/show/213408?db=rtx5","213408")</f>
        <v>213408</v>
      </c>
      <c r="E137" s="1" t="s">
        <v>1186</v>
      </c>
      <c r="F137" s="1" t="str">
        <f>HYPERLINK("http://www.genome.ad.jp/dbget-bin/www_bget?compound+C00823","C00823")</f>
        <v>C00823</v>
      </c>
      <c r="G137" s="1" t="str">
        <f>HYPERLINK("http://pubchem.ncbi.nlm.nih.gov/summary/summary.cgi?cid=2682","2682")</f>
        <v>2682</v>
      </c>
      <c r="H137" s="1"/>
      <c r="I137" s="6">
        <v>435</v>
      </c>
      <c r="J137" s="6">
        <v>466</v>
      </c>
      <c r="K137" s="6">
        <v>184</v>
      </c>
      <c r="L137" s="6">
        <v>414</v>
      </c>
      <c r="M137" s="6">
        <v>426</v>
      </c>
      <c r="N137" s="6">
        <v>546</v>
      </c>
      <c r="O137" s="6">
        <v>508</v>
      </c>
      <c r="P137" s="6">
        <v>250</v>
      </c>
      <c r="Q137" s="6">
        <v>306</v>
      </c>
      <c r="R137" s="6">
        <v>475</v>
      </c>
      <c r="S137" s="6">
        <v>308</v>
      </c>
      <c r="T137" s="6">
        <v>356</v>
      </c>
      <c r="U137" s="6">
        <v>227</v>
      </c>
      <c r="V137" s="6">
        <v>259</v>
      </c>
      <c r="W137" s="6">
        <v>368</v>
      </c>
      <c r="X137" s="6">
        <v>566</v>
      </c>
      <c r="Y137" s="6">
        <v>505</v>
      </c>
      <c r="Z137" s="6">
        <v>448</v>
      </c>
      <c r="AA137" s="6">
        <v>353</v>
      </c>
      <c r="AB137" s="6">
        <v>397</v>
      </c>
      <c r="AC137" s="6">
        <v>423</v>
      </c>
      <c r="AD137" s="6">
        <v>544</v>
      </c>
      <c r="AE137" s="6">
        <v>742</v>
      </c>
      <c r="AF137" s="6">
        <v>404</v>
      </c>
      <c r="AG137" s="6">
        <v>358</v>
      </c>
      <c r="AH137" s="6">
        <v>438</v>
      </c>
      <c r="AI137" s="6">
        <v>324</v>
      </c>
      <c r="AJ137" s="6">
        <v>364</v>
      </c>
      <c r="AK137" s="6">
        <v>354</v>
      </c>
      <c r="AL137" s="6">
        <v>245</v>
      </c>
      <c r="AM137" s="6">
        <v>391</v>
      </c>
      <c r="AN137" s="6">
        <v>344</v>
      </c>
      <c r="AO137" s="6">
        <v>205</v>
      </c>
      <c r="AP137" s="6">
        <v>625</v>
      </c>
      <c r="AQ137" s="6">
        <v>363</v>
      </c>
      <c r="AR137" s="6">
        <v>442</v>
      </c>
    </row>
    <row r="138" spans="1:44">
      <c r="A138" s="4" t="s">
        <v>1077</v>
      </c>
      <c r="B138" s="1" t="s">
        <v>1078</v>
      </c>
      <c r="C138" s="1" t="s">
        <v>125</v>
      </c>
      <c r="D138" s="1" t="str">
        <f>HYPERLINK("http://eros.fiehnlab.ucdavis.edu:8080/binbase-compound/bin/show/214201?db=rtx5","214201")</f>
        <v>214201</v>
      </c>
      <c r="E138" s="1" t="s">
        <v>1079</v>
      </c>
      <c r="F138" s="1" t="str">
        <f>HYPERLINK("http://www.genome.ad.jp/dbget-bin/www_bget?compound+C01796","C01796")</f>
        <v>C01796</v>
      </c>
      <c r="G138" s="1" t="str">
        <f>HYPERLINK("http://pubchem.ncbi.nlm.nih.gov/summary/summary.cgi?cid=94176","94176")</f>
        <v>94176</v>
      </c>
      <c r="H138" s="1"/>
      <c r="I138" s="6">
        <v>450</v>
      </c>
      <c r="J138" s="6">
        <v>279</v>
      </c>
      <c r="K138" s="6">
        <v>238</v>
      </c>
      <c r="L138" s="6">
        <v>260</v>
      </c>
      <c r="M138" s="6">
        <v>420</v>
      </c>
      <c r="N138" s="6">
        <v>645</v>
      </c>
      <c r="O138" s="6">
        <v>717</v>
      </c>
      <c r="P138" s="6">
        <v>329</v>
      </c>
      <c r="Q138" s="6">
        <v>362</v>
      </c>
      <c r="R138" s="6">
        <v>99</v>
      </c>
      <c r="S138" s="6">
        <v>394</v>
      </c>
      <c r="T138" s="6">
        <v>304</v>
      </c>
      <c r="U138" s="6">
        <v>1274</v>
      </c>
      <c r="V138" s="6">
        <v>125</v>
      </c>
      <c r="W138" s="6">
        <v>257</v>
      </c>
      <c r="X138" s="6">
        <v>220</v>
      </c>
      <c r="Y138" s="6">
        <v>444</v>
      </c>
      <c r="Z138" s="6">
        <v>551</v>
      </c>
      <c r="AA138" s="6">
        <v>364</v>
      </c>
      <c r="AB138" s="6">
        <v>1062</v>
      </c>
      <c r="AC138" s="6">
        <v>293</v>
      </c>
      <c r="AD138" s="6">
        <v>674</v>
      </c>
      <c r="AE138" s="6">
        <v>494</v>
      </c>
      <c r="AF138" s="6">
        <v>99</v>
      </c>
      <c r="AG138" s="6">
        <v>343</v>
      </c>
      <c r="AH138" s="6">
        <v>1143</v>
      </c>
      <c r="AI138" s="6">
        <v>257</v>
      </c>
      <c r="AJ138" s="6">
        <v>168</v>
      </c>
      <c r="AK138" s="6">
        <v>288</v>
      </c>
      <c r="AL138" s="6">
        <v>153</v>
      </c>
      <c r="AM138" s="6">
        <v>547</v>
      </c>
      <c r="AN138" s="6">
        <v>114</v>
      </c>
      <c r="AO138" s="6">
        <v>1083</v>
      </c>
      <c r="AP138" s="6">
        <v>678</v>
      </c>
      <c r="AQ138" s="6">
        <v>151</v>
      </c>
      <c r="AR138" s="6">
        <v>1213</v>
      </c>
    </row>
    <row r="139" spans="1:44">
      <c r="A139" s="4" t="s">
        <v>805</v>
      </c>
      <c r="B139" s="1" t="s">
        <v>806</v>
      </c>
      <c r="C139" s="1" t="s">
        <v>807</v>
      </c>
      <c r="D139" s="1" t="str">
        <f>HYPERLINK("http://eros.fiehnlab.ucdavis.edu:8080/binbase-compound/bin/show/272849?db=rtx5","272849")</f>
        <v>272849</v>
      </c>
      <c r="E139" s="1" t="s">
        <v>808</v>
      </c>
      <c r="F139" s="1" t="s">
        <v>0</v>
      </c>
      <c r="G139" s="1" t="s">
        <v>0</v>
      </c>
      <c r="H139" s="1"/>
      <c r="I139" s="6">
        <v>65504</v>
      </c>
      <c r="J139" s="6">
        <v>64969</v>
      </c>
      <c r="K139" s="6">
        <v>65498</v>
      </c>
      <c r="L139" s="6">
        <v>54486</v>
      </c>
      <c r="M139" s="6">
        <v>61995</v>
      </c>
      <c r="N139" s="6">
        <v>62563</v>
      </c>
      <c r="O139" s="6">
        <v>67348</v>
      </c>
      <c r="P139" s="6">
        <v>58800</v>
      </c>
      <c r="Q139" s="6">
        <v>66735</v>
      </c>
      <c r="R139" s="6">
        <v>61182</v>
      </c>
      <c r="S139" s="6">
        <v>63073</v>
      </c>
      <c r="T139" s="6">
        <v>60438</v>
      </c>
      <c r="U139" s="6">
        <v>60668</v>
      </c>
      <c r="V139" s="6">
        <v>55830</v>
      </c>
      <c r="W139" s="6">
        <v>56525</v>
      </c>
      <c r="X139" s="6">
        <v>60518</v>
      </c>
      <c r="Y139" s="6">
        <v>58969</v>
      </c>
      <c r="Z139" s="6">
        <v>61278</v>
      </c>
      <c r="AA139" s="6">
        <v>57134</v>
      </c>
      <c r="AB139" s="6">
        <v>53559</v>
      </c>
      <c r="AC139" s="6">
        <v>63077</v>
      </c>
      <c r="AD139" s="6">
        <v>60585</v>
      </c>
      <c r="AE139" s="6">
        <v>53348</v>
      </c>
      <c r="AF139" s="6">
        <v>65531</v>
      </c>
      <c r="AG139" s="6">
        <v>64270</v>
      </c>
      <c r="AH139" s="6">
        <v>65128</v>
      </c>
      <c r="AI139" s="6">
        <v>65613</v>
      </c>
      <c r="AJ139" s="6">
        <v>50728</v>
      </c>
      <c r="AK139" s="6">
        <v>53196</v>
      </c>
      <c r="AL139" s="6">
        <v>59459</v>
      </c>
      <c r="AM139" s="6">
        <v>58980</v>
      </c>
      <c r="AN139" s="6">
        <v>59160</v>
      </c>
      <c r="AO139" s="6">
        <v>59051</v>
      </c>
      <c r="AP139" s="6">
        <v>61835</v>
      </c>
      <c r="AQ139" s="6">
        <v>57793</v>
      </c>
      <c r="AR139" s="6">
        <v>45687</v>
      </c>
    </row>
    <row r="140" spans="1:44">
      <c r="A140" s="4" t="s">
        <v>809</v>
      </c>
      <c r="B140" s="1" t="s">
        <v>810</v>
      </c>
      <c r="C140" s="1" t="s">
        <v>445</v>
      </c>
      <c r="D140" s="1" t="str">
        <f>HYPERLINK("http://eros.fiehnlab.ucdavis.edu:8080/binbase-compound/bin/show/270066?db=rtx5","270066")</f>
        <v>270066</v>
      </c>
      <c r="E140" s="1" t="s">
        <v>811</v>
      </c>
      <c r="F140" s="1" t="s">
        <v>0</v>
      </c>
      <c r="G140" s="1" t="s">
        <v>0</v>
      </c>
      <c r="H140" s="1"/>
      <c r="I140" s="6">
        <v>37800</v>
      </c>
      <c r="J140" s="6">
        <v>39834</v>
      </c>
      <c r="K140" s="6">
        <v>36057</v>
      </c>
      <c r="L140" s="6">
        <v>32274</v>
      </c>
      <c r="M140" s="6">
        <v>32954</v>
      </c>
      <c r="N140" s="6">
        <v>33882</v>
      </c>
      <c r="O140" s="6">
        <v>36607</v>
      </c>
      <c r="P140" s="6">
        <v>32254</v>
      </c>
      <c r="Q140" s="6">
        <v>33863</v>
      </c>
      <c r="R140" s="6">
        <v>32692</v>
      </c>
      <c r="S140" s="6">
        <v>35074</v>
      </c>
      <c r="T140" s="6">
        <v>30050</v>
      </c>
      <c r="U140" s="6">
        <v>31376</v>
      </c>
      <c r="V140" s="6">
        <v>24770</v>
      </c>
      <c r="W140" s="6">
        <v>28190</v>
      </c>
      <c r="X140" s="6">
        <v>29898</v>
      </c>
      <c r="Y140" s="6">
        <v>33480</v>
      </c>
      <c r="Z140" s="6">
        <v>32857</v>
      </c>
      <c r="AA140" s="6">
        <v>29064</v>
      </c>
      <c r="AB140" s="6">
        <v>33583</v>
      </c>
      <c r="AC140" s="6">
        <v>36790</v>
      </c>
      <c r="AD140" s="6">
        <v>33404</v>
      </c>
      <c r="AE140" s="6">
        <v>31096</v>
      </c>
      <c r="AF140" s="6">
        <v>34516</v>
      </c>
      <c r="AG140" s="6">
        <v>33504</v>
      </c>
      <c r="AH140" s="6">
        <v>39377</v>
      </c>
      <c r="AI140" s="6">
        <v>36137</v>
      </c>
      <c r="AJ140" s="6">
        <v>27611</v>
      </c>
      <c r="AK140" s="6">
        <v>29148</v>
      </c>
      <c r="AL140" s="6">
        <v>34956</v>
      </c>
      <c r="AM140" s="6">
        <v>32639</v>
      </c>
      <c r="AN140" s="6">
        <v>33685</v>
      </c>
      <c r="AO140" s="6">
        <v>34972</v>
      </c>
      <c r="AP140" s="6">
        <v>34737</v>
      </c>
      <c r="AQ140" s="6">
        <v>32589</v>
      </c>
      <c r="AR140" s="6">
        <v>33912</v>
      </c>
    </row>
    <row r="141" spans="1:44">
      <c r="A141" s="4" t="s">
        <v>812</v>
      </c>
      <c r="B141" s="1" t="s">
        <v>813</v>
      </c>
      <c r="C141" s="1" t="s">
        <v>165</v>
      </c>
      <c r="D141" s="1" t="str">
        <f>HYPERLINK("http://eros.fiehnlab.ucdavis.edu:8080/binbase-compound/bin/show/269294?db=rtx5","269294")</f>
        <v>269294</v>
      </c>
      <c r="E141" s="1" t="s">
        <v>814</v>
      </c>
      <c r="F141" s="1" t="s">
        <v>0</v>
      </c>
      <c r="G141" s="1" t="s">
        <v>0</v>
      </c>
      <c r="H141" s="1"/>
      <c r="I141" s="6">
        <v>17567</v>
      </c>
      <c r="J141" s="6">
        <v>1655</v>
      </c>
      <c r="K141" s="6">
        <v>1101</v>
      </c>
      <c r="L141" s="6">
        <v>23405</v>
      </c>
      <c r="M141" s="6">
        <v>9396</v>
      </c>
      <c r="N141" s="6">
        <v>22482</v>
      </c>
      <c r="O141" s="6">
        <v>7214</v>
      </c>
      <c r="P141" s="6">
        <v>1681</v>
      </c>
      <c r="Q141" s="6">
        <v>13493</v>
      </c>
      <c r="R141" s="6">
        <v>8516</v>
      </c>
      <c r="S141" s="6">
        <v>2007</v>
      </c>
      <c r="T141" s="6">
        <v>1032</v>
      </c>
      <c r="U141" s="6">
        <v>32389</v>
      </c>
      <c r="V141" s="6">
        <v>3033</v>
      </c>
      <c r="W141" s="6">
        <v>8623</v>
      </c>
      <c r="X141" s="6">
        <v>14694</v>
      </c>
      <c r="Y141" s="6">
        <v>16322</v>
      </c>
      <c r="Z141" s="6">
        <v>12293</v>
      </c>
      <c r="AA141" s="6">
        <v>2059</v>
      </c>
      <c r="AB141" s="6">
        <v>31540</v>
      </c>
      <c r="AC141" s="6">
        <v>1761</v>
      </c>
      <c r="AD141" s="6">
        <v>11799</v>
      </c>
      <c r="AE141" s="6">
        <v>18216</v>
      </c>
      <c r="AF141" s="6">
        <v>4029</v>
      </c>
      <c r="AG141" s="6">
        <v>3254</v>
      </c>
      <c r="AH141" s="6">
        <v>29559</v>
      </c>
      <c r="AI141" s="6">
        <v>6335</v>
      </c>
      <c r="AJ141" s="6">
        <v>2451</v>
      </c>
      <c r="AK141" s="6">
        <v>9523</v>
      </c>
      <c r="AL141" s="6">
        <v>1482</v>
      </c>
      <c r="AM141" s="6">
        <v>10566</v>
      </c>
      <c r="AN141" s="6">
        <v>3569</v>
      </c>
      <c r="AO141" s="6">
        <v>15544</v>
      </c>
      <c r="AP141" s="6">
        <v>19834</v>
      </c>
      <c r="AQ141" s="6">
        <v>6776</v>
      </c>
      <c r="AR141" s="6">
        <v>14834</v>
      </c>
    </row>
    <row r="142" spans="1:44">
      <c r="A142" s="4" t="s">
        <v>829</v>
      </c>
      <c r="B142" s="1" t="s">
        <v>830</v>
      </c>
      <c r="C142" s="1" t="s">
        <v>831</v>
      </c>
      <c r="D142" s="1" t="str">
        <f>HYPERLINK("http://eros.fiehnlab.ucdavis.edu:8080/binbase-compound/bin/show/268313?db=rtx5","268313")</f>
        <v>268313</v>
      </c>
      <c r="E142" s="1" t="s">
        <v>832</v>
      </c>
      <c r="F142" s="1" t="s">
        <v>0</v>
      </c>
      <c r="G142" s="1" t="s">
        <v>0</v>
      </c>
      <c r="H142" s="1"/>
      <c r="I142" s="6">
        <v>7662</v>
      </c>
      <c r="J142" s="6">
        <v>7275</v>
      </c>
      <c r="K142" s="6">
        <v>7104</v>
      </c>
      <c r="L142" s="6">
        <v>6098</v>
      </c>
      <c r="M142" s="6">
        <v>6410</v>
      </c>
      <c r="N142" s="6">
        <v>6824</v>
      </c>
      <c r="O142" s="6">
        <v>7422</v>
      </c>
      <c r="P142" s="6">
        <v>5397</v>
      </c>
      <c r="Q142" s="6">
        <v>7117</v>
      </c>
      <c r="R142" s="6">
        <v>6647</v>
      </c>
      <c r="S142" s="6">
        <v>6795</v>
      </c>
      <c r="T142" s="6">
        <v>5943</v>
      </c>
      <c r="U142" s="6">
        <v>6160</v>
      </c>
      <c r="V142" s="6">
        <v>4865</v>
      </c>
      <c r="W142" s="6">
        <v>5748</v>
      </c>
      <c r="X142" s="6">
        <v>6223</v>
      </c>
      <c r="Y142" s="6">
        <v>6007</v>
      </c>
      <c r="Z142" s="6">
        <v>6373</v>
      </c>
      <c r="AA142" s="6">
        <v>5351</v>
      </c>
      <c r="AB142" s="6">
        <v>6747</v>
      </c>
      <c r="AC142" s="6">
        <v>6958</v>
      </c>
      <c r="AD142" s="6">
        <v>6780</v>
      </c>
      <c r="AE142" s="6">
        <v>5562</v>
      </c>
      <c r="AF142" s="6">
        <v>6974</v>
      </c>
      <c r="AG142" s="6">
        <v>6643</v>
      </c>
      <c r="AH142" s="6">
        <v>7384</v>
      </c>
      <c r="AI142" s="6">
        <v>6488</v>
      </c>
      <c r="AJ142" s="6">
        <v>4791</v>
      </c>
      <c r="AK142" s="6">
        <v>5154</v>
      </c>
      <c r="AL142" s="6">
        <v>6214</v>
      </c>
      <c r="AM142" s="6">
        <v>5745</v>
      </c>
      <c r="AN142" s="6">
        <v>5597</v>
      </c>
      <c r="AO142" s="6">
        <v>6839</v>
      </c>
      <c r="AP142" s="6">
        <v>6698</v>
      </c>
      <c r="AQ142" s="6">
        <v>5658</v>
      </c>
      <c r="AR142" s="6">
        <v>6853</v>
      </c>
    </row>
    <row r="143" spans="1:44">
      <c r="A143" s="4" t="s">
        <v>890</v>
      </c>
      <c r="B143" s="1" t="s">
        <v>891</v>
      </c>
      <c r="C143" s="1" t="s">
        <v>114</v>
      </c>
      <c r="D143" s="1" t="str">
        <f>HYPERLINK("http://eros.fiehnlab.ucdavis.edu:8080/binbase-compound/bin/show/241049?db=rtx5","241049")</f>
        <v>241049</v>
      </c>
      <c r="E143" s="1" t="s">
        <v>892</v>
      </c>
      <c r="F143" s="1" t="s">
        <v>0</v>
      </c>
      <c r="G143" s="1" t="s">
        <v>0</v>
      </c>
      <c r="H143" s="1"/>
      <c r="I143" s="6">
        <v>41684</v>
      </c>
      <c r="J143" s="6">
        <v>3366</v>
      </c>
      <c r="K143" s="6">
        <v>2189</v>
      </c>
      <c r="L143" s="6">
        <v>54604</v>
      </c>
      <c r="M143" s="6">
        <v>24517</v>
      </c>
      <c r="N143" s="6">
        <v>55212</v>
      </c>
      <c r="O143" s="6">
        <v>14242</v>
      </c>
      <c r="P143" s="6">
        <v>3435</v>
      </c>
      <c r="Q143" s="6">
        <v>34238</v>
      </c>
      <c r="R143" s="6">
        <v>23246</v>
      </c>
      <c r="S143" s="6">
        <v>4253</v>
      </c>
      <c r="T143" s="6">
        <v>2639</v>
      </c>
      <c r="U143" s="6">
        <v>84607</v>
      </c>
      <c r="V143" s="6">
        <v>6832</v>
      </c>
      <c r="W143" s="6">
        <v>20887</v>
      </c>
      <c r="X143" s="6">
        <v>34058</v>
      </c>
      <c r="Y143" s="6">
        <v>45980</v>
      </c>
      <c r="Z143" s="6">
        <v>29591</v>
      </c>
      <c r="AA143" s="6">
        <v>4017</v>
      </c>
      <c r="AB143" s="6">
        <v>72698</v>
      </c>
      <c r="AC143" s="6">
        <v>3842</v>
      </c>
      <c r="AD143" s="6">
        <v>30990</v>
      </c>
      <c r="AE143" s="6">
        <v>44025</v>
      </c>
      <c r="AF143" s="6">
        <v>9126</v>
      </c>
      <c r="AG143" s="6">
        <v>6137</v>
      </c>
      <c r="AH143" s="6">
        <v>76658</v>
      </c>
      <c r="AI143" s="6">
        <v>15342</v>
      </c>
      <c r="AJ143" s="6">
        <v>5818</v>
      </c>
      <c r="AK143" s="6">
        <v>21674</v>
      </c>
      <c r="AL143" s="6">
        <v>3418</v>
      </c>
      <c r="AM143" s="6">
        <v>26756</v>
      </c>
      <c r="AN143" s="6">
        <v>7258</v>
      </c>
      <c r="AO143" s="6">
        <v>39574</v>
      </c>
      <c r="AP143" s="6">
        <v>48909</v>
      </c>
      <c r="AQ143" s="6">
        <v>16498</v>
      </c>
      <c r="AR143" s="6">
        <v>38268</v>
      </c>
    </row>
    <row r="144" spans="1:44">
      <c r="A144" s="4" t="s">
        <v>997</v>
      </c>
      <c r="B144" s="1" t="s">
        <v>998</v>
      </c>
      <c r="C144" s="1" t="s">
        <v>185</v>
      </c>
      <c r="D144" s="1" t="str">
        <f>HYPERLINK("http://eros.fiehnlab.ucdavis.edu:8080/binbase-compound/bin/show/228311?db=rtx5","228311")</f>
        <v>228311</v>
      </c>
      <c r="E144" s="1" t="s">
        <v>999</v>
      </c>
      <c r="F144" s="1" t="s">
        <v>0</v>
      </c>
      <c r="G144" s="1" t="s">
        <v>0</v>
      </c>
      <c r="H144" s="1"/>
      <c r="I144" s="6">
        <v>46911</v>
      </c>
      <c r="J144" s="6">
        <v>2472</v>
      </c>
      <c r="K144" s="6">
        <v>2999</v>
      </c>
      <c r="L144" s="6">
        <v>56651</v>
      </c>
      <c r="M144" s="6">
        <v>37911</v>
      </c>
      <c r="N144" s="6">
        <v>60506</v>
      </c>
      <c r="O144" s="6">
        <v>15096</v>
      </c>
      <c r="P144" s="6">
        <v>4297</v>
      </c>
      <c r="Q144" s="6">
        <v>25200</v>
      </c>
      <c r="R144" s="6">
        <v>16782</v>
      </c>
      <c r="S144" s="6">
        <v>9283</v>
      </c>
      <c r="T144" s="6">
        <v>3060</v>
      </c>
      <c r="U144" s="6">
        <v>34279</v>
      </c>
      <c r="V144" s="6">
        <v>8755</v>
      </c>
      <c r="W144" s="6">
        <v>17149</v>
      </c>
      <c r="X144" s="6">
        <v>40790</v>
      </c>
      <c r="Y144" s="6">
        <v>24737</v>
      </c>
      <c r="Z144" s="6">
        <v>24069</v>
      </c>
      <c r="AA144" s="6">
        <v>5863</v>
      </c>
      <c r="AB144" s="6">
        <v>6598</v>
      </c>
      <c r="AC144" s="6">
        <v>9002</v>
      </c>
      <c r="AD144" s="6">
        <v>26425</v>
      </c>
      <c r="AE144" s="6">
        <v>26818</v>
      </c>
      <c r="AF144" s="6">
        <v>24333</v>
      </c>
      <c r="AG144" s="6">
        <v>15551</v>
      </c>
      <c r="AH144" s="6">
        <v>149967</v>
      </c>
      <c r="AI144" s="6">
        <v>23657</v>
      </c>
      <c r="AJ144" s="6">
        <v>5944</v>
      </c>
      <c r="AK144" s="6">
        <v>18267</v>
      </c>
      <c r="AL144" s="6">
        <v>10521</v>
      </c>
      <c r="AM144" s="6">
        <v>36262</v>
      </c>
      <c r="AN144" s="6">
        <v>7886</v>
      </c>
      <c r="AO144" s="6">
        <v>49845</v>
      </c>
      <c r="AP144" s="6">
        <v>28207</v>
      </c>
      <c r="AQ144" s="6">
        <v>29776</v>
      </c>
      <c r="AR144" s="6">
        <v>41870</v>
      </c>
    </row>
    <row r="145" spans="1:44">
      <c r="A145" s="4" t="s">
        <v>1019</v>
      </c>
      <c r="B145" s="1" t="s">
        <v>1020</v>
      </c>
      <c r="C145" s="1" t="s">
        <v>153</v>
      </c>
      <c r="D145" s="1" t="str">
        <f>HYPERLINK("http://eros.fiehnlab.ucdavis.edu:8080/binbase-compound/bin/show/225863?db=rtx5","225863")</f>
        <v>225863</v>
      </c>
      <c r="E145" s="1" t="s">
        <v>1021</v>
      </c>
      <c r="F145" s="1" t="s">
        <v>0</v>
      </c>
      <c r="G145" s="1" t="s">
        <v>0</v>
      </c>
      <c r="H145" s="1"/>
      <c r="I145" s="6">
        <v>8228</v>
      </c>
      <c r="J145" s="6">
        <v>4810</v>
      </c>
      <c r="K145" s="6">
        <v>5414</v>
      </c>
      <c r="L145" s="6">
        <v>16279</v>
      </c>
      <c r="M145" s="6">
        <v>9827</v>
      </c>
      <c r="N145" s="6">
        <v>13317</v>
      </c>
      <c r="O145" s="6">
        <v>5460</v>
      </c>
      <c r="P145" s="6">
        <v>3086</v>
      </c>
      <c r="Q145" s="6">
        <v>5933</v>
      </c>
      <c r="R145" s="6">
        <v>5032</v>
      </c>
      <c r="S145" s="6">
        <v>7409</v>
      </c>
      <c r="T145" s="6">
        <v>1756</v>
      </c>
      <c r="U145" s="6">
        <v>14289</v>
      </c>
      <c r="V145" s="6">
        <v>7705</v>
      </c>
      <c r="W145" s="6">
        <v>10816</v>
      </c>
      <c r="X145" s="6">
        <v>7909</v>
      </c>
      <c r="Y145" s="6">
        <v>15035</v>
      </c>
      <c r="Z145" s="6">
        <v>14525</v>
      </c>
      <c r="AA145" s="6">
        <v>3566</v>
      </c>
      <c r="AB145" s="6">
        <v>9796</v>
      </c>
      <c r="AC145" s="6">
        <v>5632</v>
      </c>
      <c r="AD145" s="6">
        <v>14414</v>
      </c>
      <c r="AE145" s="6">
        <v>8046</v>
      </c>
      <c r="AF145" s="6">
        <v>5377</v>
      </c>
      <c r="AG145" s="6">
        <v>14565</v>
      </c>
      <c r="AH145" s="6">
        <v>21198</v>
      </c>
      <c r="AI145" s="6">
        <v>4931</v>
      </c>
      <c r="AJ145" s="6">
        <v>5096</v>
      </c>
      <c r="AK145" s="6">
        <v>8049</v>
      </c>
      <c r="AL145" s="6">
        <v>7405</v>
      </c>
      <c r="AM145" s="6">
        <v>8790</v>
      </c>
      <c r="AN145" s="6">
        <v>6599</v>
      </c>
      <c r="AO145" s="6">
        <v>8672</v>
      </c>
      <c r="AP145" s="6">
        <v>13420</v>
      </c>
      <c r="AQ145" s="6">
        <v>12823</v>
      </c>
      <c r="AR145" s="6">
        <v>16576</v>
      </c>
    </row>
    <row r="146" spans="1:44">
      <c r="A146" s="4" t="s">
        <v>1119</v>
      </c>
      <c r="B146" s="1" t="s">
        <v>1120</v>
      </c>
      <c r="C146" s="1" t="s">
        <v>952</v>
      </c>
      <c r="D146" s="1" t="str">
        <f>HYPERLINK("http://eros.fiehnlab.ucdavis.edu:8080/binbase-compound/bin/show/212022?db=rtx5","212022")</f>
        <v>212022</v>
      </c>
      <c r="E146" s="1" t="s">
        <v>1121</v>
      </c>
      <c r="F146" s="1" t="s">
        <v>0</v>
      </c>
      <c r="G146" s="1" t="s">
        <v>0</v>
      </c>
      <c r="H146" s="1"/>
      <c r="I146" s="6">
        <v>36389</v>
      </c>
      <c r="J146" s="6">
        <v>7677</v>
      </c>
      <c r="K146" s="6">
        <v>5984</v>
      </c>
      <c r="L146" s="6">
        <v>34595</v>
      </c>
      <c r="M146" s="6">
        <v>6102</v>
      </c>
      <c r="N146" s="6">
        <v>11482</v>
      </c>
      <c r="O146" s="6">
        <v>12832</v>
      </c>
      <c r="P146" s="6">
        <v>4076</v>
      </c>
      <c r="Q146" s="6">
        <v>25230</v>
      </c>
      <c r="R146" s="6">
        <v>17891</v>
      </c>
      <c r="S146" s="6">
        <v>2844</v>
      </c>
      <c r="T146" s="6">
        <v>6376</v>
      </c>
      <c r="U146" s="6">
        <v>12714</v>
      </c>
      <c r="V146" s="6">
        <v>3934</v>
      </c>
      <c r="W146" s="6">
        <v>6687</v>
      </c>
      <c r="X146" s="6">
        <v>17265</v>
      </c>
      <c r="Y146" s="6">
        <v>5627</v>
      </c>
      <c r="Z146" s="6">
        <v>9969</v>
      </c>
      <c r="AA146" s="6">
        <v>7133</v>
      </c>
      <c r="AB146" s="6">
        <v>40825</v>
      </c>
      <c r="AC146" s="6">
        <v>11097</v>
      </c>
      <c r="AD146" s="6">
        <v>18187</v>
      </c>
      <c r="AE146" s="6">
        <v>26072</v>
      </c>
      <c r="AF146" s="6">
        <v>13059</v>
      </c>
      <c r="AG146" s="6">
        <v>5094</v>
      </c>
      <c r="AH146" s="6">
        <v>19195</v>
      </c>
      <c r="AI146" s="6">
        <v>10578</v>
      </c>
      <c r="AJ146" s="6">
        <v>3577</v>
      </c>
      <c r="AK146" s="6">
        <v>5098</v>
      </c>
      <c r="AL146" s="6">
        <v>967</v>
      </c>
      <c r="AM146" s="6">
        <v>9292</v>
      </c>
      <c r="AN146" s="6">
        <v>5505</v>
      </c>
      <c r="AO146" s="6">
        <v>14504</v>
      </c>
      <c r="AP146" s="6">
        <v>17807</v>
      </c>
      <c r="AQ146" s="6">
        <v>3244</v>
      </c>
      <c r="AR146" s="6">
        <v>11389</v>
      </c>
    </row>
    <row r="147" spans="1:44">
      <c r="A147" s="4" t="s">
        <v>1144</v>
      </c>
      <c r="B147" s="1" t="s">
        <v>1145</v>
      </c>
      <c r="C147" s="1" t="s">
        <v>227</v>
      </c>
      <c r="D147" s="1" t="str">
        <f>HYPERLINK("http://eros.fiehnlab.ucdavis.edu:8080/binbase-compound/bin/show/204344?db=rtx5","204344")</f>
        <v>204344</v>
      </c>
      <c r="E147" s="1" t="s">
        <v>1146</v>
      </c>
      <c r="F147" s="1" t="s">
        <v>0</v>
      </c>
      <c r="G147" s="1" t="s">
        <v>0</v>
      </c>
      <c r="H147" s="1"/>
      <c r="I147" s="6">
        <v>119879</v>
      </c>
      <c r="J147" s="6">
        <v>100836</v>
      </c>
      <c r="K147" s="6">
        <v>102092</v>
      </c>
      <c r="L147" s="6">
        <v>88780</v>
      </c>
      <c r="M147" s="6">
        <v>99259</v>
      </c>
      <c r="N147" s="6">
        <v>103873</v>
      </c>
      <c r="O147" s="6">
        <v>105835</v>
      </c>
      <c r="P147" s="6">
        <v>83298</v>
      </c>
      <c r="Q147" s="6">
        <v>104605</v>
      </c>
      <c r="R147" s="6">
        <v>103577</v>
      </c>
      <c r="S147" s="6">
        <v>96210</v>
      </c>
      <c r="T147" s="6">
        <v>80825</v>
      </c>
      <c r="U147" s="6">
        <v>97439</v>
      </c>
      <c r="V147" s="6">
        <v>68151</v>
      </c>
      <c r="W147" s="6">
        <v>85394</v>
      </c>
      <c r="X147" s="6">
        <v>86225</v>
      </c>
      <c r="Y147" s="6">
        <v>98326</v>
      </c>
      <c r="Z147" s="6">
        <v>91754</v>
      </c>
      <c r="AA147" s="6">
        <v>78539</v>
      </c>
      <c r="AB147" s="6">
        <v>109761</v>
      </c>
      <c r="AC147" s="6">
        <v>101584</v>
      </c>
      <c r="AD147" s="6">
        <v>115008</v>
      </c>
      <c r="AE147" s="6">
        <v>99226</v>
      </c>
      <c r="AF147" s="6">
        <v>100888</v>
      </c>
      <c r="AG147" s="6">
        <v>93842</v>
      </c>
      <c r="AH147" s="6">
        <v>117624</v>
      </c>
      <c r="AI147" s="6">
        <v>110378</v>
      </c>
      <c r="AJ147" s="6">
        <v>62786</v>
      </c>
      <c r="AK147" s="6">
        <v>70795</v>
      </c>
      <c r="AL147" s="6">
        <v>84399</v>
      </c>
      <c r="AM147" s="6">
        <v>90960</v>
      </c>
      <c r="AN147" s="6">
        <v>82093</v>
      </c>
      <c r="AO147" s="6">
        <v>102290</v>
      </c>
      <c r="AP147" s="6">
        <v>111532</v>
      </c>
      <c r="AQ147" s="6">
        <v>82922</v>
      </c>
      <c r="AR147" s="6">
        <v>102137</v>
      </c>
    </row>
    <row r="148" spans="1:44">
      <c r="A148" s="4" t="s">
        <v>1147</v>
      </c>
      <c r="B148" s="1" t="s">
        <v>1148</v>
      </c>
      <c r="C148" s="1" t="s">
        <v>168</v>
      </c>
      <c r="D148" s="1" t="str">
        <f>HYPERLINK("http://eros.fiehnlab.ucdavis.edu:8080/binbase-compound/bin/show/202687?db=rtx5","202687")</f>
        <v>202687</v>
      </c>
      <c r="E148" s="1" t="s">
        <v>1149</v>
      </c>
      <c r="F148" s="1" t="s">
        <v>0</v>
      </c>
      <c r="G148" s="1" t="s">
        <v>0</v>
      </c>
      <c r="H148" s="1"/>
      <c r="I148" s="6">
        <v>1254</v>
      </c>
      <c r="J148" s="6">
        <v>1070</v>
      </c>
      <c r="K148" s="6">
        <v>1645</v>
      </c>
      <c r="L148" s="6">
        <v>3625</v>
      </c>
      <c r="M148" s="6">
        <v>9465</v>
      </c>
      <c r="N148" s="6">
        <v>7330</v>
      </c>
      <c r="O148" s="6">
        <v>2909</v>
      </c>
      <c r="P148" s="6">
        <v>4169</v>
      </c>
      <c r="Q148" s="6">
        <v>2731</v>
      </c>
      <c r="R148" s="6">
        <v>2455</v>
      </c>
      <c r="S148" s="6">
        <v>1724</v>
      </c>
      <c r="T148" s="6">
        <v>6985</v>
      </c>
      <c r="U148" s="6">
        <v>16472</v>
      </c>
      <c r="V148" s="6">
        <v>2035</v>
      </c>
      <c r="W148" s="6">
        <v>2299</v>
      </c>
      <c r="X148" s="6">
        <v>5600</v>
      </c>
      <c r="Y148" s="6">
        <v>695</v>
      </c>
      <c r="Z148" s="6">
        <v>608</v>
      </c>
      <c r="AA148" s="6">
        <v>13101</v>
      </c>
      <c r="AB148" s="6">
        <v>15563</v>
      </c>
      <c r="AC148" s="6">
        <v>19916</v>
      </c>
      <c r="AD148" s="6">
        <v>536</v>
      </c>
      <c r="AE148" s="6">
        <v>17775</v>
      </c>
      <c r="AF148" s="6">
        <v>7029</v>
      </c>
      <c r="AG148" s="6">
        <v>3112</v>
      </c>
      <c r="AH148" s="6">
        <v>2357</v>
      </c>
      <c r="AI148" s="6">
        <v>13461</v>
      </c>
      <c r="AJ148" s="6">
        <v>7010</v>
      </c>
      <c r="AK148" s="6">
        <v>5904</v>
      </c>
      <c r="AL148" s="6">
        <v>6872</v>
      </c>
      <c r="AM148" s="6">
        <v>4454</v>
      </c>
      <c r="AN148" s="6">
        <v>5326</v>
      </c>
      <c r="AO148" s="6">
        <v>2583</v>
      </c>
      <c r="AP148" s="6">
        <v>4568</v>
      </c>
      <c r="AQ148" s="6">
        <v>7134</v>
      </c>
      <c r="AR148" s="6">
        <v>5753</v>
      </c>
    </row>
    <row r="149" spans="1:44">
      <c r="A149" s="4" t="s">
        <v>953</v>
      </c>
      <c r="B149" s="1" t="s">
        <v>954</v>
      </c>
      <c r="C149" s="1" t="s">
        <v>762</v>
      </c>
      <c r="D149" s="1" t="str">
        <f>HYPERLINK("http://eros.fiehnlab.ucdavis.edu:8080/binbase-compound/bin/show/235965?db=rtx5","235965")</f>
        <v>235965</v>
      </c>
      <c r="E149" s="1" t="s">
        <v>955</v>
      </c>
      <c r="F149" s="1" t="s">
        <v>0</v>
      </c>
      <c r="G149" s="1" t="s">
        <v>0</v>
      </c>
      <c r="H149" s="1"/>
      <c r="I149" s="6">
        <v>366045</v>
      </c>
      <c r="J149" s="6">
        <v>1448</v>
      </c>
      <c r="K149" s="6">
        <v>413802</v>
      </c>
      <c r="L149" s="6">
        <v>3775</v>
      </c>
      <c r="M149" s="6">
        <v>1045</v>
      </c>
      <c r="N149" s="6">
        <v>272312</v>
      </c>
      <c r="O149" s="6">
        <v>757196</v>
      </c>
      <c r="P149" s="6">
        <v>1686</v>
      </c>
      <c r="Q149" s="6">
        <v>157911</v>
      </c>
      <c r="R149" s="6">
        <v>647258</v>
      </c>
      <c r="S149" s="6">
        <v>1741</v>
      </c>
      <c r="T149" s="6">
        <v>606106</v>
      </c>
      <c r="U149" s="6">
        <v>11598</v>
      </c>
      <c r="V149" s="6">
        <v>13024</v>
      </c>
      <c r="W149" s="6">
        <v>46773</v>
      </c>
      <c r="X149" s="6">
        <v>19341</v>
      </c>
      <c r="Y149" s="6">
        <v>27599</v>
      </c>
      <c r="Z149" s="6">
        <v>8855</v>
      </c>
      <c r="AA149" s="6">
        <v>1492</v>
      </c>
      <c r="AB149" s="6">
        <v>478070</v>
      </c>
      <c r="AC149" s="6">
        <v>647472</v>
      </c>
      <c r="AD149" s="6">
        <v>55708</v>
      </c>
      <c r="AE149" s="6">
        <v>284223</v>
      </c>
      <c r="AF149" s="6">
        <v>1050082</v>
      </c>
      <c r="AG149" s="6">
        <v>66412</v>
      </c>
      <c r="AH149" s="6">
        <v>54995</v>
      </c>
      <c r="AI149" s="6">
        <v>11334</v>
      </c>
      <c r="AJ149" s="6">
        <v>10952</v>
      </c>
      <c r="AK149" s="6">
        <v>8121</v>
      </c>
      <c r="AL149" s="6">
        <v>24632</v>
      </c>
      <c r="AM149" s="6">
        <v>6150</v>
      </c>
      <c r="AN149" s="6">
        <v>7841</v>
      </c>
      <c r="AO149" s="6">
        <v>10878</v>
      </c>
      <c r="AP149" s="6">
        <v>52081</v>
      </c>
      <c r="AQ149" s="6">
        <v>35756</v>
      </c>
      <c r="AR149" s="6">
        <v>39752</v>
      </c>
    </row>
    <row r="150" spans="1:44">
      <c r="A150" s="4" t="s">
        <v>741</v>
      </c>
      <c r="B150" s="1" t="s">
        <v>742</v>
      </c>
      <c r="C150" s="1" t="s">
        <v>165</v>
      </c>
      <c r="D150" s="1" t="str">
        <f>HYPERLINK("http://eros.fiehnlab.ucdavis.edu:8080/binbase-compound/bin/show/312139?db=rtx5","312139")</f>
        <v>312139</v>
      </c>
      <c r="E150" s="1" t="s">
        <v>743</v>
      </c>
      <c r="F150" s="1" t="s">
        <v>0</v>
      </c>
      <c r="G150" s="1" t="s">
        <v>0</v>
      </c>
      <c r="H150" s="1"/>
      <c r="I150" s="6">
        <v>9513</v>
      </c>
      <c r="J150" s="6">
        <v>848</v>
      </c>
      <c r="K150" s="6">
        <v>571</v>
      </c>
      <c r="L150" s="6">
        <v>12656</v>
      </c>
      <c r="M150" s="6">
        <v>4841</v>
      </c>
      <c r="N150" s="6">
        <v>11688</v>
      </c>
      <c r="O150" s="6">
        <v>4787</v>
      </c>
      <c r="P150" s="6">
        <v>812</v>
      </c>
      <c r="Q150" s="6">
        <v>7430</v>
      </c>
      <c r="R150" s="6">
        <v>4136</v>
      </c>
      <c r="S150" s="6">
        <v>888</v>
      </c>
      <c r="T150" s="6">
        <v>605</v>
      </c>
      <c r="U150" s="6">
        <v>17149</v>
      </c>
      <c r="V150" s="6">
        <v>1826</v>
      </c>
      <c r="W150" s="6">
        <v>4936</v>
      </c>
      <c r="X150" s="6">
        <v>7902</v>
      </c>
      <c r="Y150" s="6">
        <v>8712</v>
      </c>
      <c r="Z150" s="6">
        <v>6210</v>
      </c>
      <c r="AA150" s="6">
        <v>1415</v>
      </c>
      <c r="AB150" s="6">
        <v>17168</v>
      </c>
      <c r="AC150" s="6">
        <v>899</v>
      </c>
      <c r="AD150" s="6">
        <v>6217</v>
      </c>
      <c r="AE150" s="6">
        <v>10033</v>
      </c>
      <c r="AF150" s="6">
        <v>1861</v>
      </c>
      <c r="AG150" s="6">
        <v>1884</v>
      </c>
      <c r="AH150" s="6">
        <v>16089</v>
      </c>
      <c r="AI150" s="6">
        <v>3388</v>
      </c>
      <c r="AJ150" s="6">
        <v>1463</v>
      </c>
      <c r="AK150" s="6">
        <v>5370</v>
      </c>
      <c r="AL150" s="6">
        <v>762</v>
      </c>
      <c r="AM150" s="6">
        <v>5237</v>
      </c>
      <c r="AN150" s="6">
        <v>2078</v>
      </c>
      <c r="AO150" s="6">
        <v>8242</v>
      </c>
      <c r="AP150" s="6">
        <v>10274</v>
      </c>
      <c r="AQ150" s="6">
        <v>3444</v>
      </c>
      <c r="AR150" s="6">
        <v>7683</v>
      </c>
    </row>
    <row r="151" spans="1:44">
      <c r="A151" s="4" t="s">
        <v>570</v>
      </c>
      <c r="B151" s="1" t="s">
        <v>571</v>
      </c>
      <c r="C151" s="1" t="s">
        <v>91</v>
      </c>
      <c r="D151" s="1" t="str">
        <f>HYPERLINK("http://eros.fiehnlab.ucdavis.edu:8080/binbase-compound/bin/show/408912?db=rtx5","408912")</f>
        <v>408912</v>
      </c>
      <c r="E151" s="1" t="s">
        <v>572</v>
      </c>
      <c r="F151" s="1" t="s">
        <v>0</v>
      </c>
      <c r="G151" s="1" t="s">
        <v>0</v>
      </c>
      <c r="H151" s="1"/>
      <c r="I151" s="6">
        <v>2448</v>
      </c>
      <c r="J151" s="6">
        <v>454</v>
      </c>
      <c r="K151" s="6">
        <v>158</v>
      </c>
      <c r="L151" s="6">
        <v>2133</v>
      </c>
      <c r="M151" s="6">
        <v>809</v>
      </c>
      <c r="N151" s="6">
        <v>3927</v>
      </c>
      <c r="O151" s="6">
        <v>218</v>
      </c>
      <c r="P151" s="6">
        <v>236</v>
      </c>
      <c r="Q151" s="6">
        <v>2137</v>
      </c>
      <c r="R151" s="6">
        <v>629</v>
      </c>
      <c r="S151" s="6">
        <v>344</v>
      </c>
      <c r="T151" s="6">
        <v>199</v>
      </c>
      <c r="U151" s="6">
        <v>5829</v>
      </c>
      <c r="V151" s="6">
        <v>205</v>
      </c>
      <c r="W151" s="6">
        <v>451</v>
      </c>
      <c r="X151" s="6">
        <v>1551</v>
      </c>
      <c r="Y151" s="6">
        <v>1778</v>
      </c>
      <c r="Z151" s="6">
        <v>1132</v>
      </c>
      <c r="AA151" s="6">
        <v>155</v>
      </c>
      <c r="AB151" s="6">
        <v>4913</v>
      </c>
      <c r="AC151" s="6">
        <v>154</v>
      </c>
      <c r="AD151" s="6">
        <v>1030</v>
      </c>
      <c r="AE151" s="6">
        <v>2687</v>
      </c>
      <c r="AF151" s="6">
        <v>304</v>
      </c>
      <c r="AG151" s="6">
        <v>155</v>
      </c>
      <c r="AH151" s="6">
        <v>4498</v>
      </c>
      <c r="AI151" s="6">
        <v>418</v>
      </c>
      <c r="AJ151" s="6">
        <v>206</v>
      </c>
      <c r="AK151" s="6">
        <v>583</v>
      </c>
      <c r="AL151" s="6">
        <v>170</v>
      </c>
      <c r="AM151" s="6">
        <v>1192</v>
      </c>
      <c r="AN151" s="6">
        <v>139</v>
      </c>
      <c r="AO151" s="6">
        <v>2309</v>
      </c>
      <c r="AP151" s="6">
        <v>2289</v>
      </c>
      <c r="AQ151" s="6">
        <v>257</v>
      </c>
      <c r="AR151" s="6">
        <v>1524</v>
      </c>
    </row>
    <row r="152" spans="1:44">
      <c r="A152" s="4" t="s">
        <v>582</v>
      </c>
      <c r="B152" s="1" t="s">
        <v>583</v>
      </c>
      <c r="C152" s="1" t="s">
        <v>193</v>
      </c>
      <c r="D152" s="1" t="str">
        <f>HYPERLINK("http://eros.fiehnlab.ucdavis.edu:8080/binbase-compound/bin/show/408856?db=rtx5","408856")</f>
        <v>408856</v>
      </c>
      <c r="E152" s="1" t="s">
        <v>584</v>
      </c>
      <c r="F152" s="1" t="s">
        <v>0</v>
      </c>
      <c r="G152" s="1" t="s">
        <v>0</v>
      </c>
      <c r="H152" s="1"/>
      <c r="I152" s="6">
        <v>4066</v>
      </c>
      <c r="J152" s="6">
        <v>407</v>
      </c>
      <c r="K152" s="6">
        <v>206</v>
      </c>
      <c r="L152" s="6">
        <v>5446</v>
      </c>
      <c r="M152" s="6">
        <v>2236</v>
      </c>
      <c r="N152" s="6">
        <v>5449</v>
      </c>
      <c r="O152" s="6">
        <v>933</v>
      </c>
      <c r="P152" s="6">
        <v>416</v>
      </c>
      <c r="Q152" s="6">
        <v>3455</v>
      </c>
      <c r="R152" s="6">
        <v>2047</v>
      </c>
      <c r="S152" s="6">
        <v>396</v>
      </c>
      <c r="T152" s="6">
        <v>311</v>
      </c>
      <c r="U152" s="6">
        <v>9334</v>
      </c>
      <c r="V152" s="6">
        <v>472</v>
      </c>
      <c r="W152" s="6">
        <v>2087</v>
      </c>
      <c r="X152" s="6">
        <v>3251</v>
      </c>
      <c r="Y152" s="6">
        <v>4371</v>
      </c>
      <c r="Z152" s="6">
        <v>3137</v>
      </c>
      <c r="AA152" s="6">
        <v>424</v>
      </c>
      <c r="AB152" s="6">
        <v>7220</v>
      </c>
      <c r="AC152" s="6">
        <v>305</v>
      </c>
      <c r="AD152" s="6">
        <v>3156</v>
      </c>
      <c r="AE152" s="6">
        <v>4605</v>
      </c>
      <c r="AF152" s="6">
        <v>517</v>
      </c>
      <c r="AG152" s="6">
        <v>573</v>
      </c>
      <c r="AH152" s="6">
        <v>8291</v>
      </c>
      <c r="AI152" s="6">
        <v>1402</v>
      </c>
      <c r="AJ152" s="6">
        <v>609</v>
      </c>
      <c r="AK152" s="6">
        <v>2140</v>
      </c>
      <c r="AL152" s="6">
        <v>227</v>
      </c>
      <c r="AM152" s="6">
        <v>3013</v>
      </c>
      <c r="AN152" s="6">
        <v>581</v>
      </c>
      <c r="AO152" s="6">
        <v>4185</v>
      </c>
      <c r="AP152" s="6">
        <v>5193</v>
      </c>
      <c r="AQ152" s="6">
        <v>1348</v>
      </c>
      <c r="AR152" s="6">
        <v>4152</v>
      </c>
    </row>
    <row r="153" spans="1:44">
      <c r="A153" s="4" t="s">
        <v>1044</v>
      </c>
      <c r="B153" s="1" t="s">
        <v>1045</v>
      </c>
      <c r="C153" s="1" t="s">
        <v>91</v>
      </c>
      <c r="D153" s="1" t="str">
        <f>HYPERLINK("http://eros.fiehnlab.ucdavis.edu:8080/binbase-compound/bin/show/222169?db=rtx5","222169")</f>
        <v>222169</v>
      </c>
      <c r="E153" s="1" t="s">
        <v>1046</v>
      </c>
      <c r="F153" s="1" t="s">
        <v>0</v>
      </c>
      <c r="G153" s="1" t="s">
        <v>0</v>
      </c>
      <c r="H153" s="1"/>
      <c r="I153" s="6">
        <v>1954</v>
      </c>
      <c r="J153" s="6">
        <v>43667</v>
      </c>
      <c r="K153" s="6">
        <v>287</v>
      </c>
      <c r="L153" s="6">
        <v>511</v>
      </c>
      <c r="M153" s="6">
        <v>6639</v>
      </c>
      <c r="N153" s="6">
        <v>15451</v>
      </c>
      <c r="O153" s="6">
        <v>412</v>
      </c>
      <c r="P153" s="6">
        <v>13697</v>
      </c>
      <c r="Q153" s="6">
        <v>3285</v>
      </c>
      <c r="R153" s="6">
        <v>3281</v>
      </c>
      <c r="S153" s="6">
        <v>22939</v>
      </c>
      <c r="T153" s="6">
        <v>282</v>
      </c>
      <c r="U153" s="6">
        <v>689</v>
      </c>
      <c r="V153" s="6">
        <v>247</v>
      </c>
      <c r="W153" s="6">
        <v>281</v>
      </c>
      <c r="X153" s="6">
        <v>355</v>
      </c>
      <c r="Y153" s="6">
        <v>5425</v>
      </c>
      <c r="Z153" s="6">
        <v>641</v>
      </c>
      <c r="AA153" s="6">
        <v>2670</v>
      </c>
      <c r="AB153" s="6">
        <v>2030</v>
      </c>
      <c r="AC153" s="6">
        <v>471</v>
      </c>
      <c r="AD153" s="6">
        <v>1767</v>
      </c>
      <c r="AE153" s="6">
        <v>483</v>
      </c>
      <c r="AF153" s="6">
        <v>1046</v>
      </c>
      <c r="AG153" s="6">
        <v>3680</v>
      </c>
      <c r="AH153" s="6">
        <v>1703</v>
      </c>
      <c r="AI153" s="6">
        <v>479</v>
      </c>
      <c r="AJ153" s="6">
        <v>6863</v>
      </c>
      <c r="AK153" s="6">
        <v>4955</v>
      </c>
      <c r="AL153" s="6">
        <v>323</v>
      </c>
      <c r="AM153" s="6">
        <v>309</v>
      </c>
      <c r="AN153" s="6">
        <v>433</v>
      </c>
      <c r="AO153" s="6">
        <v>792</v>
      </c>
      <c r="AP153" s="6">
        <v>651</v>
      </c>
      <c r="AQ153" s="6">
        <v>2138</v>
      </c>
      <c r="AR153" s="6">
        <v>806</v>
      </c>
    </row>
    <row r="154" spans="1:44">
      <c r="A154" s="4" t="s">
        <v>1050</v>
      </c>
      <c r="B154" s="1" t="s">
        <v>1051</v>
      </c>
      <c r="C154" s="1" t="s">
        <v>91</v>
      </c>
      <c r="D154" s="1" t="str">
        <f>HYPERLINK("http://eros.fiehnlab.ucdavis.edu:8080/binbase-compound/bin/show/219520?db=rtx5","219520")</f>
        <v>219520</v>
      </c>
      <c r="E154" s="1" t="s">
        <v>1052</v>
      </c>
      <c r="F154" s="1" t="s">
        <v>0</v>
      </c>
      <c r="G154" s="1" t="s">
        <v>0</v>
      </c>
      <c r="H154" s="1"/>
      <c r="I154" s="6">
        <v>7520</v>
      </c>
      <c r="J154" s="6">
        <v>319</v>
      </c>
      <c r="K154" s="6">
        <v>499</v>
      </c>
      <c r="L154" s="6">
        <v>5038</v>
      </c>
      <c r="M154" s="6">
        <v>2086</v>
      </c>
      <c r="N154" s="6">
        <v>9799</v>
      </c>
      <c r="O154" s="6">
        <v>1169</v>
      </c>
      <c r="P154" s="6">
        <v>634</v>
      </c>
      <c r="Q154" s="6">
        <v>7299</v>
      </c>
      <c r="R154" s="6">
        <v>2554</v>
      </c>
      <c r="S154" s="6">
        <v>711</v>
      </c>
      <c r="T154" s="6">
        <v>461</v>
      </c>
      <c r="U154" s="6">
        <v>15726</v>
      </c>
      <c r="V154" s="6">
        <v>666</v>
      </c>
      <c r="W154" s="6">
        <v>1750</v>
      </c>
      <c r="X154" s="6">
        <v>2061</v>
      </c>
      <c r="Y154" s="6">
        <v>3797</v>
      </c>
      <c r="Z154" s="6">
        <v>3737</v>
      </c>
      <c r="AA154" s="6">
        <v>768</v>
      </c>
      <c r="AB154" s="6">
        <v>14620</v>
      </c>
      <c r="AC154" s="6">
        <v>709</v>
      </c>
      <c r="AD154" s="6">
        <v>3708</v>
      </c>
      <c r="AE154" s="6">
        <v>7472</v>
      </c>
      <c r="AF154" s="6">
        <v>1239</v>
      </c>
      <c r="AG154" s="6">
        <v>661</v>
      </c>
      <c r="AH154" s="6">
        <v>13021</v>
      </c>
      <c r="AI154" s="6">
        <v>2513</v>
      </c>
      <c r="AJ154" s="6">
        <v>775</v>
      </c>
      <c r="AK154" s="6">
        <v>2881</v>
      </c>
      <c r="AL154" s="6">
        <v>438</v>
      </c>
      <c r="AM154" s="6">
        <v>3860</v>
      </c>
      <c r="AN154" s="6">
        <v>549</v>
      </c>
      <c r="AO154" s="6">
        <v>5899</v>
      </c>
      <c r="AP154" s="6">
        <v>6184</v>
      </c>
      <c r="AQ154" s="6">
        <v>1183</v>
      </c>
      <c r="AR154" s="6">
        <v>3721</v>
      </c>
    </row>
    <row r="155" spans="1:44">
      <c r="A155" s="4" t="s">
        <v>1187</v>
      </c>
      <c r="B155" s="1" t="s">
        <v>1188</v>
      </c>
      <c r="C155" s="1" t="s">
        <v>1093</v>
      </c>
      <c r="D155" s="1" t="str">
        <f>HYPERLINK("http://eros.fiehnlab.ucdavis.edu:8080/binbase-compound/bin/show/199942?db=rtx5","199942")</f>
        <v>199942</v>
      </c>
      <c r="E155" s="1" t="s">
        <v>1189</v>
      </c>
      <c r="F155" s="1" t="s">
        <v>0</v>
      </c>
      <c r="G155" s="1" t="s">
        <v>0</v>
      </c>
      <c r="H155" s="1"/>
      <c r="I155" s="6">
        <v>46702</v>
      </c>
      <c r="J155" s="6">
        <v>6107</v>
      </c>
      <c r="K155" s="6">
        <v>5106</v>
      </c>
      <c r="L155" s="6">
        <v>48505</v>
      </c>
      <c r="M155" s="6">
        <v>26499</v>
      </c>
      <c r="N155" s="6">
        <v>45135</v>
      </c>
      <c r="O155" s="6">
        <v>11759</v>
      </c>
      <c r="P155" s="6">
        <v>3888</v>
      </c>
      <c r="Q155" s="6">
        <v>24242</v>
      </c>
      <c r="R155" s="6">
        <v>36467</v>
      </c>
      <c r="S155" s="6">
        <v>4853</v>
      </c>
      <c r="T155" s="6">
        <v>4665</v>
      </c>
      <c r="U155" s="6">
        <v>72158</v>
      </c>
      <c r="V155" s="6">
        <v>9128</v>
      </c>
      <c r="W155" s="6">
        <v>21185</v>
      </c>
      <c r="X155" s="6">
        <v>14730</v>
      </c>
      <c r="Y155" s="6">
        <v>50440</v>
      </c>
      <c r="Z155" s="6">
        <v>40189</v>
      </c>
      <c r="AA155" s="6">
        <v>4401</v>
      </c>
      <c r="AB155" s="6">
        <v>131169</v>
      </c>
      <c r="AC155" s="6">
        <v>5754</v>
      </c>
      <c r="AD155" s="6">
        <v>53228</v>
      </c>
      <c r="AE155" s="6">
        <v>29662</v>
      </c>
      <c r="AF155" s="6">
        <v>7266</v>
      </c>
      <c r="AG155" s="6">
        <v>5963</v>
      </c>
      <c r="AH155" s="6">
        <v>65916</v>
      </c>
      <c r="AI155" s="6">
        <v>13877</v>
      </c>
      <c r="AJ155" s="6">
        <v>6653</v>
      </c>
      <c r="AK155" s="6">
        <v>19662</v>
      </c>
      <c r="AL155" s="6">
        <v>4251</v>
      </c>
      <c r="AM155" s="6">
        <v>35872</v>
      </c>
      <c r="AN155" s="6">
        <v>17860</v>
      </c>
      <c r="AO155" s="6">
        <v>52050</v>
      </c>
      <c r="AP155" s="6">
        <v>68791</v>
      </c>
      <c r="AQ155" s="6">
        <v>13094</v>
      </c>
      <c r="AR155" s="6">
        <v>47505</v>
      </c>
    </row>
    <row r="156" spans="1:44">
      <c r="A156" s="4" t="s">
        <v>557</v>
      </c>
      <c r="B156" s="1" t="s">
        <v>558</v>
      </c>
      <c r="C156" s="1" t="s">
        <v>165</v>
      </c>
      <c r="D156" s="1" t="str">
        <f>HYPERLINK("http://eros.fiehnlab.ucdavis.edu:8080/binbase-compound/bin/show/409131?db=rtx5","409131")</f>
        <v>409131</v>
      </c>
      <c r="E156" s="1" t="s">
        <v>559</v>
      </c>
      <c r="F156" s="1" t="s">
        <v>0</v>
      </c>
      <c r="G156" s="1" t="s">
        <v>0</v>
      </c>
      <c r="H156" s="1"/>
      <c r="I156" s="6">
        <v>3708</v>
      </c>
      <c r="J156" s="6">
        <v>274</v>
      </c>
      <c r="K156" s="6">
        <v>272</v>
      </c>
      <c r="L156" s="6">
        <v>6568</v>
      </c>
      <c r="M156" s="6">
        <v>2321</v>
      </c>
      <c r="N156" s="6">
        <v>6110</v>
      </c>
      <c r="O156" s="6">
        <v>461</v>
      </c>
      <c r="P156" s="6">
        <v>389</v>
      </c>
      <c r="Q156" s="6">
        <v>2902</v>
      </c>
      <c r="R156" s="6">
        <v>2222</v>
      </c>
      <c r="S156" s="6">
        <v>400</v>
      </c>
      <c r="T156" s="6">
        <v>494</v>
      </c>
      <c r="U156" s="6">
        <v>6952</v>
      </c>
      <c r="V156" s="6">
        <v>506</v>
      </c>
      <c r="W156" s="6">
        <v>2055</v>
      </c>
      <c r="X156" s="6">
        <v>4371</v>
      </c>
      <c r="Y156" s="6">
        <v>4039</v>
      </c>
      <c r="Z156" s="6">
        <v>2577</v>
      </c>
      <c r="AA156" s="6">
        <v>327</v>
      </c>
      <c r="AB156" s="6">
        <v>6550</v>
      </c>
      <c r="AC156" s="6">
        <v>361</v>
      </c>
      <c r="AD156" s="6">
        <v>2366</v>
      </c>
      <c r="AE156" s="6">
        <v>5270</v>
      </c>
      <c r="AF156" s="6">
        <v>564</v>
      </c>
      <c r="AG156" s="6">
        <v>537</v>
      </c>
      <c r="AH156" s="6">
        <v>7842</v>
      </c>
      <c r="AI156" s="6">
        <v>838</v>
      </c>
      <c r="AJ156" s="6">
        <v>357</v>
      </c>
      <c r="AK156" s="6">
        <v>1876</v>
      </c>
      <c r="AL156" s="6">
        <v>340</v>
      </c>
      <c r="AM156" s="6">
        <v>2968</v>
      </c>
      <c r="AN156" s="6">
        <v>304</v>
      </c>
      <c r="AO156" s="6">
        <v>3385</v>
      </c>
      <c r="AP156" s="6">
        <v>4264</v>
      </c>
      <c r="AQ156" s="6">
        <v>1382</v>
      </c>
      <c r="AR156" s="6">
        <v>3793</v>
      </c>
    </row>
    <row r="157" spans="1:44">
      <c r="A157" s="4" t="s">
        <v>551</v>
      </c>
      <c r="B157" s="1" t="s">
        <v>552</v>
      </c>
      <c r="C157" s="1" t="s">
        <v>165</v>
      </c>
      <c r="D157" s="1" t="str">
        <f>HYPERLINK("http://eros.fiehnlab.ucdavis.edu:8080/binbase-compound/bin/show/409263?db=rtx5","409263")</f>
        <v>409263</v>
      </c>
      <c r="E157" s="1" t="s">
        <v>553</v>
      </c>
      <c r="F157" s="1" t="s">
        <v>0</v>
      </c>
      <c r="G157" s="1" t="s">
        <v>0</v>
      </c>
      <c r="H157" s="1"/>
      <c r="I157" s="6">
        <v>4780</v>
      </c>
      <c r="J157" s="6">
        <v>587</v>
      </c>
      <c r="K157" s="6">
        <v>284</v>
      </c>
      <c r="L157" s="6">
        <v>4262</v>
      </c>
      <c r="M157" s="6">
        <v>2106</v>
      </c>
      <c r="N157" s="6">
        <v>7884</v>
      </c>
      <c r="O157" s="6">
        <v>1547</v>
      </c>
      <c r="P157" s="6">
        <v>579</v>
      </c>
      <c r="Q157" s="6">
        <v>3912</v>
      </c>
      <c r="R157" s="6">
        <v>2425</v>
      </c>
      <c r="S157" s="6">
        <v>700</v>
      </c>
      <c r="T157" s="6">
        <v>309</v>
      </c>
      <c r="U157" s="6">
        <v>9439</v>
      </c>
      <c r="V157" s="6">
        <v>704</v>
      </c>
      <c r="W157" s="6">
        <v>1850</v>
      </c>
      <c r="X157" s="6">
        <v>2797</v>
      </c>
      <c r="Y157" s="6">
        <v>3818</v>
      </c>
      <c r="Z157" s="6">
        <v>2786</v>
      </c>
      <c r="AA157" s="6">
        <v>644</v>
      </c>
      <c r="AB157" s="6">
        <v>6611</v>
      </c>
      <c r="AC157" s="6">
        <v>434</v>
      </c>
      <c r="AD157" s="6">
        <v>2683</v>
      </c>
      <c r="AE157" s="6">
        <v>3563</v>
      </c>
      <c r="AF157" s="6">
        <v>880</v>
      </c>
      <c r="AG157" s="6">
        <v>690</v>
      </c>
      <c r="AH157" s="6">
        <v>7246</v>
      </c>
      <c r="AI157" s="6">
        <v>1692</v>
      </c>
      <c r="AJ157" s="6">
        <v>699</v>
      </c>
      <c r="AK157" s="6">
        <v>2263</v>
      </c>
      <c r="AL157" s="6">
        <v>342</v>
      </c>
      <c r="AM157" s="6">
        <v>1869</v>
      </c>
      <c r="AN157" s="6">
        <v>848</v>
      </c>
      <c r="AO157" s="6">
        <v>3455</v>
      </c>
      <c r="AP157" s="6">
        <v>4456</v>
      </c>
      <c r="AQ157" s="6">
        <v>1482</v>
      </c>
      <c r="AR157" s="6">
        <v>3106</v>
      </c>
    </row>
    <row r="158" spans="1:44">
      <c r="A158" s="4" t="s">
        <v>573</v>
      </c>
      <c r="B158" s="1" t="s">
        <v>574</v>
      </c>
      <c r="C158" s="1" t="s">
        <v>118</v>
      </c>
      <c r="D158" s="1" t="str">
        <f>HYPERLINK("http://eros.fiehnlab.ucdavis.edu:8080/binbase-compound/bin/show/408911?db=rtx5","408911")</f>
        <v>408911</v>
      </c>
      <c r="E158" s="1" t="s">
        <v>575</v>
      </c>
      <c r="F158" s="1" t="s">
        <v>0</v>
      </c>
      <c r="G158" s="1" t="s">
        <v>0</v>
      </c>
      <c r="H158" s="1"/>
      <c r="I158" s="6">
        <v>2217</v>
      </c>
      <c r="J158" s="6">
        <v>228</v>
      </c>
      <c r="K158" s="6">
        <v>216</v>
      </c>
      <c r="L158" s="6">
        <v>2113</v>
      </c>
      <c r="M158" s="6">
        <v>1138</v>
      </c>
      <c r="N158" s="6">
        <v>3704</v>
      </c>
      <c r="O158" s="6">
        <v>641</v>
      </c>
      <c r="P158" s="6">
        <v>245</v>
      </c>
      <c r="Q158" s="6">
        <v>1789</v>
      </c>
      <c r="R158" s="6">
        <v>1109</v>
      </c>
      <c r="S158" s="6">
        <v>288</v>
      </c>
      <c r="T158" s="6">
        <v>192</v>
      </c>
      <c r="U158" s="6">
        <v>4796</v>
      </c>
      <c r="V158" s="6">
        <v>420</v>
      </c>
      <c r="W158" s="6">
        <v>725</v>
      </c>
      <c r="X158" s="6">
        <v>1132</v>
      </c>
      <c r="Y158" s="6">
        <v>2104</v>
      </c>
      <c r="Z158" s="6">
        <v>1392</v>
      </c>
      <c r="AA158" s="6">
        <v>305</v>
      </c>
      <c r="AB158" s="6">
        <v>3557</v>
      </c>
      <c r="AC158" s="6">
        <v>223</v>
      </c>
      <c r="AD158" s="6">
        <v>1247</v>
      </c>
      <c r="AE158" s="6">
        <v>1841</v>
      </c>
      <c r="AF158" s="6">
        <v>388</v>
      </c>
      <c r="AG158" s="6">
        <v>404</v>
      </c>
      <c r="AH158" s="6">
        <v>3706</v>
      </c>
      <c r="AI158" s="6">
        <v>702</v>
      </c>
      <c r="AJ158" s="6">
        <v>383</v>
      </c>
      <c r="AK158" s="6">
        <v>1027</v>
      </c>
      <c r="AL158" s="6">
        <v>187</v>
      </c>
      <c r="AM158" s="6">
        <v>870</v>
      </c>
      <c r="AN158" s="6">
        <v>328</v>
      </c>
      <c r="AO158" s="6">
        <v>1723</v>
      </c>
      <c r="AP158" s="6">
        <v>2298</v>
      </c>
      <c r="AQ158" s="6">
        <v>546</v>
      </c>
      <c r="AR158" s="6">
        <v>1755</v>
      </c>
    </row>
    <row r="159" spans="1:44">
      <c r="A159" s="4" t="s">
        <v>884</v>
      </c>
      <c r="B159" s="1" t="s">
        <v>885</v>
      </c>
      <c r="C159" s="1" t="s">
        <v>837</v>
      </c>
      <c r="D159" s="1" t="str">
        <f>HYPERLINK("http://eros.fiehnlab.ucdavis.edu:8080/binbase-compound/bin/show/241064?db=rtx5","241064")</f>
        <v>241064</v>
      </c>
      <c r="E159" s="1" t="s">
        <v>886</v>
      </c>
      <c r="F159" s="1" t="s">
        <v>0</v>
      </c>
      <c r="G159" s="1" t="s">
        <v>0</v>
      </c>
      <c r="H159" s="1"/>
      <c r="I159" s="6">
        <v>5555</v>
      </c>
      <c r="J159" s="6">
        <v>337</v>
      </c>
      <c r="K159" s="6">
        <v>441</v>
      </c>
      <c r="L159" s="6">
        <v>7394</v>
      </c>
      <c r="M159" s="6">
        <v>2907</v>
      </c>
      <c r="N159" s="6">
        <v>7100</v>
      </c>
      <c r="O159" s="6">
        <v>1638</v>
      </c>
      <c r="P159" s="6">
        <v>576</v>
      </c>
      <c r="Q159" s="6">
        <v>3800</v>
      </c>
      <c r="R159" s="6">
        <v>2919</v>
      </c>
      <c r="S159" s="6">
        <v>539</v>
      </c>
      <c r="T159" s="6">
        <v>287</v>
      </c>
      <c r="U159" s="6">
        <v>9761</v>
      </c>
      <c r="V159" s="6">
        <v>780</v>
      </c>
      <c r="W159" s="6">
        <v>2639</v>
      </c>
      <c r="X159" s="6">
        <v>4613</v>
      </c>
      <c r="Y159" s="6">
        <v>5003</v>
      </c>
      <c r="Z159" s="6">
        <v>3638</v>
      </c>
      <c r="AA159" s="6">
        <v>473</v>
      </c>
      <c r="AB159" s="6">
        <v>9360</v>
      </c>
      <c r="AC159" s="6">
        <v>677</v>
      </c>
      <c r="AD159" s="6">
        <v>3682</v>
      </c>
      <c r="AE159" s="6">
        <v>5663</v>
      </c>
      <c r="AF159" s="6">
        <v>1116</v>
      </c>
      <c r="AG159" s="6">
        <v>806</v>
      </c>
      <c r="AH159" s="6">
        <v>8966</v>
      </c>
      <c r="AI159" s="6">
        <v>1742</v>
      </c>
      <c r="AJ159" s="6">
        <v>635</v>
      </c>
      <c r="AK159" s="6">
        <v>2715</v>
      </c>
      <c r="AL159" s="6">
        <v>356</v>
      </c>
      <c r="AM159" s="6">
        <v>3329</v>
      </c>
      <c r="AN159" s="6">
        <v>887</v>
      </c>
      <c r="AO159" s="6">
        <v>4505</v>
      </c>
      <c r="AP159" s="6">
        <v>6000</v>
      </c>
      <c r="AQ159" s="6">
        <v>1930</v>
      </c>
      <c r="AR159" s="6">
        <v>4456</v>
      </c>
    </row>
    <row r="160" spans="1:44">
      <c r="A160" s="4" t="s">
        <v>699</v>
      </c>
      <c r="B160" s="1" t="s">
        <v>700</v>
      </c>
      <c r="C160" s="1" t="s">
        <v>165</v>
      </c>
      <c r="D160" s="1" t="str">
        <f>HYPERLINK("http://eros.fiehnlab.ucdavis.edu:8080/binbase-compound/bin/show/359567?db=rtx5","359567")</f>
        <v>359567</v>
      </c>
      <c r="E160" s="1" t="s">
        <v>701</v>
      </c>
      <c r="F160" s="1" t="s">
        <v>0</v>
      </c>
      <c r="G160" s="1" t="s">
        <v>0</v>
      </c>
      <c r="H160" s="1"/>
      <c r="I160" s="6">
        <v>4841</v>
      </c>
      <c r="J160" s="6">
        <v>630</v>
      </c>
      <c r="K160" s="6">
        <v>386</v>
      </c>
      <c r="L160" s="6">
        <v>5601</v>
      </c>
      <c r="M160" s="6">
        <v>2164</v>
      </c>
      <c r="N160" s="6">
        <v>8131</v>
      </c>
      <c r="O160" s="6">
        <v>2580</v>
      </c>
      <c r="P160" s="6">
        <v>601</v>
      </c>
      <c r="Q160" s="6">
        <v>3913</v>
      </c>
      <c r="R160" s="6">
        <v>2681</v>
      </c>
      <c r="S160" s="6">
        <v>505</v>
      </c>
      <c r="T160" s="6">
        <v>339</v>
      </c>
      <c r="U160" s="6">
        <v>9088</v>
      </c>
      <c r="V160" s="6">
        <v>752</v>
      </c>
      <c r="W160" s="6">
        <v>1984</v>
      </c>
      <c r="X160" s="6">
        <v>3191</v>
      </c>
      <c r="Y160" s="6">
        <v>3861</v>
      </c>
      <c r="Z160" s="6">
        <v>2702</v>
      </c>
      <c r="AA160" s="6">
        <v>495</v>
      </c>
      <c r="AB160" s="6">
        <v>7703</v>
      </c>
      <c r="AC160" s="6">
        <v>504</v>
      </c>
      <c r="AD160" s="6">
        <v>2627</v>
      </c>
      <c r="AE160" s="6">
        <v>3614</v>
      </c>
      <c r="AF160" s="6">
        <v>903</v>
      </c>
      <c r="AG160" s="6">
        <v>1000</v>
      </c>
      <c r="AH160" s="6">
        <v>7443</v>
      </c>
      <c r="AI160" s="6">
        <v>1402</v>
      </c>
      <c r="AJ160" s="6">
        <v>838</v>
      </c>
      <c r="AK160" s="6">
        <v>2359</v>
      </c>
      <c r="AL160" s="6">
        <v>413</v>
      </c>
      <c r="AM160" s="6">
        <v>2096</v>
      </c>
      <c r="AN160" s="6">
        <v>1006</v>
      </c>
      <c r="AO160" s="6">
        <v>3297</v>
      </c>
      <c r="AP160" s="6">
        <v>4288</v>
      </c>
      <c r="AQ160" s="6">
        <v>1584</v>
      </c>
      <c r="AR160" s="6">
        <v>3357</v>
      </c>
    </row>
    <row r="161" spans="1:44">
      <c r="A161" s="4" t="s">
        <v>690</v>
      </c>
      <c r="B161" s="1" t="s">
        <v>691</v>
      </c>
      <c r="C161" s="1" t="s">
        <v>165</v>
      </c>
      <c r="D161" s="1" t="str">
        <f>HYPERLINK("http://eros.fiehnlab.ucdavis.edu:8080/binbase-compound/bin/show/359713?db=rtx5","359713")</f>
        <v>359713</v>
      </c>
      <c r="E161" s="1" t="s">
        <v>692</v>
      </c>
      <c r="F161" s="1" t="s">
        <v>0</v>
      </c>
      <c r="G161" s="1" t="s">
        <v>0</v>
      </c>
      <c r="H161" s="1"/>
      <c r="I161" s="6">
        <v>25139</v>
      </c>
      <c r="J161" s="6">
        <v>3320</v>
      </c>
      <c r="K161" s="6">
        <v>2286</v>
      </c>
      <c r="L161" s="6">
        <v>32356</v>
      </c>
      <c r="M161" s="6">
        <v>15365</v>
      </c>
      <c r="N161" s="6">
        <v>30210</v>
      </c>
      <c r="O161" s="6">
        <v>12358</v>
      </c>
      <c r="P161" s="6">
        <v>2762</v>
      </c>
      <c r="Q161" s="6">
        <v>19401</v>
      </c>
      <c r="R161" s="6">
        <v>11782</v>
      </c>
      <c r="S161" s="6">
        <v>3305</v>
      </c>
      <c r="T161" s="6">
        <v>1529</v>
      </c>
      <c r="U161" s="6">
        <v>41432</v>
      </c>
      <c r="V161" s="6">
        <v>5222</v>
      </c>
      <c r="W161" s="6">
        <v>13549</v>
      </c>
      <c r="X161" s="6">
        <v>19801</v>
      </c>
      <c r="Y161" s="6">
        <v>23098</v>
      </c>
      <c r="Z161" s="6">
        <v>18817</v>
      </c>
      <c r="AA161" s="6">
        <v>4123</v>
      </c>
      <c r="AB161" s="6">
        <v>41072</v>
      </c>
      <c r="AC161" s="6">
        <v>3489</v>
      </c>
      <c r="AD161" s="6">
        <v>17678</v>
      </c>
      <c r="AE161" s="6">
        <v>22737</v>
      </c>
      <c r="AF161" s="6">
        <v>6513</v>
      </c>
      <c r="AG161" s="6">
        <v>5583</v>
      </c>
      <c r="AH161" s="6">
        <v>38619</v>
      </c>
      <c r="AI161" s="6">
        <v>9901</v>
      </c>
      <c r="AJ161" s="6">
        <v>4229</v>
      </c>
      <c r="AK161" s="6">
        <v>14460</v>
      </c>
      <c r="AL161" s="6">
        <v>2777</v>
      </c>
      <c r="AM161" s="6">
        <v>14342</v>
      </c>
      <c r="AN161" s="6">
        <v>6236</v>
      </c>
      <c r="AO161" s="6">
        <v>22645</v>
      </c>
      <c r="AP161" s="6">
        <v>28430</v>
      </c>
      <c r="AQ161" s="6">
        <v>10514</v>
      </c>
      <c r="AR161" s="6">
        <v>21612</v>
      </c>
    </row>
    <row r="162" spans="1:44">
      <c r="A162" s="4" t="s">
        <v>1181</v>
      </c>
      <c r="B162" s="1" t="s">
        <v>1182</v>
      </c>
      <c r="C162" s="1" t="s">
        <v>613</v>
      </c>
      <c r="D162" s="1" t="str">
        <f>HYPERLINK("http://eros.fiehnlab.ucdavis.edu:8080/binbase-compound/bin/show/200471?db=rtx5","200471")</f>
        <v>200471</v>
      </c>
      <c r="E162" s="1" t="s">
        <v>1183</v>
      </c>
      <c r="F162" s="1" t="s">
        <v>0</v>
      </c>
      <c r="G162" s="1" t="s">
        <v>0</v>
      </c>
      <c r="H162" s="1"/>
      <c r="I162" s="6">
        <v>964</v>
      </c>
      <c r="J162" s="6">
        <v>4827</v>
      </c>
      <c r="K162" s="6">
        <v>4451</v>
      </c>
      <c r="L162" s="6">
        <v>936</v>
      </c>
      <c r="M162" s="6">
        <v>7026</v>
      </c>
      <c r="N162" s="6">
        <v>3586</v>
      </c>
      <c r="O162" s="6">
        <v>813</v>
      </c>
      <c r="P162" s="6">
        <v>5892</v>
      </c>
      <c r="Q162" s="6">
        <v>915</v>
      </c>
      <c r="R162" s="6">
        <v>877</v>
      </c>
      <c r="S162" s="6">
        <v>3631</v>
      </c>
      <c r="T162" s="6">
        <v>2668</v>
      </c>
      <c r="U162" s="6">
        <v>899</v>
      </c>
      <c r="V162" s="6">
        <v>8390</v>
      </c>
      <c r="W162" s="6">
        <v>751</v>
      </c>
      <c r="X162" s="6">
        <v>898</v>
      </c>
      <c r="Y162" s="6">
        <v>4968</v>
      </c>
      <c r="Z162" s="6">
        <v>670</v>
      </c>
      <c r="AA162" s="6">
        <v>6296</v>
      </c>
      <c r="AB162" s="6">
        <v>1318</v>
      </c>
      <c r="AC162" s="6">
        <v>4977</v>
      </c>
      <c r="AD162" s="6">
        <v>776</v>
      </c>
      <c r="AE162" s="6">
        <v>1312</v>
      </c>
      <c r="AF162" s="6">
        <v>3389</v>
      </c>
      <c r="AG162" s="6">
        <v>4974</v>
      </c>
      <c r="AH162" s="6">
        <v>878</v>
      </c>
      <c r="AI162" s="6">
        <v>688</v>
      </c>
      <c r="AJ162" s="6">
        <v>9835</v>
      </c>
      <c r="AK162" s="6">
        <v>763</v>
      </c>
      <c r="AL162" s="6">
        <v>8223</v>
      </c>
      <c r="AM162" s="6">
        <v>1003</v>
      </c>
      <c r="AN162" s="6">
        <v>6112</v>
      </c>
      <c r="AO162" s="6">
        <v>673</v>
      </c>
      <c r="AP162" s="6">
        <v>947</v>
      </c>
      <c r="AQ162" s="6">
        <v>4819</v>
      </c>
      <c r="AR162" s="6">
        <v>698</v>
      </c>
    </row>
    <row r="163" spans="1:44">
      <c r="A163" s="4" t="s">
        <v>528</v>
      </c>
      <c r="B163" s="1" t="s">
        <v>529</v>
      </c>
      <c r="C163" s="1" t="s">
        <v>156</v>
      </c>
      <c r="D163" s="1" t="str">
        <f>HYPERLINK("http://eros.fiehnlab.ucdavis.edu:8080/binbase-compound/bin/show/409621?db=rtx5","409621")</f>
        <v>409621</v>
      </c>
      <c r="E163" s="1" t="s">
        <v>530</v>
      </c>
      <c r="F163" s="1" t="s">
        <v>0</v>
      </c>
      <c r="G163" s="1" t="s">
        <v>0</v>
      </c>
      <c r="H163" s="1"/>
      <c r="I163" s="6">
        <v>1759</v>
      </c>
      <c r="J163" s="6">
        <v>180</v>
      </c>
      <c r="K163" s="6">
        <v>184</v>
      </c>
      <c r="L163" s="6">
        <v>1300</v>
      </c>
      <c r="M163" s="6">
        <v>1708</v>
      </c>
      <c r="N163" s="6">
        <v>2909</v>
      </c>
      <c r="O163" s="6">
        <v>250</v>
      </c>
      <c r="P163" s="6">
        <v>293</v>
      </c>
      <c r="Q163" s="6">
        <v>982</v>
      </c>
      <c r="R163" s="6">
        <v>567</v>
      </c>
      <c r="S163" s="6">
        <v>224</v>
      </c>
      <c r="T163" s="6">
        <v>226</v>
      </c>
      <c r="U163" s="6">
        <v>5069</v>
      </c>
      <c r="V163" s="6">
        <v>419</v>
      </c>
      <c r="W163" s="6">
        <v>1370</v>
      </c>
      <c r="X163" s="6">
        <v>1276</v>
      </c>
      <c r="Y163" s="6">
        <v>2154</v>
      </c>
      <c r="Z163" s="6">
        <v>2163</v>
      </c>
      <c r="AA163" s="6">
        <v>224</v>
      </c>
      <c r="AB163" s="6">
        <v>2803</v>
      </c>
      <c r="AC163" s="6">
        <v>290</v>
      </c>
      <c r="AD163" s="6">
        <v>2642</v>
      </c>
      <c r="AE163" s="6">
        <v>2231</v>
      </c>
      <c r="AF163" s="6">
        <v>299</v>
      </c>
      <c r="AG163" s="6">
        <v>411</v>
      </c>
      <c r="AH163" s="6">
        <v>7724</v>
      </c>
      <c r="AI163" s="6">
        <v>519</v>
      </c>
      <c r="AJ163" s="6">
        <v>334</v>
      </c>
      <c r="AK163" s="6">
        <v>862</v>
      </c>
      <c r="AL163" s="6">
        <v>234</v>
      </c>
      <c r="AM163" s="6">
        <v>2778</v>
      </c>
      <c r="AN163" s="6">
        <v>480</v>
      </c>
      <c r="AO163" s="6">
        <v>3353</v>
      </c>
      <c r="AP163" s="6">
        <v>2665</v>
      </c>
      <c r="AQ163" s="6">
        <v>713</v>
      </c>
      <c r="AR163" s="6">
        <v>3928</v>
      </c>
    </row>
    <row r="164" spans="1:44">
      <c r="A164" s="4" t="s">
        <v>531</v>
      </c>
      <c r="B164" s="1" t="s">
        <v>532</v>
      </c>
      <c r="C164" s="1" t="s">
        <v>533</v>
      </c>
      <c r="D164" s="1" t="str">
        <f>HYPERLINK("http://eros.fiehnlab.ucdavis.edu:8080/binbase-compound/bin/show/409620?db=rtx5","409620")</f>
        <v>409620</v>
      </c>
      <c r="E164" s="1" t="s">
        <v>534</v>
      </c>
      <c r="F164" s="1" t="s">
        <v>0</v>
      </c>
      <c r="G164" s="1" t="s">
        <v>0</v>
      </c>
      <c r="H164" s="1"/>
      <c r="I164" s="6">
        <v>2338</v>
      </c>
      <c r="J164" s="6">
        <v>277</v>
      </c>
      <c r="K164" s="6">
        <v>222</v>
      </c>
      <c r="L164" s="6">
        <v>2895</v>
      </c>
      <c r="M164" s="6">
        <v>1175</v>
      </c>
      <c r="N164" s="6">
        <v>2786</v>
      </c>
      <c r="O164" s="6">
        <v>743</v>
      </c>
      <c r="P164" s="6">
        <v>289</v>
      </c>
      <c r="Q164" s="6">
        <v>1770</v>
      </c>
      <c r="R164" s="6">
        <v>1120</v>
      </c>
      <c r="S164" s="6">
        <v>290</v>
      </c>
      <c r="T164" s="6">
        <v>239</v>
      </c>
      <c r="U164" s="6">
        <v>4085</v>
      </c>
      <c r="V164" s="6">
        <v>235</v>
      </c>
      <c r="W164" s="6">
        <v>975</v>
      </c>
      <c r="X164" s="6">
        <v>1998</v>
      </c>
      <c r="Y164" s="6">
        <v>2173</v>
      </c>
      <c r="Z164" s="6">
        <v>1587</v>
      </c>
      <c r="AA164" s="6">
        <v>357</v>
      </c>
      <c r="AB164" s="6">
        <v>3748</v>
      </c>
      <c r="AC164" s="6">
        <v>369</v>
      </c>
      <c r="AD164" s="6">
        <v>1529</v>
      </c>
      <c r="AE164" s="6">
        <v>2351</v>
      </c>
      <c r="AF164" s="6">
        <v>611</v>
      </c>
      <c r="AG164" s="6">
        <v>456</v>
      </c>
      <c r="AH164" s="6">
        <v>3965</v>
      </c>
      <c r="AI164" s="6">
        <v>615</v>
      </c>
      <c r="AJ164" s="6">
        <v>438</v>
      </c>
      <c r="AK164" s="6">
        <v>1044</v>
      </c>
      <c r="AL164" s="6">
        <v>325</v>
      </c>
      <c r="AM164" s="6">
        <v>1302</v>
      </c>
      <c r="AN164" s="6">
        <v>446</v>
      </c>
      <c r="AO164" s="6">
        <v>1981</v>
      </c>
      <c r="AP164" s="6">
        <v>2340</v>
      </c>
      <c r="AQ164" s="6">
        <v>733</v>
      </c>
      <c r="AR164" s="6">
        <v>1830</v>
      </c>
    </row>
    <row r="165" spans="1:44">
      <c r="A165" s="4" t="s">
        <v>1128</v>
      </c>
      <c r="B165" s="1" t="s">
        <v>1129</v>
      </c>
      <c r="C165" s="1" t="s">
        <v>1028</v>
      </c>
      <c r="D165" s="1" t="str">
        <f>HYPERLINK("http://eros.fiehnlab.ucdavis.edu:8080/binbase-compound/bin/show/208557?db=rtx5","208557")</f>
        <v>208557</v>
      </c>
      <c r="E165" s="1" t="s">
        <v>1130</v>
      </c>
      <c r="F165" s="1" t="s">
        <v>0</v>
      </c>
      <c r="G165" s="1" t="s">
        <v>0</v>
      </c>
      <c r="H165" s="1"/>
      <c r="I165" s="6">
        <v>4582</v>
      </c>
      <c r="J165" s="6">
        <v>1006</v>
      </c>
      <c r="K165" s="6">
        <v>167</v>
      </c>
      <c r="L165" s="6">
        <v>4852</v>
      </c>
      <c r="M165" s="6">
        <v>2009</v>
      </c>
      <c r="N165" s="6">
        <v>3583</v>
      </c>
      <c r="O165" s="6">
        <v>586</v>
      </c>
      <c r="P165" s="6">
        <v>260</v>
      </c>
      <c r="Q165" s="6">
        <v>1703</v>
      </c>
      <c r="R165" s="6">
        <v>1091</v>
      </c>
      <c r="S165" s="6">
        <v>235</v>
      </c>
      <c r="T165" s="6">
        <v>203</v>
      </c>
      <c r="U165" s="6">
        <v>4138</v>
      </c>
      <c r="V165" s="6">
        <v>314</v>
      </c>
      <c r="W165" s="6">
        <v>1015</v>
      </c>
      <c r="X165" s="6">
        <v>1325</v>
      </c>
      <c r="Y165" s="6">
        <v>2035</v>
      </c>
      <c r="Z165" s="6">
        <v>2247</v>
      </c>
      <c r="AA165" s="6">
        <v>149</v>
      </c>
      <c r="AB165" s="6">
        <v>7490</v>
      </c>
      <c r="AC165" s="6">
        <v>250</v>
      </c>
      <c r="AD165" s="6">
        <v>2181</v>
      </c>
      <c r="AE165" s="6">
        <v>1893</v>
      </c>
      <c r="AF165" s="6">
        <v>490</v>
      </c>
      <c r="AG165" s="6">
        <v>765</v>
      </c>
      <c r="AH165" s="6">
        <v>6110</v>
      </c>
      <c r="AI165" s="6">
        <v>1178</v>
      </c>
      <c r="AJ165" s="6">
        <v>236</v>
      </c>
      <c r="AK165" s="6">
        <v>1571</v>
      </c>
      <c r="AL165" s="6">
        <v>174</v>
      </c>
      <c r="AM165" s="6">
        <v>1262</v>
      </c>
      <c r="AN165" s="6">
        <v>391</v>
      </c>
      <c r="AO165" s="6">
        <v>2156</v>
      </c>
      <c r="AP165" s="6">
        <v>3969</v>
      </c>
      <c r="AQ165" s="6">
        <v>1027</v>
      </c>
      <c r="AR165" s="6">
        <v>2468</v>
      </c>
    </row>
    <row r="166" spans="1:44">
      <c r="A166" s="4" t="s">
        <v>902</v>
      </c>
      <c r="B166" s="1" t="s">
        <v>903</v>
      </c>
      <c r="C166" s="1" t="s">
        <v>115</v>
      </c>
      <c r="D166" s="1" t="str">
        <f>HYPERLINK("http://eros.fiehnlab.ucdavis.edu:8080/binbase-compound/bin/show/241037?db=rtx5","241037")</f>
        <v>241037</v>
      </c>
      <c r="E166" s="1" t="s">
        <v>904</v>
      </c>
      <c r="F166" s="1" t="s">
        <v>0</v>
      </c>
      <c r="G166" s="1" t="s">
        <v>0</v>
      </c>
      <c r="H166" s="1"/>
      <c r="I166" s="6">
        <v>430</v>
      </c>
      <c r="J166" s="6">
        <v>95</v>
      </c>
      <c r="K166" s="6">
        <v>137</v>
      </c>
      <c r="L166" s="6">
        <v>2747</v>
      </c>
      <c r="M166" s="6">
        <v>952</v>
      </c>
      <c r="N166" s="6">
        <v>425</v>
      </c>
      <c r="O166" s="6">
        <v>111</v>
      </c>
      <c r="P166" s="6">
        <v>107</v>
      </c>
      <c r="Q166" s="6">
        <v>924</v>
      </c>
      <c r="R166" s="6">
        <v>524</v>
      </c>
      <c r="S166" s="6">
        <v>138</v>
      </c>
      <c r="T166" s="6">
        <v>208</v>
      </c>
      <c r="U166" s="6">
        <v>2784</v>
      </c>
      <c r="V166" s="6">
        <v>182</v>
      </c>
      <c r="W166" s="6">
        <v>1316</v>
      </c>
      <c r="X166" s="6">
        <v>1774</v>
      </c>
      <c r="Y166" s="6">
        <v>2548</v>
      </c>
      <c r="Z166" s="6">
        <v>1258</v>
      </c>
      <c r="AA166" s="6">
        <v>101</v>
      </c>
      <c r="AB166" s="6">
        <v>2792</v>
      </c>
      <c r="AC166" s="6">
        <v>263</v>
      </c>
      <c r="AD166" s="6">
        <v>1321</v>
      </c>
      <c r="AE166" s="6">
        <v>2495</v>
      </c>
      <c r="AF166" s="6">
        <v>246</v>
      </c>
      <c r="AG166" s="6">
        <v>134</v>
      </c>
      <c r="AH166" s="6">
        <v>3467</v>
      </c>
      <c r="AI166" s="6">
        <v>602</v>
      </c>
      <c r="AJ166" s="6">
        <v>175</v>
      </c>
      <c r="AK166" s="6">
        <v>1044</v>
      </c>
      <c r="AL166" s="6">
        <v>252</v>
      </c>
      <c r="AM166" s="6">
        <v>1643</v>
      </c>
      <c r="AN166" s="6">
        <v>159</v>
      </c>
      <c r="AO166" s="6">
        <v>2148</v>
      </c>
      <c r="AP166" s="6">
        <v>2611</v>
      </c>
      <c r="AQ166" s="6">
        <v>885</v>
      </c>
      <c r="AR166" s="6">
        <v>2171</v>
      </c>
    </row>
    <row r="167" spans="1:44">
      <c r="A167" s="4" t="s">
        <v>939</v>
      </c>
      <c r="B167" s="1" t="s">
        <v>940</v>
      </c>
      <c r="C167" s="1" t="s">
        <v>941</v>
      </c>
      <c r="D167" s="1" t="str">
        <f>HYPERLINK("http://eros.fiehnlab.ucdavis.edu:8080/binbase-compound/bin/show/236857?db=rtx5","236857")</f>
        <v>236857</v>
      </c>
      <c r="E167" s="1" t="s">
        <v>942</v>
      </c>
      <c r="F167" s="1" t="s">
        <v>0</v>
      </c>
      <c r="G167" s="1" t="s">
        <v>0</v>
      </c>
      <c r="H167" s="1"/>
      <c r="I167" s="6">
        <v>9018</v>
      </c>
      <c r="J167" s="6">
        <v>272</v>
      </c>
      <c r="K167" s="6">
        <v>302</v>
      </c>
      <c r="L167" s="6">
        <v>534</v>
      </c>
      <c r="M167" s="6">
        <v>1288</v>
      </c>
      <c r="N167" s="6">
        <v>4610</v>
      </c>
      <c r="O167" s="6">
        <v>2022</v>
      </c>
      <c r="P167" s="6">
        <v>481</v>
      </c>
      <c r="Q167" s="6">
        <v>3268</v>
      </c>
      <c r="R167" s="6">
        <v>308</v>
      </c>
      <c r="S167" s="6">
        <v>377</v>
      </c>
      <c r="T167" s="6">
        <v>325</v>
      </c>
      <c r="U167" s="6">
        <v>886</v>
      </c>
      <c r="V167" s="6">
        <v>508</v>
      </c>
      <c r="W167" s="6">
        <v>647</v>
      </c>
      <c r="X167" s="6">
        <v>3360</v>
      </c>
      <c r="Y167" s="6">
        <v>869</v>
      </c>
      <c r="Z167" s="6">
        <v>476</v>
      </c>
      <c r="AA167" s="6">
        <v>760</v>
      </c>
      <c r="AB167" s="6">
        <v>833</v>
      </c>
      <c r="AC167" s="6">
        <v>465</v>
      </c>
      <c r="AD167" s="6">
        <v>549</v>
      </c>
      <c r="AE167" s="6">
        <v>6018</v>
      </c>
      <c r="AF167" s="6">
        <v>1013</v>
      </c>
      <c r="AG167" s="6">
        <v>3625</v>
      </c>
      <c r="AH167" s="6">
        <v>1824</v>
      </c>
      <c r="AI167" s="6">
        <v>2887</v>
      </c>
      <c r="AJ167" s="6">
        <v>750</v>
      </c>
      <c r="AK167" s="6">
        <v>4589</v>
      </c>
      <c r="AL167" s="6">
        <v>246</v>
      </c>
      <c r="AM167" s="6">
        <v>415</v>
      </c>
      <c r="AN167" s="6">
        <v>218</v>
      </c>
      <c r="AO167" s="6">
        <v>596</v>
      </c>
      <c r="AP167" s="6">
        <v>594</v>
      </c>
      <c r="AQ167" s="6">
        <v>1479</v>
      </c>
      <c r="AR167" s="6">
        <v>571</v>
      </c>
    </row>
    <row r="168" spans="1:44">
      <c r="A168" s="4" t="s">
        <v>755</v>
      </c>
      <c r="B168" s="1" t="s">
        <v>756</v>
      </c>
      <c r="C168" s="1" t="s">
        <v>757</v>
      </c>
      <c r="D168" s="1" t="str">
        <f>HYPERLINK("http://eros.fiehnlab.ucdavis.edu:8080/binbase-compound/bin/show/308208?db=rtx5","308208")</f>
        <v>308208</v>
      </c>
      <c r="E168" s="1" t="s">
        <v>758</v>
      </c>
      <c r="F168" s="1" t="s">
        <v>0</v>
      </c>
      <c r="G168" s="1" t="s">
        <v>0</v>
      </c>
      <c r="H168" s="1"/>
      <c r="I168" s="6">
        <v>2284</v>
      </c>
      <c r="J168" s="6">
        <v>241</v>
      </c>
      <c r="K168" s="6">
        <v>224</v>
      </c>
      <c r="L168" s="6">
        <v>3090</v>
      </c>
      <c r="M168" s="6">
        <v>1236</v>
      </c>
      <c r="N168" s="6">
        <v>2872</v>
      </c>
      <c r="O168" s="6">
        <v>899</v>
      </c>
      <c r="P168" s="6">
        <v>277</v>
      </c>
      <c r="Q168" s="6">
        <v>1766</v>
      </c>
      <c r="R168" s="6">
        <v>1224</v>
      </c>
      <c r="S168" s="6">
        <v>298</v>
      </c>
      <c r="T168" s="6">
        <v>211</v>
      </c>
      <c r="U168" s="6">
        <v>4033</v>
      </c>
      <c r="V168" s="6">
        <v>357</v>
      </c>
      <c r="W168" s="6">
        <v>1009</v>
      </c>
      <c r="X168" s="6">
        <v>1837</v>
      </c>
      <c r="Y168" s="6">
        <v>2128</v>
      </c>
      <c r="Z168" s="6">
        <v>1495</v>
      </c>
      <c r="AA168" s="6">
        <v>359</v>
      </c>
      <c r="AB168" s="6">
        <v>3883</v>
      </c>
      <c r="AC168" s="6">
        <v>312</v>
      </c>
      <c r="AD168" s="6">
        <v>1483</v>
      </c>
      <c r="AE168" s="6">
        <v>2350</v>
      </c>
      <c r="AF168" s="6">
        <v>639</v>
      </c>
      <c r="AG168" s="6">
        <v>266</v>
      </c>
      <c r="AH168" s="6">
        <v>3781</v>
      </c>
      <c r="AI168" s="6">
        <v>683</v>
      </c>
      <c r="AJ168" s="6">
        <v>359</v>
      </c>
      <c r="AK168" s="6">
        <v>1142</v>
      </c>
      <c r="AL168" s="6">
        <v>259</v>
      </c>
      <c r="AM168" s="6">
        <v>1413</v>
      </c>
      <c r="AN168" s="6">
        <v>459</v>
      </c>
      <c r="AO168" s="6">
        <v>1850</v>
      </c>
      <c r="AP168" s="6">
        <v>2535</v>
      </c>
      <c r="AQ168" s="6">
        <v>747</v>
      </c>
      <c r="AR168" s="6">
        <v>1931</v>
      </c>
    </row>
    <row r="169" spans="1:44">
      <c r="A169" s="4" t="s">
        <v>535</v>
      </c>
      <c r="B169" s="1" t="s">
        <v>536</v>
      </c>
      <c r="C169" s="1" t="s">
        <v>91</v>
      </c>
      <c r="D169" s="1" t="str">
        <f>HYPERLINK("http://eros.fiehnlab.ucdavis.edu:8080/binbase-compound/bin/show/409597?db=rtx5","409597")</f>
        <v>409597</v>
      </c>
      <c r="E169" s="1" t="s">
        <v>537</v>
      </c>
      <c r="F169" s="1" t="s">
        <v>0</v>
      </c>
      <c r="G169" s="1" t="s">
        <v>0</v>
      </c>
      <c r="H169" s="1"/>
      <c r="I169" s="6">
        <v>2970</v>
      </c>
      <c r="J169" s="6">
        <v>432</v>
      </c>
      <c r="K169" s="6">
        <v>269</v>
      </c>
      <c r="L169" s="6">
        <v>3697</v>
      </c>
      <c r="M169" s="6">
        <v>2053</v>
      </c>
      <c r="N169" s="6">
        <v>3880</v>
      </c>
      <c r="O169" s="6">
        <v>1072</v>
      </c>
      <c r="P169" s="6">
        <v>355</v>
      </c>
      <c r="Q169" s="6">
        <v>3137</v>
      </c>
      <c r="R169" s="6">
        <v>2978</v>
      </c>
      <c r="S169" s="6">
        <v>464</v>
      </c>
      <c r="T169" s="6">
        <v>294</v>
      </c>
      <c r="U169" s="6">
        <v>7711</v>
      </c>
      <c r="V169" s="6">
        <v>456</v>
      </c>
      <c r="W169" s="6">
        <v>2422</v>
      </c>
      <c r="X169" s="6">
        <v>1842</v>
      </c>
      <c r="Y169" s="6">
        <v>4197</v>
      </c>
      <c r="Z169" s="6">
        <v>2931</v>
      </c>
      <c r="AA169" s="6">
        <v>415</v>
      </c>
      <c r="AB169" s="6">
        <v>7234</v>
      </c>
      <c r="AC169" s="6">
        <v>351</v>
      </c>
      <c r="AD169" s="6">
        <v>3594</v>
      </c>
      <c r="AE169" s="6">
        <v>3903</v>
      </c>
      <c r="AF169" s="6">
        <v>662</v>
      </c>
      <c r="AG169" s="6">
        <v>400</v>
      </c>
      <c r="AH169" s="6">
        <v>6269</v>
      </c>
      <c r="AI169" s="6">
        <v>1659</v>
      </c>
      <c r="AJ169" s="6">
        <v>439</v>
      </c>
      <c r="AK169" s="6">
        <v>2126</v>
      </c>
      <c r="AL169" s="6">
        <v>270</v>
      </c>
      <c r="AM169" s="6">
        <v>2620</v>
      </c>
      <c r="AN169" s="6">
        <v>757</v>
      </c>
      <c r="AO169" s="6">
        <v>3405</v>
      </c>
      <c r="AP169" s="6">
        <v>4809</v>
      </c>
      <c r="AQ169" s="6">
        <v>1024</v>
      </c>
      <c r="AR169" s="6">
        <v>3415</v>
      </c>
    </row>
    <row r="170" spans="1:44">
      <c r="A170" s="4" t="s">
        <v>858</v>
      </c>
      <c r="B170" s="1" t="s">
        <v>859</v>
      </c>
      <c r="C170" s="1" t="s">
        <v>837</v>
      </c>
      <c r="D170" s="1" t="str">
        <f>HYPERLINK("http://eros.fiehnlab.ucdavis.edu:8080/binbase-compound/bin/show/241661?db=rtx5","241661")</f>
        <v>241661</v>
      </c>
      <c r="E170" s="1" t="s">
        <v>860</v>
      </c>
      <c r="F170" s="1" t="s">
        <v>0</v>
      </c>
      <c r="G170" s="1" t="s">
        <v>0</v>
      </c>
      <c r="H170" s="1"/>
      <c r="I170" s="6">
        <v>1463</v>
      </c>
      <c r="J170" s="6">
        <v>200</v>
      </c>
      <c r="K170" s="6">
        <v>207</v>
      </c>
      <c r="L170" s="6">
        <v>1773</v>
      </c>
      <c r="M170" s="6">
        <v>657</v>
      </c>
      <c r="N170" s="6">
        <v>1719</v>
      </c>
      <c r="O170" s="6">
        <v>597</v>
      </c>
      <c r="P170" s="6">
        <v>182</v>
      </c>
      <c r="Q170" s="6">
        <v>992</v>
      </c>
      <c r="R170" s="6">
        <v>784</v>
      </c>
      <c r="S170" s="6">
        <v>223</v>
      </c>
      <c r="T170" s="6">
        <v>136</v>
      </c>
      <c r="U170" s="6">
        <v>2570</v>
      </c>
      <c r="V170" s="6">
        <v>297</v>
      </c>
      <c r="W170" s="6">
        <v>555</v>
      </c>
      <c r="X170" s="6">
        <v>1141</v>
      </c>
      <c r="Y170" s="6">
        <v>1308</v>
      </c>
      <c r="Z170" s="6">
        <v>834</v>
      </c>
      <c r="AA170" s="6">
        <v>206</v>
      </c>
      <c r="AB170" s="6">
        <v>2465</v>
      </c>
      <c r="AC170" s="6">
        <v>282</v>
      </c>
      <c r="AD170" s="6">
        <v>938</v>
      </c>
      <c r="AE170" s="6">
        <v>1312</v>
      </c>
      <c r="AF170" s="6">
        <v>282</v>
      </c>
      <c r="AG170" s="6">
        <v>301</v>
      </c>
      <c r="AH170" s="6">
        <v>2429</v>
      </c>
      <c r="AI170" s="6">
        <v>371</v>
      </c>
      <c r="AJ170" s="6">
        <v>257</v>
      </c>
      <c r="AK170" s="6">
        <v>623</v>
      </c>
      <c r="AL170" s="6">
        <v>196</v>
      </c>
      <c r="AM170" s="6">
        <v>880</v>
      </c>
      <c r="AN170" s="6">
        <v>366</v>
      </c>
      <c r="AO170" s="6">
        <v>1278</v>
      </c>
      <c r="AP170" s="6">
        <v>1672</v>
      </c>
      <c r="AQ170" s="6">
        <v>416</v>
      </c>
      <c r="AR170" s="6">
        <v>1169</v>
      </c>
    </row>
    <row r="171" spans="1:44">
      <c r="A171" s="4" t="s">
        <v>524</v>
      </c>
      <c r="B171" s="1" t="s">
        <v>525</v>
      </c>
      <c r="C171" s="1" t="s">
        <v>526</v>
      </c>
      <c r="D171" s="1" t="str">
        <f>HYPERLINK("http://eros.fiehnlab.ucdavis.edu:8080/binbase-compound/bin/show/409627?db=rtx5","409627")</f>
        <v>409627</v>
      </c>
      <c r="E171" s="1" t="s">
        <v>527</v>
      </c>
      <c r="F171" s="1" t="s">
        <v>0</v>
      </c>
      <c r="G171" s="1" t="s">
        <v>0</v>
      </c>
      <c r="H171" s="1"/>
      <c r="I171" s="6">
        <v>992</v>
      </c>
      <c r="J171" s="6">
        <v>149</v>
      </c>
      <c r="K171" s="6">
        <v>114</v>
      </c>
      <c r="L171" s="6">
        <v>304</v>
      </c>
      <c r="M171" s="6">
        <v>342</v>
      </c>
      <c r="N171" s="6">
        <v>2504</v>
      </c>
      <c r="O171" s="6">
        <v>525</v>
      </c>
      <c r="P171" s="6">
        <v>130</v>
      </c>
      <c r="Q171" s="6">
        <v>770</v>
      </c>
      <c r="R171" s="6">
        <v>418</v>
      </c>
      <c r="S171" s="6">
        <v>165</v>
      </c>
      <c r="T171" s="6">
        <v>167</v>
      </c>
      <c r="U171" s="6">
        <v>2384</v>
      </c>
      <c r="V171" s="6">
        <v>272</v>
      </c>
      <c r="W171" s="6">
        <v>293</v>
      </c>
      <c r="X171" s="6">
        <v>223</v>
      </c>
      <c r="Y171" s="6">
        <v>521</v>
      </c>
      <c r="Z171" s="6">
        <v>802</v>
      </c>
      <c r="AA171" s="6">
        <v>193</v>
      </c>
      <c r="AB171" s="6">
        <v>351</v>
      </c>
      <c r="AC171" s="6">
        <v>114</v>
      </c>
      <c r="AD171" s="6">
        <v>820</v>
      </c>
      <c r="AE171" s="6">
        <v>327</v>
      </c>
      <c r="AF171" s="6">
        <v>198</v>
      </c>
      <c r="AG171" s="6">
        <v>332</v>
      </c>
      <c r="AH171" s="6">
        <v>2722</v>
      </c>
      <c r="AI171" s="6">
        <v>376</v>
      </c>
      <c r="AJ171" s="6">
        <v>167</v>
      </c>
      <c r="AK171" s="6">
        <v>237</v>
      </c>
      <c r="AL171" s="6">
        <v>107</v>
      </c>
      <c r="AM171" s="6">
        <v>456</v>
      </c>
      <c r="AN171" s="6">
        <v>297</v>
      </c>
      <c r="AO171" s="6">
        <v>702</v>
      </c>
      <c r="AP171" s="6">
        <v>790</v>
      </c>
      <c r="AQ171" s="6">
        <v>224</v>
      </c>
      <c r="AR171" s="6">
        <v>1015</v>
      </c>
    </row>
    <row r="172" spans="1:44">
      <c r="A172" s="4" t="s">
        <v>597</v>
      </c>
      <c r="B172" s="1" t="s">
        <v>598</v>
      </c>
      <c r="C172" s="1" t="s">
        <v>599</v>
      </c>
      <c r="D172" s="1" t="str">
        <f>HYPERLINK("http://eros.fiehnlab.ucdavis.edu:8080/binbase-compound/bin/show/408831?db=rtx5","408831")</f>
        <v>408831</v>
      </c>
      <c r="E172" s="1" t="s">
        <v>600</v>
      </c>
      <c r="F172" s="1" t="s">
        <v>0</v>
      </c>
      <c r="G172" s="1" t="s">
        <v>0</v>
      </c>
      <c r="H172" s="1"/>
      <c r="I172" s="6">
        <v>21795</v>
      </c>
      <c r="J172" s="6">
        <v>543</v>
      </c>
      <c r="K172" s="6">
        <v>541</v>
      </c>
      <c r="L172" s="6">
        <v>38514</v>
      </c>
      <c r="M172" s="6">
        <v>9146</v>
      </c>
      <c r="N172" s="6">
        <v>40586</v>
      </c>
      <c r="O172" s="6">
        <v>7940</v>
      </c>
      <c r="P172" s="6">
        <v>1028</v>
      </c>
      <c r="Q172" s="6">
        <v>25172</v>
      </c>
      <c r="R172" s="6">
        <v>16003</v>
      </c>
      <c r="S172" s="6">
        <v>1142</v>
      </c>
      <c r="T172" s="6">
        <v>3266</v>
      </c>
      <c r="U172" s="6">
        <v>35993</v>
      </c>
      <c r="V172" s="6">
        <v>4159</v>
      </c>
      <c r="W172" s="6">
        <v>10641</v>
      </c>
      <c r="X172" s="6">
        <v>24483</v>
      </c>
      <c r="Y172" s="6">
        <v>25996</v>
      </c>
      <c r="Z172" s="6">
        <v>15197</v>
      </c>
      <c r="AA172" s="6">
        <v>2599</v>
      </c>
      <c r="AB172" s="6">
        <v>39283</v>
      </c>
      <c r="AC172" s="6">
        <v>3754</v>
      </c>
      <c r="AD172" s="6">
        <v>16584</v>
      </c>
      <c r="AE172" s="6">
        <v>37064</v>
      </c>
      <c r="AF172" s="6">
        <v>5236</v>
      </c>
      <c r="AG172" s="6">
        <v>2630</v>
      </c>
      <c r="AH172" s="6">
        <v>53695</v>
      </c>
      <c r="AI172" s="6">
        <v>8038</v>
      </c>
      <c r="AJ172" s="6">
        <v>2821</v>
      </c>
      <c r="AK172" s="6">
        <v>12271</v>
      </c>
      <c r="AL172" s="6">
        <v>1379</v>
      </c>
      <c r="AM172" s="6">
        <v>26778</v>
      </c>
      <c r="AN172" s="6">
        <v>3224</v>
      </c>
      <c r="AO172" s="6">
        <v>23961</v>
      </c>
      <c r="AP172" s="6">
        <v>24518</v>
      </c>
      <c r="AQ172" s="6">
        <v>7959</v>
      </c>
      <c r="AR172" s="6">
        <v>22495</v>
      </c>
    </row>
    <row r="173" spans="1:44">
      <c r="A173" s="4" t="s">
        <v>629</v>
      </c>
      <c r="B173" s="1" t="s">
        <v>630</v>
      </c>
      <c r="C173" s="1" t="s">
        <v>102</v>
      </c>
      <c r="D173" s="1" t="str">
        <f>HYPERLINK("http://eros.fiehnlab.ucdavis.edu:8080/binbase-compound/bin/show/408593?db=rtx5","408593")</f>
        <v>408593</v>
      </c>
      <c r="E173" s="1" t="s">
        <v>631</v>
      </c>
      <c r="F173" s="1" t="s">
        <v>0</v>
      </c>
      <c r="G173" s="1" t="s">
        <v>0</v>
      </c>
      <c r="H173" s="1"/>
      <c r="I173" s="6">
        <v>414</v>
      </c>
      <c r="J173" s="6">
        <v>297</v>
      </c>
      <c r="K173" s="6">
        <v>837</v>
      </c>
      <c r="L173" s="6">
        <v>2525</v>
      </c>
      <c r="M173" s="6">
        <v>1527</v>
      </c>
      <c r="N173" s="6">
        <v>1601</v>
      </c>
      <c r="O173" s="6">
        <v>372</v>
      </c>
      <c r="P173" s="6">
        <v>1357</v>
      </c>
      <c r="Q173" s="6">
        <v>4120</v>
      </c>
      <c r="R173" s="6">
        <v>1576</v>
      </c>
      <c r="S173" s="6">
        <v>3996</v>
      </c>
      <c r="T173" s="6">
        <v>3701</v>
      </c>
      <c r="U173" s="6">
        <v>1495</v>
      </c>
      <c r="V173" s="6">
        <v>4289</v>
      </c>
      <c r="W173" s="6">
        <v>3658</v>
      </c>
      <c r="X173" s="6">
        <v>1433</v>
      </c>
      <c r="Y173" s="6">
        <v>2039</v>
      </c>
      <c r="Z173" s="6">
        <v>2587</v>
      </c>
      <c r="AA173" s="6">
        <v>10160</v>
      </c>
      <c r="AB173" s="6">
        <v>389</v>
      </c>
      <c r="AC173" s="6">
        <v>777</v>
      </c>
      <c r="AD173" s="6">
        <v>892</v>
      </c>
      <c r="AE173" s="6">
        <v>460</v>
      </c>
      <c r="AF173" s="6">
        <v>1699</v>
      </c>
      <c r="AG173" s="6">
        <v>788</v>
      </c>
      <c r="AH173" s="6">
        <v>1800</v>
      </c>
      <c r="AI173" s="6">
        <v>387</v>
      </c>
      <c r="AJ173" s="6">
        <v>6778</v>
      </c>
      <c r="AK173" s="6">
        <v>1857</v>
      </c>
      <c r="AL173" s="6">
        <v>5486</v>
      </c>
      <c r="AM173" s="6">
        <v>871</v>
      </c>
      <c r="AN173" s="6">
        <v>2947</v>
      </c>
      <c r="AO173" s="6">
        <v>749</v>
      </c>
      <c r="AP173" s="6">
        <v>492</v>
      </c>
      <c r="AQ173" s="6">
        <v>6510</v>
      </c>
      <c r="AR173" s="6">
        <v>2038</v>
      </c>
    </row>
    <row r="174" spans="1:44">
      <c r="A174" s="4" t="s">
        <v>579</v>
      </c>
      <c r="B174" s="1" t="s">
        <v>580</v>
      </c>
      <c r="C174" s="1" t="s">
        <v>165</v>
      </c>
      <c r="D174" s="1" t="str">
        <f>HYPERLINK("http://eros.fiehnlab.ucdavis.edu:8080/binbase-compound/bin/show/408886?db=rtx5","408886")</f>
        <v>408886</v>
      </c>
      <c r="E174" s="1" t="s">
        <v>581</v>
      </c>
      <c r="F174" s="1" t="s">
        <v>0</v>
      </c>
      <c r="G174" s="1" t="s">
        <v>0</v>
      </c>
      <c r="H174" s="1"/>
      <c r="I174" s="6">
        <v>2952</v>
      </c>
      <c r="J174" s="6">
        <v>207</v>
      </c>
      <c r="K174" s="6">
        <v>146</v>
      </c>
      <c r="L174" s="6">
        <v>1556</v>
      </c>
      <c r="M174" s="6">
        <v>1041</v>
      </c>
      <c r="N174" s="6">
        <v>3638</v>
      </c>
      <c r="O174" s="6">
        <v>810</v>
      </c>
      <c r="P174" s="6">
        <v>192</v>
      </c>
      <c r="Q174" s="6">
        <v>1869</v>
      </c>
      <c r="R174" s="6">
        <v>571</v>
      </c>
      <c r="S174" s="6">
        <v>301</v>
      </c>
      <c r="T174" s="6">
        <v>166</v>
      </c>
      <c r="U174" s="6">
        <v>7454</v>
      </c>
      <c r="V174" s="6">
        <v>498</v>
      </c>
      <c r="W174" s="6">
        <v>1437</v>
      </c>
      <c r="X174" s="6">
        <v>1395</v>
      </c>
      <c r="Y174" s="6">
        <v>2129</v>
      </c>
      <c r="Z174" s="6">
        <v>2206</v>
      </c>
      <c r="AA174" s="6">
        <v>274</v>
      </c>
      <c r="AB174" s="6">
        <v>2481</v>
      </c>
      <c r="AC174" s="6">
        <v>241</v>
      </c>
      <c r="AD174" s="6">
        <v>2903</v>
      </c>
      <c r="AE174" s="6">
        <v>2735</v>
      </c>
      <c r="AF174" s="6">
        <v>450</v>
      </c>
      <c r="AG174" s="6">
        <v>729</v>
      </c>
      <c r="AH174" s="6">
        <v>8330</v>
      </c>
      <c r="AI174" s="6">
        <v>607</v>
      </c>
      <c r="AJ174" s="6">
        <v>398</v>
      </c>
      <c r="AK174" s="6">
        <v>1234</v>
      </c>
      <c r="AL174" s="6">
        <v>160</v>
      </c>
      <c r="AM174" s="6">
        <v>2808</v>
      </c>
      <c r="AN174" s="6">
        <v>336</v>
      </c>
      <c r="AO174" s="6">
        <v>2876</v>
      </c>
      <c r="AP174" s="6">
        <v>3470</v>
      </c>
      <c r="AQ174" s="6">
        <v>826</v>
      </c>
      <c r="AR174" s="6">
        <v>3714</v>
      </c>
    </row>
    <row r="175" spans="1:44">
      <c r="A175" s="4" t="s">
        <v>921</v>
      </c>
      <c r="B175" s="1" t="s">
        <v>922</v>
      </c>
      <c r="C175" s="1" t="s">
        <v>165</v>
      </c>
      <c r="D175" s="1" t="str">
        <f>HYPERLINK("http://eros.fiehnlab.ucdavis.edu:8080/binbase-compound/bin/show/238384?db=rtx5","238384")</f>
        <v>238384</v>
      </c>
      <c r="E175" s="1" t="s">
        <v>923</v>
      </c>
      <c r="F175" s="1" t="s">
        <v>0</v>
      </c>
      <c r="G175" s="1" t="s">
        <v>0</v>
      </c>
      <c r="H175" s="1"/>
      <c r="I175" s="6">
        <v>19222</v>
      </c>
      <c r="J175" s="6">
        <v>1159</v>
      </c>
      <c r="K175" s="6">
        <v>996</v>
      </c>
      <c r="L175" s="6">
        <v>25556</v>
      </c>
      <c r="M175" s="6">
        <v>9463</v>
      </c>
      <c r="N175" s="6">
        <v>22818</v>
      </c>
      <c r="O175" s="6">
        <v>5988</v>
      </c>
      <c r="P175" s="6">
        <v>1792</v>
      </c>
      <c r="Q175" s="6">
        <v>15874</v>
      </c>
      <c r="R175" s="6">
        <v>8286</v>
      </c>
      <c r="S175" s="6">
        <v>1492</v>
      </c>
      <c r="T175" s="6">
        <v>938</v>
      </c>
      <c r="U175" s="6">
        <v>36505</v>
      </c>
      <c r="V175" s="6">
        <v>3141</v>
      </c>
      <c r="W175" s="6">
        <v>9417</v>
      </c>
      <c r="X175" s="6">
        <v>18372</v>
      </c>
      <c r="Y175" s="6">
        <v>18852</v>
      </c>
      <c r="Z175" s="6">
        <v>12430</v>
      </c>
      <c r="AA175" s="6">
        <v>1794</v>
      </c>
      <c r="AB175" s="6">
        <v>33446</v>
      </c>
      <c r="AC175" s="6">
        <v>1876</v>
      </c>
      <c r="AD175" s="6">
        <v>11732</v>
      </c>
      <c r="AE175" s="6">
        <v>25051</v>
      </c>
      <c r="AF175" s="6">
        <v>3095</v>
      </c>
      <c r="AG175" s="6">
        <v>2748</v>
      </c>
      <c r="AH175" s="6">
        <v>39560</v>
      </c>
      <c r="AI175" s="6">
        <v>6430</v>
      </c>
      <c r="AJ175" s="6">
        <v>2626</v>
      </c>
      <c r="AK175" s="6">
        <v>11022</v>
      </c>
      <c r="AL175" s="6">
        <v>1184</v>
      </c>
      <c r="AM175" s="6">
        <v>12746</v>
      </c>
      <c r="AN175" s="6">
        <v>3045</v>
      </c>
      <c r="AO175" s="6">
        <v>17901</v>
      </c>
      <c r="AP175" s="6">
        <v>21412</v>
      </c>
      <c r="AQ175" s="6">
        <v>7203</v>
      </c>
      <c r="AR175" s="6">
        <v>16489</v>
      </c>
    </row>
    <row r="176" spans="1:44">
      <c r="A176" s="4" t="s">
        <v>861</v>
      </c>
      <c r="B176" s="1" t="s">
        <v>862</v>
      </c>
      <c r="C176" s="1" t="s">
        <v>466</v>
      </c>
      <c r="D176" s="1" t="str">
        <f>HYPERLINK("http://eros.fiehnlab.ucdavis.edu:8080/binbase-compound/bin/show/241656?db=rtx5","241656")</f>
        <v>241656</v>
      </c>
      <c r="E176" s="1" t="s">
        <v>863</v>
      </c>
      <c r="F176" s="1" t="s">
        <v>0</v>
      </c>
      <c r="G176" s="1" t="s">
        <v>0</v>
      </c>
      <c r="H176" s="1"/>
      <c r="I176" s="6">
        <v>2155</v>
      </c>
      <c r="J176" s="6">
        <v>209</v>
      </c>
      <c r="K176" s="6">
        <v>144</v>
      </c>
      <c r="L176" s="6">
        <v>3060</v>
      </c>
      <c r="M176" s="6">
        <v>793</v>
      </c>
      <c r="N176" s="6">
        <v>1868</v>
      </c>
      <c r="O176" s="6">
        <v>429</v>
      </c>
      <c r="P176" s="6">
        <v>161</v>
      </c>
      <c r="Q176" s="6">
        <v>1391</v>
      </c>
      <c r="R176" s="6">
        <v>991</v>
      </c>
      <c r="S176" s="6">
        <v>246</v>
      </c>
      <c r="T176" s="6">
        <v>129</v>
      </c>
      <c r="U176" s="6">
        <v>3445</v>
      </c>
      <c r="V176" s="6">
        <v>333</v>
      </c>
      <c r="W176" s="6">
        <v>872</v>
      </c>
      <c r="X176" s="6">
        <v>1446</v>
      </c>
      <c r="Y176" s="6">
        <v>1170</v>
      </c>
      <c r="Z176" s="6">
        <v>1069</v>
      </c>
      <c r="AA176" s="6">
        <v>237</v>
      </c>
      <c r="AB176" s="6">
        <v>2239</v>
      </c>
      <c r="AC176" s="6">
        <v>218</v>
      </c>
      <c r="AD176" s="6">
        <v>1440</v>
      </c>
      <c r="AE176" s="6">
        <v>2084</v>
      </c>
      <c r="AF176" s="6">
        <v>432</v>
      </c>
      <c r="AG176" s="6">
        <v>275</v>
      </c>
      <c r="AH176" s="6">
        <v>3052</v>
      </c>
      <c r="AI176" s="6">
        <v>640</v>
      </c>
      <c r="AJ176" s="6">
        <v>284</v>
      </c>
      <c r="AK176" s="6">
        <v>750</v>
      </c>
      <c r="AL176" s="6">
        <v>194</v>
      </c>
      <c r="AM176" s="6">
        <v>1107</v>
      </c>
      <c r="AN176" s="6">
        <v>358</v>
      </c>
      <c r="AO176" s="6">
        <v>1526</v>
      </c>
      <c r="AP176" s="6">
        <v>2062</v>
      </c>
      <c r="AQ176" s="6">
        <v>666</v>
      </c>
      <c r="AR176" s="6">
        <v>1371</v>
      </c>
    </row>
    <row r="177" spans="1:44">
      <c r="A177" s="4" t="s">
        <v>639</v>
      </c>
      <c r="B177" s="1" t="s">
        <v>640</v>
      </c>
      <c r="C177" s="1" t="s">
        <v>388</v>
      </c>
      <c r="D177" s="1" t="str">
        <f>HYPERLINK("http://eros.fiehnlab.ucdavis.edu:8080/binbase-compound/bin/show/404736?db=rtx5","404736")</f>
        <v>404736</v>
      </c>
      <c r="E177" s="1" t="s">
        <v>641</v>
      </c>
      <c r="F177" s="1" t="s">
        <v>0</v>
      </c>
      <c r="G177" s="1" t="s">
        <v>0</v>
      </c>
      <c r="H177" s="1"/>
      <c r="I177" s="6">
        <v>4330</v>
      </c>
      <c r="J177" s="6">
        <v>802</v>
      </c>
      <c r="K177" s="6">
        <v>787</v>
      </c>
      <c r="L177" s="6">
        <v>23188</v>
      </c>
      <c r="M177" s="6">
        <v>4488</v>
      </c>
      <c r="N177" s="6">
        <v>5311</v>
      </c>
      <c r="O177" s="6">
        <v>1490</v>
      </c>
      <c r="P177" s="6">
        <v>1067</v>
      </c>
      <c r="Q177" s="6">
        <v>2723</v>
      </c>
      <c r="R177" s="6">
        <v>2419</v>
      </c>
      <c r="S177" s="6">
        <v>577</v>
      </c>
      <c r="T177" s="6">
        <v>606</v>
      </c>
      <c r="U177" s="6">
        <v>31376</v>
      </c>
      <c r="V177" s="6">
        <v>4968</v>
      </c>
      <c r="W177" s="6">
        <v>9990</v>
      </c>
      <c r="X177" s="6">
        <v>10631</v>
      </c>
      <c r="Y177" s="6">
        <v>4381</v>
      </c>
      <c r="Z177" s="6">
        <v>3182</v>
      </c>
      <c r="AA177" s="6">
        <v>756</v>
      </c>
      <c r="AB177" s="6">
        <v>7611</v>
      </c>
      <c r="AC177" s="6">
        <v>1438</v>
      </c>
      <c r="AD177" s="6">
        <v>2219</v>
      </c>
      <c r="AE177" s="6">
        <v>14550</v>
      </c>
      <c r="AF177" s="6">
        <v>805</v>
      </c>
      <c r="AG177" s="6">
        <v>1457</v>
      </c>
      <c r="AH177" s="6">
        <v>6952</v>
      </c>
      <c r="AI177" s="6">
        <v>1471</v>
      </c>
      <c r="AJ177" s="6">
        <v>1489</v>
      </c>
      <c r="AK177" s="6">
        <v>13448</v>
      </c>
      <c r="AL177" s="6">
        <v>939</v>
      </c>
      <c r="AM177" s="6">
        <v>4846</v>
      </c>
      <c r="AN177" s="6">
        <v>1486</v>
      </c>
      <c r="AO177" s="6">
        <v>3871</v>
      </c>
      <c r="AP177" s="6">
        <v>7256</v>
      </c>
      <c r="AQ177" s="6">
        <v>1897</v>
      </c>
      <c r="AR177" s="6">
        <v>4396</v>
      </c>
    </row>
    <row r="178" spans="1:44">
      <c r="A178" s="4" t="s">
        <v>744</v>
      </c>
      <c r="B178" s="1" t="s">
        <v>745</v>
      </c>
      <c r="C178" s="1" t="s">
        <v>746</v>
      </c>
      <c r="D178" s="1" t="str">
        <f>HYPERLINK("http://eros.fiehnlab.ucdavis.edu:8080/binbase-compound/bin/show/310006?db=rtx5","310006")</f>
        <v>310006</v>
      </c>
      <c r="E178" s="1" t="s">
        <v>747</v>
      </c>
      <c r="F178" s="1" t="s">
        <v>0</v>
      </c>
      <c r="G178" s="1" t="s">
        <v>0</v>
      </c>
      <c r="H178" s="1"/>
      <c r="I178" s="6">
        <v>2176</v>
      </c>
      <c r="J178" s="6">
        <v>308</v>
      </c>
      <c r="K178" s="6">
        <v>278</v>
      </c>
      <c r="L178" s="6">
        <v>2420</v>
      </c>
      <c r="M178" s="6">
        <v>933</v>
      </c>
      <c r="N178" s="6">
        <v>2343</v>
      </c>
      <c r="O178" s="6">
        <v>816</v>
      </c>
      <c r="P178" s="6">
        <v>282</v>
      </c>
      <c r="Q178" s="6">
        <v>1411</v>
      </c>
      <c r="R178" s="6">
        <v>1177</v>
      </c>
      <c r="S178" s="6">
        <v>203</v>
      </c>
      <c r="T178" s="6">
        <v>293</v>
      </c>
      <c r="U178" s="6">
        <v>2849</v>
      </c>
      <c r="V178" s="6">
        <v>321</v>
      </c>
      <c r="W178" s="6">
        <v>937</v>
      </c>
      <c r="X178" s="6">
        <v>1460</v>
      </c>
      <c r="Y178" s="6">
        <v>1810</v>
      </c>
      <c r="Z178" s="6">
        <v>1421</v>
      </c>
      <c r="AA178" s="6">
        <v>358</v>
      </c>
      <c r="AB178" s="6">
        <v>3272</v>
      </c>
      <c r="AC178" s="6">
        <v>327</v>
      </c>
      <c r="AD178" s="6">
        <v>1433</v>
      </c>
      <c r="AE178" s="6">
        <v>1741</v>
      </c>
      <c r="AF178" s="6">
        <v>404</v>
      </c>
      <c r="AG178" s="6">
        <v>465</v>
      </c>
      <c r="AH178" s="6">
        <v>3269</v>
      </c>
      <c r="AI178" s="6">
        <v>851</v>
      </c>
      <c r="AJ178" s="6">
        <v>353</v>
      </c>
      <c r="AK178" s="6">
        <v>922</v>
      </c>
      <c r="AL178" s="6">
        <v>179</v>
      </c>
      <c r="AM178" s="6">
        <v>1328</v>
      </c>
      <c r="AN178" s="6">
        <v>572</v>
      </c>
      <c r="AO178" s="6">
        <v>1698</v>
      </c>
      <c r="AP178" s="6">
        <v>2235</v>
      </c>
      <c r="AQ178" s="6">
        <v>606</v>
      </c>
      <c r="AR178" s="6">
        <v>1802</v>
      </c>
    </row>
    <row r="179" spans="1:44">
      <c r="A179" s="4" t="s">
        <v>1177</v>
      </c>
      <c r="B179" s="1" t="s">
        <v>1178</v>
      </c>
      <c r="C179" s="1" t="s">
        <v>1179</v>
      </c>
      <c r="D179" s="1" t="str">
        <f>HYPERLINK("http://eros.fiehnlab.ucdavis.edu:8080/binbase-compound/bin/show/200484?db=rtx5","200484")</f>
        <v>200484</v>
      </c>
      <c r="E179" s="1" t="s">
        <v>1180</v>
      </c>
      <c r="F179" s="1" t="s">
        <v>0</v>
      </c>
      <c r="G179" s="1" t="s">
        <v>0</v>
      </c>
      <c r="H179" s="1"/>
      <c r="I179" s="6">
        <v>2199</v>
      </c>
      <c r="J179" s="6">
        <v>6678</v>
      </c>
      <c r="K179" s="6">
        <v>6003</v>
      </c>
      <c r="L179" s="6">
        <v>826</v>
      </c>
      <c r="M179" s="6">
        <v>11954</v>
      </c>
      <c r="N179" s="6">
        <v>9702</v>
      </c>
      <c r="O179" s="6">
        <v>1271</v>
      </c>
      <c r="P179" s="6">
        <v>7941</v>
      </c>
      <c r="Q179" s="6">
        <v>2357</v>
      </c>
      <c r="R179" s="6">
        <v>1500</v>
      </c>
      <c r="S179" s="6">
        <v>6248</v>
      </c>
      <c r="T179" s="6">
        <v>3123</v>
      </c>
      <c r="U179" s="6">
        <v>493</v>
      </c>
      <c r="V179" s="6">
        <v>10966</v>
      </c>
      <c r="W179" s="6">
        <v>648</v>
      </c>
      <c r="X179" s="6">
        <v>911</v>
      </c>
      <c r="Y179" s="6">
        <v>8992</v>
      </c>
      <c r="Z179" s="6">
        <v>550</v>
      </c>
      <c r="AA179" s="6">
        <v>6830</v>
      </c>
      <c r="AB179" s="6">
        <v>1161</v>
      </c>
      <c r="AC179" s="6">
        <v>6816</v>
      </c>
      <c r="AD179" s="6">
        <v>822</v>
      </c>
      <c r="AE179" s="6">
        <v>1377</v>
      </c>
      <c r="AF179" s="6">
        <v>5313</v>
      </c>
      <c r="AG179" s="6">
        <v>5941</v>
      </c>
      <c r="AH179" s="6">
        <v>1109</v>
      </c>
      <c r="AI179" s="6">
        <v>664</v>
      </c>
      <c r="AJ179" s="6">
        <v>13787</v>
      </c>
      <c r="AK179" s="6">
        <v>872</v>
      </c>
      <c r="AL179" s="6">
        <v>9662</v>
      </c>
      <c r="AM179" s="6">
        <v>600</v>
      </c>
      <c r="AN179" s="6">
        <v>8933</v>
      </c>
      <c r="AO179" s="6">
        <v>864</v>
      </c>
      <c r="AP179" s="6">
        <v>587</v>
      </c>
      <c r="AQ179" s="6">
        <v>6620</v>
      </c>
      <c r="AR179" s="6">
        <v>994</v>
      </c>
    </row>
    <row r="180" spans="1:44">
      <c r="A180" s="4" t="s">
        <v>1062</v>
      </c>
      <c r="B180" s="1" t="s">
        <v>1063</v>
      </c>
      <c r="C180" s="1" t="s">
        <v>159</v>
      </c>
      <c r="D180" s="1" t="str">
        <f>HYPERLINK("http://eros.fiehnlab.ucdavis.edu:8080/binbase-compound/bin/show/218728?db=rtx5","218728")</f>
        <v>218728</v>
      </c>
      <c r="E180" s="1" t="s">
        <v>1064</v>
      </c>
      <c r="F180" s="1" t="s">
        <v>0</v>
      </c>
      <c r="G180" s="1" t="s">
        <v>0</v>
      </c>
      <c r="H180" s="1"/>
      <c r="I180" s="6">
        <v>5498</v>
      </c>
      <c r="J180" s="6">
        <v>1077</v>
      </c>
      <c r="K180" s="6">
        <v>1058</v>
      </c>
      <c r="L180" s="6">
        <v>6917</v>
      </c>
      <c r="M180" s="6">
        <v>1172</v>
      </c>
      <c r="N180" s="6">
        <v>4428</v>
      </c>
      <c r="O180" s="6">
        <v>1995</v>
      </c>
      <c r="P180" s="6">
        <v>1184</v>
      </c>
      <c r="Q180" s="6">
        <v>3820</v>
      </c>
      <c r="R180" s="6">
        <v>2596</v>
      </c>
      <c r="S180" s="6">
        <v>1815</v>
      </c>
      <c r="T180" s="6">
        <v>529</v>
      </c>
      <c r="U180" s="6">
        <v>5884</v>
      </c>
      <c r="V180" s="6">
        <v>406</v>
      </c>
      <c r="W180" s="6">
        <v>566</v>
      </c>
      <c r="X180" s="6">
        <v>4416</v>
      </c>
      <c r="Y180" s="6">
        <v>660</v>
      </c>
      <c r="Z180" s="6">
        <v>1729</v>
      </c>
      <c r="AA180" s="6">
        <v>1441</v>
      </c>
      <c r="AB180" s="6">
        <v>9386</v>
      </c>
      <c r="AC180" s="6">
        <v>1574</v>
      </c>
      <c r="AD180" s="6">
        <v>2589</v>
      </c>
      <c r="AE180" s="6">
        <v>6739</v>
      </c>
      <c r="AF180" s="6">
        <v>1505</v>
      </c>
      <c r="AG180" s="6">
        <v>1620</v>
      </c>
      <c r="AH180" s="6">
        <v>5365</v>
      </c>
      <c r="AI180" s="6">
        <v>1579</v>
      </c>
      <c r="AJ180" s="6">
        <v>626</v>
      </c>
      <c r="AK180" s="6">
        <v>2138</v>
      </c>
      <c r="AL180" s="6">
        <v>830</v>
      </c>
      <c r="AM180" s="6">
        <v>1711</v>
      </c>
      <c r="AN180" s="6">
        <v>303</v>
      </c>
      <c r="AO180" s="6">
        <v>2496</v>
      </c>
      <c r="AP180" s="6">
        <v>3511</v>
      </c>
      <c r="AQ180" s="6">
        <v>1136</v>
      </c>
      <c r="AR180" s="6">
        <v>1363</v>
      </c>
    </row>
    <row r="181" spans="1:44">
      <c r="A181" s="4" t="s">
        <v>538</v>
      </c>
      <c r="B181" s="1" t="s">
        <v>539</v>
      </c>
      <c r="C181" s="1" t="s">
        <v>246</v>
      </c>
      <c r="D181" s="1" t="str">
        <f>HYPERLINK("http://eros.fiehnlab.ucdavis.edu:8080/binbase-compound/bin/show/409596?db=rtx5","409596")</f>
        <v>409596</v>
      </c>
      <c r="E181" s="1" t="s">
        <v>540</v>
      </c>
      <c r="F181" s="1" t="s">
        <v>0</v>
      </c>
      <c r="G181" s="1" t="s">
        <v>0</v>
      </c>
      <c r="H181" s="1"/>
      <c r="I181" s="6">
        <v>7647</v>
      </c>
      <c r="J181" s="6">
        <v>598</v>
      </c>
      <c r="K181" s="6">
        <v>373</v>
      </c>
      <c r="L181" s="6">
        <v>9157</v>
      </c>
      <c r="M181" s="6">
        <v>3211</v>
      </c>
      <c r="N181" s="6">
        <v>9214</v>
      </c>
      <c r="O181" s="6">
        <v>1895</v>
      </c>
      <c r="P181" s="6">
        <v>497</v>
      </c>
      <c r="Q181" s="6">
        <v>6382</v>
      </c>
      <c r="R181" s="6">
        <v>3491</v>
      </c>
      <c r="S181" s="6">
        <v>789</v>
      </c>
      <c r="T181" s="6">
        <v>361</v>
      </c>
      <c r="U181" s="6">
        <v>14309</v>
      </c>
      <c r="V181" s="6">
        <v>1066</v>
      </c>
      <c r="W181" s="6">
        <v>3418</v>
      </c>
      <c r="X181" s="6">
        <v>5152</v>
      </c>
      <c r="Y181" s="6">
        <v>5979</v>
      </c>
      <c r="Z181" s="6">
        <v>4555</v>
      </c>
      <c r="AA181" s="6">
        <v>739</v>
      </c>
      <c r="AB181" s="6">
        <v>11208</v>
      </c>
      <c r="AC181" s="6">
        <v>431</v>
      </c>
      <c r="AD181" s="6">
        <v>4667</v>
      </c>
      <c r="AE181" s="6">
        <v>6528</v>
      </c>
      <c r="AF181" s="6">
        <v>885</v>
      </c>
      <c r="AG181" s="6">
        <v>798</v>
      </c>
      <c r="AH181" s="6">
        <v>11754</v>
      </c>
      <c r="AI181" s="6">
        <v>2531</v>
      </c>
      <c r="AJ181" s="6">
        <v>856</v>
      </c>
      <c r="AK181" s="6">
        <v>3630</v>
      </c>
      <c r="AL181" s="6">
        <v>453</v>
      </c>
      <c r="AM181" s="6">
        <v>4694</v>
      </c>
      <c r="AN181" s="6">
        <v>1212</v>
      </c>
      <c r="AO181" s="6">
        <v>6845</v>
      </c>
      <c r="AP181" s="6">
        <v>8015</v>
      </c>
      <c r="AQ181" s="6">
        <v>1988</v>
      </c>
      <c r="AR181" s="6">
        <v>5144</v>
      </c>
    </row>
    <row r="182" spans="1:44">
      <c r="A182" s="4" t="s">
        <v>591</v>
      </c>
      <c r="B182" s="1" t="s">
        <v>592</v>
      </c>
      <c r="C182" s="1" t="s">
        <v>193</v>
      </c>
      <c r="D182" s="1" t="str">
        <f>HYPERLINK("http://eros.fiehnlab.ucdavis.edu:8080/binbase-compound/bin/show/408849?db=rtx5","408849")</f>
        <v>408849</v>
      </c>
      <c r="E182" s="1" t="s">
        <v>593</v>
      </c>
      <c r="F182" s="1" t="s">
        <v>0</v>
      </c>
      <c r="G182" s="1" t="s">
        <v>0</v>
      </c>
      <c r="H182" s="1"/>
      <c r="I182" s="6">
        <v>13324</v>
      </c>
      <c r="J182" s="6">
        <v>820</v>
      </c>
      <c r="K182" s="6">
        <v>611</v>
      </c>
      <c r="L182" s="6">
        <v>12246</v>
      </c>
      <c r="M182" s="6">
        <v>9759</v>
      </c>
      <c r="N182" s="6">
        <v>17749</v>
      </c>
      <c r="O182" s="6">
        <v>3218</v>
      </c>
      <c r="P182" s="6">
        <v>841</v>
      </c>
      <c r="Q182" s="6">
        <v>10316</v>
      </c>
      <c r="R182" s="6">
        <v>5897</v>
      </c>
      <c r="S182" s="6">
        <v>1061</v>
      </c>
      <c r="T182" s="6">
        <v>572</v>
      </c>
      <c r="U182" s="6">
        <v>22946</v>
      </c>
      <c r="V182" s="6">
        <v>2028</v>
      </c>
      <c r="W182" s="6">
        <v>6446</v>
      </c>
      <c r="X182" s="6">
        <v>5500</v>
      </c>
      <c r="Y182" s="6">
        <v>11889</v>
      </c>
      <c r="Z182" s="6">
        <v>8849</v>
      </c>
      <c r="AA182" s="6">
        <v>1124</v>
      </c>
      <c r="AB182" s="6">
        <v>21610</v>
      </c>
      <c r="AC182" s="6">
        <v>1082</v>
      </c>
      <c r="AD182" s="6">
        <v>8652</v>
      </c>
      <c r="AE182" s="6">
        <v>10058</v>
      </c>
      <c r="AF182" s="6">
        <v>1593</v>
      </c>
      <c r="AG182" s="6">
        <v>1474</v>
      </c>
      <c r="AH182" s="6">
        <v>21196</v>
      </c>
      <c r="AI182" s="6">
        <v>3830</v>
      </c>
      <c r="AJ182" s="6">
        <v>1362</v>
      </c>
      <c r="AK182" s="6">
        <v>6656</v>
      </c>
      <c r="AL182" s="6">
        <v>732</v>
      </c>
      <c r="AM182" s="6">
        <v>7137</v>
      </c>
      <c r="AN182" s="6">
        <v>2189</v>
      </c>
      <c r="AO182" s="6">
        <v>10956</v>
      </c>
      <c r="AP182" s="6">
        <v>13254</v>
      </c>
      <c r="AQ182" s="6">
        <v>6347</v>
      </c>
      <c r="AR182" s="6">
        <v>9882</v>
      </c>
    </row>
    <row r="183" spans="1:44">
      <c r="A183" s="4" t="s">
        <v>1080</v>
      </c>
      <c r="B183" s="1" t="s">
        <v>1081</v>
      </c>
      <c r="C183" s="1" t="s">
        <v>519</v>
      </c>
      <c r="D183" s="1" t="str">
        <f>HYPERLINK("http://eros.fiehnlab.ucdavis.edu:8080/binbase-compound/bin/show/214152?db=rtx5","214152")</f>
        <v>214152</v>
      </c>
      <c r="E183" s="1" t="s">
        <v>1082</v>
      </c>
      <c r="F183" s="1" t="s">
        <v>0</v>
      </c>
      <c r="G183" s="1" t="s">
        <v>0</v>
      </c>
      <c r="H183" s="1"/>
      <c r="I183" s="6">
        <v>8129</v>
      </c>
      <c r="J183" s="6">
        <v>349</v>
      </c>
      <c r="K183" s="6">
        <v>205</v>
      </c>
      <c r="L183" s="6">
        <v>3806</v>
      </c>
      <c r="M183" s="6">
        <v>8269</v>
      </c>
      <c r="N183" s="6">
        <v>9095</v>
      </c>
      <c r="O183" s="6">
        <v>1774</v>
      </c>
      <c r="P183" s="6">
        <v>254</v>
      </c>
      <c r="Q183" s="6">
        <v>5238</v>
      </c>
      <c r="R183" s="6">
        <v>2022</v>
      </c>
      <c r="S183" s="6">
        <v>210</v>
      </c>
      <c r="T183" s="6">
        <v>197</v>
      </c>
      <c r="U183" s="6">
        <v>12785</v>
      </c>
      <c r="V183" s="6">
        <v>2918</v>
      </c>
      <c r="W183" s="6">
        <v>9720</v>
      </c>
      <c r="X183" s="6">
        <v>3120</v>
      </c>
      <c r="Y183" s="6">
        <v>8107</v>
      </c>
      <c r="Z183" s="6">
        <v>14689</v>
      </c>
      <c r="AA183" s="6">
        <v>532</v>
      </c>
      <c r="AB183" s="6">
        <v>4115</v>
      </c>
      <c r="AC183" s="6">
        <v>454</v>
      </c>
      <c r="AD183" s="6">
        <v>14408</v>
      </c>
      <c r="AE183" s="6">
        <v>9840</v>
      </c>
      <c r="AF183" s="6">
        <v>458</v>
      </c>
      <c r="AG183" s="6">
        <v>3227</v>
      </c>
      <c r="AH183" s="6">
        <v>19180</v>
      </c>
      <c r="AI183" s="6">
        <v>1708</v>
      </c>
      <c r="AJ183" s="6">
        <v>510</v>
      </c>
      <c r="AK183" s="6">
        <v>6376</v>
      </c>
      <c r="AL183" s="6">
        <v>126</v>
      </c>
      <c r="AM183" s="6">
        <v>4351</v>
      </c>
      <c r="AN183" s="6">
        <v>1154</v>
      </c>
      <c r="AO183" s="6">
        <v>11764</v>
      </c>
      <c r="AP183" s="6">
        <v>12031</v>
      </c>
      <c r="AQ183" s="6">
        <v>2268</v>
      </c>
      <c r="AR183" s="6">
        <v>29561</v>
      </c>
    </row>
    <row r="184" spans="1:44">
      <c r="A184" s="4" t="s">
        <v>726</v>
      </c>
      <c r="B184" s="1" t="s">
        <v>727</v>
      </c>
      <c r="C184" s="1" t="s">
        <v>728</v>
      </c>
      <c r="D184" s="1" t="str">
        <f>HYPERLINK("http://eros.fiehnlab.ucdavis.edu:8080/binbase-compound/bin/show/352980?db=rtx5","352980")</f>
        <v>352980</v>
      </c>
      <c r="E184" s="1" t="s">
        <v>729</v>
      </c>
      <c r="F184" s="1" t="s">
        <v>0</v>
      </c>
      <c r="G184" s="1" t="s">
        <v>0</v>
      </c>
      <c r="H184" s="1"/>
      <c r="I184" s="6">
        <v>553</v>
      </c>
      <c r="J184" s="6">
        <v>328</v>
      </c>
      <c r="K184" s="6">
        <v>161</v>
      </c>
      <c r="L184" s="6">
        <v>1706</v>
      </c>
      <c r="M184" s="6">
        <v>1564</v>
      </c>
      <c r="N184" s="6">
        <v>820</v>
      </c>
      <c r="O184" s="6">
        <v>466</v>
      </c>
      <c r="P184" s="6">
        <v>164</v>
      </c>
      <c r="Q184" s="6">
        <v>954</v>
      </c>
      <c r="R184" s="6">
        <v>1335</v>
      </c>
      <c r="S184" s="6">
        <v>212</v>
      </c>
      <c r="T184" s="6">
        <v>128</v>
      </c>
      <c r="U184" s="6">
        <v>3862</v>
      </c>
      <c r="V184" s="6">
        <v>2679</v>
      </c>
      <c r="W184" s="6">
        <v>2177</v>
      </c>
      <c r="X184" s="6">
        <v>769</v>
      </c>
      <c r="Y184" s="6">
        <v>3074</v>
      </c>
      <c r="Z184" s="6">
        <v>2495</v>
      </c>
      <c r="AA184" s="6">
        <v>287</v>
      </c>
      <c r="AB184" s="6">
        <v>2109</v>
      </c>
      <c r="AC184" s="6">
        <v>337</v>
      </c>
      <c r="AD184" s="6">
        <v>2789</v>
      </c>
      <c r="AE184" s="6">
        <v>750</v>
      </c>
      <c r="AF184" s="6">
        <v>451</v>
      </c>
      <c r="AG184" s="6">
        <v>992</v>
      </c>
      <c r="AH184" s="6">
        <v>3190</v>
      </c>
      <c r="AI184" s="6">
        <v>775</v>
      </c>
      <c r="AJ184" s="6">
        <v>909</v>
      </c>
      <c r="AK184" s="6">
        <v>1129</v>
      </c>
      <c r="AL184" s="6">
        <v>196</v>
      </c>
      <c r="AM184" s="6">
        <v>2194</v>
      </c>
      <c r="AN184" s="6">
        <v>2656</v>
      </c>
      <c r="AO184" s="6">
        <v>2265</v>
      </c>
      <c r="AP184" s="6">
        <v>2930</v>
      </c>
      <c r="AQ184" s="6">
        <v>907</v>
      </c>
      <c r="AR184" s="6">
        <v>3166</v>
      </c>
    </row>
    <row r="185" spans="1:44">
      <c r="A185" s="4" t="s">
        <v>908</v>
      </c>
      <c r="B185" s="1" t="s">
        <v>909</v>
      </c>
      <c r="C185" s="1" t="s">
        <v>115</v>
      </c>
      <c r="D185" s="1" t="str">
        <f>HYPERLINK("http://eros.fiehnlab.ucdavis.edu:8080/binbase-compound/bin/show/240551?db=rtx5","240551")</f>
        <v>240551</v>
      </c>
      <c r="E185" s="1" t="s">
        <v>910</v>
      </c>
      <c r="F185" s="1" t="s">
        <v>0</v>
      </c>
      <c r="G185" s="1" t="s">
        <v>0</v>
      </c>
      <c r="H185" s="1"/>
      <c r="I185" s="6">
        <v>2922</v>
      </c>
      <c r="J185" s="6">
        <v>225</v>
      </c>
      <c r="K185" s="6">
        <v>227</v>
      </c>
      <c r="L185" s="6">
        <v>3751</v>
      </c>
      <c r="M185" s="6">
        <v>1122</v>
      </c>
      <c r="N185" s="6">
        <v>3695</v>
      </c>
      <c r="O185" s="6">
        <v>832</v>
      </c>
      <c r="P185" s="6">
        <v>391</v>
      </c>
      <c r="Q185" s="6">
        <v>2299</v>
      </c>
      <c r="R185" s="6">
        <v>1217</v>
      </c>
      <c r="S185" s="6">
        <v>258</v>
      </c>
      <c r="T185" s="6">
        <v>218</v>
      </c>
      <c r="U185" s="6">
        <v>5456</v>
      </c>
      <c r="V185" s="6">
        <v>333</v>
      </c>
      <c r="W185" s="6">
        <v>1382</v>
      </c>
      <c r="X185" s="6">
        <v>2536</v>
      </c>
      <c r="Y185" s="6">
        <v>2439</v>
      </c>
      <c r="Z185" s="6">
        <v>1730</v>
      </c>
      <c r="AA185" s="6">
        <v>397</v>
      </c>
      <c r="AB185" s="6">
        <v>4587</v>
      </c>
      <c r="AC185" s="6">
        <v>391</v>
      </c>
      <c r="AD185" s="6">
        <v>1725</v>
      </c>
      <c r="AE185" s="6">
        <v>3315</v>
      </c>
      <c r="AF185" s="6">
        <v>641</v>
      </c>
      <c r="AG185" s="6">
        <v>391</v>
      </c>
      <c r="AH185" s="6">
        <v>5355</v>
      </c>
      <c r="AI185" s="6">
        <v>915</v>
      </c>
      <c r="AJ185" s="6">
        <v>521</v>
      </c>
      <c r="AK185" s="6">
        <v>1514</v>
      </c>
      <c r="AL185" s="6">
        <v>262</v>
      </c>
      <c r="AM185" s="6">
        <v>1536</v>
      </c>
      <c r="AN185" s="6">
        <v>561</v>
      </c>
      <c r="AO185" s="6">
        <v>2467</v>
      </c>
      <c r="AP185" s="6">
        <v>3067</v>
      </c>
      <c r="AQ185" s="6">
        <v>1105</v>
      </c>
      <c r="AR185" s="6">
        <v>1870</v>
      </c>
    </row>
    <row r="186" spans="1:44">
      <c r="A186" s="4" t="s">
        <v>887</v>
      </c>
      <c r="B186" s="1" t="s">
        <v>888</v>
      </c>
      <c r="C186" s="1" t="s">
        <v>193</v>
      </c>
      <c r="D186" s="1" t="str">
        <f>HYPERLINK("http://eros.fiehnlab.ucdavis.edu:8080/binbase-compound/bin/show/241059?db=rtx5","241059")</f>
        <v>241059</v>
      </c>
      <c r="E186" s="1" t="s">
        <v>889</v>
      </c>
      <c r="F186" s="1" t="s">
        <v>0</v>
      </c>
      <c r="G186" s="1" t="s">
        <v>0</v>
      </c>
      <c r="H186" s="1"/>
      <c r="I186" s="6">
        <v>2655</v>
      </c>
      <c r="J186" s="6">
        <v>416</v>
      </c>
      <c r="K186" s="6">
        <v>403</v>
      </c>
      <c r="L186" s="6">
        <v>2567</v>
      </c>
      <c r="M186" s="6">
        <v>2178</v>
      </c>
      <c r="N186" s="6">
        <v>2476</v>
      </c>
      <c r="O186" s="6">
        <v>906</v>
      </c>
      <c r="P186" s="6">
        <v>425</v>
      </c>
      <c r="Q186" s="6">
        <v>2657</v>
      </c>
      <c r="R186" s="6">
        <v>1571</v>
      </c>
      <c r="S186" s="6">
        <v>568</v>
      </c>
      <c r="T186" s="6">
        <v>285</v>
      </c>
      <c r="U186" s="6">
        <v>5768</v>
      </c>
      <c r="V186" s="6">
        <v>644</v>
      </c>
      <c r="W186" s="6">
        <v>1725</v>
      </c>
      <c r="X186" s="6">
        <v>1710</v>
      </c>
      <c r="Y186" s="6">
        <v>2309</v>
      </c>
      <c r="Z186" s="6">
        <v>1659</v>
      </c>
      <c r="AA186" s="6">
        <v>475</v>
      </c>
      <c r="AB186" s="6">
        <v>4227</v>
      </c>
      <c r="AC186" s="6">
        <v>476</v>
      </c>
      <c r="AD186" s="6">
        <v>1844</v>
      </c>
      <c r="AE186" s="6">
        <v>2089</v>
      </c>
      <c r="AF186" s="6">
        <v>489</v>
      </c>
      <c r="AG186" s="6">
        <v>733</v>
      </c>
      <c r="AH186" s="6">
        <v>5184</v>
      </c>
      <c r="AI186" s="6">
        <v>1228</v>
      </c>
      <c r="AJ186" s="6">
        <v>655</v>
      </c>
      <c r="AK186" s="6">
        <v>1637</v>
      </c>
      <c r="AL186" s="6">
        <v>406</v>
      </c>
      <c r="AM186" s="6">
        <v>2107</v>
      </c>
      <c r="AN186" s="6">
        <v>888</v>
      </c>
      <c r="AO186" s="6">
        <v>3016</v>
      </c>
      <c r="AP186" s="6">
        <v>3000</v>
      </c>
      <c r="AQ186" s="6">
        <v>1609</v>
      </c>
      <c r="AR186" s="6">
        <v>1875</v>
      </c>
    </row>
    <row r="187" spans="1:44">
      <c r="A187" s="4" t="s">
        <v>759</v>
      </c>
      <c r="B187" s="1" t="s">
        <v>760</v>
      </c>
      <c r="C187" s="1" t="s">
        <v>159</v>
      </c>
      <c r="D187" s="1" t="str">
        <f>HYPERLINK("http://eros.fiehnlab.ucdavis.edu:8080/binbase-compound/bin/show/308198?db=rtx5","308198")</f>
        <v>308198</v>
      </c>
      <c r="E187" s="1" t="s">
        <v>761</v>
      </c>
      <c r="F187" s="1" t="s">
        <v>0</v>
      </c>
      <c r="G187" s="1" t="s">
        <v>0</v>
      </c>
      <c r="H187" s="1"/>
      <c r="I187" s="6">
        <v>1193</v>
      </c>
      <c r="J187" s="6">
        <v>153</v>
      </c>
      <c r="K187" s="6">
        <v>199</v>
      </c>
      <c r="L187" s="6">
        <v>2802</v>
      </c>
      <c r="M187" s="6">
        <v>733</v>
      </c>
      <c r="N187" s="6">
        <v>1826</v>
      </c>
      <c r="O187" s="6">
        <v>398</v>
      </c>
      <c r="P187" s="6">
        <v>199</v>
      </c>
      <c r="Q187" s="6">
        <v>1239</v>
      </c>
      <c r="R187" s="6">
        <v>507</v>
      </c>
      <c r="S187" s="6">
        <v>190</v>
      </c>
      <c r="T187" s="6">
        <v>122</v>
      </c>
      <c r="U187" s="6">
        <v>2769</v>
      </c>
      <c r="V187" s="6">
        <v>491</v>
      </c>
      <c r="W187" s="6">
        <v>909</v>
      </c>
      <c r="X187" s="6">
        <v>1785</v>
      </c>
      <c r="Y187" s="6">
        <v>1416</v>
      </c>
      <c r="Z187" s="6">
        <v>917</v>
      </c>
      <c r="AA187" s="6">
        <v>229</v>
      </c>
      <c r="AB187" s="6">
        <v>1740</v>
      </c>
      <c r="AC187" s="6">
        <v>262</v>
      </c>
      <c r="AD187" s="6">
        <v>780</v>
      </c>
      <c r="AE187" s="6">
        <v>1886</v>
      </c>
      <c r="AF187" s="6">
        <v>286</v>
      </c>
      <c r="AG187" s="6">
        <v>298</v>
      </c>
      <c r="AH187" s="6">
        <v>3723</v>
      </c>
      <c r="AI187" s="6">
        <v>444</v>
      </c>
      <c r="AJ187" s="6">
        <v>345</v>
      </c>
      <c r="AK187" s="6">
        <v>1300</v>
      </c>
      <c r="AL187" s="6">
        <v>209</v>
      </c>
      <c r="AM187" s="6">
        <v>650</v>
      </c>
      <c r="AN187" s="6">
        <v>324</v>
      </c>
      <c r="AO187" s="6">
        <v>1226</v>
      </c>
      <c r="AP187" s="6">
        <v>1797</v>
      </c>
      <c r="AQ187" s="6">
        <v>656</v>
      </c>
      <c r="AR187" s="6">
        <v>1217</v>
      </c>
    </row>
    <row r="188" spans="1:44">
      <c r="A188" s="4" t="s">
        <v>1015</v>
      </c>
      <c r="B188" s="1" t="s">
        <v>1016</v>
      </c>
      <c r="C188" s="1" t="s">
        <v>1017</v>
      </c>
      <c r="D188" s="1" t="str">
        <f>HYPERLINK("http://eros.fiehnlab.ucdavis.edu:8080/binbase-compound/bin/show/225867?db=rtx5","225867")</f>
        <v>225867</v>
      </c>
      <c r="E188" s="1" t="s">
        <v>1018</v>
      </c>
      <c r="F188" s="1" t="s">
        <v>0</v>
      </c>
      <c r="G188" s="1" t="s">
        <v>0</v>
      </c>
      <c r="H188" s="1"/>
      <c r="I188" s="6">
        <v>1564</v>
      </c>
      <c r="J188" s="6">
        <v>284</v>
      </c>
      <c r="K188" s="6">
        <v>95</v>
      </c>
      <c r="L188" s="6">
        <v>1617</v>
      </c>
      <c r="M188" s="6">
        <v>710</v>
      </c>
      <c r="N188" s="6">
        <v>1336</v>
      </c>
      <c r="O188" s="6">
        <v>576</v>
      </c>
      <c r="P188" s="6">
        <v>129</v>
      </c>
      <c r="Q188" s="6">
        <v>1127</v>
      </c>
      <c r="R188" s="6">
        <v>734</v>
      </c>
      <c r="S188" s="6">
        <v>147</v>
      </c>
      <c r="T188" s="6">
        <v>231</v>
      </c>
      <c r="U188" s="6">
        <v>2113</v>
      </c>
      <c r="V188" s="6">
        <v>163</v>
      </c>
      <c r="W188" s="6">
        <v>650</v>
      </c>
      <c r="X188" s="6">
        <v>1023</v>
      </c>
      <c r="Y188" s="6">
        <v>1274</v>
      </c>
      <c r="Z188" s="6">
        <v>931</v>
      </c>
      <c r="AA188" s="6">
        <v>160</v>
      </c>
      <c r="AB188" s="6">
        <v>2480</v>
      </c>
      <c r="AC188" s="6">
        <v>159</v>
      </c>
      <c r="AD188" s="6">
        <v>1179</v>
      </c>
      <c r="AE188" s="6">
        <v>1177</v>
      </c>
      <c r="AF188" s="6">
        <v>296</v>
      </c>
      <c r="AG188" s="6">
        <v>353</v>
      </c>
      <c r="AH188" s="6">
        <v>2170</v>
      </c>
      <c r="AI188" s="6">
        <v>541</v>
      </c>
      <c r="AJ188" s="6">
        <v>170</v>
      </c>
      <c r="AK188" s="6">
        <v>643</v>
      </c>
      <c r="AL188" s="6">
        <v>66</v>
      </c>
      <c r="AM188" s="6">
        <v>818</v>
      </c>
      <c r="AN188" s="6">
        <v>263</v>
      </c>
      <c r="AO188" s="6">
        <v>1245</v>
      </c>
      <c r="AP188" s="6">
        <v>1531</v>
      </c>
      <c r="AQ188" s="6">
        <v>450</v>
      </c>
      <c r="AR188" s="6">
        <v>1187</v>
      </c>
    </row>
    <row r="189" spans="1:44">
      <c r="A189" s="4" t="s">
        <v>1004</v>
      </c>
      <c r="B189" s="1" t="s">
        <v>1005</v>
      </c>
      <c r="C189" s="1" t="s">
        <v>1006</v>
      </c>
      <c r="D189" s="1" t="str">
        <f>HYPERLINK("http://eros.fiehnlab.ucdavis.edu:8080/binbase-compound/bin/show/227816?db=rtx5","227816")</f>
        <v>227816</v>
      </c>
      <c r="E189" s="1" t="s">
        <v>1007</v>
      </c>
      <c r="F189" s="1" t="s">
        <v>0</v>
      </c>
      <c r="G189" s="1" t="s">
        <v>0</v>
      </c>
      <c r="H189" s="1"/>
      <c r="I189" s="6">
        <v>806</v>
      </c>
      <c r="J189" s="6">
        <v>361</v>
      </c>
      <c r="K189" s="6">
        <v>345</v>
      </c>
      <c r="L189" s="6">
        <v>621</v>
      </c>
      <c r="M189" s="6">
        <v>873</v>
      </c>
      <c r="N189" s="6">
        <v>485</v>
      </c>
      <c r="O189" s="6">
        <v>402</v>
      </c>
      <c r="P189" s="6">
        <v>337</v>
      </c>
      <c r="Q189" s="6">
        <v>746</v>
      </c>
      <c r="R189" s="6">
        <v>228</v>
      </c>
      <c r="S189" s="6">
        <v>262</v>
      </c>
      <c r="T189" s="6">
        <v>149</v>
      </c>
      <c r="U189" s="6">
        <v>1259</v>
      </c>
      <c r="V189" s="6">
        <v>942</v>
      </c>
      <c r="W189" s="6">
        <v>1073</v>
      </c>
      <c r="X189" s="6">
        <v>1048</v>
      </c>
      <c r="Y189" s="6">
        <v>815</v>
      </c>
      <c r="Z189" s="6">
        <v>881</v>
      </c>
      <c r="AA189" s="6">
        <v>476</v>
      </c>
      <c r="AB189" s="6">
        <v>446</v>
      </c>
      <c r="AC189" s="6">
        <v>609</v>
      </c>
      <c r="AD189" s="6">
        <v>671</v>
      </c>
      <c r="AE189" s="6">
        <v>939</v>
      </c>
      <c r="AF189" s="6">
        <v>555</v>
      </c>
      <c r="AG189" s="6">
        <v>829</v>
      </c>
      <c r="AH189" s="6">
        <v>1632</v>
      </c>
      <c r="AI189" s="6">
        <v>669</v>
      </c>
      <c r="AJ189" s="6">
        <v>412</v>
      </c>
      <c r="AK189" s="6">
        <v>852</v>
      </c>
      <c r="AL189" s="6">
        <v>276</v>
      </c>
      <c r="AM189" s="6">
        <v>406</v>
      </c>
      <c r="AN189" s="6">
        <v>294</v>
      </c>
      <c r="AO189" s="6">
        <v>999</v>
      </c>
      <c r="AP189" s="6">
        <v>742</v>
      </c>
      <c r="AQ189" s="6">
        <v>768</v>
      </c>
      <c r="AR189" s="6">
        <v>828</v>
      </c>
    </row>
    <row r="190" spans="1:44">
      <c r="A190" s="4" t="s">
        <v>976</v>
      </c>
      <c r="B190" s="1" t="s">
        <v>977</v>
      </c>
      <c r="C190" s="1" t="s">
        <v>447</v>
      </c>
      <c r="D190" s="1" t="str">
        <f>HYPERLINK("http://eros.fiehnlab.ucdavis.edu:8080/binbase-compound/bin/show/232087?db=rtx5","232087")</f>
        <v>232087</v>
      </c>
      <c r="E190" s="1" t="s">
        <v>978</v>
      </c>
      <c r="F190" s="1" t="s">
        <v>0</v>
      </c>
      <c r="G190" s="1" t="s">
        <v>0</v>
      </c>
      <c r="H190" s="1"/>
      <c r="I190" s="6">
        <v>24458</v>
      </c>
      <c r="J190" s="6">
        <v>3823</v>
      </c>
      <c r="K190" s="6">
        <v>8341</v>
      </c>
      <c r="L190" s="6">
        <v>22316</v>
      </c>
      <c r="M190" s="6">
        <v>6581</v>
      </c>
      <c r="N190" s="6">
        <v>16837</v>
      </c>
      <c r="O190" s="6">
        <v>4992</v>
      </c>
      <c r="P190" s="6">
        <v>1655</v>
      </c>
      <c r="Q190" s="6">
        <v>25320</v>
      </c>
      <c r="R190" s="6">
        <v>6595</v>
      </c>
      <c r="S190" s="6">
        <v>3127</v>
      </c>
      <c r="T190" s="6">
        <v>3763</v>
      </c>
      <c r="U190" s="6">
        <v>41551</v>
      </c>
      <c r="V190" s="6">
        <v>15697</v>
      </c>
      <c r="W190" s="6">
        <v>51247</v>
      </c>
      <c r="X190" s="6">
        <v>11976</v>
      </c>
      <c r="Y190" s="6">
        <v>17448</v>
      </c>
      <c r="Z190" s="6">
        <v>27140</v>
      </c>
      <c r="AA190" s="6">
        <v>3057</v>
      </c>
      <c r="AB190" s="6">
        <v>27091</v>
      </c>
      <c r="AC190" s="6">
        <v>3839</v>
      </c>
      <c r="AD190" s="6">
        <v>47333</v>
      </c>
      <c r="AE190" s="6">
        <v>32847</v>
      </c>
      <c r="AF190" s="6">
        <v>6251</v>
      </c>
      <c r="AG190" s="6">
        <v>13356</v>
      </c>
      <c r="AH190" s="6">
        <v>68384</v>
      </c>
      <c r="AI190" s="6">
        <v>22518</v>
      </c>
      <c r="AJ190" s="6">
        <v>13974</v>
      </c>
      <c r="AK190" s="6">
        <v>19139</v>
      </c>
      <c r="AL190" s="6">
        <v>17157</v>
      </c>
      <c r="AM190" s="6">
        <v>25657</v>
      </c>
      <c r="AN190" s="6">
        <v>12388</v>
      </c>
      <c r="AO190" s="6">
        <v>18712</v>
      </c>
      <c r="AP190" s="6">
        <v>64147</v>
      </c>
      <c r="AQ190" s="6">
        <v>25986</v>
      </c>
      <c r="AR190" s="6">
        <v>29127</v>
      </c>
    </row>
    <row r="191" spans="1:44">
      <c r="A191" s="4" t="s">
        <v>1104</v>
      </c>
      <c r="B191" s="1" t="s">
        <v>1105</v>
      </c>
      <c r="C191" s="1" t="s">
        <v>115</v>
      </c>
      <c r="D191" s="1" t="str">
        <f>HYPERLINK("http://eros.fiehnlab.ucdavis.edu:8080/binbase-compound/bin/show/213185?db=rtx5","213185")</f>
        <v>213185</v>
      </c>
      <c r="E191" s="1" t="s">
        <v>1106</v>
      </c>
      <c r="F191" s="1" t="s">
        <v>0</v>
      </c>
      <c r="G191" s="1" t="s">
        <v>0</v>
      </c>
      <c r="H191" s="1"/>
      <c r="I191" s="6">
        <v>8205</v>
      </c>
      <c r="J191" s="6">
        <v>1145</v>
      </c>
      <c r="K191" s="6">
        <v>200</v>
      </c>
      <c r="L191" s="6">
        <v>8326</v>
      </c>
      <c r="M191" s="6">
        <v>2319</v>
      </c>
      <c r="N191" s="6">
        <v>7784</v>
      </c>
      <c r="O191" s="6">
        <v>2145</v>
      </c>
      <c r="P191" s="6">
        <v>505</v>
      </c>
      <c r="Q191" s="6">
        <v>6585</v>
      </c>
      <c r="R191" s="6">
        <v>2384</v>
      </c>
      <c r="S191" s="6">
        <v>256</v>
      </c>
      <c r="T191" s="6">
        <v>228</v>
      </c>
      <c r="U191" s="6">
        <v>8059</v>
      </c>
      <c r="V191" s="6">
        <v>528</v>
      </c>
      <c r="W191" s="6">
        <v>2610</v>
      </c>
      <c r="X191" s="6">
        <v>5093</v>
      </c>
      <c r="Y191" s="6">
        <v>3554</v>
      </c>
      <c r="Z191" s="6">
        <v>2919</v>
      </c>
      <c r="AA191" s="6">
        <v>475</v>
      </c>
      <c r="AB191" s="6">
        <v>4616</v>
      </c>
      <c r="AC191" s="6">
        <v>325</v>
      </c>
      <c r="AD191" s="6">
        <v>1752</v>
      </c>
      <c r="AE191" s="6">
        <v>7361</v>
      </c>
      <c r="AF191" s="6">
        <v>405</v>
      </c>
      <c r="AG191" s="6">
        <v>768</v>
      </c>
      <c r="AH191" s="6">
        <v>11406</v>
      </c>
      <c r="AI191" s="6">
        <v>1101</v>
      </c>
      <c r="AJ191" s="6">
        <v>872</v>
      </c>
      <c r="AK191" s="6">
        <v>3559</v>
      </c>
      <c r="AL191" s="6">
        <v>181</v>
      </c>
      <c r="AM191" s="6">
        <v>1989</v>
      </c>
      <c r="AN191" s="6">
        <v>1231</v>
      </c>
      <c r="AO191" s="6">
        <v>2885</v>
      </c>
      <c r="AP191" s="6">
        <v>3900</v>
      </c>
      <c r="AQ191" s="6">
        <v>1221</v>
      </c>
      <c r="AR191" s="6">
        <v>3092</v>
      </c>
    </row>
    <row r="192" spans="1:44">
      <c r="A192" s="4" t="s">
        <v>1083</v>
      </c>
      <c r="B192" s="1" t="s">
        <v>1084</v>
      </c>
      <c r="C192" s="1" t="s">
        <v>193</v>
      </c>
      <c r="D192" s="1" t="str">
        <f>HYPERLINK("http://eros.fiehnlab.ucdavis.edu:8080/binbase-compound/bin/show/214151?db=rtx5","214151")</f>
        <v>214151</v>
      </c>
      <c r="E192" s="1" t="s">
        <v>1085</v>
      </c>
      <c r="F192" s="1" t="s">
        <v>0</v>
      </c>
      <c r="G192" s="1" t="s">
        <v>0</v>
      </c>
      <c r="H192" s="1"/>
      <c r="I192" s="6">
        <v>9313</v>
      </c>
      <c r="J192" s="6">
        <v>1538</v>
      </c>
      <c r="K192" s="6">
        <v>979</v>
      </c>
      <c r="L192" s="6">
        <v>4856</v>
      </c>
      <c r="M192" s="6">
        <v>5417</v>
      </c>
      <c r="N192" s="6">
        <v>8467</v>
      </c>
      <c r="O192" s="6">
        <v>2096</v>
      </c>
      <c r="P192" s="6">
        <v>372</v>
      </c>
      <c r="Q192" s="6">
        <v>3061</v>
      </c>
      <c r="R192" s="6">
        <v>1594</v>
      </c>
      <c r="S192" s="6">
        <v>445</v>
      </c>
      <c r="T192" s="6">
        <v>597</v>
      </c>
      <c r="U192" s="6">
        <v>6399</v>
      </c>
      <c r="V192" s="6">
        <v>1819</v>
      </c>
      <c r="W192" s="6">
        <v>5363</v>
      </c>
      <c r="X192" s="6">
        <v>2160</v>
      </c>
      <c r="Y192" s="6">
        <v>5262</v>
      </c>
      <c r="Z192" s="6">
        <v>13743</v>
      </c>
      <c r="AA192" s="6">
        <v>855</v>
      </c>
      <c r="AB192" s="6">
        <v>2424</v>
      </c>
      <c r="AC192" s="6">
        <v>1258</v>
      </c>
      <c r="AD192" s="6">
        <v>11967</v>
      </c>
      <c r="AE192" s="6">
        <v>4224</v>
      </c>
      <c r="AF192" s="6">
        <v>1857</v>
      </c>
      <c r="AG192" s="6">
        <v>3367</v>
      </c>
      <c r="AH192" s="6">
        <v>15358</v>
      </c>
      <c r="AI192" s="6">
        <v>4279</v>
      </c>
      <c r="AJ192" s="6">
        <v>1295</v>
      </c>
      <c r="AK192" s="6">
        <v>5347</v>
      </c>
      <c r="AL192" s="6">
        <v>248</v>
      </c>
      <c r="AM192" s="6">
        <v>6964</v>
      </c>
      <c r="AN192" s="6">
        <v>8071</v>
      </c>
      <c r="AO192" s="6">
        <v>7782</v>
      </c>
      <c r="AP192" s="6">
        <v>6973</v>
      </c>
      <c r="AQ192" s="6">
        <v>2377</v>
      </c>
      <c r="AR192" s="6">
        <v>15480</v>
      </c>
    </row>
    <row r="193" spans="1:44">
      <c r="A193" s="4" t="s">
        <v>684</v>
      </c>
      <c r="B193" s="1" t="s">
        <v>685</v>
      </c>
      <c r="C193" s="1" t="s">
        <v>246</v>
      </c>
      <c r="D193" s="1" t="str">
        <f>HYPERLINK("http://eros.fiehnlab.ucdavis.edu:8080/binbase-compound/bin/show/362010?db=rtx5","362010")</f>
        <v>362010</v>
      </c>
      <c r="E193" s="1" t="s">
        <v>686</v>
      </c>
      <c r="F193" s="1" t="s">
        <v>0</v>
      </c>
      <c r="G193" s="1" t="s">
        <v>0</v>
      </c>
      <c r="H193" s="1"/>
      <c r="I193" s="6">
        <v>26008</v>
      </c>
      <c r="J193" s="6">
        <v>1570</v>
      </c>
      <c r="K193" s="6">
        <v>897</v>
      </c>
      <c r="L193" s="6">
        <v>27520</v>
      </c>
      <c r="M193" s="6">
        <v>11810</v>
      </c>
      <c r="N193" s="6">
        <v>32066</v>
      </c>
      <c r="O193" s="6">
        <v>4765</v>
      </c>
      <c r="P193" s="6">
        <v>1593</v>
      </c>
      <c r="Q193" s="6">
        <v>19822</v>
      </c>
      <c r="R193" s="6">
        <v>9404</v>
      </c>
      <c r="S193" s="6">
        <v>1942</v>
      </c>
      <c r="T193" s="6">
        <v>900</v>
      </c>
      <c r="U193" s="6">
        <v>47794</v>
      </c>
      <c r="V193" s="6">
        <v>2203</v>
      </c>
      <c r="W193" s="6">
        <v>10562</v>
      </c>
      <c r="X193" s="6">
        <v>10280</v>
      </c>
      <c r="Y193" s="6">
        <v>20237</v>
      </c>
      <c r="Z193" s="6">
        <v>16111</v>
      </c>
      <c r="AA193" s="6">
        <v>1695</v>
      </c>
      <c r="AB193" s="6">
        <v>40258</v>
      </c>
      <c r="AC193" s="6">
        <v>1008</v>
      </c>
      <c r="AD193" s="6">
        <v>14886</v>
      </c>
      <c r="AE193" s="6">
        <v>21442</v>
      </c>
      <c r="AF193" s="6">
        <v>2701</v>
      </c>
      <c r="AG193" s="6">
        <v>1705</v>
      </c>
      <c r="AH193" s="6">
        <v>41698</v>
      </c>
      <c r="AI193" s="6">
        <v>8549</v>
      </c>
      <c r="AJ193" s="6">
        <v>1940</v>
      </c>
      <c r="AK193" s="6">
        <v>12256</v>
      </c>
      <c r="AL193" s="6">
        <v>1022</v>
      </c>
      <c r="AM193" s="6">
        <v>16700</v>
      </c>
      <c r="AN193" s="6">
        <v>3471</v>
      </c>
      <c r="AO193" s="6">
        <v>22663</v>
      </c>
      <c r="AP193" s="6">
        <v>27429</v>
      </c>
      <c r="AQ193" s="6">
        <v>5062</v>
      </c>
      <c r="AR193" s="6">
        <v>18797</v>
      </c>
    </row>
    <row r="194" spans="1:44">
      <c r="A194" s="4" t="s">
        <v>1107</v>
      </c>
      <c r="B194" s="1" t="s">
        <v>1108</v>
      </c>
      <c r="C194" s="1" t="s">
        <v>1103</v>
      </c>
      <c r="D194" s="1" t="str">
        <f>HYPERLINK("http://eros.fiehnlab.ucdavis.edu:8080/binbase-compound/bin/show/213143?db=rtx5","213143")</f>
        <v>213143</v>
      </c>
      <c r="E194" s="1" t="s">
        <v>1109</v>
      </c>
      <c r="F194" s="1" t="s">
        <v>0</v>
      </c>
      <c r="G194" s="1" t="s">
        <v>0</v>
      </c>
      <c r="H194" s="1"/>
      <c r="I194" s="6">
        <v>697</v>
      </c>
      <c r="J194" s="6">
        <v>165</v>
      </c>
      <c r="K194" s="6">
        <v>113</v>
      </c>
      <c r="L194" s="6">
        <v>1286</v>
      </c>
      <c r="M194" s="6">
        <v>552</v>
      </c>
      <c r="N194" s="6">
        <v>866</v>
      </c>
      <c r="O194" s="6">
        <v>356</v>
      </c>
      <c r="P194" s="6">
        <v>116</v>
      </c>
      <c r="Q194" s="6">
        <v>634</v>
      </c>
      <c r="R194" s="6">
        <v>528</v>
      </c>
      <c r="S194" s="6">
        <v>201</v>
      </c>
      <c r="T194" s="6">
        <v>114</v>
      </c>
      <c r="U194" s="6">
        <v>1175</v>
      </c>
      <c r="V194" s="6">
        <v>175</v>
      </c>
      <c r="W194" s="6">
        <v>343</v>
      </c>
      <c r="X194" s="6">
        <v>524</v>
      </c>
      <c r="Y194" s="6">
        <v>850</v>
      </c>
      <c r="Z194" s="6">
        <v>470</v>
      </c>
      <c r="AA194" s="6">
        <v>147</v>
      </c>
      <c r="AB194" s="6">
        <v>508</v>
      </c>
      <c r="AC194" s="6">
        <v>132</v>
      </c>
      <c r="AD194" s="6">
        <v>565</v>
      </c>
      <c r="AE194" s="6">
        <v>648</v>
      </c>
      <c r="AF194" s="6">
        <v>250</v>
      </c>
      <c r="AG194" s="6">
        <v>222</v>
      </c>
      <c r="AH194" s="6">
        <v>1271</v>
      </c>
      <c r="AI194" s="6">
        <v>349</v>
      </c>
      <c r="AJ194" s="6">
        <v>136</v>
      </c>
      <c r="AK194" s="6">
        <v>369</v>
      </c>
      <c r="AL194" s="6">
        <v>114</v>
      </c>
      <c r="AM194" s="6">
        <v>484</v>
      </c>
      <c r="AN194" s="6">
        <v>265</v>
      </c>
      <c r="AO194" s="6">
        <v>749</v>
      </c>
      <c r="AP194" s="6">
        <v>779</v>
      </c>
      <c r="AQ194" s="6">
        <v>305</v>
      </c>
      <c r="AR194" s="6">
        <v>685</v>
      </c>
    </row>
    <row r="195" spans="1:44">
      <c r="A195" s="4" t="s">
        <v>864</v>
      </c>
      <c r="B195" s="1" t="s">
        <v>865</v>
      </c>
      <c r="C195" s="1" t="s">
        <v>115</v>
      </c>
      <c r="D195" s="1" t="str">
        <f>HYPERLINK("http://eros.fiehnlab.ucdavis.edu:8080/binbase-compound/bin/show/241652?db=rtx5","241652")</f>
        <v>241652</v>
      </c>
      <c r="E195" s="1" t="s">
        <v>866</v>
      </c>
      <c r="F195" s="1" t="s">
        <v>0</v>
      </c>
      <c r="G195" s="1" t="s">
        <v>0</v>
      </c>
      <c r="H195" s="1"/>
      <c r="I195" s="6">
        <v>2243</v>
      </c>
      <c r="J195" s="6">
        <v>315</v>
      </c>
      <c r="K195" s="6">
        <v>519</v>
      </c>
      <c r="L195" s="6">
        <v>1678</v>
      </c>
      <c r="M195" s="6">
        <v>393</v>
      </c>
      <c r="N195" s="6">
        <v>661</v>
      </c>
      <c r="O195" s="6">
        <v>547</v>
      </c>
      <c r="P195" s="6">
        <v>187</v>
      </c>
      <c r="Q195" s="6">
        <v>1013</v>
      </c>
      <c r="R195" s="6">
        <v>2701</v>
      </c>
      <c r="S195" s="6">
        <v>435</v>
      </c>
      <c r="T195" s="6">
        <v>371</v>
      </c>
      <c r="U195" s="6">
        <v>964</v>
      </c>
      <c r="V195" s="6">
        <v>404</v>
      </c>
      <c r="W195" s="6">
        <v>398</v>
      </c>
      <c r="X195" s="6">
        <v>725</v>
      </c>
      <c r="Y195" s="6">
        <v>519</v>
      </c>
      <c r="Z195" s="6">
        <v>1169</v>
      </c>
      <c r="AA195" s="6">
        <v>280</v>
      </c>
      <c r="AB195" s="6">
        <v>3104</v>
      </c>
      <c r="AC195" s="6">
        <v>834</v>
      </c>
      <c r="AD195" s="6">
        <v>1893</v>
      </c>
      <c r="AE195" s="6">
        <v>581</v>
      </c>
      <c r="AF195" s="6">
        <v>787</v>
      </c>
      <c r="AG195" s="6">
        <v>648</v>
      </c>
      <c r="AH195" s="6">
        <v>1231</v>
      </c>
      <c r="AI195" s="6">
        <v>1424</v>
      </c>
      <c r="AJ195" s="6">
        <v>358</v>
      </c>
      <c r="AK195" s="6">
        <v>462</v>
      </c>
      <c r="AL195" s="6">
        <v>231</v>
      </c>
      <c r="AM195" s="6">
        <v>990</v>
      </c>
      <c r="AN195" s="6">
        <v>1212</v>
      </c>
      <c r="AO195" s="6">
        <v>1256</v>
      </c>
      <c r="AP195" s="6">
        <v>2123</v>
      </c>
      <c r="AQ195" s="6">
        <v>510</v>
      </c>
      <c r="AR195" s="6">
        <v>998</v>
      </c>
    </row>
    <row r="196" spans="1:44">
      <c r="A196" s="4" t="s">
        <v>918</v>
      </c>
      <c r="B196" s="1" t="s">
        <v>919</v>
      </c>
      <c r="C196" s="1" t="s">
        <v>115</v>
      </c>
      <c r="D196" s="1" t="str">
        <f>HYPERLINK("http://eros.fiehnlab.ucdavis.edu:8080/binbase-compound/bin/show/238437?db=rtx5","238437")</f>
        <v>238437</v>
      </c>
      <c r="E196" s="1" t="s">
        <v>920</v>
      </c>
      <c r="F196" s="1" t="s">
        <v>0</v>
      </c>
      <c r="G196" s="1" t="s">
        <v>0</v>
      </c>
      <c r="H196" s="1"/>
      <c r="I196" s="6">
        <v>6103</v>
      </c>
      <c r="J196" s="6">
        <v>1151</v>
      </c>
      <c r="K196" s="6">
        <v>908</v>
      </c>
      <c r="L196" s="6">
        <v>5656</v>
      </c>
      <c r="M196" s="6">
        <v>2645</v>
      </c>
      <c r="N196" s="6">
        <v>8683</v>
      </c>
      <c r="O196" s="6">
        <v>1934</v>
      </c>
      <c r="P196" s="6">
        <v>1096</v>
      </c>
      <c r="Q196" s="6">
        <v>6006</v>
      </c>
      <c r="R196" s="6">
        <v>2488</v>
      </c>
      <c r="S196" s="6">
        <v>1119</v>
      </c>
      <c r="T196" s="6">
        <v>743</v>
      </c>
      <c r="U196" s="6">
        <v>12379</v>
      </c>
      <c r="V196" s="6">
        <v>2452</v>
      </c>
      <c r="W196" s="6">
        <v>3235</v>
      </c>
      <c r="X196" s="6">
        <v>3819</v>
      </c>
      <c r="Y196" s="6">
        <v>4082</v>
      </c>
      <c r="Z196" s="6">
        <v>2994</v>
      </c>
      <c r="AA196" s="6">
        <v>1035</v>
      </c>
      <c r="AB196" s="6">
        <v>12962</v>
      </c>
      <c r="AC196" s="6">
        <v>1571</v>
      </c>
      <c r="AD196" s="6">
        <v>3667</v>
      </c>
      <c r="AE196" s="6">
        <v>6813</v>
      </c>
      <c r="AF196" s="6">
        <v>1642</v>
      </c>
      <c r="AG196" s="6">
        <v>2258</v>
      </c>
      <c r="AH196" s="6">
        <v>11020</v>
      </c>
      <c r="AI196" s="6">
        <v>2633</v>
      </c>
      <c r="AJ196" s="6">
        <v>1688</v>
      </c>
      <c r="AK196" s="6">
        <v>2592</v>
      </c>
      <c r="AL196" s="6">
        <v>362</v>
      </c>
      <c r="AM196" s="6">
        <v>3994</v>
      </c>
      <c r="AN196" s="6">
        <v>1289</v>
      </c>
      <c r="AO196" s="6">
        <v>5571</v>
      </c>
      <c r="AP196" s="6">
        <v>6137</v>
      </c>
      <c r="AQ196" s="6">
        <v>2431</v>
      </c>
      <c r="AR196" s="6">
        <v>4066</v>
      </c>
    </row>
    <row r="197" spans="1:44">
      <c r="A197" s="4" t="s">
        <v>601</v>
      </c>
      <c r="B197" s="1" t="s">
        <v>602</v>
      </c>
      <c r="C197" s="1" t="s">
        <v>603</v>
      </c>
      <c r="D197" s="1" t="str">
        <f>HYPERLINK("http://eros.fiehnlab.ucdavis.edu:8080/binbase-compound/bin/show/408797?db=rtx5","408797")</f>
        <v>408797</v>
      </c>
      <c r="E197" s="1" t="s">
        <v>604</v>
      </c>
      <c r="F197" s="1" t="s">
        <v>0</v>
      </c>
      <c r="G197" s="1" t="s">
        <v>0</v>
      </c>
      <c r="H197" s="1"/>
      <c r="I197" s="6">
        <v>7275</v>
      </c>
      <c r="J197" s="6">
        <v>819</v>
      </c>
      <c r="K197" s="6">
        <v>531</v>
      </c>
      <c r="L197" s="6">
        <v>714</v>
      </c>
      <c r="M197" s="6">
        <v>2373</v>
      </c>
      <c r="N197" s="6">
        <v>6327</v>
      </c>
      <c r="O197" s="6">
        <v>4637</v>
      </c>
      <c r="P197" s="6">
        <v>415</v>
      </c>
      <c r="Q197" s="6">
        <v>2420</v>
      </c>
      <c r="R197" s="6">
        <v>369</v>
      </c>
      <c r="S197" s="6">
        <v>1107</v>
      </c>
      <c r="T197" s="6">
        <v>498</v>
      </c>
      <c r="U197" s="6">
        <v>1094</v>
      </c>
      <c r="V197" s="6">
        <v>183</v>
      </c>
      <c r="W197" s="6">
        <v>464</v>
      </c>
      <c r="X197" s="6">
        <v>6937</v>
      </c>
      <c r="Y197" s="6">
        <v>657</v>
      </c>
      <c r="Z197" s="6">
        <v>483</v>
      </c>
      <c r="AA197" s="6">
        <v>1187</v>
      </c>
      <c r="AB197" s="6">
        <v>580</v>
      </c>
      <c r="AC197" s="6">
        <v>997</v>
      </c>
      <c r="AD197" s="6">
        <v>747</v>
      </c>
      <c r="AE197" s="6">
        <v>4109</v>
      </c>
      <c r="AF197" s="6">
        <v>1279</v>
      </c>
      <c r="AG197" s="6">
        <v>1611</v>
      </c>
      <c r="AH197" s="6">
        <v>1720</v>
      </c>
      <c r="AI197" s="6">
        <v>2570</v>
      </c>
      <c r="AJ197" s="6">
        <v>671</v>
      </c>
      <c r="AK197" s="6">
        <v>1863</v>
      </c>
      <c r="AL197" s="6">
        <v>1089</v>
      </c>
      <c r="AM197" s="6">
        <v>706</v>
      </c>
      <c r="AN197" s="6">
        <v>231</v>
      </c>
      <c r="AO197" s="6">
        <v>735</v>
      </c>
      <c r="AP197" s="6">
        <v>877</v>
      </c>
      <c r="AQ197" s="6">
        <v>3059</v>
      </c>
      <c r="AR197" s="6">
        <v>724</v>
      </c>
    </row>
    <row r="198" spans="1:44">
      <c r="A198" s="4" t="s">
        <v>677</v>
      </c>
      <c r="B198" s="1" t="s">
        <v>678</v>
      </c>
      <c r="C198" s="1" t="s">
        <v>91</v>
      </c>
      <c r="D198" s="1" t="str">
        <f>HYPERLINK("http://eros.fiehnlab.ucdavis.edu:8080/binbase-compound/bin/show/362036?db=rtx5","362036")</f>
        <v>362036</v>
      </c>
      <c r="E198" s="1" t="s">
        <v>679</v>
      </c>
      <c r="F198" s="1" t="s">
        <v>0</v>
      </c>
      <c r="G198" s="1" t="s">
        <v>0</v>
      </c>
      <c r="H198" s="1"/>
      <c r="I198" s="6">
        <v>1261</v>
      </c>
      <c r="J198" s="6">
        <v>182</v>
      </c>
      <c r="K198" s="6">
        <v>213</v>
      </c>
      <c r="L198" s="6">
        <v>2097</v>
      </c>
      <c r="M198" s="6">
        <v>694</v>
      </c>
      <c r="N198" s="6">
        <v>1058</v>
      </c>
      <c r="O198" s="6">
        <v>411</v>
      </c>
      <c r="P198" s="6">
        <v>212</v>
      </c>
      <c r="Q198" s="6">
        <v>1509</v>
      </c>
      <c r="R198" s="6">
        <v>396</v>
      </c>
      <c r="S198" s="6">
        <v>213</v>
      </c>
      <c r="T198" s="6">
        <v>205</v>
      </c>
      <c r="U198" s="6">
        <v>2963</v>
      </c>
      <c r="V198" s="6">
        <v>473</v>
      </c>
      <c r="W198" s="6">
        <v>763</v>
      </c>
      <c r="X198" s="6">
        <v>1368</v>
      </c>
      <c r="Y198" s="6">
        <v>1004</v>
      </c>
      <c r="Z198" s="6">
        <v>728</v>
      </c>
      <c r="AA198" s="6">
        <v>213</v>
      </c>
      <c r="AB198" s="6">
        <v>2108</v>
      </c>
      <c r="AC198" s="6">
        <v>303</v>
      </c>
      <c r="AD198" s="6">
        <v>759</v>
      </c>
      <c r="AE198" s="6">
        <v>1065</v>
      </c>
      <c r="AF198" s="6">
        <v>319</v>
      </c>
      <c r="AG198" s="6">
        <v>236</v>
      </c>
      <c r="AH198" s="6">
        <v>2979</v>
      </c>
      <c r="AI198" s="6">
        <v>575</v>
      </c>
      <c r="AJ198" s="6">
        <v>228</v>
      </c>
      <c r="AK198" s="6">
        <v>997</v>
      </c>
      <c r="AL198" s="6">
        <v>217</v>
      </c>
      <c r="AM198" s="6">
        <v>452</v>
      </c>
      <c r="AN198" s="6">
        <v>207</v>
      </c>
      <c r="AO198" s="6">
        <v>1189</v>
      </c>
      <c r="AP198" s="6">
        <v>1495</v>
      </c>
      <c r="AQ198" s="6">
        <v>608</v>
      </c>
      <c r="AR198" s="6">
        <v>1142</v>
      </c>
    </row>
    <row r="199" spans="1:44">
      <c r="A199" s="4" t="s">
        <v>594</v>
      </c>
      <c r="B199" s="1" t="s">
        <v>595</v>
      </c>
      <c r="C199" s="1" t="s">
        <v>193</v>
      </c>
      <c r="D199" s="1" t="str">
        <f>HYPERLINK("http://eros.fiehnlab.ucdavis.edu:8080/binbase-compound/bin/show/408836?db=rtx5","408836")</f>
        <v>408836</v>
      </c>
      <c r="E199" s="1" t="s">
        <v>596</v>
      </c>
      <c r="F199" s="1" t="s">
        <v>0</v>
      </c>
      <c r="G199" s="1" t="s">
        <v>0</v>
      </c>
      <c r="H199" s="1"/>
      <c r="I199" s="6">
        <v>5422</v>
      </c>
      <c r="J199" s="6">
        <v>472</v>
      </c>
      <c r="K199" s="6">
        <v>563</v>
      </c>
      <c r="L199" s="6">
        <v>7087</v>
      </c>
      <c r="M199" s="6">
        <v>3149</v>
      </c>
      <c r="N199" s="6">
        <v>5951</v>
      </c>
      <c r="O199" s="6">
        <v>1659</v>
      </c>
      <c r="P199" s="6">
        <v>694</v>
      </c>
      <c r="Q199" s="6">
        <v>3782</v>
      </c>
      <c r="R199" s="6">
        <v>2479</v>
      </c>
      <c r="S199" s="6">
        <v>764</v>
      </c>
      <c r="T199" s="6">
        <v>462</v>
      </c>
      <c r="U199" s="6">
        <v>8838</v>
      </c>
      <c r="V199" s="6">
        <v>1579</v>
      </c>
      <c r="W199" s="6">
        <v>3431</v>
      </c>
      <c r="X199" s="6">
        <v>4578</v>
      </c>
      <c r="Y199" s="6">
        <v>4865</v>
      </c>
      <c r="Z199" s="6">
        <v>3559</v>
      </c>
      <c r="AA199" s="6">
        <v>817</v>
      </c>
      <c r="AB199" s="6">
        <v>7327</v>
      </c>
      <c r="AC199" s="6">
        <v>882</v>
      </c>
      <c r="AD199" s="6">
        <v>3029</v>
      </c>
      <c r="AE199" s="6">
        <v>5175</v>
      </c>
      <c r="AF199" s="6">
        <v>1234</v>
      </c>
      <c r="AG199" s="6">
        <v>1167</v>
      </c>
      <c r="AH199" s="6">
        <v>8818</v>
      </c>
      <c r="AI199" s="6">
        <v>1959</v>
      </c>
      <c r="AJ199" s="6">
        <v>961</v>
      </c>
      <c r="AK199" s="6">
        <v>3350</v>
      </c>
      <c r="AL199" s="6">
        <v>882</v>
      </c>
      <c r="AM199" s="6">
        <v>3380</v>
      </c>
      <c r="AN199" s="6">
        <v>1135</v>
      </c>
      <c r="AO199" s="6">
        <v>4538</v>
      </c>
      <c r="AP199" s="6">
        <v>5809</v>
      </c>
      <c r="AQ199" s="6">
        <v>3310</v>
      </c>
      <c r="AR199" s="6">
        <v>5126</v>
      </c>
    </row>
    <row r="200" spans="1:44">
      <c r="A200" s="4" t="s">
        <v>868</v>
      </c>
      <c r="B200" s="1" t="s">
        <v>869</v>
      </c>
      <c r="C200" s="1" t="s">
        <v>115</v>
      </c>
      <c r="D200" s="1" t="str">
        <f>HYPERLINK("http://eros.fiehnlab.ucdavis.edu:8080/binbase-compound/bin/show/241319?db=rtx5","241319")</f>
        <v>241319</v>
      </c>
      <c r="E200" s="1" t="s">
        <v>870</v>
      </c>
      <c r="F200" s="1" t="s">
        <v>0</v>
      </c>
      <c r="G200" s="1" t="s">
        <v>0</v>
      </c>
      <c r="H200" s="1"/>
      <c r="I200" s="6">
        <v>3038</v>
      </c>
      <c r="J200" s="6">
        <v>286</v>
      </c>
      <c r="K200" s="6">
        <v>491</v>
      </c>
      <c r="L200" s="6">
        <v>6035</v>
      </c>
      <c r="M200" s="6">
        <v>768</v>
      </c>
      <c r="N200" s="6">
        <v>1526</v>
      </c>
      <c r="O200" s="6">
        <v>520</v>
      </c>
      <c r="P200" s="6">
        <v>262</v>
      </c>
      <c r="Q200" s="6">
        <v>2026</v>
      </c>
      <c r="R200" s="6">
        <v>2792</v>
      </c>
      <c r="S200" s="6">
        <v>359</v>
      </c>
      <c r="T200" s="6">
        <v>433</v>
      </c>
      <c r="U200" s="6">
        <v>1902</v>
      </c>
      <c r="V200" s="6">
        <v>1319</v>
      </c>
      <c r="W200" s="6">
        <v>830</v>
      </c>
      <c r="X200" s="6">
        <v>1820</v>
      </c>
      <c r="Y200" s="6">
        <v>804</v>
      </c>
      <c r="Z200" s="6">
        <v>1671</v>
      </c>
      <c r="AA200" s="6">
        <v>217</v>
      </c>
      <c r="AB200" s="6">
        <v>3916</v>
      </c>
      <c r="AC200" s="6">
        <v>1226</v>
      </c>
      <c r="AD200" s="6">
        <v>2510</v>
      </c>
      <c r="AE200" s="6">
        <v>1295</v>
      </c>
      <c r="AF200" s="6">
        <v>876</v>
      </c>
      <c r="AG200" s="6">
        <v>574</v>
      </c>
      <c r="AH200" s="6">
        <v>2162</v>
      </c>
      <c r="AI200" s="6">
        <v>1987</v>
      </c>
      <c r="AJ200" s="6">
        <v>750</v>
      </c>
      <c r="AK200" s="6">
        <v>1207</v>
      </c>
      <c r="AL200" s="6">
        <v>359</v>
      </c>
      <c r="AM200" s="6">
        <v>2082</v>
      </c>
      <c r="AN200" s="6">
        <v>1249</v>
      </c>
      <c r="AO200" s="6">
        <v>2117</v>
      </c>
      <c r="AP200" s="6">
        <v>4102</v>
      </c>
      <c r="AQ200" s="6">
        <v>1100</v>
      </c>
      <c r="AR200" s="6">
        <v>1912</v>
      </c>
    </row>
    <row r="201" spans="1:44">
      <c r="A201" s="4" t="s">
        <v>1137</v>
      </c>
      <c r="B201" s="1" t="s">
        <v>1138</v>
      </c>
      <c r="C201" s="1" t="s">
        <v>1139</v>
      </c>
      <c r="D201" s="1" t="str">
        <f>HYPERLINK("http://eros.fiehnlab.ucdavis.edu:8080/binbase-compound/bin/show/206256?db=rtx5","206256")</f>
        <v>206256</v>
      </c>
      <c r="E201" s="1" t="s">
        <v>1140</v>
      </c>
      <c r="F201" s="1" t="s">
        <v>0</v>
      </c>
      <c r="G201" s="1" t="s">
        <v>0</v>
      </c>
      <c r="H201" s="1"/>
      <c r="I201" s="6">
        <v>2638</v>
      </c>
      <c r="J201" s="6">
        <v>2420</v>
      </c>
      <c r="K201" s="6">
        <v>1127</v>
      </c>
      <c r="L201" s="6">
        <v>4702</v>
      </c>
      <c r="M201" s="6">
        <v>7470</v>
      </c>
      <c r="N201" s="6">
        <v>9700</v>
      </c>
      <c r="O201" s="6">
        <v>3717</v>
      </c>
      <c r="P201" s="6">
        <v>1500</v>
      </c>
      <c r="Q201" s="6">
        <v>4340</v>
      </c>
      <c r="R201" s="6">
        <v>4317</v>
      </c>
      <c r="S201" s="6">
        <v>1528</v>
      </c>
      <c r="T201" s="6">
        <v>1076</v>
      </c>
      <c r="U201" s="6">
        <v>4977</v>
      </c>
      <c r="V201" s="6">
        <v>1711</v>
      </c>
      <c r="W201" s="6">
        <v>2490</v>
      </c>
      <c r="X201" s="6">
        <v>3758</v>
      </c>
      <c r="Y201" s="6">
        <v>7053</v>
      </c>
      <c r="Z201" s="6">
        <v>3552</v>
      </c>
      <c r="AA201" s="6">
        <v>1822</v>
      </c>
      <c r="AB201" s="6">
        <v>8407</v>
      </c>
      <c r="AC201" s="6">
        <v>2627</v>
      </c>
      <c r="AD201" s="6">
        <v>4018</v>
      </c>
      <c r="AE201" s="6">
        <v>6678</v>
      </c>
      <c r="AF201" s="6">
        <v>2675</v>
      </c>
      <c r="AG201" s="6">
        <v>2524</v>
      </c>
      <c r="AH201" s="6">
        <v>6427</v>
      </c>
      <c r="AI201" s="6">
        <v>3306</v>
      </c>
      <c r="AJ201" s="6">
        <v>1709</v>
      </c>
      <c r="AK201" s="6">
        <v>3313</v>
      </c>
      <c r="AL201" s="6">
        <v>887</v>
      </c>
      <c r="AM201" s="6">
        <v>4661</v>
      </c>
      <c r="AN201" s="6">
        <v>2527</v>
      </c>
      <c r="AO201" s="6">
        <v>5002</v>
      </c>
      <c r="AP201" s="6">
        <v>3919</v>
      </c>
      <c r="AQ201" s="6">
        <v>3213</v>
      </c>
      <c r="AR201" s="6">
        <v>2970</v>
      </c>
    </row>
    <row r="202" spans="1:44">
      <c r="A202" s="4" t="s">
        <v>1168</v>
      </c>
      <c r="B202" s="1" t="s">
        <v>1169</v>
      </c>
      <c r="C202" s="1" t="s">
        <v>159</v>
      </c>
      <c r="D202" s="1" t="str">
        <f>HYPERLINK("http://eros.fiehnlab.ucdavis.edu:8080/binbase-compound/bin/show/200655?db=rtx5","200655")</f>
        <v>200655</v>
      </c>
      <c r="E202" s="1" t="s">
        <v>1170</v>
      </c>
      <c r="F202" s="1" t="s">
        <v>0</v>
      </c>
      <c r="G202" s="1" t="s">
        <v>0</v>
      </c>
      <c r="H202" s="1"/>
      <c r="I202" s="6">
        <v>1738</v>
      </c>
      <c r="J202" s="6">
        <v>537</v>
      </c>
      <c r="K202" s="6">
        <v>686</v>
      </c>
      <c r="L202" s="6">
        <v>2809</v>
      </c>
      <c r="M202" s="6">
        <v>1976</v>
      </c>
      <c r="N202" s="6">
        <v>1961</v>
      </c>
      <c r="O202" s="6">
        <v>1067</v>
      </c>
      <c r="P202" s="6">
        <v>520</v>
      </c>
      <c r="Q202" s="6">
        <v>1526</v>
      </c>
      <c r="R202" s="6">
        <v>2050</v>
      </c>
      <c r="S202" s="6">
        <v>681</v>
      </c>
      <c r="T202" s="6">
        <v>331</v>
      </c>
      <c r="U202" s="6">
        <v>2595</v>
      </c>
      <c r="V202" s="6">
        <v>823</v>
      </c>
      <c r="W202" s="6">
        <v>1320</v>
      </c>
      <c r="X202" s="6">
        <v>2829</v>
      </c>
      <c r="Y202" s="6">
        <v>2434</v>
      </c>
      <c r="Z202" s="6">
        <v>1828</v>
      </c>
      <c r="AA202" s="6">
        <v>594</v>
      </c>
      <c r="AB202" s="6">
        <v>2548</v>
      </c>
      <c r="AC202" s="6">
        <v>1695</v>
      </c>
      <c r="AD202" s="6">
        <v>2361</v>
      </c>
      <c r="AE202" s="6">
        <v>3388</v>
      </c>
      <c r="AF202" s="6">
        <v>740</v>
      </c>
      <c r="AG202" s="6">
        <v>746</v>
      </c>
      <c r="AH202" s="6">
        <v>2853</v>
      </c>
      <c r="AI202" s="6">
        <v>1732</v>
      </c>
      <c r="AJ202" s="6">
        <v>1227</v>
      </c>
      <c r="AK202" s="6">
        <v>1106</v>
      </c>
      <c r="AL202" s="6">
        <v>409</v>
      </c>
      <c r="AM202" s="6">
        <v>1298</v>
      </c>
      <c r="AN202" s="6">
        <v>781</v>
      </c>
      <c r="AO202" s="6">
        <v>1341</v>
      </c>
      <c r="AP202" s="6">
        <v>2736</v>
      </c>
      <c r="AQ202" s="6">
        <v>1707</v>
      </c>
      <c r="AR202" s="6">
        <v>2046</v>
      </c>
    </row>
    <row r="203" spans="1:44">
      <c r="A203" s="4" t="s">
        <v>696</v>
      </c>
      <c r="B203" s="1" t="s">
        <v>697</v>
      </c>
      <c r="C203" s="1" t="s">
        <v>115</v>
      </c>
      <c r="D203" s="1" t="str">
        <f>HYPERLINK("http://eros.fiehnlab.ucdavis.edu:8080/binbase-compound/bin/show/359687?db=rtx5","359687")</f>
        <v>359687</v>
      </c>
      <c r="E203" s="1" t="s">
        <v>698</v>
      </c>
      <c r="F203" s="1" t="s">
        <v>0</v>
      </c>
      <c r="G203" s="1" t="s">
        <v>0</v>
      </c>
      <c r="H203" s="1"/>
      <c r="I203" s="6">
        <v>3272</v>
      </c>
      <c r="J203" s="6">
        <v>360</v>
      </c>
      <c r="K203" s="6">
        <v>385</v>
      </c>
      <c r="L203" s="6">
        <v>3016</v>
      </c>
      <c r="M203" s="6">
        <v>2035</v>
      </c>
      <c r="N203" s="6">
        <v>3136</v>
      </c>
      <c r="O203" s="6">
        <v>899</v>
      </c>
      <c r="P203" s="6">
        <v>511</v>
      </c>
      <c r="Q203" s="6">
        <v>3142</v>
      </c>
      <c r="R203" s="6">
        <v>1288</v>
      </c>
      <c r="S203" s="6">
        <v>340</v>
      </c>
      <c r="T203" s="6">
        <v>316</v>
      </c>
      <c r="U203" s="6">
        <v>7099</v>
      </c>
      <c r="V203" s="6">
        <v>763</v>
      </c>
      <c r="W203" s="6">
        <v>2137</v>
      </c>
      <c r="X203" s="6">
        <v>2816</v>
      </c>
      <c r="Y203" s="6">
        <v>4184</v>
      </c>
      <c r="Z203" s="6">
        <v>2645</v>
      </c>
      <c r="AA203" s="6">
        <v>633</v>
      </c>
      <c r="AB203" s="6">
        <v>5692</v>
      </c>
      <c r="AC203" s="6">
        <v>706</v>
      </c>
      <c r="AD203" s="6">
        <v>2926</v>
      </c>
      <c r="AE203" s="6">
        <v>5108</v>
      </c>
      <c r="AF203" s="6">
        <v>727</v>
      </c>
      <c r="AG203" s="6">
        <v>665</v>
      </c>
      <c r="AH203" s="6">
        <v>7534</v>
      </c>
      <c r="AI203" s="6">
        <v>1397</v>
      </c>
      <c r="AJ203" s="6">
        <v>723</v>
      </c>
      <c r="AK203" s="6">
        <v>1896</v>
      </c>
      <c r="AL203" s="6">
        <v>387</v>
      </c>
      <c r="AM203" s="6">
        <v>2686</v>
      </c>
      <c r="AN203" s="6">
        <v>743</v>
      </c>
      <c r="AO203" s="6">
        <v>4319</v>
      </c>
      <c r="AP203" s="6">
        <v>4559</v>
      </c>
      <c r="AQ203" s="6">
        <v>1460</v>
      </c>
      <c r="AR203" s="6">
        <v>3444</v>
      </c>
    </row>
    <row r="204" spans="1:44">
      <c r="A204" s="4" t="s">
        <v>735</v>
      </c>
      <c r="B204" s="1" t="s">
        <v>736</v>
      </c>
      <c r="C204" s="1" t="s">
        <v>185</v>
      </c>
      <c r="D204" s="1" t="str">
        <f>HYPERLINK("http://eros.fiehnlab.ucdavis.edu:8080/binbase-compound/bin/show/330609?db=rtx5","330609")</f>
        <v>330609</v>
      </c>
      <c r="E204" s="1" t="s">
        <v>737</v>
      </c>
      <c r="F204" s="1" t="s">
        <v>0</v>
      </c>
      <c r="G204" s="1" t="s">
        <v>0</v>
      </c>
      <c r="H204" s="1"/>
      <c r="I204" s="6">
        <v>3261</v>
      </c>
      <c r="J204" s="6">
        <v>5444</v>
      </c>
      <c r="K204" s="6">
        <v>3238</v>
      </c>
      <c r="L204" s="6">
        <v>2181</v>
      </c>
      <c r="M204" s="6">
        <v>8165</v>
      </c>
      <c r="N204" s="6">
        <v>1890</v>
      </c>
      <c r="O204" s="6">
        <v>2282</v>
      </c>
      <c r="P204" s="6">
        <v>1316</v>
      </c>
      <c r="Q204" s="6">
        <v>4069</v>
      </c>
      <c r="R204" s="6">
        <v>2080</v>
      </c>
      <c r="S204" s="6">
        <v>3099</v>
      </c>
      <c r="T204" s="6">
        <v>414</v>
      </c>
      <c r="U204" s="6">
        <v>3527</v>
      </c>
      <c r="V204" s="6">
        <v>2328</v>
      </c>
      <c r="W204" s="6">
        <v>2287</v>
      </c>
      <c r="X204" s="6">
        <v>1324</v>
      </c>
      <c r="Y204" s="6">
        <v>2117</v>
      </c>
      <c r="Z204" s="6">
        <v>1883</v>
      </c>
      <c r="AA204" s="6">
        <v>4601</v>
      </c>
      <c r="AB204" s="6">
        <v>1533</v>
      </c>
      <c r="AC204" s="6">
        <v>1365</v>
      </c>
      <c r="AD204" s="6">
        <v>5074</v>
      </c>
      <c r="AE204" s="6">
        <v>831</v>
      </c>
      <c r="AF204" s="6">
        <v>1195</v>
      </c>
      <c r="AG204" s="6">
        <v>6020</v>
      </c>
      <c r="AH204" s="6">
        <v>7175</v>
      </c>
      <c r="AI204" s="6">
        <v>4876</v>
      </c>
      <c r="AJ204" s="6">
        <v>2911</v>
      </c>
      <c r="AK204" s="6">
        <v>3621</v>
      </c>
      <c r="AL204" s="6">
        <v>1832</v>
      </c>
      <c r="AM204" s="6">
        <v>1078</v>
      </c>
      <c r="AN204" s="6">
        <v>3291</v>
      </c>
      <c r="AO204" s="6">
        <v>3266</v>
      </c>
      <c r="AP204" s="6">
        <v>5222</v>
      </c>
      <c r="AQ204" s="6">
        <v>1311</v>
      </c>
      <c r="AR204" s="6">
        <v>2864</v>
      </c>
    </row>
    <row r="205" spans="1:44">
      <c r="A205" s="4" t="s">
        <v>1165</v>
      </c>
      <c r="B205" s="1" t="s">
        <v>1166</v>
      </c>
      <c r="C205" s="1" t="s">
        <v>835</v>
      </c>
      <c r="D205" s="1" t="str">
        <f>HYPERLINK("http://eros.fiehnlab.ucdavis.edu:8080/binbase-compound/bin/show/201005?db=rtx5","201005")</f>
        <v>201005</v>
      </c>
      <c r="E205" s="1" t="s">
        <v>1167</v>
      </c>
      <c r="F205" s="1" t="s">
        <v>0</v>
      </c>
      <c r="G205" s="1" t="s">
        <v>0</v>
      </c>
      <c r="H205" s="1"/>
      <c r="I205" s="6">
        <v>278</v>
      </c>
      <c r="J205" s="6">
        <v>102</v>
      </c>
      <c r="K205" s="6">
        <v>94</v>
      </c>
      <c r="L205" s="6">
        <v>849</v>
      </c>
      <c r="M205" s="6">
        <v>236</v>
      </c>
      <c r="N205" s="6">
        <v>598</v>
      </c>
      <c r="O205" s="6">
        <v>123</v>
      </c>
      <c r="P205" s="6">
        <v>109</v>
      </c>
      <c r="Q205" s="6">
        <v>288</v>
      </c>
      <c r="R205" s="6">
        <v>200</v>
      </c>
      <c r="S205" s="6">
        <v>105</v>
      </c>
      <c r="T205" s="6">
        <v>129</v>
      </c>
      <c r="U205" s="6">
        <v>746</v>
      </c>
      <c r="V205" s="6">
        <v>232</v>
      </c>
      <c r="W205" s="6">
        <v>364</v>
      </c>
      <c r="X205" s="6">
        <v>576</v>
      </c>
      <c r="Y205" s="6">
        <v>405</v>
      </c>
      <c r="Z205" s="6">
        <v>406</v>
      </c>
      <c r="AA205" s="6">
        <v>155</v>
      </c>
      <c r="AB205" s="6">
        <v>410</v>
      </c>
      <c r="AC205" s="6">
        <v>105</v>
      </c>
      <c r="AD205" s="6">
        <v>263</v>
      </c>
      <c r="AE205" s="6">
        <v>393</v>
      </c>
      <c r="AF205" s="6">
        <v>118</v>
      </c>
      <c r="AG205" s="6">
        <v>114</v>
      </c>
      <c r="AH205" s="6">
        <v>1017</v>
      </c>
      <c r="AI205" s="6">
        <v>120</v>
      </c>
      <c r="AJ205" s="6">
        <v>148</v>
      </c>
      <c r="AK205" s="6">
        <v>385</v>
      </c>
      <c r="AL205" s="6">
        <v>109</v>
      </c>
      <c r="AM205" s="6">
        <v>297</v>
      </c>
      <c r="AN205" s="6">
        <v>199</v>
      </c>
      <c r="AO205" s="6">
        <v>257</v>
      </c>
      <c r="AP205" s="6">
        <v>449</v>
      </c>
      <c r="AQ205" s="6">
        <v>177</v>
      </c>
      <c r="AR205" s="6">
        <v>243</v>
      </c>
    </row>
    <row r="206" spans="1:44">
      <c r="A206" s="4" t="s">
        <v>554</v>
      </c>
      <c r="B206" s="1" t="s">
        <v>555</v>
      </c>
      <c r="C206" s="1" t="s">
        <v>363</v>
      </c>
      <c r="D206" s="1" t="str">
        <f>HYPERLINK("http://eros.fiehnlab.ucdavis.edu:8080/binbase-compound/bin/show/409212?db=rtx5","409212")</f>
        <v>409212</v>
      </c>
      <c r="E206" s="1" t="s">
        <v>556</v>
      </c>
      <c r="F206" s="1" t="s">
        <v>0</v>
      </c>
      <c r="G206" s="1" t="s">
        <v>0</v>
      </c>
      <c r="H206" s="1"/>
      <c r="I206" s="6">
        <v>1878</v>
      </c>
      <c r="J206" s="6">
        <v>1113</v>
      </c>
      <c r="K206" s="6">
        <v>932</v>
      </c>
      <c r="L206" s="6">
        <v>2875</v>
      </c>
      <c r="M206" s="6">
        <v>1768</v>
      </c>
      <c r="N206" s="6">
        <v>1025</v>
      </c>
      <c r="O206" s="6">
        <v>1001</v>
      </c>
      <c r="P206" s="6">
        <v>806</v>
      </c>
      <c r="Q206" s="6">
        <v>1149</v>
      </c>
      <c r="R206" s="6">
        <v>673</v>
      </c>
      <c r="S206" s="6">
        <v>941</v>
      </c>
      <c r="T206" s="6">
        <v>846</v>
      </c>
      <c r="U206" s="6">
        <v>1682</v>
      </c>
      <c r="V206" s="6">
        <v>1447</v>
      </c>
      <c r="W206" s="6">
        <v>3764</v>
      </c>
      <c r="X206" s="6">
        <v>2548</v>
      </c>
      <c r="Y206" s="6">
        <v>1338</v>
      </c>
      <c r="Z206" s="6">
        <v>1516</v>
      </c>
      <c r="AA206" s="6">
        <v>1268</v>
      </c>
      <c r="AB206" s="6">
        <v>1050</v>
      </c>
      <c r="AC206" s="6">
        <v>981</v>
      </c>
      <c r="AD206" s="6">
        <v>2552</v>
      </c>
      <c r="AE206" s="6">
        <v>928</v>
      </c>
      <c r="AF206" s="6">
        <v>935</v>
      </c>
      <c r="AG206" s="6">
        <v>1749</v>
      </c>
      <c r="AH206" s="6">
        <v>3508</v>
      </c>
      <c r="AI206" s="6">
        <v>1511</v>
      </c>
      <c r="AJ206" s="6">
        <v>2646</v>
      </c>
      <c r="AK206" s="6">
        <v>3657</v>
      </c>
      <c r="AL206" s="6">
        <v>1680</v>
      </c>
      <c r="AM206" s="6">
        <v>2070</v>
      </c>
      <c r="AN206" s="6">
        <v>1091</v>
      </c>
      <c r="AO206" s="6">
        <v>2516</v>
      </c>
      <c r="AP206" s="6">
        <v>4339</v>
      </c>
      <c r="AQ206" s="6">
        <v>2475</v>
      </c>
      <c r="AR206" s="6">
        <v>1701</v>
      </c>
    </row>
    <row r="207" spans="1:44">
      <c r="A207" s="4" t="s">
        <v>924</v>
      </c>
      <c r="B207" s="1" t="s">
        <v>925</v>
      </c>
      <c r="C207" s="1" t="s">
        <v>115</v>
      </c>
      <c r="D207" s="1" t="str">
        <f>HYPERLINK("http://eros.fiehnlab.ucdavis.edu:8080/binbase-compound/bin/show/238149?db=rtx5","238149")</f>
        <v>238149</v>
      </c>
      <c r="E207" s="1" t="s">
        <v>926</v>
      </c>
      <c r="F207" s="1" t="s">
        <v>0</v>
      </c>
      <c r="G207" s="1" t="s">
        <v>0</v>
      </c>
      <c r="H207" s="1"/>
      <c r="I207" s="6">
        <v>971</v>
      </c>
      <c r="J207" s="6">
        <v>257</v>
      </c>
      <c r="K207" s="6">
        <v>374</v>
      </c>
      <c r="L207" s="6">
        <v>1762</v>
      </c>
      <c r="M207" s="6">
        <v>624</v>
      </c>
      <c r="N207" s="6">
        <v>1378</v>
      </c>
      <c r="O207" s="6">
        <v>509</v>
      </c>
      <c r="P207" s="6">
        <v>216</v>
      </c>
      <c r="Q207" s="6">
        <v>1066</v>
      </c>
      <c r="R207" s="6">
        <v>704</v>
      </c>
      <c r="S207" s="6">
        <v>311</v>
      </c>
      <c r="T207" s="6">
        <v>317</v>
      </c>
      <c r="U207" s="6">
        <v>2108</v>
      </c>
      <c r="V207" s="6">
        <v>425</v>
      </c>
      <c r="W207" s="6">
        <v>630</v>
      </c>
      <c r="X207" s="6">
        <v>1129</v>
      </c>
      <c r="Y207" s="6">
        <v>1247</v>
      </c>
      <c r="Z207" s="6">
        <v>680</v>
      </c>
      <c r="AA207" s="6">
        <v>226</v>
      </c>
      <c r="AB207" s="6">
        <v>1895</v>
      </c>
      <c r="AC207" s="6">
        <v>482</v>
      </c>
      <c r="AD207" s="6">
        <v>709</v>
      </c>
      <c r="AE207" s="6">
        <v>1282</v>
      </c>
      <c r="AF207" s="6">
        <v>474</v>
      </c>
      <c r="AG207" s="6">
        <v>332</v>
      </c>
      <c r="AH207" s="6">
        <v>1852</v>
      </c>
      <c r="AI207" s="6">
        <v>513</v>
      </c>
      <c r="AJ207" s="6">
        <v>334</v>
      </c>
      <c r="AK207" s="6">
        <v>724</v>
      </c>
      <c r="AL207" s="6">
        <v>255</v>
      </c>
      <c r="AM207" s="6">
        <v>812</v>
      </c>
      <c r="AN207" s="6">
        <v>250</v>
      </c>
      <c r="AO207" s="6">
        <v>1028</v>
      </c>
      <c r="AP207" s="6">
        <v>1364</v>
      </c>
      <c r="AQ207" s="6">
        <v>493</v>
      </c>
      <c r="AR207" s="6">
        <v>683</v>
      </c>
    </row>
    <row r="208" spans="1:44">
      <c r="A208" s="4" t="s">
        <v>730</v>
      </c>
      <c r="B208" s="1" t="s">
        <v>731</v>
      </c>
      <c r="C208" s="1" t="s">
        <v>153</v>
      </c>
      <c r="D208" s="1" t="str">
        <f>HYPERLINK("http://eros.fiehnlab.ucdavis.edu:8080/binbase-compound/bin/show/352812?db=rtx5","352812")</f>
        <v>352812</v>
      </c>
      <c r="E208" s="1" t="s">
        <v>732</v>
      </c>
      <c r="F208" s="1" t="s">
        <v>0</v>
      </c>
      <c r="G208" s="1" t="s">
        <v>0</v>
      </c>
      <c r="H208" s="1"/>
      <c r="I208" s="6">
        <v>9697</v>
      </c>
      <c r="J208" s="6">
        <v>6470</v>
      </c>
      <c r="K208" s="6">
        <v>6972</v>
      </c>
      <c r="L208" s="6">
        <v>18627</v>
      </c>
      <c r="M208" s="6">
        <v>12920</v>
      </c>
      <c r="N208" s="6">
        <v>16315</v>
      </c>
      <c r="O208" s="6">
        <v>6774</v>
      </c>
      <c r="P208" s="6">
        <v>3980</v>
      </c>
      <c r="Q208" s="6">
        <v>7387</v>
      </c>
      <c r="R208" s="6">
        <v>6719</v>
      </c>
      <c r="S208" s="6">
        <v>10065</v>
      </c>
      <c r="T208" s="6">
        <v>2452</v>
      </c>
      <c r="U208" s="6">
        <v>17338</v>
      </c>
      <c r="V208" s="6">
        <v>9089</v>
      </c>
      <c r="W208" s="6">
        <v>12092</v>
      </c>
      <c r="X208" s="6">
        <v>9470</v>
      </c>
      <c r="Y208" s="6">
        <v>16922</v>
      </c>
      <c r="Z208" s="6">
        <v>16419</v>
      </c>
      <c r="AA208" s="6">
        <v>4152</v>
      </c>
      <c r="AB208" s="6">
        <v>12069</v>
      </c>
      <c r="AC208" s="6">
        <v>7115</v>
      </c>
      <c r="AD208" s="6">
        <v>16347</v>
      </c>
      <c r="AE208" s="6">
        <v>10182</v>
      </c>
      <c r="AF208" s="6">
        <v>6377</v>
      </c>
      <c r="AG208" s="6">
        <v>16445</v>
      </c>
      <c r="AH208" s="6">
        <v>24291</v>
      </c>
      <c r="AI208" s="6">
        <v>5873</v>
      </c>
      <c r="AJ208" s="6">
        <v>5604</v>
      </c>
      <c r="AK208" s="6">
        <v>9279</v>
      </c>
      <c r="AL208" s="6">
        <v>8295</v>
      </c>
      <c r="AM208" s="6">
        <v>10417</v>
      </c>
      <c r="AN208" s="6">
        <v>7700</v>
      </c>
      <c r="AO208" s="6">
        <v>10280</v>
      </c>
      <c r="AP208" s="6">
        <v>14926</v>
      </c>
      <c r="AQ208" s="6">
        <v>14261</v>
      </c>
      <c r="AR208" s="6">
        <v>18305</v>
      </c>
    </row>
    <row r="209" spans="1:44">
      <c r="A209" s="4" t="s">
        <v>815</v>
      </c>
      <c r="B209" s="1" t="s">
        <v>816</v>
      </c>
      <c r="C209" s="1" t="s">
        <v>246</v>
      </c>
      <c r="D209" s="1" t="str">
        <f>HYPERLINK("http://eros.fiehnlab.ucdavis.edu:8080/binbase-compound/bin/show/269272?db=rtx5","269272")</f>
        <v>269272</v>
      </c>
      <c r="E209" s="1" t="s">
        <v>817</v>
      </c>
      <c r="F209" s="1" t="s">
        <v>0</v>
      </c>
      <c r="G209" s="1" t="s">
        <v>0</v>
      </c>
      <c r="H209" s="1"/>
      <c r="I209" s="6">
        <v>6340</v>
      </c>
      <c r="J209" s="6">
        <v>979</v>
      </c>
      <c r="K209" s="6">
        <v>881</v>
      </c>
      <c r="L209" s="6">
        <v>2730</v>
      </c>
      <c r="M209" s="6">
        <v>5249</v>
      </c>
      <c r="N209" s="6">
        <v>11449</v>
      </c>
      <c r="O209" s="6">
        <v>1482</v>
      </c>
      <c r="P209" s="6">
        <v>867</v>
      </c>
      <c r="Q209" s="6">
        <v>10058</v>
      </c>
      <c r="R209" s="6">
        <v>4825</v>
      </c>
      <c r="S209" s="6">
        <v>1944</v>
      </c>
      <c r="T209" s="6">
        <v>637</v>
      </c>
      <c r="U209" s="6">
        <v>26042</v>
      </c>
      <c r="V209" s="6">
        <v>956</v>
      </c>
      <c r="W209" s="6">
        <v>4189</v>
      </c>
      <c r="X209" s="6">
        <v>1966</v>
      </c>
      <c r="Y209" s="6">
        <v>5715</v>
      </c>
      <c r="Z209" s="6">
        <v>6135</v>
      </c>
      <c r="AA209" s="6">
        <v>1101</v>
      </c>
      <c r="AB209" s="6">
        <v>21284</v>
      </c>
      <c r="AC209" s="6">
        <v>918</v>
      </c>
      <c r="AD209" s="6">
        <v>4443</v>
      </c>
      <c r="AE209" s="6">
        <v>9058</v>
      </c>
      <c r="AF209" s="6">
        <v>1642</v>
      </c>
      <c r="AG209" s="6">
        <v>525</v>
      </c>
      <c r="AH209" s="6">
        <v>16630</v>
      </c>
      <c r="AI209" s="6">
        <v>2381</v>
      </c>
      <c r="AJ209" s="6">
        <v>677</v>
      </c>
      <c r="AK209" s="6">
        <v>5056</v>
      </c>
      <c r="AL209" s="6">
        <v>766</v>
      </c>
      <c r="AM209" s="6">
        <v>8715</v>
      </c>
      <c r="AN209" s="6">
        <v>1171</v>
      </c>
      <c r="AO209" s="6">
        <v>12754</v>
      </c>
      <c r="AP209" s="6">
        <v>10256</v>
      </c>
      <c r="AQ209" s="6">
        <v>1505</v>
      </c>
      <c r="AR209" s="6">
        <v>3948</v>
      </c>
    </row>
    <row r="210" spans="1:44">
      <c r="A210" s="4" t="s">
        <v>1156</v>
      </c>
      <c r="B210" s="1" t="s">
        <v>1157</v>
      </c>
      <c r="C210" s="1" t="s">
        <v>101</v>
      </c>
      <c r="D210" s="1" t="str">
        <f>HYPERLINK("http://eros.fiehnlab.ucdavis.edu:8080/binbase-compound/bin/show/201862?db=rtx5","201862")</f>
        <v>201862</v>
      </c>
      <c r="E210" s="1" t="s">
        <v>1158</v>
      </c>
      <c r="F210" s="1" t="s">
        <v>0</v>
      </c>
      <c r="G210" s="1" t="s">
        <v>0</v>
      </c>
      <c r="H210" s="1"/>
      <c r="I210" s="6">
        <v>111</v>
      </c>
      <c r="J210" s="6">
        <v>302</v>
      </c>
      <c r="K210" s="6">
        <v>98</v>
      </c>
      <c r="L210" s="6">
        <v>114</v>
      </c>
      <c r="M210" s="6">
        <v>190</v>
      </c>
      <c r="N210" s="6">
        <v>385</v>
      </c>
      <c r="O210" s="6">
        <v>139</v>
      </c>
      <c r="P210" s="6">
        <v>315</v>
      </c>
      <c r="Q210" s="6">
        <v>464</v>
      </c>
      <c r="R210" s="6">
        <v>331</v>
      </c>
      <c r="S210" s="6">
        <v>369</v>
      </c>
      <c r="T210" s="6">
        <v>155</v>
      </c>
      <c r="U210" s="6">
        <v>600</v>
      </c>
      <c r="V210" s="6">
        <v>129</v>
      </c>
      <c r="W210" s="6">
        <v>121</v>
      </c>
      <c r="X210" s="6">
        <v>99</v>
      </c>
      <c r="Y210" s="6">
        <v>134</v>
      </c>
      <c r="Z210" s="6">
        <v>355</v>
      </c>
      <c r="AA210" s="6">
        <v>158</v>
      </c>
      <c r="AB210" s="6">
        <v>204</v>
      </c>
      <c r="AC210" s="6">
        <v>351</v>
      </c>
      <c r="AD210" s="6">
        <v>131</v>
      </c>
      <c r="AE210" s="6">
        <v>132</v>
      </c>
      <c r="AF210" s="6">
        <v>144</v>
      </c>
      <c r="AG210" s="6">
        <v>129</v>
      </c>
      <c r="AH210" s="6">
        <v>130</v>
      </c>
      <c r="AI210" s="6">
        <v>137</v>
      </c>
      <c r="AJ210" s="6">
        <v>389</v>
      </c>
      <c r="AK210" s="6">
        <v>344</v>
      </c>
      <c r="AL210" s="6">
        <v>222</v>
      </c>
      <c r="AM210" s="6">
        <v>107</v>
      </c>
      <c r="AN210" s="6">
        <v>368</v>
      </c>
      <c r="AO210" s="6">
        <v>138</v>
      </c>
      <c r="AP210" s="6">
        <v>444</v>
      </c>
      <c r="AQ210" s="6">
        <v>330</v>
      </c>
      <c r="AR210" s="6">
        <v>136</v>
      </c>
    </row>
    <row r="211" spans="1:44">
      <c r="A211" s="4" t="s">
        <v>708</v>
      </c>
      <c r="B211" s="1" t="s">
        <v>709</v>
      </c>
      <c r="C211" s="1" t="s">
        <v>203</v>
      </c>
      <c r="D211" s="1" t="str">
        <f>HYPERLINK("http://eros.fiehnlab.ucdavis.edu:8080/binbase-compound/bin/show/359483?db=rtx5","359483")</f>
        <v>359483</v>
      </c>
      <c r="E211" s="1" t="s">
        <v>710</v>
      </c>
      <c r="F211" s="1" t="s">
        <v>0</v>
      </c>
      <c r="G211" s="1" t="s">
        <v>0</v>
      </c>
      <c r="H211" s="1"/>
      <c r="I211" s="6">
        <v>5172</v>
      </c>
      <c r="J211" s="6">
        <v>820</v>
      </c>
      <c r="K211" s="6">
        <v>879</v>
      </c>
      <c r="L211" s="6">
        <v>5093</v>
      </c>
      <c r="M211" s="6">
        <v>3055</v>
      </c>
      <c r="N211" s="6">
        <v>6386</v>
      </c>
      <c r="O211" s="6">
        <v>1467</v>
      </c>
      <c r="P211" s="6">
        <v>823</v>
      </c>
      <c r="Q211" s="6">
        <v>4200</v>
      </c>
      <c r="R211" s="6">
        <v>2400</v>
      </c>
      <c r="S211" s="6">
        <v>1335</v>
      </c>
      <c r="T211" s="6">
        <v>1103</v>
      </c>
      <c r="U211" s="6">
        <v>9938</v>
      </c>
      <c r="V211" s="6">
        <v>838</v>
      </c>
      <c r="W211" s="6">
        <v>2906</v>
      </c>
      <c r="X211" s="6">
        <v>2744</v>
      </c>
      <c r="Y211" s="6">
        <v>4665</v>
      </c>
      <c r="Z211" s="6">
        <v>3850</v>
      </c>
      <c r="AA211" s="6">
        <v>932</v>
      </c>
      <c r="AB211" s="6">
        <v>8259</v>
      </c>
      <c r="AC211" s="6">
        <v>1709</v>
      </c>
      <c r="AD211" s="6">
        <v>3710</v>
      </c>
      <c r="AE211" s="6">
        <v>4535</v>
      </c>
      <c r="AF211" s="6">
        <v>1067</v>
      </c>
      <c r="AG211" s="6">
        <v>1163</v>
      </c>
      <c r="AH211" s="6">
        <v>9006</v>
      </c>
      <c r="AI211" s="6">
        <v>1874</v>
      </c>
      <c r="AJ211" s="6">
        <v>1384</v>
      </c>
      <c r="AK211" s="6">
        <v>3344</v>
      </c>
      <c r="AL211" s="6">
        <v>909</v>
      </c>
      <c r="AM211" s="6">
        <v>3445</v>
      </c>
      <c r="AN211" s="6">
        <v>1082</v>
      </c>
      <c r="AO211" s="6">
        <v>4992</v>
      </c>
      <c r="AP211" s="6">
        <v>5795</v>
      </c>
      <c r="AQ211" s="6">
        <v>2480</v>
      </c>
      <c r="AR211" s="6">
        <v>4167</v>
      </c>
    </row>
    <row r="212" spans="1:44">
      <c r="A212" s="4" t="s">
        <v>651</v>
      </c>
      <c r="B212" s="1" t="s">
        <v>652</v>
      </c>
      <c r="C212" s="1" t="s">
        <v>653</v>
      </c>
      <c r="D212" s="1" t="str">
        <f>HYPERLINK("http://eros.fiehnlab.ucdavis.edu:8080/binbase-compound/bin/show/398950?db=rtx5","398950")</f>
        <v>398950</v>
      </c>
      <c r="E212" s="1" t="s">
        <v>654</v>
      </c>
      <c r="F212" s="1" t="s">
        <v>0</v>
      </c>
      <c r="G212" s="1" t="s">
        <v>0</v>
      </c>
      <c r="H212" s="1"/>
      <c r="I212" s="6">
        <v>428</v>
      </c>
      <c r="J212" s="6">
        <v>133</v>
      </c>
      <c r="K212" s="6">
        <v>213</v>
      </c>
      <c r="L212" s="6">
        <v>671</v>
      </c>
      <c r="M212" s="6">
        <v>180</v>
      </c>
      <c r="N212" s="6">
        <v>229</v>
      </c>
      <c r="O212" s="6">
        <v>321</v>
      </c>
      <c r="P212" s="6">
        <v>174</v>
      </c>
      <c r="Q212" s="6">
        <v>429</v>
      </c>
      <c r="R212" s="6">
        <v>189</v>
      </c>
      <c r="S212" s="6">
        <v>194</v>
      </c>
      <c r="T212" s="6">
        <v>176</v>
      </c>
      <c r="U212" s="6">
        <v>535</v>
      </c>
      <c r="V212" s="6">
        <v>198</v>
      </c>
      <c r="W212" s="6">
        <v>296</v>
      </c>
      <c r="X212" s="6">
        <v>386</v>
      </c>
      <c r="Y212" s="6">
        <v>321</v>
      </c>
      <c r="Z212" s="6">
        <v>805</v>
      </c>
      <c r="AA212" s="6">
        <v>184</v>
      </c>
      <c r="AB212" s="6">
        <v>746</v>
      </c>
      <c r="AC212" s="6">
        <v>188</v>
      </c>
      <c r="AD212" s="6">
        <v>391</v>
      </c>
      <c r="AE212" s="6">
        <v>159</v>
      </c>
      <c r="AF212" s="6">
        <v>307</v>
      </c>
      <c r="AG212" s="6">
        <v>142</v>
      </c>
      <c r="AH212" s="6">
        <v>387</v>
      </c>
      <c r="AI212" s="6">
        <v>128</v>
      </c>
      <c r="AJ212" s="6">
        <v>206</v>
      </c>
      <c r="AK212" s="6">
        <v>413</v>
      </c>
      <c r="AL212" s="6">
        <v>267</v>
      </c>
      <c r="AM212" s="6">
        <v>307</v>
      </c>
      <c r="AN212" s="6">
        <v>237</v>
      </c>
      <c r="AO212" s="6">
        <v>484</v>
      </c>
      <c r="AP212" s="6">
        <v>562</v>
      </c>
      <c r="AQ212" s="6">
        <v>1364</v>
      </c>
      <c r="AR212" s="6">
        <v>863</v>
      </c>
    </row>
    <row r="213" spans="1:44">
      <c r="A213" s="4" t="s">
        <v>585</v>
      </c>
      <c r="B213" s="1" t="s">
        <v>586</v>
      </c>
      <c r="C213" s="1" t="s">
        <v>165</v>
      </c>
      <c r="D213" s="1" t="str">
        <f>HYPERLINK("http://eros.fiehnlab.ucdavis.edu:8080/binbase-compound/bin/show/408855?db=rtx5","408855")</f>
        <v>408855</v>
      </c>
      <c r="E213" s="1" t="s">
        <v>587</v>
      </c>
      <c r="F213" s="1" t="s">
        <v>0</v>
      </c>
      <c r="G213" s="1" t="s">
        <v>0</v>
      </c>
      <c r="H213" s="1"/>
      <c r="I213" s="6">
        <v>3142</v>
      </c>
      <c r="J213" s="6">
        <v>77</v>
      </c>
      <c r="K213" s="6">
        <v>144</v>
      </c>
      <c r="L213" s="6">
        <v>9407</v>
      </c>
      <c r="M213" s="6">
        <v>1985</v>
      </c>
      <c r="N213" s="6">
        <v>5444</v>
      </c>
      <c r="O213" s="6">
        <v>679</v>
      </c>
      <c r="P213" s="6">
        <v>198</v>
      </c>
      <c r="Q213" s="6">
        <v>3340</v>
      </c>
      <c r="R213" s="6">
        <v>3941</v>
      </c>
      <c r="S213" s="6">
        <v>148</v>
      </c>
      <c r="T213" s="6">
        <v>144</v>
      </c>
      <c r="U213" s="6">
        <v>14317</v>
      </c>
      <c r="V213" s="6">
        <v>1340</v>
      </c>
      <c r="W213" s="6">
        <v>3195</v>
      </c>
      <c r="X213" s="6">
        <v>1074</v>
      </c>
      <c r="Y213" s="6">
        <v>6841</v>
      </c>
      <c r="Z213" s="6">
        <v>5253</v>
      </c>
      <c r="AA213" s="6">
        <v>98</v>
      </c>
      <c r="AB213" s="6">
        <v>11878</v>
      </c>
      <c r="AC213" s="6">
        <v>284</v>
      </c>
      <c r="AD213" s="6">
        <v>4915</v>
      </c>
      <c r="AE213" s="6">
        <v>2553</v>
      </c>
      <c r="AF213" s="6">
        <v>515</v>
      </c>
      <c r="AG213" s="6">
        <v>530</v>
      </c>
      <c r="AH213" s="6">
        <v>11482</v>
      </c>
      <c r="AI213" s="6">
        <v>799</v>
      </c>
      <c r="AJ213" s="6">
        <v>583</v>
      </c>
      <c r="AK213" s="6">
        <v>1426</v>
      </c>
      <c r="AL213" s="6">
        <v>199</v>
      </c>
      <c r="AM213" s="6">
        <v>3637</v>
      </c>
      <c r="AN213" s="6">
        <v>2214</v>
      </c>
      <c r="AO213" s="6">
        <v>5792</v>
      </c>
      <c r="AP213" s="6">
        <v>7858</v>
      </c>
      <c r="AQ213" s="6">
        <v>1027</v>
      </c>
      <c r="AR213" s="6">
        <v>5780</v>
      </c>
    </row>
    <row r="214" spans="1:44">
      <c r="A214" s="4" t="s">
        <v>1125</v>
      </c>
      <c r="B214" s="1" t="s">
        <v>1126</v>
      </c>
      <c r="C214" s="1" t="s">
        <v>185</v>
      </c>
      <c r="D214" s="1" t="str">
        <f>HYPERLINK("http://eros.fiehnlab.ucdavis.edu:8080/binbase-compound/bin/show/210557?db=rtx5","210557")</f>
        <v>210557</v>
      </c>
      <c r="E214" s="1" t="s">
        <v>1127</v>
      </c>
      <c r="F214" s="1" t="s">
        <v>0</v>
      </c>
      <c r="G214" s="1" t="s">
        <v>0</v>
      </c>
      <c r="H214" s="1"/>
      <c r="I214" s="6">
        <v>498</v>
      </c>
      <c r="J214" s="6">
        <v>845</v>
      </c>
      <c r="K214" s="6">
        <v>771</v>
      </c>
      <c r="L214" s="6">
        <v>486</v>
      </c>
      <c r="M214" s="6">
        <v>1169</v>
      </c>
      <c r="N214" s="6">
        <v>443</v>
      </c>
      <c r="O214" s="6">
        <v>692</v>
      </c>
      <c r="P214" s="6">
        <v>687</v>
      </c>
      <c r="Q214" s="6">
        <v>635</v>
      </c>
      <c r="R214" s="6">
        <v>820</v>
      </c>
      <c r="S214" s="6">
        <v>924</v>
      </c>
      <c r="T214" s="6">
        <v>439</v>
      </c>
      <c r="U214" s="6">
        <v>619</v>
      </c>
      <c r="V214" s="6">
        <v>432</v>
      </c>
      <c r="W214" s="6">
        <v>654</v>
      </c>
      <c r="X214" s="6">
        <v>692</v>
      </c>
      <c r="Y214" s="6">
        <v>796</v>
      </c>
      <c r="Z214" s="6">
        <v>548</v>
      </c>
      <c r="AA214" s="6">
        <v>990</v>
      </c>
      <c r="AB214" s="6">
        <v>1119</v>
      </c>
      <c r="AC214" s="6">
        <v>1484</v>
      </c>
      <c r="AD214" s="6">
        <v>1069</v>
      </c>
      <c r="AE214" s="6">
        <v>712</v>
      </c>
      <c r="AF214" s="6">
        <v>1132</v>
      </c>
      <c r="AG214" s="6">
        <v>6580</v>
      </c>
      <c r="AH214" s="6">
        <v>3442</v>
      </c>
      <c r="AI214" s="6">
        <v>3695</v>
      </c>
      <c r="AJ214" s="6">
        <v>2942</v>
      </c>
      <c r="AK214" s="6">
        <v>1883</v>
      </c>
      <c r="AL214" s="6">
        <v>2551</v>
      </c>
      <c r="AM214" s="6">
        <v>673</v>
      </c>
      <c r="AN214" s="6">
        <v>610</v>
      </c>
      <c r="AO214" s="6">
        <v>877</v>
      </c>
      <c r="AP214" s="6">
        <v>1118</v>
      </c>
      <c r="AQ214" s="6">
        <v>763</v>
      </c>
      <c r="AR214" s="6">
        <v>908</v>
      </c>
    </row>
    <row r="215" spans="1:44">
      <c r="A215" s="4" t="s">
        <v>871</v>
      </c>
      <c r="B215" s="1" t="s">
        <v>872</v>
      </c>
      <c r="C215" s="1" t="s">
        <v>265</v>
      </c>
      <c r="D215" s="1" t="str">
        <f>HYPERLINK("http://eros.fiehnlab.ucdavis.edu:8080/binbase-compound/bin/show/241271?db=rtx5","241271")</f>
        <v>241271</v>
      </c>
      <c r="E215" s="1" t="s">
        <v>873</v>
      </c>
      <c r="F215" s="1" t="s">
        <v>0</v>
      </c>
      <c r="G215" s="1" t="s">
        <v>0</v>
      </c>
      <c r="H215" s="1"/>
      <c r="I215" s="6">
        <v>1139</v>
      </c>
      <c r="J215" s="6">
        <v>39</v>
      </c>
      <c r="K215" s="6">
        <v>80</v>
      </c>
      <c r="L215" s="6">
        <v>547</v>
      </c>
      <c r="M215" s="6">
        <v>169</v>
      </c>
      <c r="N215" s="6">
        <v>917</v>
      </c>
      <c r="O215" s="6">
        <v>336</v>
      </c>
      <c r="P215" s="6">
        <v>76</v>
      </c>
      <c r="Q215" s="6">
        <v>1423</v>
      </c>
      <c r="R215" s="6">
        <v>738</v>
      </c>
      <c r="S215" s="6">
        <v>135</v>
      </c>
      <c r="T215" s="6">
        <v>92</v>
      </c>
      <c r="U215" s="6">
        <v>3255</v>
      </c>
      <c r="V215" s="6">
        <v>250</v>
      </c>
      <c r="W215" s="6">
        <v>481</v>
      </c>
      <c r="X215" s="6">
        <v>499</v>
      </c>
      <c r="Y215" s="6">
        <v>355</v>
      </c>
      <c r="Z215" s="6">
        <v>494</v>
      </c>
      <c r="AA215" s="6">
        <v>106</v>
      </c>
      <c r="AB215" s="6">
        <v>3002</v>
      </c>
      <c r="AC215" s="6">
        <v>184</v>
      </c>
      <c r="AD215" s="6">
        <v>476</v>
      </c>
      <c r="AE215" s="6">
        <v>1220</v>
      </c>
      <c r="AF215" s="6">
        <v>400</v>
      </c>
      <c r="AG215" s="6">
        <v>33</v>
      </c>
      <c r="AH215" s="6">
        <v>2234</v>
      </c>
      <c r="AI215" s="6">
        <v>474</v>
      </c>
      <c r="AJ215" s="6">
        <v>238</v>
      </c>
      <c r="AK215" s="6">
        <v>436</v>
      </c>
      <c r="AL215" s="6">
        <v>49</v>
      </c>
      <c r="AM215" s="6">
        <v>1255</v>
      </c>
      <c r="AN215" s="6">
        <v>149</v>
      </c>
      <c r="AO215" s="6">
        <v>1574</v>
      </c>
      <c r="AP215" s="6">
        <v>1139</v>
      </c>
      <c r="AQ215" s="6">
        <v>287</v>
      </c>
      <c r="AR215" s="6">
        <v>320</v>
      </c>
    </row>
    <row r="216" spans="1:44">
      <c r="A216" s="4" t="s">
        <v>521</v>
      </c>
      <c r="B216" s="1" t="s">
        <v>522</v>
      </c>
      <c r="C216" s="1" t="s">
        <v>201</v>
      </c>
      <c r="D216" s="1" t="str">
        <f>HYPERLINK("http://eros.fiehnlab.ucdavis.edu:8080/binbase-compound/bin/show/410624?db=rtx5","410624")</f>
        <v>410624</v>
      </c>
      <c r="E216" s="1" t="s">
        <v>523</v>
      </c>
      <c r="F216" s="1" t="s">
        <v>0</v>
      </c>
      <c r="G216" s="1" t="s">
        <v>0</v>
      </c>
      <c r="H216" s="1"/>
      <c r="I216" s="6">
        <v>329941</v>
      </c>
      <c r="J216" s="6">
        <v>85813</v>
      </c>
      <c r="K216" s="6">
        <v>62427</v>
      </c>
      <c r="L216" s="6">
        <v>387979</v>
      </c>
      <c r="M216" s="6">
        <v>143003</v>
      </c>
      <c r="N216" s="6">
        <v>325402</v>
      </c>
      <c r="O216" s="6">
        <v>215483</v>
      </c>
      <c r="P216" s="6">
        <v>30940</v>
      </c>
      <c r="Q216" s="6">
        <v>464517</v>
      </c>
      <c r="R216" s="6">
        <v>354689</v>
      </c>
      <c r="S216" s="6">
        <v>70345</v>
      </c>
      <c r="T216" s="6">
        <v>62684</v>
      </c>
      <c r="U216" s="6">
        <v>552008</v>
      </c>
      <c r="V216" s="6">
        <v>155698</v>
      </c>
      <c r="W216" s="6">
        <v>342248</v>
      </c>
      <c r="X216" s="6">
        <v>393578</v>
      </c>
      <c r="Y216" s="6">
        <v>349728</v>
      </c>
      <c r="Z216" s="6">
        <v>376118</v>
      </c>
      <c r="AA216" s="6">
        <v>103167</v>
      </c>
      <c r="AB216" s="6">
        <v>723081</v>
      </c>
      <c r="AC216" s="6">
        <v>220109</v>
      </c>
      <c r="AD216" s="6">
        <v>475089</v>
      </c>
      <c r="AE216" s="6">
        <v>483872</v>
      </c>
      <c r="AF216" s="6">
        <v>251925</v>
      </c>
      <c r="AG216" s="6">
        <v>268129</v>
      </c>
      <c r="AH216" s="6">
        <v>483796</v>
      </c>
      <c r="AI216" s="6">
        <v>311424</v>
      </c>
      <c r="AJ216" s="6">
        <v>112538</v>
      </c>
      <c r="AK216" s="6">
        <v>265291</v>
      </c>
      <c r="AL216" s="6">
        <v>44739</v>
      </c>
      <c r="AM216" s="6">
        <v>293265</v>
      </c>
      <c r="AN216" s="6">
        <v>199101</v>
      </c>
      <c r="AO216" s="6">
        <v>455603</v>
      </c>
      <c r="AP216" s="6">
        <v>540178</v>
      </c>
      <c r="AQ216" s="6">
        <v>198490</v>
      </c>
      <c r="AR216" s="6">
        <v>379741</v>
      </c>
    </row>
    <row r="217" spans="1:44">
      <c r="A217" s="4" t="s">
        <v>982</v>
      </c>
      <c r="B217" s="1" t="s">
        <v>983</v>
      </c>
      <c r="C217" s="1" t="s">
        <v>159</v>
      </c>
      <c r="D217" s="1" t="str">
        <f>HYPERLINK("http://eros.fiehnlab.ucdavis.edu:8080/binbase-compound/bin/show/231802?db=rtx5","231802")</f>
        <v>231802</v>
      </c>
      <c r="E217" s="1" t="s">
        <v>984</v>
      </c>
      <c r="F217" s="1" t="s">
        <v>0</v>
      </c>
      <c r="G217" s="1" t="s">
        <v>0</v>
      </c>
      <c r="H217" s="1"/>
      <c r="I217" s="6">
        <v>7101</v>
      </c>
      <c r="J217" s="6">
        <v>593</v>
      </c>
      <c r="K217" s="6">
        <v>558</v>
      </c>
      <c r="L217" s="6">
        <v>9720</v>
      </c>
      <c r="M217" s="6">
        <v>3713</v>
      </c>
      <c r="N217" s="6">
        <v>8955</v>
      </c>
      <c r="O217" s="6">
        <v>3009</v>
      </c>
      <c r="P217" s="6">
        <v>782</v>
      </c>
      <c r="Q217" s="6">
        <v>5338</v>
      </c>
      <c r="R217" s="6">
        <v>4173</v>
      </c>
      <c r="S217" s="6">
        <v>691</v>
      </c>
      <c r="T217" s="6">
        <v>598</v>
      </c>
      <c r="U217" s="6">
        <v>12154</v>
      </c>
      <c r="V217" s="6">
        <v>1033</v>
      </c>
      <c r="W217" s="6">
        <v>3422</v>
      </c>
      <c r="X217" s="6">
        <v>5900</v>
      </c>
      <c r="Y217" s="6">
        <v>6451</v>
      </c>
      <c r="Z217" s="6">
        <v>4866</v>
      </c>
      <c r="AA217" s="6">
        <v>975</v>
      </c>
      <c r="AB217" s="6">
        <v>12308</v>
      </c>
      <c r="AC217" s="6">
        <v>990</v>
      </c>
      <c r="AD217" s="6">
        <v>5019</v>
      </c>
      <c r="AE217" s="6">
        <v>7539</v>
      </c>
      <c r="AF217" s="6">
        <v>1762</v>
      </c>
      <c r="AG217" s="6">
        <v>1043</v>
      </c>
      <c r="AH217" s="6">
        <v>11309</v>
      </c>
      <c r="AI217" s="6">
        <v>2785</v>
      </c>
      <c r="AJ217" s="6">
        <v>1067</v>
      </c>
      <c r="AK217" s="6">
        <v>3450</v>
      </c>
      <c r="AL217" s="6">
        <v>652</v>
      </c>
      <c r="AM217" s="6">
        <v>4168</v>
      </c>
      <c r="AN217" s="6">
        <v>1179</v>
      </c>
      <c r="AO217" s="6">
        <v>6385</v>
      </c>
      <c r="AP217" s="6">
        <v>8236</v>
      </c>
      <c r="AQ217" s="6">
        <v>2482</v>
      </c>
      <c r="AR217" s="6">
        <v>6314</v>
      </c>
    </row>
    <row r="218" spans="1:44">
      <c r="A218" s="4" t="s">
        <v>899</v>
      </c>
      <c r="B218" s="1" t="s">
        <v>900</v>
      </c>
      <c r="C218" s="1" t="s">
        <v>518</v>
      </c>
      <c r="D218" s="1" t="str">
        <f>HYPERLINK("http://eros.fiehnlab.ucdavis.edu:8080/binbase-compound/bin/show/241039?db=rtx5","241039")</f>
        <v>241039</v>
      </c>
      <c r="E218" s="1" t="s">
        <v>901</v>
      </c>
      <c r="F218" s="1" t="s">
        <v>0</v>
      </c>
      <c r="G218" s="1" t="s">
        <v>0</v>
      </c>
      <c r="H218" s="1"/>
      <c r="I218" s="6">
        <v>354</v>
      </c>
      <c r="J218" s="6">
        <v>168</v>
      </c>
      <c r="K218" s="6">
        <v>170</v>
      </c>
      <c r="L218" s="6">
        <v>729</v>
      </c>
      <c r="M218" s="6">
        <v>344</v>
      </c>
      <c r="N218" s="6">
        <v>713</v>
      </c>
      <c r="O218" s="6">
        <v>242</v>
      </c>
      <c r="P218" s="6">
        <v>164</v>
      </c>
      <c r="Q218" s="6">
        <v>206</v>
      </c>
      <c r="R218" s="6">
        <v>286</v>
      </c>
      <c r="S218" s="6">
        <v>172</v>
      </c>
      <c r="T218" s="6">
        <v>113</v>
      </c>
      <c r="U218" s="6">
        <v>780</v>
      </c>
      <c r="V218" s="6">
        <v>161</v>
      </c>
      <c r="W218" s="6">
        <v>314</v>
      </c>
      <c r="X218" s="6">
        <v>300</v>
      </c>
      <c r="Y218" s="6">
        <v>428</v>
      </c>
      <c r="Z218" s="6">
        <v>225</v>
      </c>
      <c r="AA218" s="6">
        <v>153</v>
      </c>
      <c r="AB218" s="6">
        <v>578</v>
      </c>
      <c r="AC218" s="6">
        <v>119</v>
      </c>
      <c r="AD218" s="6">
        <v>322</v>
      </c>
      <c r="AE218" s="6">
        <v>369</v>
      </c>
      <c r="AF218" s="6">
        <v>203</v>
      </c>
      <c r="AG218" s="6">
        <v>147</v>
      </c>
      <c r="AH218" s="6">
        <v>854</v>
      </c>
      <c r="AI218" s="6">
        <v>183</v>
      </c>
      <c r="AJ218" s="6">
        <v>143</v>
      </c>
      <c r="AK218" s="6">
        <v>223</v>
      </c>
      <c r="AL218" s="6">
        <v>156</v>
      </c>
      <c r="AM218" s="6">
        <v>337</v>
      </c>
      <c r="AN218" s="6">
        <v>165</v>
      </c>
      <c r="AO218" s="6">
        <v>353</v>
      </c>
      <c r="AP218" s="6">
        <v>392</v>
      </c>
      <c r="AQ218" s="6">
        <v>276</v>
      </c>
      <c r="AR218" s="6">
        <v>297</v>
      </c>
    </row>
    <row r="219" spans="1:44">
      <c r="A219" s="4" t="s">
        <v>855</v>
      </c>
      <c r="B219" s="1" t="s">
        <v>856</v>
      </c>
      <c r="C219" s="1" t="s">
        <v>137</v>
      </c>
      <c r="D219" s="1" t="str">
        <f>HYPERLINK("http://eros.fiehnlab.ucdavis.edu:8080/binbase-compound/bin/show/241666?db=rtx5","241666")</f>
        <v>241666</v>
      </c>
      <c r="E219" s="1" t="s">
        <v>857</v>
      </c>
      <c r="F219" s="1" t="s">
        <v>0</v>
      </c>
      <c r="G219" s="1" t="s">
        <v>0</v>
      </c>
      <c r="H219" s="1"/>
      <c r="I219" s="6">
        <v>432</v>
      </c>
      <c r="J219" s="6">
        <v>120</v>
      </c>
      <c r="K219" s="6">
        <v>127</v>
      </c>
      <c r="L219" s="6">
        <v>421</v>
      </c>
      <c r="M219" s="6">
        <v>262</v>
      </c>
      <c r="N219" s="6">
        <v>465</v>
      </c>
      <c r="O219" s="6">
        <v>236</v>
      </c>
      <c r="P219" s="6">
        <v>110</v>
      </c>
      <c r="Q219" s="6">
        <v>251</v>
      </c>
      <c r="R219" s="6">
        <v>225</v>
      </c>
      <c r="S219" s="6">
        <v>130</v>
      </c>
      <c r="T219" s="6">
        <v>145</v>
      </c>
      <c r="U219" s="6">
        <v>562</v>
      </c>
      <c r="V219" s="6">
        <v>159</v>
      </c>
      <c r="W219" s="6">
        <v>226</v>
      </c>
      <c r="X219" s="6">
        <v>289</v>
      </c>
      <c r="Y219" s="6">
        <v>318</v>
      </c>
      <c r="Z219" s="6">
        <v>342</v>
      </c>
      <c r="AA219" s="6">
        <v>140</v>
      </c>
      <c r="AB219" s="6">
        <v>564</v>
      </c>
      <c r="AC219" s="6">
        <v>122</v>
      </c>
      <c r="AD219" s="6">
        <v>392</v>
      </c>
      <c r="AE219" s="6">
        <v>297</v>
      </c>
      <c r="AF219" s="6">
        <v>190</v>
      </c>
      <c r="AG219" s="6">
        <v>131</v>
      </c>
      <c r="AH219" s="6">
        <v>474</v>
      </c>
      <c r="AI219" s="6">
        <v>222</v>
      </c>
      <c r="AJ219" s="6">
        <v>201</v>
      </c>
      <c r="AK219" s="6">
        <v>282</v>
      </c>
      <c r="AL219" s="6">
        <v>114</v>
      </c>
      <c r="AM219" s="6">
        <v>203</v>
      </c>
      <c r="AN219" s="6">
        <v>157</v>
      </c>
      <c r="AO219" s="6">
        <v>240</v>
      </c>
      <c r="AP219" s="6">
        <v>398</v>
      </c>
      <c r="AQ219" s="6">
        <v>85</v>
      </c>
      <c r="AR219" s="6">
        <v>286</v>
      </c>
    </row>
    <row r="220" spans="1:44">
      <c r="A220" s="4" t="s">
        <v>1094</v>
      </c>
      <c r="B220" s="1" t="s">
        <v>1095</v>
      </c>
      <c r="C220" s="1" t="s">
        <v>466</v>
      </c>
      <c r="D220" s="1" t="str">
        <f>HYPERLINK("http://eros.fiehnlab.ucdavis.edu:8080/binbase-compound/bin/show/213697?db=rtx5","213697")</f>
        <v>213697</v>
      </c>
      <c r="E220" s="1" t="s">
        <v>1096</v>
      </c>
      <c r="F220" s="1" t="s">
        <v>0</v>
      </c>
      <c r="G220" s="1" t="s">
        <v>0</v>
      </c>
      <c r="H220" s="1"/>
      <c r="I220" s="6">
        <v>1930</v>
      </c>
      <c r="J220" s="6">
        <v>442</v>
      </c>
      <c r="K220" s="6">
        <v>359</v>
      </c>
      <c r="L220" s="6">
        <v>996</v>
      </c>
      <c r="M220" s="6">
        <v>1137</v>
      </c>
      <c r="N220" s="6">
        <v>1505</v>
      </c>
      <c r="O220" s="6">
        <v>783</v>
      </c>
      <c r="P220" s="6">
        <v>200</v>
      </c>
      <c r="Q220" s="6">
        <v>1061</v>
      </c>
      <c r="R220" s="6">
        <v>1143</v>
      </c>
      <c r="S220" s="6">
        <v>443</v>
      </c>
      <c r="T220" s="6">
        <v>185</v>
      </c>
      <c r="U220" s="6">
        <v>1015</v>
      </c>
      <c r="V220" s="6">
        <v>207</v>
      </c>
      <c r="W220" s="6">
        <v>544</v>
      </c>
      <c r="X220" s="6">
        <v>586</v>
      </c>
      <c r="Y220" s="6">
        <v>1065</v>
      </c>
      <c r="Z220" s="6">
        <v>717</v>
      </c>
      <c r="AA220" s="6">
        <v>266</v>
      </c>
      <c r="AB220" s="6">
        <v>3931</v>
      </c>
      <c r="AC220" s="6">
        <v>429</v>
      </c>
      <c r="AD220" s="6">
        <v>956</v>
      </c>
      <c r="AE220" s="6">
        <v>693</v>
      </c>
      <c r="AF220" s="6">
        <v>683</v>
      </c>
      <c r="AG220" s="6">
        <v>347</v>
      </c>
      <c r="AH220" s="6">
        <v>1943</v>
      </c>
      <c r="AI220" s="6">
        <v>697</v>
      </c>
      <c r="AJ220" s="6">
        <v>231</v>
      </c>
      <c r="AK220" s="6">
        <v>306</v>
      </c>
      <c r="AL220" s="6">
        <v>169</v>
      </c>
      <c r="AM220" s="6">
        <v>344</v>
      </c>
      <c r="AN220" s="6">
        <v>222</v>
      </c>
      <c r="AO220" s="6">
        <v>1011</v>
      </c>
      <c r="AP220" s="6">
        <v>1534</v>
      </c>
      <c r="AQ220" s="6">
        <v>442</v>
      </c>
      <c r="AR220" s="6">
        <v>894</v>
      </c>
    </row>
    <row r="221" spans="1:44">
      <c r="A221" s="4" t="s">
        <v>541</v>
      </c>
      <c r="B221" s="1" t="s">
        <v>542</v>
      </c>
      <c r="C221" s="1" t="s">
        <v>165</v>
      </c>
      <c r="D221" s="1" t="str">
        <f>HYPERLINK("http://eros.fiehnlab.ucdavis.edu:8080/binbase-compound/bin/show/409593?db=rtx5","409593")</f>
        <v>409593</v>
      </c>
      <c r="E221" s="1" t="s">
        <v>543</v>
      </c>
      <c r="F221" s="1" t="s">
        <v>0</v>
      </c>
      <c r="G221" s="1" t="s">
        <v>0</v>
      </c>
      <c r="H221" s="1"/>
      <c r="I221" s="6">
        <v>8472</v>
      </c>
      <c r="J221" s="6">
        <v>1091</v>
      </c>
      <c r="K221" s="6">
        <v>610</v>
      </c>
      <c r="L221" s="6">
        <v>4587</v>
      </c>
      <c r="M221" s="6">
        <v>4728</v>
      </c>
      <c r="N221" s="6">
        <v>17156</v>
      </c>
      <c r="O221" s="6">
        <v>6030</v>
      </c>
      <c r="P221" s="6">
        <v>488</v>
      </c>
      <c r="Q221" s="6">
        <v>11414</v>
      </c>
      <c r="R221" s="6">
        <v>973</v>
      </c>
      <c r="S221" s="6">
        <v>1299</v>
      </c>
      <c r="T221" s="6">
        <v>718</v>
      </c>
      <c r="U221" s="6">
        <v>23644</v>
      </c>
      <c r="V221" s="6">
        <v>2966</v>
      </c>
      <c r="W221" s="6">
        <v>4987</v>
      </c>
      <c r="X221" s="6">
        <v>3982</v>
      </c>
      <c r="Y221" s="6">
        <v>8105</v>
      </c>
      <c r="Z221" s="6">
        <v>10146</v>
      </c>
      <c r="AA221" s="6">
        <v>1671</v>
      </c>
      <c r="AB221" s="6">
        <v>6702</v>
      </c>
      <c r="AC221" s="6">
        <v>1733</v>
      </c>
      <c r="AD221" s="6">
        <v>12537</v>
      </c>
      <c r="AE221" s="6">
        <v>8819</v>
      </c>
      <c r="AF221" s="6">
        <v>3339</v>
      </c>
      <c r="AG221" s="6">
        <v>8769</v>
      </c>
      <c r="AH221" s="6">
        <v>24475</v>
      </c>
      <c r="AI221" s="6">
        <v>4951</v>
      </c>
      <c r="AJ221" s="6">
        <v>955</v>
      </c>
      <c r="AK221" s="6">
        <v>4310</v>
      </c>
      <c r="AL221" s="6">
        <v>290</v>
      </c>
      <c r="AM221" s="6">
        <v>5198</v>
      </c>
      <c r="AN221" s="6">
        <v>9187</v>
      </c>
      <c r="AO221" s="6">
        <v>10571</v>
      </c>
      <c r="AP221" s="6">
        <v>9610</v>
      </c>
      <c r="AQ221" s="6">
        <v>2518</v>
      </c>
      <c r="AR221" s="6">
        <v>11607</v>
      </c>
    </row>
    <row r="222" spans="1:44">
      <c r="A222" s="4" t="s">
        <v>1131</v>
      </c>
      <c r="B222" s="1" t="s">
        <v>1132</v>
      </c>
      <c r="C222" s="1" t="s">
        <v>165</v>
      </c>
      <c r="D222" s="1" t="str">
        <f>HYPERLINK("http://eros.fiehnlab.ucdavis.edu:8080/binbase-compound/bin/show/207729?db=rtx5","207729")</f>
        <v>207729</v>
      </c>
      <c r="E222" s="1" t="s">
        <v>1133</v>
      </c>
      <c r="F222" s="1" t="s">
        <v>0</v>
      </c>
      <c r="G222" s="1" t="s">
        <v>0</v>
      </c>
      <c r="H222" s="1"/>
      <c r="I222" s="6">
        <v>46203</v>
      </c>
      <c r="J222" s="6">
        <v>5003</v>
      </c>
      <c r="K222" s="6">
        <v>3054</v>
      </c>
      <c r="L222" s="6">
        <v>58697</v>
      </c>
      <c r="M222" s="6">
        <v>24592</v>
      </c>
      <c r="N222" s="6">
        <v>54565</v>
      </c>
      <c r="O222" s="6">
        <v>23642</v>
      </c>
      <c r="P222" s="6">
        <v>4797</v>
      </c>
      <c r="Q222" s="6">
        <v>36078</v>
      </c>
      <c r="R222" s="6">
        <v>22059</v>
      </c>
      <c r="S222" s="6">
        <v>4903</v>
      </c>
      <c r="T222" s="6">
        <v>2781</v>
      </c>
      <c r="U222" s="6">
        <v>84834</v>
      </c>
      <c r="V222" s="6">
        <v>8906</v>
      </c>
      <c r="W222" s="6">
        <v>24774</v>
      </c>
      <c r="X222" s="6">
        <v>37197</v>
      </c>
      <c r="Y222" s="6">
        <v>42452</v>
      </c>
      <c r="Z222" s="6">
        <v>32827</v>
      </c>
      <c r="AA222" s="6">
        <v>6752</v>
      </c>
      <c r="AB222" s="6">
        <v>77521</v>
      </c>
      <c r="AC222" s="6">
        <v>5050</v>
      </c>
      <c r="AD222" s="6">
        <v>32165</v>
      </c>
      <c r="AE222" s="6">
        <v>44718</v>
      </c>
      <c r="AF222" s="6">
        <v>10987</v>
      </c>
      <c r="AG222" s="6">
        <v>9295</v>
      </c>
      <c r="AH222" s="6">
        <v>76461</v>
      </c>
      <c r="AI222" s="6">
        <v>17645</v>
      </c>
      <c r="AJ222" s="6">
        <v>7375</v>
      </c>
      <c r="AK222" s="6">
        <v>26393</v>
      </c>
      <c r="AL222" s="6">
        <v>3661</v>
      </c>
      <c r="AM222" s="6">
        <v>25560</v>
      </c>
      <c r="AN222" s="6">
        <v>11196</v>
      </c>
      <c r="AO222" s="6">
        <v>41450</v>
      </c>
      <c r="AP222" s="6">
        <v>50564</v>
      </c>
      <c r="AQ222" s="6">
        <v>16213</v>
      </c>
      <c r="AR222" s="6">
        <v>37166</v>
      </c>
    </row>
    <row r="223" spans="1:44">
      <c r="A223" s="4" t="s">
        <v>845</v>
      </c>
      <c r="B223" s="1" t="s">
        <v>846</v>
      </c>
      <c r="C223" s="1" t="s">
        <v>165</v>
      </c>
      <c r="D223" s="1" t="str">
        <f>HYPERLINK("http://eros.fiehnlab.ucdavis.edu:8080/binbase-compound/bin/show/267692?db=rtx5","267692")</f>
        <v>267692</v>
      </c>
      <c r="E223" s="1" t="s">
        <v>847</v>
      </c>
      <c r="F223" s="1" t="s">
        <v>0</v>
      </c>
      <c r="G223" s="1" t="s">
        <v>0</v>
      </c>
      <c r="H223" s="1"/>
      <c r="I223" s="6">
        <v>29643</v>
      </c>
      <c r="J223" s="6">
        <v>6141</v>
      </c>
      <c r="K223" s="6">
        <v>4036</v>
      </c>
      <c r="L223" s="6">
        <v>8642</v>
      </c>
      <c r="M223" s="6">
        <v>15544</v>
      </c>
      <c r="N223" s="6">
        <v>41909</v>
      </c>
      <c r="O223" s="6">
        <v>19463</v>
      </c>
      <c r="P223" s="6">
        <v>8021</v>
      </c>
      <c r="Q223" s="6">
        <v>24240</v>
      </c>
      <c r="R223" s="6">
        <v>4073</v>
      </c>
      <c r="S223" s="6">
        <v>10218</v>
      </c>
      <c r="T223" s="6">
        <v>3318</v>
      </c>
      <c r="U223" s="6">
        <v>53319</v>
      </c>
      <c r="V223" s="6">
        <v>10503</v>
      </c>
      <c r="W223" s="6">
        <v>18909</v>
      </c>
      <c r="X223" s="6">
        <v>25955</v>
      </c>
      <c r="Y223" s="6">
        <v>25862</v>
      </c>
      <c r="Z223" s="6">
        <v>22493</v>
      </c>
      <c r="AA223" s="6">
        <v>10728</v>
      </c>
      <c r="AB223" s="6">
        <v>46326</v>
      </c>
      <c r="AC223" s="6">
        <v>9191</v>
      </c>
      <c r="AD223" s="6">
        <v>19285</v>
      </c>
      <c r="AE223" s="6">
        <v>28365</v>
      </c>
      <c r="AF223" s="6">
        <v>11017</v>
      </c>
      <c r="AG223" s="6">
        <v>18543</v>
      </c>
      <c r="AH223" s="6">
        <v>48005</v>
      </c>
      <c r="AI223" s="6">
        <v>10793</v>
      </c>
      <c r="AJ223" s="6">
        <v>7598</v>
      </c>
      <c r="AK223" s="6">
        <v>17785</v>
      </c>
      <c r="AL223" s="6">
        <v>3804</v>
      </c>
      <c r="AM223" s="6">
        <v>14602</v>
      </c>
      <c r="AN223" s="6">
        <v>10405</v>
      </c>
      <c r="AO223" s="6">
        <v>23372</v>
      </c>
      <c r="AP223" s="6">
        <v>30324</v>
      </c>
      <c r="AQ223" s="6">
        <v>13943</v>
      </c>
      <c r="AR223" s="6">
        <v>25555</v>
      </c>
    </row>
    <row r="224" spans="1:44">
      <c r="A224" s="4" t="s">
        <v>622</v>
      </c>
      <c r="B224" s="1" t="s">
        <v>623</v>
      </c>
      <c r="C224" s="1" t="s">
        <v>624</v>
      </c>
      <c r="D224" s="1" t="str">
        <f>HYPERLINK("http://eros.fiehnlab.ucdavis.edu:8080/binbase-compound/bin/show/408611?db=rtx5","408611")</f>
        <v>408611</v>
      </c>
      <c r="E224" s="1" t="s">
        <v>625</v>
      </c>
      <c r="F224" s="1" t="s">
        <v>0</v>
      </c>
      <c r="G224" s="1" t="s">
        <v>0</v>
      </c>
      <c r="H224" s="1"/>
      <c r="I224" s="6">
        <v>22206</v>
      </c>
      <c r="J224" s="6">
        <v>1221</v>
      </c>
      <c r="K224" s="6">
        <v>540</v>
      </c>
      <c r="L224" s="6">
        <v>22385</v>
      </c>
      <c r="M224" s="6">
        <v>7887</v>
      </c>
      <c r="N224" s="6">
        <v>19351</v>
      </c>
      <c r="O224" s="6">
        <v>9196</v>
      </c>
      <c r="P224" s="6">
        <v>696</v>
      </c>
      <c r="Q224" s="6">
        <v>16101</v>
      </c>
      <c r="R224" s="6">
        <v>9259</v>
      </c>
      <c r="S224" s="6">
        <v>1281</v>
      </c>
      <c r="T224" s="6">
        <v>1854</v>
      </c>
      <c r="U224" s="6">
        <v>31356</v>
      </c>
      <c r="V224" s="6">
        <v>3288</v>
      </c>
      <c r="W224" s="6">
        <v>9142</v>
      </c>
      <c r="X224" s="6">
        <v>14157</v>
      </c>
      <c r="Y224" s="6">
        <v>14840</v>
      </c>
      <c r="Z224" s="6">
        <v>11639</v>
      </c>
      <c r="AA224" s="6">
        <v>2832</v>
      </c>
      <c r="AB224" s="6">
        <v>24268</v>
      </c>
      <c r="AC224" s="6">
        <v>3057</v>
      </c>
      <c r="AD224" s="6">
        <v>13654</v>
      </c>
      <c r="AE224" s="6">
        <v>17004</v>
      </c>
      <c r="AF224" s="6">
        <v>5191</v>
      </c>
      <c r="AG224" s="6">
        <v>4684</v>
      </c>
      <c r="AH224" s="6">
        <v>37382</v>
      </c>
      <c r="AI224" s="6">
        <v>7927</v>
      </c>
      <c r="AJ224" s="6">
        <v>2318</v>
      </c>
      <c r="AK224" s="6">
        <v>7877</v>
      </c>
      <c r="AL224" s="6">
        <v>782</v>
      </c>
      <c r="AM224" s="6">
        <v>12613</v>
      </c>
      <c r="AN224" s="6">
        <v>3963</v>
      </c>
      <c r="AO224" s="6">
        <v>16549</v>
      </c>
      <c r="AP224" s="6">
        <v>19726</v>
      </c>
      <c r="AQ224" s="6">
        <v>5724</v>
      </c>
      <c r="AR224" s="6">
        <v>16791</v>
      </c>
    </row>
    <row r="225" spans="1:44">
      <c r="A225" s="4" t="s">
        <v>1047</v>
      </c>
      <c r="B225" s="1" t="s">
        <v>1048</v>
      </c>
      <c r="C225" s="1" t="s">
        <v>624</v>
      </c>
      <c r="D225" s="1" t="str">
        <f>HYPERLINK("http://eros.fiehnlab.ucdavis.edu:8080/binbase-compound/bin/show/222065?db=rtx5","222065")</f>
        <v>222065</v>
      </c>
      <c r="E225" s="1" t="s">
        <v>1049</v>
      </c>
      <c r="F225" s="1" t="s">
        <v>0</v>
      </c>
      <c r="G225" s="1" t="s">
        <v>0</v>
      </c>
      <c r="H225" s="1"/>
      <c r="I225" s="6">
        <v>607</v>
      </c>
      <c r="J225" s="6">
        <v>418</v>
      </c>
      <c r="K225" s="6">
        <v>324</v>
      </c>
      <c r="L225" s="6">
        <v>1357</v>
      </c>
      <c r="M225" s="6">
        <v>2490</v>
      </c>
      <c r="N225" s="6">
        <v>2258</v>
      </c>
      <c r="O225" s="6">
        <v>1055</v>
      </c>
      <c r="P225" s="6">
        <v>861</v>
      </c>
      <c r="Q225" s="6">
        <v>908</v>
      </c>
      <c r="R225" s="6">
        <v>1084</v>
      </c>
      <c r="S225" s="6">
        <v>526</v>
      </c>
      <c r="T225" s="6">
        <v>2270</v>
      </c>
      <c r="U225" s="6">
        <v>1036</v>
      </c>
      <c r="V225" s="6">
        <v>675</v>
      </c>
      <c r="W225" s="6">
        <v>709</v>
      </c>
      <c r="X225" s="6">
        <v>1675</v>
      </c>
      <c r="Y225" s="6">
        <v>385</v>
      </c>
      <c r="Z225" s="6">
        <v>360</v>
      </c>
      <c r="AA225" s="6">
        <v>4394</v>
      </c>
      <c r="AB225" s="6">
        <v>5482</v>
      </c>
      <c r="AC225" s="6">
        <v>7018</v>
      </c>
      <c r="AD225" s="6">
        <v>387</v>
      </c>
      <c r="AE225" s="6">
        <v>2611</v>
      </c>
      <c r="AF225" s="6">
        <v>2102</v>
      </c>
      <c r="AG225" s="6">
        <v>668</v>
      </c>
      <c r="AH225" s="6">
        <v>835</v>
      </c>
      <c r="AI225" s="6">
        <v>4966</v>
      </c>
      <c r="AJ225" s="6">
        <v>2093</v>
      </c>
      <c r="AK225" s="6">
        <v>1979</v>
      </c>
      <c r="AL225" s="6">
        <v>1997</v>
      </c>
      <c r="AM225" s="6">
        <v>1547</v>
      </c>
      <c r="AN225" s="6">
        <v>1280</v>
      </c>
      <c r="AO225" s="6">
        <v>1056</v>
      </c>
      <c r="AP225" s="6">
        <v>1465</v>
      </c>
      <c r="AQ225" s="6">
        <v>2180</v>
      </c>
      <c r="AR225" s="6">
        <v>2167</v>
      </c>
    </row>
    <row r="226" spans="1:44">
      <c r="A226" s="4" t="s">
        <v>1171</v>
      </c>
      <c r="B226" s="1" t="s">
        <v>1172</v>
      </c>
      <c r="C226" s="1" t="s">
        <v>1014</v>
      </c>
      <c r="D226" s="1" t="str">
        <f>HYPERLINK("http://eros.fiehnlab.ucdavis.edu:8080/binbase-compound/bin/show/200624?db=rtx5","200624")</f>
        <v>200624</v>
      </c>
      <c r="E226" s="1" t="s">
        <v>1173</v>
      </c>
      <c r="F226" s="1" t="s">
        <v>0</v>
      </c>
      <c r="G226" s="1" t="s">
        <v>0</v>
      </c>
      <c r="H226" s="1"/>
      <c r="I226" s="6">
        <v>1088</v>
      </c>
      <c r="J226" s="6">
        <v>498</v>
      </c>
      <c r="K226" s="6">
        <v>385</v>
      </c>
      <c r="L226" s="6">
        <v>625</v>
      </c>
      <c r="M226" s="6">
        <v>397</v>
      </c>
      <c r="N226" s="6">
        <v>500</v>
      </c>
      <c r="O226" s="6">
        <v>652</v>
      </c>
      <c r="P226" s="6">
        <v>327</v>
      </c>
      <c r="Q226" s="6">
        <v>978</v>
      </c>
      <c r="R226" s="6">
        <v>523</v>
      </c>
      <c r="S226" s="6">
        <v>342</v>
      </c>
      <c r="T226" s="6">
        <v>348</v>
      </c>
      <c r="U226" s="6">
        <v>892</v>
      </c>
      <c r="V226" s="6">
        <v>278</v>
      </c>
      <c r="W226" s="6">
        <v>670</v>
      </c>
      <c r="X226" s="6">
        <v>552</v>
      </c>
      <c r="Y226" s="6">
        <v>610</v>
      </c>
      <c r="Z226" s="6">
        <v>925</v>
      </c>
      <c r="AA226" s="6">
        <v>404</v>
      </c>
      <c r="AB226" s="6">
        <v>646</v>
      </c>
      <c r="AC226" s="6">
        <v>517</v>
      </c>
      <c r="AD226" s="6">
        <v>1236</v>
      </c>
      <c r="AE226" s="6">
        <v>878</v>
      </c>
      <c r="AF226" s="6">
        <v>461</v>
      </c>
      <c r="AG226" s="6">
        <v>585</v>
      </c>
      <c r="AH226" s="6">
        <v>955</v>
      </c>
      <c r="AI226" s="6">
        <v>597</v>
      </c>
      <c r="AJ226" s="6">
        <v>405</v>
      </c>
      <c r="AK226" s="6">
        <v>303</v>
      </c>
      <c r="AL226" s="6">
        <v>234</v>
      </c>
      <c r="AM226" s="6">
        <v>661</v>
      </c>
      <c r="AN226" s="6">
        <v>539</v>
      </c>
      <c r="AO226" s="6">
        <v>906</v>
      </c>
      <c r="AP226" s="6">
        <v>1037</v>
      </c>
      <c r="AQ226" s="6">
        <v>315</v>
      </c>
      <c r="AR226" s="6">
        <v>887</v>
      </c>
    </row>
    <row r="227" spans="1:44">
      <c r="A227" s="4" t="s">
        <v>786</v>
      </c>
      <c r="B227" s="1" t="s">
        <v>787</v>
      </c>
      <c r="C227" s="1" t="s">
        <v>676</v>
      </c>
      <c r="D227" s="1" t="str">
        <f>HYPERLINK("http://eros.fiehnlab.ucdavis.edu:8080/binbase-compound/bin/show/289052?db=rtx5","289052")</f>
        <v>289052</v>
      </c>
      <c r="E227" s="1" t="s">
        <v>788</v>
      </c>
      <c r="F227" s="1" t="s">
        <v>0</v>
      </c>
      <c r="G227" s="1" t="s">
        <v>0</v>
      </c>
      <c r="H227" s="1"/>
      <c r="I227" s="6">
        <v>1049</v>
      </c>
      <c r="J227" s="6">
        <v>308</v>
      </c>
      <c r="K227" s="6">
        <v>296</v>
      </c>
      <c r="L227" s="6">
        <v>1438</v>
      </c>
      <c r="M227" s="6">
        <v>901</v>
      </c>
      <c r="N227" s="6">
        <v>1336</v>
      </c>
      <c r="O227" s="6">
        <v>380</v>
      </c>
      <c r="P227" s="6">
        <v>171</v>
      </c>
      <c r="Q227" s="6">
        <v>708</v>
      </c>
      <c r="R227" s="6">
        <v>905</v>
      </c>
      <c r="S227" s="6">
        <v>319</v>
      </c>
      <c r="T227" s="6">
        <v>148</v>
      </c>
      <c r="U227" s="6">
        <v>684</v>
      </c>
      <c r="V227" s="6">
        <v>264</v>
      </c>
      <c r="W227" s="6">
        <v>341</v>
      </c>
      <c r="X227" s="6">
        <v>518</v>
      </c>
      <c r="Y227" s="6">
        <v>394</v>
      </c>
      <c r="Z227" s="6">
        <v>364</v>
      </c>
      <c r="AA227" s="6">
        <v>189</v>
      </c>
      <c r="AB227" s="6">
        <v>3968</v>
      </c>
      <c r="AC227" s="6">
        <v>214</v>
      </c>
      <c r="AD227" s="6">
        <v>732</v>
      </c>
      <c r="AE227" s="6">
        <v>922</v>
      </c>
      <c r="AF227" s="6">
        <v>385</v>
      </c>
      <c r="AG227" s="6">
        <v>374</v>
      </c>
      <c r="AH227" s="6">
        <v>1238</v>
      </c>
      <c r="AI227" s="6">
        <v>268</v>
      </c>
      <c r="AJ227" s="6">
        <v>270</v>
      </c>
      <c r="AK227" s="6">
        <v>567</v>
      </c>
      <c r="AL227" s="6">
        <v>221</v>
      </c>
      <c r="AM227" s="6">
        <v>536</v>
      </c>
      <c r="AN227" s="6">
        <v>287</v>
      </c>
      <c r="AO227" s="6">
        <v>634</v>
      </c>
      <c r="AP227" s="6">
        <v>1233</v>
      </c>
      <c r="AQ227" s="6">
        <v>154</v>
      </c>
      <c r="AR227" s="6">
        <v>533</v>
      </c>
    </row>
    <row r="228" spans="1:44">
      <c r="A228" s="4" t="s">
        <v>1086</v>
      </c>
      <c r="B228" s="1" t="s">
        <v>1087</v>
      </c>
      <c r="C228" s="1" t="s">
        <v>165</v>
      </c>
      <c r="D228" s="1" t="str">
        <f>HYPERLINK("http://eros.fiehnlab.ucdavis.edu:8080/binbase-compound/bin/show/214148?db=rtx5","214148")</f>
        <v>214148</v>
      </c>
      <c r="E228" s="1" t="s">
        <v>1088</v>
      </c>
      <c r="F228" s="1" t="s">
        <v>0</v>
      </c>
      <c r="G228" s="1" t="s">
        <v>0</v>
      </c>
      <c r="H228" s="1"/>
      <c r="I228" s="6">
        <v>31542</v>
      </c>
      <c r="J228" s="6">
        <v>3203</v>
      </c>
      <c r="K228" s="6">
        <v>3460</v>
      </c>
      <c r="L228" s="6">
        <v>29900</v>
      </c>
      <c r="M228" s="6">
        <v>23695</v>
      </c>
      <c r="N228" s="6">
        <v>26632</v>
      </c>
      <c r="O228" s="6">
        <v>3504</v>
      </c>
      <c r="P228" s="6">
        <v>628</v>
      </c>
      <c r="Q228" s="6">
        <v>13676</v>
      </c>
      <c r="R228" s="6">
        <v>6176</v>
      </c>
      <c r="S228" s="6">
        <v>568</v>
      </c>
      <c r="T228" s="6">
        <v>1521</v>
      </c>
      <c r="U228" s="6">
        <v>28961</v>
      </c>
      <c r="V228" s="6">
        <v>10388</v>
      </c>
      <c r="W228" s="6">
        <v>25798</v>
      </c>
      <c r="X228" s="6">
        <v>13632</v>
      </c>
      <c r="Y228" s="6">
        <v>27420</v>
      </c>
      <c r="Z228" s="6">
        <v>45193</v>
      </c>
      <c r="AA228" s="6">
        <v>2390</v>
      </c>
      <c r="AB228" s="6">
        <v>11886</v>
      </c>
      <c r="AC228" s="6">
        <v>6871</v>
      </c>
      <c r="AD228" s="6">
        <v>53247</v>
      </c>
      <c r="AE228" s="6">
        <v>30063</v>
      </c>
      <c r="AF228" s="6">
        <v>7272</v>
      </c>
      <c r="AG228" s="6">
        <v>13751</v>
      </c>
      <c r="AH228" s="6">
        <v>70069</v>
      </c>
      <c r="AI228" s="6">
        <v>17377</v>
      </c>
      <c r="AJ228" s="6">
        <v>7250</v>
      </c>
      <c r="AK228" s="6">
        <v>23292</v>
      </c>
      <c r="AL228" s="6">
        <v>662</v>
      </c>
      <c r="AM228" s="6">
        <v>27654</v>
      </c>
      <c r="AN228" s="6">
        <v>5015</v>
      </c>
      <c r="AO228" s="6">
        <v>33048</v>
      </c>
      <c r="AP228" s="6">
        <v>42232</v>
      </c>
      <c r="AQ228" s="6">
        <v>16639</v>
      </c>
      <c r="AR228" s="6">
        <v>62570</v>
      </c>
    </row>
    <row r="229" spans="1:44">
      <c r="A229" s="4" t="s">
        <v>1159</v>
      </c>
      <c r="B229" s="1" t="s">
        <v>1160</v>
      </c>
      <c r="C229" s="1" t="s">
        <v>185</v>
      </c>
      <c r="D229" s="1" t="str">
        <f>HYPERLINK("http://eros.fiehnlab.ucdavis.edu:8080/binbase-compound/bin/show/201845?db=rtx5","201845")</f>
        <v>201845</v>
      </c>
      <c r="E229" s="1" t="s">
        <v>1161</v>
      </c>
      <c r="F229" s="1" t="s">
        <v>0</v>
      </c>
      <c r="G229" s="1" t="s">
        <v>0</v>
      </c>
      <c r="H229" s="1"/>
      <c r="I229" s="6">
        <v>719</v>
      </c>
      <c r="J229" s="6">
        <v>306</v>
      </c>
      <c r="K229" s="6">
        <v>271</v>
      </c>
      <c r="L229" s="6">
        <v>494</v>
      </c>
      <c r="M229" s="6">
        <v>595</v>
      </c>
      <c r="N229" s="6">
        <v>657</v>
      </c>
      <c r="O229" s="6">
        <v>332</v>
      </c>
      <c r="P229" s="6">
        <v>173</v>
      </c>
      <c r="Q229" s="6">
        <v>660</v>
      </c>
      <c r="R229" s="6">
        <v>251</v>
      </c>
      <c r="S229" s="6">
        <v>215</v>
      </c>
      <c r="T229" s="6">
        <v>199</v>
      </c>
      <c r="U229" s="6">
        <v>1238</v>
      </c>
      <c r="V229" s="6">
        <v>283</v>
      </c>
      <c r="W229" s="6">
        <v>471</v>
      </c>
      <c r="X229" s="6">
        <v>465</v>
      </c>
      <c r="Y229" s="6">
        <v>654</v>
      </c>
      <c r="Z229" s="6">
        <v>527</v>
      </c>
      <c r="AA229" s="6">
        <v>420</v>
      </c>
      <c r="AB229" s="6">
        <v>1030</v>
      </c>
      <c r="AC229" s="6">
        <v>359</v>
      </c>
      <c r="AD229" s="6">
        <v>703</v>
      </c>
      <c r="AE229" s="6">
        <v>837</v>
      </c>
      <c r="AF229" s="6">
        <v>344</v>
      </c>
      <c r="AG229" s="6">
        <v>325</v>
      </c>
      <c r="AH229" s="6">
        <v>934</v>
      </c>
      <c r="AI229" s="6">
        <v>472</v>
      </c>
      <c r="AJ229" s="6">
        <v>247</v>
      </c>
      <c r="AK229" s="6">
        <v>524</v>
      </c>
      <c r="AL229" s="6">
        <v>294</v>
      </c>
      <c r="AM229" s="6">
        <v>516</v>
      </c>
      <c r="AN229" s="6">
        <v>320</v>
      </c>
      <c r="AO229" s="6">
        <v>573</v>
      </c>
      <c r="AP229" s="6">
        <v>767</v>
      </c>
      <c r="AQ229" s="6">
        <v>424</v>
      </c>
      <c r="AR229" s="6">
        <v>499</v>
      </c>
    </row>
    <row r="230" spans="1:44">
      <c r="A230" s="4" t="s">
        <v>1035</v>
      </c>
      <c r="B230" s="1" t="s">
        <v>1036</v>
      </c>
      <c r="C230" s="1" t="s">
        <v>165</v>
      </c>
      <c r="D230" s="1" t="str">
        <f>HYPERLINK("http://eros.fiehnlab.ucdavis.edu:8080/binbase-compound/bin/show/223566?db=rtx5","223566")</f>
        <v>223566</v>
      </c>
      <c r="E230" s="1" t="s">
        <v>1037</v>
      </c>
      <c r="F230" s="1" t="s">
        <v>0</v>
      </c>
      <c r="G230" s="1" t="s">
        <v>0</v>
      </c>
      <c r="H230" s="1"/>
      <c r="I230" s="6">
        <v>10763</v>
      </c>
      <c r="J230" s="6">
        <v>830</v>
      </c>
      <c r="K230" s="6">
        <v>888</v>
      </c>
      <c r="L230" s="6">
        <v>14145</v>
      </c>
      <c r="M230" s="6">
        <v>6249</v>
      </c>
      <c r="N230" s="6">
        <v>11381</v>
      </c>
      <c r="O230" s="6">
        <v>3643</v>
      </c>
      <c r="P230" s="6">
        <v>963</v>
      </c>
      <c r="Q230" s="6">
        <v>9142</v>
      </c>
      <c r="R230" s="6">
        <v>4614</v>
      </c>
      <c r="S230" s="6">
        <v>1172</v>
      </c>
      <c r="T230" s="6">
        <v>675</v>
      </c>
      <c r="U230" s="6">
        <v>19333</v>
      </c>
      <c r="V230" s="6">
        <v>2494</v>
      </c>
      <c r="W230" s="6">
        <v>6078</v>
      </c>
      <c r="X230" s="6">
        <v>9937</v>
      </c>
      <c r="Y230" s="6">
        <v>12124</v>
      </c>
      <c r="Z230" s="6">
        <v>7398</v>
      </c>
      <c r="AA230" s="6">
        <v>1689</v>
      </c>
      <c r="AB230" s="6">
        <v>20494</v>
      </c>
      <c r="AC230" s="6">
        <v>1800</v>
      </c>
      <c r="AD230" s="6">
        <v>7552</v>
      </c>
      <c r="AE230" s="6">
        <v>13227</v>
      </c>
      <c r="AF230" s="6">
        <v>2128</v>
      </c>
      <c r="AG230" s="6">
        <v>2261</v>
      </c>
      <c r="AH230" s="6">
        <v>21141</v>
      </c>
      <c r="AI230" s="6">
        <v>3768</v>
      </c>
      <c r="AJ230" s="6">
        <v>2041</v>
      </c>
      <c r="AK230" s="6">
        <v>6843</v>
      </c>
      <c r="AL230" s="6">
        <v>1037</v>
      </c>
      <c r="AM230" s="6">
        <v>7514</v>
      </c>
      <c r="AN230" s="6">
        <v>2350</v>
      </c>
      <c r="AO230" s="6">
        <v>10801</v>
      </c>
      <c r="AP230" s="6">
        <v>13926</v>
      </c>
      <c r="AQ230" s="6">
        <v>4901</v>
      </c>
      <c r="AR230" s="6">
        <v>9441</v>
      </c>
    </row>
    <row r="231" spans="1:44">
      <c r="A231" s="4" t="s">
        <v>681</v>
      </c>
      <c r="B231" s="1" t="s">
        <v>682</v>
      </c>
      <c r="C231" s="1" t="s">
        <v>112</v>
      </c>
      <c r="D231" s="1" t="str">
        <f>HYPERLINK("http://eros.fiehnlab.ucdavis.edu:8080/binbase-compound/bin/show/362023?db=rtx5","362023")</f>
        <v>362023</v>
      </c>
      <c r="E231" s="1" t="s">
        <v>683</v>
      </c>
      <c r="F231" s="1" t="s">
        <v>0</v>
      </c>
      <c r="G231" s="1" t="s">
        <v>0</v>
      </c>
      <c r="H231" s="1"/>
      <c r="I231" s="6">
        <v>3405</v>
      </c>
      <c r="J231" s="6">
        <v>326</v>
      </c>
      <c r="K231" s="6">
        <v>233</v>
      </c>
      <c r="L231" s="6">
        <v>4123</v>
      </c>
      <c r="M231" s="6">
        <v>1811</v>
      </c>
      <c r="N231" s="6">
        <v>3983</v>
      </c>
      <c r="O231" s="6">
        <v>765</v>
      </c>
      <c r="P231" s="6">
        <v>317</v>
      </c>
      <c r="Q231" s="6">
        <v>2753</v>
      </c>
      <c r="R231" s="6">
        <v>1417</v>
      </c>
      <c r="S231" s="6">
        <v>346</v>
      </c>
      <c r="T231" s="6">
        <v>234</v>
      </c>
      <c r="U231" s="6">
        <v>5998</v>
      </c>
      <c r="V231" s="6">
        <v>459</v>
      </c>
      <c r="W231" s="6">
        <v>1661</v>
      </c>
      <c r="X231" s="6">
        <v>1762</v>
      </c>
      <c r="Y231" s="6">
        <v>2841</v>
      </c>
      <c r="Z231" s="6">
        <v>2195</v>
      </c>
      <c r="AA231" s="6">
        <v>310</v>
      </c>
      <c r="AB231" s="6">
        <v>4827</v>
      </c>
      <c r="AC231" s="6">
        <v>218</v>
      </c>
      <c r="AD231" s="6">
        <v>2026</v>
      </c>
      <c r="AE231" s="6">
        <v>2607</v>
      </c>
      <c r="AF231" s="6">
        <v>462</v>
      </c>
      <c r="AG231" s="6">
        <v>392</v>
      </c>
      <c r="AH231" s="6">
        <v>5427</v>
      </c>
      <c r="AI231" s="6">
        <v>1054</v>
      </c>
      <c r="AJ231" s="6">
        <v>362</v>
      </c>
      <c r="AK231" s="6">
        <v>1743</v>
      </c>
      <c r="AL231" s="6">
        <v>276</v>
      </c>
      <c r="AM231" s="6">
        <v>2220</v>
      </c>
      <c r="AN231" s="6">
        <v>565</v>
      </c>
      <c r="AO231" s="6">
        <v>3020</v>
      </c>
      <c r="AP231" s="6">
        <v>3694</v>
      </c>
      <c r="AQ231" s="6">
        <v>895</v>
      </c>
      <c r="AR231" s="6">
        <v>2705</v>
      </c>
    </row>
    <row r="232" spans="1:44">
      <c r="A232" s="4" t="s">
        <v>932</v>
      </c>
      <c r="B232" s="1" t="s">
        <v>933</v>
      </c>
      <c r="C232" s="1" t="s">
        <v>383</v>
      </c>
      <c r="D232" s="1" t="str">
        <f>HYPERLINK("http://eros.fiehnlab.ucdavis.edu:8080/binbase-compound/bin/show/237154?db=rtx5","237154")</f>
        <v>237154</v>
      </c>
      <c r="E232" s="1" t="s">
        <v>934</v>
      </c>
      <c r="F232" s="1" t="s">
        <v>0</v>
      </c>
      <c r="G232" s="1" t="s">
        <v>0</v>
      </c>
      <c r="H232" s="1"/>
      <c r="I232" s="6">
        <v>324</v>
      </c>
      <c r="J232" s="6">
        <v>603</v>
      </c>
      <c r="K232" s="6">
        <v>274</v>
      </c>
      <c r="L232" s="6">
        <v>1030</v>
      </c>
      <c r="M232" s="6">
        <v>1749</v>
      </c>
      <c r="N232" s="6">
        <v>1165</v>
      </c>
      <c r="O232" s="6">
        <v>248</v>
      </c>
      <c r="P232" s="6">
        <v>460</v>
      </c>
      <c r="Q232" s="6">
        <v>407</v>
      </c>
      <c r="R232" s="6">
        <v>463</v>
      </c>
      <c r="S232" s="6">
        <v>644</v>
      </c>
      <c r="T232" s="6">
        <v>166</v>
      </c>
      <c r="U232" s="6">
        <v>438</v>
      </c>
      <c r="V232" s="6">
        <v>150</v>
      </c>
      <c r="W232" s="6">
        <v>329</v>
      </c>
      <c r="X232" s="6">
        <v>415</v>
      </c>
      <c r="Y232" s="6">
        <v>5265</v>
      </c>
      <c r="Z232" s="6">
        <v>360</v>
      </c>
      <c r="AA232" s="6">
        <v>229</v>
      </c>
      <c r="AB232" s="6">
        <v>1103</v>
      </c>
      <c r="AC232" s="6">
        <v>375</v>
      </c>
      <c r="AD232" s="6">
        <v>921</v>
      </c>
      <c r="AE232" s="6">
        <v>843</v>
      </c>
      <c r="AF232" s="6">
        <v>294</v>
      </c>
      <c r="AG232" s="6">
        <v>252</v>
      </c>
      <c r="AH232" s="6">
        <v>1491</v>
      </c>
      <c r="AI232" s="6">
        <v>184</v>
      </c>
      <c r="AJ232" s="6">
        <v>271</v>
      </c>
      <c r="AK232" s="6">
        <v>1346</v>
      </c>
      <c r="AL232" s="6">
        <v>140</v>
      </c>
      <c r="AM232" s="6">
        <v>518</v>
      </c>
      <c r="AN232" s="6">
        <v>126</v>
      </c>
      <c r="AO232" s="6">
        <v>839</v>
      </c>
      <c r="AP232" s="6">
        <v>530</v>
      </c>
      <c r="AQ232" s="6">
        <v>483</v>
      </c>
      <c r="AR232" s="6">
        <v>1131</v>
      </c>
    </row>
    <row r="233" spans="1:44">
      <c r="A233" s="4" t="s">
        <v>874</v>
      </c>
      <c r="B233" s="1" t="s">
        <v>875</v>
      </c>
      <c r="C233" s="1" t="s">
        <v>876</v>
      </c>
      <c r="D233" s="1" t="str">
        <f>HYPERLINK("http://eros.fiehnlab.ucdavis.edu:8080/binbase-compound/bin/show/241269?db=rtx5","241269")</f>
        <v>241269</v>
      </c>
      <c r="E233" s="1" t="s">
        <v>877</v>
      </c>
      <c r="F233" s="1" t="s">
        <v>0</v>
      </c>
      <c r="G233" s="1" t="s">
        <v>0</v>
      </c>
      <c r="H233" s="1"/>
      <c r="I233" s="6">
        <v>722</v>
      </c>
      <c r="J233" s="6">
        <v>149</v>
      </c>
      <c r="K233" s="6">
        <v>84</v>
      </c>
      <c r="L233" s="6">
        <v>865</v>
      </c>
      <c r="M233" s="6">
        <v>410</v>
      </c>
      <c r="N233" s="6">
        <v>850</v>
      </c>
      <c r="O233" s="6">
        <v>293</v>
      </c>
      <c r="P233" s="6">
        <v>125</v>
      </c>
      <c r="Q233" s="6">
        <v>416</v>
      </c>
      <c r="R233" s="6">
        <v>423</v>
      </c>
      <c r="S233" s="6">
        <v>141</v>
      </c>
      <c r="T233" s="6">
        <v>135</v>
      </c>
      <c r="U233" s="6">
        <v>1389</v>
      </c>
      <c r="V233" s="6">
        <v>239</v>
      </c>
      <c r="W233" s="6">
        <v>394</v>
      </c>
      <c r="X233" s="6">
        <v>668</v>
      </c>
      <c r="Y233" s="6">
        <v>516</v>
      </c>
      <c r="Z233" s="6">
        <v>425</v>
      </c>
      <c r="AA233" s="6">
        <v>149</v>
      </c>
      <c r="AB233" s="6">
        <v>1024</v>
      </c>
      <c r="AC233" s="6">
        <v>127</v>
      </c>
      <c r="AD233" s="6">
        <v>546</v>
      </c>
      <c r="AE233" s="6">
        <v>633</v>
      </c>
      <c r="AF233" s="6">
        <v>226</v>
      </c>
      <c r="AG233" s="6">
        <v>149</v>
      </c>
      <c r="AH233" s="6">
        <v>1151</v>
      </c>
      <c r="AI233" s="6">
        <v>266</v>
      </c>
      <c r="AJ233" s="6">
        <v>176</v>
      </c>
      <c r="AK233" s="6">
        <v>455</v>
      </c>
      <c r="AL233" s="6">
        <v>113</v>
      </c>
      <c r="AM233" s="6">
        <v>384</v>
      </c>
      <c r="AN233" s="6">
        <v>227</v>
      </c>
      <c r="AO233" s="6">
        <v>548</v>
      </c>
      <c r="AP233" s="6">
        <v>776</v>
      </c>
      <c r="AQ233" s="6">
        <v>324</v>
      </c>
      <c r="AR233" s="6">
        <v>497</v>
      </c>
    </row>
    <row r="234" spans="1:44">
      <c r="A234" s="4" t="s">
        <v>576</v>
      </c>
      <c r="B234" s="1" t="s">
        <v>577</v>
      </c>
      <c r="C234" s="1" t="s">
        <v>193</v>
      </c>
      <c r="D234" s="1" t="str">
        <f>HYPERLINK("http://eros.fiehnlab.ucdavis.edu:8080/binbase-compound/bin/show/408892?db=rtx5","408892")</f>
        <v>408892</v>
      </c>
      <c r="E234" s="1" t="s">
        <v>578</v>
      </c>
      <c r="F234" s="1" t="s">
        <v>0</v>
      </c>
      <c r="G234" s="1" t="s">
        <v>0</v>
      </c>
      <c r="H234" s="1"/>
      <c r="I234" s="6">
        <v>17953</v>
      </c>
      <c r="J234" s="6">
        <v>1538</v>
      </c>
      <c r="K234" s="6">
        <v>1149</v>
      </c>
      <c r="L234" s="6">
        <v>23329</v>
      </c>
      <c r="M234" s="6">
        <v>17303</v>
      </c>
      <c r="N234" s="6">
        <v>25221</v>
      </c>
      <c r="O234" s="6">
        <v>5843</v>
      </c>
      <c r="P234" s="6">
        <v>1352</v>
      </c>
      <c r="Q234" s="6">
        <v>15404</v>
      </c>
      <c r="R234" s="6">
        <v>9839</v>
      </c>
      <c r="S234" s="6">
        <v>2213</v>
      </c>
      <c r="T234" s="6">
        <v>1053</v>
      </c>
      <c r="U234" s="6">
        <v>37540</v>
      </c>
      <c r="V234" s="6">
        <v>3935</v>
      </c>
      <c r="W234" s="6">
        <v>11246</v>
      </c>
      <c r="X234" s="6">
        <v>13179</v>
      </c>
      <c r="Y234" s="6">
        <v>21464</v>
      </c>
      <c r="Z234" s="6">
        <v>15883</v>
      </c>
      <c r="AA234" s="6">
        <v>1777</v>
      </c>
      <c r="AB234" s="6">
        <v>34796</v>
      </c>
      <c r="AC234" s="6">
        <v>1540</v>
      </c>
      <c r="AD234" s="6">
        <v>14413</v>
      </c>
      <c r="AE234" s="6">
        <v>20888</v>
      </c>
      <c r="AF234" s="6">
        <v>3399</v>
      </c>
      <c r="AG234" s="6">
        <v>3257</v>
      </c>
      <c r="AH234" s="6">
        <v>35503</v>
      </c>
      <c r="AI234" s="6">
        <v>6572</v>
      </c>
      <c r="AJ234" s="6">
        <v>3017</v>
      </c>
      <c r="AK234" s="6">
        <v>12499</v>
      </c>
      <c r="AL234" s="6">
        <v>1507</v>
      </c>
      <c r="AM234" s="6">
        <v>12691</v>
      </c>
      <c r="AN234" s="6">
        <v>4011</v>
      </c>
      <c r="AO234" s="6">
        <v>18188</v>
      </c>
      <c r="AP234" s="6">
        <v>23919</v>
      </c>
      <c r="AQ234" s="6">
        <v>11150</v>
      </c>
      <c r="AR234" s="6">
        <v>18074</v>
      </c>
    </row>
    <row r="235" spans="1:44">
      <c r="A235" s="4" t="s">
        <v>657</v>
      </c>
      <c r="B235" s="1" t="s">
        <v>658</v>
      </c>
      <c r="C235" s="1" t="s">
        <v>659</v>
      </c>
      <c r="D235" s="1" t="str">
        <f>HYPERLINK("http://eros.fiehnlab.ucdavis.edu:8080/binbase-compound/bin/show/379862?db=rtx5","379862")</f>
        <v>379862</v>
      </c>
      <c r="E235" s="1" t="s">
        <v>660</v>
      </c>
      <c r="F235" s="1" t="s">
        <v>0</v>
      </c>
      <c r="G235" s="1" t="s">
        <v>0</v>
      </c>
      <c r="H235" s="1"/>
      <c r="I235" s="6">
        <v>567</v>
      </c>
      <c r="J235" s="6">
        <v>166</v>
      </c>
      <c r="K235" s="6">
        <v>143</v>
      </c>
      <c r="L235" s="6">
        <v>2034</v>
      </c>
      <c r="M235" s="6">
        <v>228</v>
      </c>
      <c r="N235" s="6">
        <v>2605</v>
      </c>
      <c r="O235" s="6">
        <v>1074</v>
      </c>
      <c r="P235" s="6">
        <v>224</v>
      </c>
      <c r="Q235" s="6">
        <v>411</v>
      </c>
      <c r="R235" s="6">
        <v>1144</v>
      </c>
      <c r="S235" s="6">
        <v>418</v>
      </c>
      <c r="T235" s="6">
        <v>227</v>
      </c>
      <c r="U235" s="6">
        <v>2393</v>
      </c>
      <c r="V235" s="6">
        <v>373</v>
      </c>
      <c r="W235" s="6">
        <v>850</v>
      </c>
      <c r="X235" s="6">
        <v>312</v>
      </c>
      <c r="Y235" s="6">
        <v>919</v>
      </c>
      <c r="Z235" s="6">
        <v>1085</v>
      </c>
      <c r="AA235" s="6">
        <v>263</v>
      </c>
      <c r="AB235" s="6">
        <v>2430</v>
      </c>
      <c r="AC235" s="6">
        <v>397</v>
      </c>
      <c r="AD235" s="6">
        <v>1059</v>
      </c>
      <c r="AE235" s="6">
        <v>489</v>
      </c>
      <c r="AF235" s="6">
        <v>914</v>
      </c>
      <c r="AG235" s="6">
        <v>644</v>
      </c>
      <c r="AH235" s="6">
        <v>2481</v>
      </c>
      <c r="AI235" s="6">
        <v>904</v>
      </c>
      <c r="AJ235" s="6">
        <v>345</v>
      </c>
      <c r="AK235" s="6">
        <v>724</v>
      </c>
      <c r="AL235" s="6">
        <v>410</v>
      </c>
      <c r="AM235" s="6">
        <v>691</v>
      </c>
      <c r="AN235" s="6">
        <v>382</v>
      </c>
      <c r="AO235" s="6">
        <v>820</v>
      </c>
      <c r="AP235" s="6">
        <v>949</v>
      </c>
      <c r="AQ235" s="6">
        <v>1118</v>
      </c>
      <c r="AR235" s="6">
        <v>880</v>
      </c>
    </row>
    <row r="236" spans="1:44">
      <c r="A236" s="4" t="s">
        <v>1113</v>
      </c>
      <c r="B236" s="1" t="s">
        <v>1114</v>
      </c>
      <c r="C236" s="1" t="s">
        <v>185</v>
      </c>
      <c r="D236" s="1" t="str">
        <f>HYPERLINK("http://eros.fiehnlab.ucdavis.edu:8080/binbase-compound/bin/show/212274?db=rtx5","212274")</f>
        <v>212274</v>
      </c>
      <c r="E236" s="1" t="s">
        <v>1115</v>
      </c>
      <c r="F236" s="1" t="s">
        <v>0</v>
      </c>
      <c r="G236" s="1" t="s">
        <v>0</v>
      </c>
      <c r="H236" s="1"/>
      <c r="I236" s="6">
        <v>27071</v>
      </c>
      <c r="J236" s="6">
        <v>1835</v>
      </c>
      <c r="K236" s="6">
        <v>2317</v>
      </c>
      <c r="L236" s="6">
        <v>28024</v>
      </c>
      <c r="M236" s="6">
        <v>22191</v>
      </c>
      <c r="N236" s="6">
        <v>31788</v>
      </c>
      <c r="O236" s="6">
        <v>17309</v>
      </c>
      <c r="P236" s="6">
        <v>2717</v>
      </c>
      <c r="Q236" s="6">
        <v>14991</v>
      </c>
      <c r="R236" s="6">
        <v>16924</v>
      </c>
      <c r="S236" s="6">
        <v>5264</v>
      </c>
      <c r="T236" s="6">
        <v>1855</v>
      </c>
      <c r="U236" s="6">
        <v>21201</v>
      </c>
      <c r="V236" s="6">
        <v>5310</v>
      </c>
      <c r="W236" s="6">
        <v>11167</v>
      </c>
      <c r="X236" s="6">
        <v>20989</v>
      </c>
      <c r="Y236" s="6">
        <v>12500</v>
      </c>
      <c r="Z236" s="6">
        <v>15408</v>
      </c>
      <c r="AA236" s="6">
        <v>4158</v>
      </c>
      <c r="AB236" s="6">
        <v>4116</v>
      </c>
      <c r="AC236" s="6">
        <v>5773</v>
      </c>
      <c r="AD236" s="6">
        <v>16997</v>
      </c>
      <c r="AE236" s="6">
        <v>13513</v>
      </c>
      <c r="AF236" s="6">
        <v>14480</v>
      </c>
      <c r="AG236" s="6">
        <v>10127</v>
      </c>
      <c r="AH236" s="6">
        <v>82443</v>
      </c>
      <c r="AI236" s="6">
        <v>14651</v>
      </c>
      <c r="AJ236" s="6">
        <v>3805</v>
      </c>
      <c r="AK236" s="6">
        <v>10688</v>
      </c>
      <c r="AL236" s="6">
        <v>5840</v>
      </c>
      <c r="AM236" s="6">
        <v>23149</v>
      </c>
      <c r="AN236" s="6">
        <v>5337</v>
      </c>
      <c r="AO236" s="6">
        <v>29947</v>
      </c>
      <c r="AP236" s="6">
        <v>19157</v>
      </c>
      <c r="AQ236" s="6">
        <v>16627</v>
      </c>
      <c r="AR236" s="6">
        <v>25444</v>
      </c>
    </row>
    <row r="237" spans="1:44">
      <c r="A237" s="4" t="s">
        <v>1068</v>
      </c>
      <c r="B237" s="1" t="s">
        <v>1069</v>
      </c>
      <c r="C237" s="1" t="s">
        <v>201</v>
      </c>
      <c r="D237" s="1" t="str">
        <f>HYPERLINK("http://eros.fiehnlab.ucdavis.edu:8080/binbase-compound/bin/show/218597?db=rtx5","218597")</f>
        <v>218597</v>
      </c>
      <c r="E237" s="1" t="s">
        <v>1070</v>
      </c>
      <c r="F237" s="1" t="s">
        <v>0</v>
      </c>
      <c r="G237" s="1" t="s">
        <v>0</v>
      </c>
      <c r="H237" s="1"/>
      <c r="I237" s="6">
        <v>4413</v>
      </c>
      <c r="J237" s="6">
        <v>1449</v>
      </c>
      <c r="K237" s="6">
        <v>1422</v>
      </c>
      <c r="L237" s="6">
        <v>2918</v>
      </c>
      <c r="M237" s="6">
        <v>2303</v>
      </c>
      <c r="N237" s="6">
        <v>3995</v>
      </c>
      <c r="O237" s="6">
        <v>2341</v>
      </c>
      <c r="P237" s="6">
        <v>1169</v>
      </c>
      <c r="Q237" s="6">
        <v>3555</v>
      </c>
      <c r="R237" s="6">
        <v>2695</v>
      </c>
      <c r="S237" s="6">
        <v>1210</v>
      </c>
      <c r="T237" s="6">
        <v>1088</v>
      </c>
      <c r="U237" s="6">
        <v>4573</v>
      </c>
      <c r="V237" s="6">
        <v>871</v>
      </c>
      <c r="W237" s="6">
        <v>2040</v>
      </c>
      <c r="X237" s="6">
        <v>2313</v>
      </c>
      <c r="Y237" s="6">
        <v>3333</v>
      </c>
      <c r="Z237" s="6">
        <v>2131</v>
      </c>
      <c r="AA237" s="6">
        <v>1588</v>
      </c>
      <c r="AB237" s="6">
        <v>5680</v>
      </c>
      <c r="AC237" s="6">
        <v>1677</v>
      </c>
      <c r="AD237" s="6">
        <v>3238</v>
      </c>
      <c r="AE237" s="6">
        <v>3073</v>
      </c>
      <c r="AF237" s="6">
        <v>1912</v>
      </c>
      <c r="AG237" s="6">
        <v>1692</v>
      </c>
      <c r="AH237" s="6">
        <v>5977</v>
      </c>
      <c r="AI237" s="6">
        <v>2087</v>
      </c>
      <c r="AJ237" s="6">
        <v>1001</v>
      </c>
      <c r="AK237" s="6">
        <v>1455</v>
      </c>
      <c r="AL237" s="6">
        <v>699</v>
      </c>
      <c r="AM237" s="6">
        <v>2206</v>
      </c>
      <c r="AN237" s="6">
        <v>1329</v>
      </c>
      <c r="AO237" s="6">
        <v>3522</v>
      </c>
      <c r="AP237" s="6">
        <v>3920</v>
      </c>
      <c r="AQ237" s="6">
        <v>1927</v>
      </c>
      <c r="AR237" s="6">
        <v>2785</v>
      </c>
    </row>
    <row r="238" spans="1:44">
      <c r="A238" s="4" t="s">
        <v>1053</v>
      </c>
      <c r="B238" s="1" t="s">
        <v>1054</v>
      </c>
      <c r="C238" s="1" t="s">
        <v>283</v>
      </c>
      <c r="D238" s="1" t="str">
        <f>HYPERLINK("http://eros.fiehnlab.ucdavis.edu:8080/binbase-compound/bin/show/218790?db=rtx5","218790")</f>
        <v>218790</v>
      </c>
      <c r="E238" s="1" t="s">
        <v>1055</v>
      </c>
      <c r="F238" s="1" t="s">
        <v>0</v>
      </c>
      <c r="G238" s="1" t="s">
        <v>0</v>
      </c>
      <c r="H238" s="1"/>
      <c r="I238" s="6">
        <v>1486</v>
      </c>
      <c r="J238" s="6">
        <v>233</v>
      </c>
      <c r="K238" s="6">
        <v>164</v>
      </c>
      <c r="L238" s="6">
        <v>1367</v>
      </c>
      <c r="M238" s="6">
        <v>786</v>
      </c>
      <c r="N238" s="6">
        <v>1760</v>
      </c>
      <c r="O238" s="6">
        <v>447</v>
      </c>
      <c r="P238" s="6">
        <v>179</v>
      </c>
      <c r="Q238" s="6">
        <v>1169</v>
      </c>
      <c r="R238" s="6">
        <v>826</v>
      </c>
      <c r="S238" s="6">
        <v>229</v>
      </c>
      <c r="T238" s="6">
        <v>208</v>
      </c>
      <c r="U238" s="6">
        <v>3258</v>
      </c>
      <c r="V238" s="6">
        <v>275</v>
      </c>
      <c r="W238" s="6">
        <v>883</v>
      </c>
      <c r="X238" s="6">
        <v>1106</v>
      </c>
      <c r="Y238" s="6">
        <v>1244</v>
      </c>
      <c r="Z238" s="6">
        <v>972</v>
      </c>
      <c r="AA238" s="6">
        <v>217</v>
      </c>
      <c r="AB238" s="6">
        <v>2451</v>
      </c>
      <c r="AC238" s="6">
        <v>173</v>
      </c>
      <c r="AD238" s="6">
        <v>1354</v>
      </c>
      <c r="AE238" s="6">
        <v>1186</v>
      </c>
      <c r="AF238" s="6">
        <v>408</v>
      </c>
      <c r="AG238" s="6">
        <v>242</v>
      </c>
      <c r="AH238" s="6">
        <v>3099</v>
      </c>
      <c r="AI238" s="6">
        <v>664</v>
      </c>
      <c r="AJ238" s="6">
        <v>232</v>
      </c>
      <c r="AK238" s="6">
        <v>826</v>
      </c>
      <c r="AL238" s="6">
        <v>164</v>
      </c>
      <c r="AM238" s="6">
        <v>852</v>
      </c>
      <c r="AN238" s="6">
        <v>383</v>
      </c>
      <c r="AO238" s="6">
        <v>1389</v>
      </c>
      <c r="AP238" s="6">
        <v>1454</v>
      </c>
      <c r="AQ238" s="6">
        <v>516</v>
      </c>
      <c r="AR238" s="6">
        <v>1119</v>
      </c>
    </row>
    <row r="239" spans="1:44">
      <c r="A239" s="4" t="s">
        <v>1032</v>
      </c>
      <c r="B239" s="1" t="s">
        <v>1033</v>
      </c>
      <c r="C239" s="1" t="s">
        <v>914</v>
      </c>
      <c r="D239" s="1" t="str">
        <f>HYPERLINK("http://eros.fiehnlab.ucdavis.edu:8080/binbase-compound/bin/show/223675?db=rtx5","223675")</f>
        <v>223675</v>
      </c>
      <c r="E239" s="1" t="s">
        <v>1034</v>
      </c>
      <c r="F239" s="1" t="s">
        <v>0</v>
      </c>
      <c r="G239" s="1" t="s">
        <v>0</v>
      </c>
      <c r="H239" s="1"/>
      <c r="I239" s="6">
        <v>3226</v>
      </c>
      <c r="J239" s="6">
        <v>626</v>
      </c>
      <c r="K239" s="6">
        <v>602</v>
      </c>
      <c r="L239" s="6">
        <v>4172</v>
      </c>
      <c r="M239" s="6">
        <v>1697</v>
      </c>
      <c r="N239" s="6">
        <v>4181</v>
      </c>
      <c r="O239" s="6">
        <v>1897</v>
      </c>
      <c r="P239" s="6">
        <v>596</v>
      </c>
      <c r="Q239" s="6">
        <v>3463</v>
      </c>
      <c r="R239" s="6">
        <v>2069</v>
      </c>
      <c r="S239" s="6">
        <v>646</v>
      </c>
      <c r="T239" s="6">
        <v>460</v>
      </c>
      <c r="U239" s="6">
        <v>4911</v>
      </c>
      <c r="V239" s="6">
        <v>919</v>
      </c>
      <c r="W239" s="6">
        <v>1851</v>
      </c>
      <c r="X239" s="6">
        <v>3096</v>
      </c>
      <c r="Y239" s="6">
        <v>3185</v>
      </c>
      <c r="Z239" s="6">
        <v>2500</v>
      </c>
      <c r="AA239" s="6">
        <v>772</v>
      </c>
      <c r="AB239" s="6">
        <v>5306</v>
      </c>
      <c r="AC239" s="6">
        <v>799</v>
      </c>
      <c r="AD239" s="6">
        <v>2713</v>
      </c>
      <c r="AE239" s="6">
        <v>3404</v>
      </c>
      <c r="AF239" s="6">
        <v>1293</v>
      </c>
      <c r="AG239" s="6">
        <v>934</v>
      </c>
      <c r="AH239" s="6">
        <v>5638</v>
      </c>
      <c r="AI239" s="6">
        <v>1551</v>
      </c>
      <c r="AJ239" s="6">
        <v>845</v>
      </c>
      <c r="AK239" s="6">
        <v>2127</v>
      </c>
      <c r="AL239" s="6">
        <v>376</v>
      </c>
      <c r="AM239" s="6">
        <v>1279</v>
      </c>
      <c r="AN239" s="6">
        <v>1079</v>
      </c>
      <c r="AO239" s="6">
        <v>3117</v>
      </c>
      <c r="AP239" s="6">
        <v>4046</v>
      </c>
      <c r="AQ239" s="6">
        <v>1352</v>
      </c>
      <c r="AR239" s="6">
        <v>3083</v>
      </c>
    </row>
    <row r="240" spans="1:44">
      <c r="A240" s="4" t="s">
        <v>969</v>
      </c>
      <c r="B240" s="1" t="s">
        <v>970</v>
      </c>
      <c r="C240" s="1" t="s">
        <v>971</v>
      </c>
      <c r="D240" s="1" t="str">
        <f>HYPERLINK("http://eros.fiehnlab.ucdavis.edu:8080/binbase-compound/bin/show/233298?db=rtx5","233298")</f>
        <v>233298</v>
      </c>
      <c r="E240" s="1" t="s">
        <v>972</v>
      </c>
      <c r="F240" s="1" t="s">
        <v>0</v>
      </c>
      <c r="G240" s="1" t="s">
        <v>0</v>
      </c>
      <c r="H240" s="1"/>
      <c r="I240" s="6">
        <v>1569</v>
      </c>
      <c r="J240" s="6">
        <v>292</v>
      </c>
      <c r="K240" s="6">
        <v>160</v>
      </c>
      <c r="L240" s="6">
        <v>1529</v>
      </c>
      <c r="M240" s="6">
        <v>1709</v>
      </c>
      <c r="N240" s="6">
        <v>1152</v>
      </c>
      <c r="O240" s="6">
        <v>596</v>
      </c>
      <c r="P240" s="6">
        <v>198</v>
      </c>
      <c r="Q240" s="6">
        <v>2448</v>
      </c>
      <c r="R240" s="6">
        <v>1590</v>
      </c>
      <c r="S240" s="6">
        <v>225</v>
      </c>
      <c r="T240" s="6">
        <v>296</v>
      </c>
      <c r="U240" s="6">
        <v>4010</v>
      </c>
      <c r="V240" s="6">
        <v>1460</v>
      </c>
      <c r="W240" s="6">
        <v>4196</v>
      </c>
      <c r="X240" s="6">
        <v>2280</v>
      </c>
      <c r="Y240" s="6">
        <v>2793</v>
      </c>
      <c r="Z240" s="6">
        <v>3011</v>
      </c>
      <c r="AA240" s="6">
        <v>451</v>
      </c>
      <c r="AB240" s="6">
        <v>1658</v>
      </c>
      <c r="AC240" s="6">
        <v>892</v>
      </c>
      <c r="AD240" s="6">
        <v>6069</v>
      </c>
      <c r="AE240" s="6">
        <v>4041</v>
      </c>
      <c r="AF240" s="6">
        <v>816</v>
      </c>
      <c r="AG240" s="6">
        <v>2046</v>
      </c>
      <c r="AH240" s="6">
        <v>5952</v>
      </c>
      <c r="AI240" s="6">
        <v>1543</v>
      </c>
      <c r="AJ240" s="6">
        <v>568</v>
      </c>
      <c r="AK240" s="6">
        <v>1831</v>
      </c>
      <c r="AL240" s="6">
        <v>151</v>
      </c>
      <c r="AM240" s="6">
        <v>4885</v>
      </c>
      <c r="AN240" s="6">
        <v>234</v>
      </c>
      <c r="AO240" s="6">
        <v>3952</v>
      </c>
      <c r="AP240" s="6">
        <v>4205</v>
      </c>
      <c r="AQ240" s="6">
        <v>1510</v>
      </c>
      <c r="AR240" s="6">
        <v>5018</v>
      </c>
    </row>
    <row r="241" spans="1:44">
      <c r="A241" s="4" t="s">
        <v>988</v>
      </c>
      <c r="B241" s="1" t="s">
        <v>989</v>
      </c>
      <c r="C241" s="1" t="s">
        <v>269</v>
      </c>
      <c r="D241" s="1" t="str">
        <f>HYPERLINK("http://eros.fiehnlab.ucdavis.edu:8080/binbase-compound/bin/show/231223?db=rtx5","231223")</f>
        <v>231223</v>
      </c>
      <c r="E241" s="1" t="s">
        <v>990</v>
      </c>
      <c r="F241" s="1" t="s">
        <v>0</v>
      </c>
      <c r="G241" s="1" t="s">
        <v>0</v>
      </c>
      <c r="H241" s="1"/>
      <c r="I241" s="6">
        <v>673</v>
      </c>
      <c r="J241" s="6">
        <v>529</v>
      </c>
      <c r="K241" s="6">
        <v>298</v>
      </c>
      <c r="L241" s="6">
        <v>608</v>
      </c>
      <c r="M241" s="6">
        <v>329</v>
      </c>
      <c r="N241" s="6">
        <v>306</v>
      </c>
      <c r="O241" s="6">
        <v>1352</v>
      </c>
      <c r="P241" s="6">
        <v>735</v>
      </c>
      <c r="Q241" s="6">
        <v>1141</v>
      </c>
      <c r="R241" s="6">
        <v>1213</v>
      </c>
      <c r="S241" s="6">
        <v>1207</v>
      </c>
      <c r="T241" s="6">
        <v>207</v>
      </c>
      <c r="U241" s="6">
        <v>1268</v>
      </c>
      <c r="V241" s="6">
        <v>689</v>
      </c>
      <c r="W241" s="6">
        <v>1104</v>
      </c>
      <c r="X241" s="6">
        <v>2898</v>
      </c>
      <c r="Y241" s="6">
        <v>457</v>
      </c>
      <c r="Z241" s="6">
        <v>688</v>
      </c>
      <c r="AA241" s="6">
        <v>1209</v>
      </c>
      <c r="AB241" s="6">
        <v>807</v>
      </c>
      <c r="AC241" s="6">
        <v>468</v>
      </c>
      <c r="AD241" s="6">
        <v>619</v>
      </c>
      <c r="AE241" s="6">
        <v>639</v>
      </c>
      <c r="AF241" s="6">
        <v>475</v>
      </c>
      <c r="AG241" s="6">
        <v>1210</v>
      </c>
      <c r="AH241" s="6">
        <v>1187</v>
      </c>
      <c r="AI241" s="6">
        <v>689</v>
      </c>
      <c r="AJ241" s="6">
        <v>297</v>
      </c>
      <c r="AK241" s="6">
        <v>915</v>
      </c>
      <c r="AL241" s="6">
        <v>255</v>
      </c>
      <c r="AM241" s="6">
        <v>782</v>
      </c>
      <c r="AN241" s="6">
        <v>670</v>
      </c>
      <c r="AO241" s="6">
        <v>1144</v>
      </c>
      <c r="AP241" s="6">
        <v>1576</v>
      </c>
      <c r="AQ241" s="6">
        <v>747</v>
      </c>
      <c r="AR241" s="6">
        <v>570</v>
      </c>
    </row>
    <row r="242" spans="1:44">
      <c r="A242" s="4" t="s">
        <v>825</v>
      </c>
      <c r="B242" s="1" t="s">
        <v>826</v>
      </c>
      <c r="C242" s="1" t="s">
        <v>827</v>
      </c>
      <c r="D242" s="1" t="str">
        <f>HYPERLINK("http://eros.fiehnlab.ucdavis.edu:8080/binbase-compound/bin/show/268399?db=rtx5","268399")</f>
        <v>268399</v>
      </c>
      <c r="E242" s="1" t="s">
        <v>828</v>
      </c>
      <c r="F242" s="1" t="s">
        <v>0</v>
      </c>
      <c r="G242" s="1" t="s">
        <v>0</v>
      </c>
      <c r="H242" s="1"/>
      <c r="I242" s="6">
        <v>1406</v>
      </c>
      <c r="J242" s="6">
        <v>640</v>
      </c>
      <c r="K242" s="6">
        <v>516</v>
      </c>
      <c r="L242" s="6">
        <v>892</v>
      </c>
      <c r="M242" s="6">
        <v>459</v>
      </c>
      <c r="N242" s="6">
        <v>1095</v>
      </c>
      <c r="O242" s="6">
        <v>560</v>
      </c>
      <c r="P242" s="6">
        <v>217</v>
      </c>
      <c r="Q242" s="6">
        <v>874</v>
      </c>
      <c r="R242" s="6">
        <v>742</v>
      </c>
      <c r="S242" s="6">
        <v>203</v>
      </c>
      <c r="T242" s="6">
        <v>150</v>
      </c>
      <c r="U242" s="6">
        <v>1422</v>
      </c>
      <c r="V242" s="6">
        <v>241</v>
      </c>
      <c r="W242" s="6">
        <v>640</v>
      </c>
      <c r="X242" s="6">
        <v>503</v>
      </c>
      <c r="Y242" s="6">
        <v>676</v>
      </c>
      <c r="Z242" s="6">
        <v>939</v>
      </c>
      <c r="AA242" s="6">
        <v>255</v>
      </c>
      <c r="AB242" s="6">
        <v>751</v>
      </c>
      <c r="AC242" s="6">
        <v>471</v>
      </c>
      <c r="AD242" s="6">
        <v>954</v>
      </c>
      <c r="AE242" s="6">
        <v>746</v>
      </c>
      <c r="AF242" s="6">
        <v>385</v>
      </c>
      <c r="AG242" s="6">
        <v>603</v>
      </c>
      <c r="AH242" s="6">
        <v>1883</v>
      </c>
      <c r="AI242" s="6">
        <v>359</v>
      </c>
      <c r="AJ242" s="6">
        <v>254</v>
      </c>
      <c r="AK242" s="6">
        <v>307</v>
      </c>
      <c r="AL242" s="6">
        <v>239</v>
      </c>
      <c r="AM242" s="6">
        <v>483</v>
      </c>
      <c r="AN242" s="6">
        <v>462</v>
      </c>
      <c r="AO242" s="6">
        <v>685</v>
      </c>
      <c r="AP242" s="6">
        <v>1054</v>
      </c>
      <c r="AQ242" s="6">
        <v>375</v>
      </c>
      <c r="AR242" s="6">
        <v>908</v>
      </c>
    </row>
    <row r="243" spans="1:44">
      <c r="A243" s="4" t="s">
        <v>881</v>
      </c>
      <c r="B243" s="1" t="s">
        <v>882</v>
      </c>
      <c r="C243" s="1" t="s">
        <v>203</v>
      </c>
      <c r="D243" s="1" t="str">
        <f>HYPERLINK("http://eros.fiehnlab.ucdavis.edu:8080/binbase-compound/bin/show/241065?db=rtx5","241065")</f>
        <v>241065</v>
      </c>
      <c r="E243" s="1" t="s">
        <v>883</v>
      </c>
      <c r="F243" s="1" t="s">
        <v>0</v>
      </c>
      <c r="G243" s="1" t="s">
        <v>0</v>
      </c>
      <c r="H243" s="1"/>
      <c r="I243" s="6">
        <v>4767</v>
      </c>
      <c r="J243" s="6">
        <v>605</v>
      </c>
      <c r="K243" s="6">
        <v>414</v>
      </c>
      <c r="L243" s="6">
        <v>2560</v>
      </c>
      <c r="M243" s="6">
        <v>1474</v>
      </c>
      <c r="N243" s="6">
        <v>5327</v>
      </c>
      <c r="O243" s="6">
        <v>1394</v>
      </c>
      <c r="P243" s="6">
        <v>675</v>
      </c>
      <c r="Q243" s="6">
        <v>4331</v>
      </c>
      <c r="R243" s="6">
        <v>1640</v>
      </c>
      <c r="S243" s="6">
        <v>634</v>
      </c>
      <c r="T243" s="6">
        <v>657</v>
      </c>
      <c r="U243" s="6">
        <v>7974</v>
      </c>
      <c r="V243" s="6">
        <v>567</v>
      </c>
      <c r="W243" s="6">
        <v>1147</v>
      </c>
      <c r="X243" s="6">
        <v>1326</v>
      </c>
      <c r="Y243" s="6">
        <v>1862</v>
      </c>
      <c r="Z243" s="6">
        <v>2155</v>
      </c>
      <c r="AA243" s="6">
        <v>722</v>
      </c>
      <c r="AB243" s="6">
        <v>9174</v>
      </c>
      <c r="AC243" s="6">
        <v>1523</v>
      </c>
      <c r="AD243" s="6">
        <v>2089</v>
      </c>
      <c r="AE243" s="6">
        <v>4642</v>
      </c>
      <c r="AF243" s="6">
        <v>1480</v>
      </c>
      <c r="AG243" s="6">
        <v>829</v>
      </c>
      <c r="AH243" s="6">
        <v>6567</v>
      </c>
      <c r="AI243" s="6">
        <v>1242</v>
      </c>
      <c r="AJ243" s="6">
        <v>556</v>
      </c>
      <c r="AK243" s="6">
        <v>1964</v>
      </c>
      <c r="AL243" s="6">
        <v>364</v>
      </c>
      <c r="AM243" s="6">
        <v>2710</v>
      </c>
      <c r="AN243" s="6">
        <v>509</v>
      </c>
      <c r="AO243" s="6">
        <v>3301</v>
      </c>
      <c r="AP243" s="6">
        <v>3357</v>
      </c>
      <c r="AQ243" s="6">
        <v>645</v>
      </c>
      <c r="AR243" s="6">
        <v>1920</v>
      </c>
    </row>
    <row r="244" spans="1:44">
      <c r="A244" s="4" t="s">
        <v>927</v>
      </c>
      <c r="B244" s="1" t="s">
        <v>928</v>
      </c>
      <c r="C244" s="1" t="s">
        <v>929</v>
      </c>
      <c r="D244" s="1" t="str">
        <f>HYPERLINK("http://eros.fiehnlab.ucdavis.edu:8080/binbase-compound/bin/show/237731?db=rtx5","237731")</f>
        <v>237731</v>
      </c>
      <c r="E244" s="1" t="s">
        <v>930</v>
      </c>
      <c r="F244" s="1" t="s">
        <v>0</v>
      </c>
      <c r="G244" s="1" t="s">
        <v>0</v>
      </c>
      <c r="H244" s="1"/>
      <c r="I244" s="6">
        <v>6462</v>
      </c>
      <c r="J244" s="6">
        <v>2042</v>
      </c>
      <c r="K244" s="6">
        <v>3275</v>
      </c>
      <c r="L244" s="6">
        <v>7479</v>
      </c>
      <c r="M244" s="6">
        <v>3200</v>
      </c>
      <c r="N244" s="6">
        <v>2191</v>
      </c>
      <c r="O244" s="6">
        <v>4831</v>
      </c>
      <c r="P244" s="6">
        <v>1756</v>
      </c>
      <c r="Q244" s="6">
        <v>4292</v>
      </c>
      <c r="R244" s="6">
        <v>2287</v>
      </c>
      <c r="S244" s="6">
        <v>4001</v>
      </c>
      <c r="T244" s="6">
        <v>609</v>
      </c>
      <c r="U244" s="6">
        <v>6544</v>
      </c>
      <c r="V244" s="6">
        <v>6492</v>
      </c>
      <c r="W244" s="6">
        <v>11723</v>
      </c>
      <c r="X244" s="6">
        <v>3598</v>
      </c>
      <c r="Y244" s="6">
        <v>5018</v>
      </c>
      <c r="Z244" s="6">
        <v>7452</v>
      </c>
      <c r="AA244" s="6">
        <v>2451</v>
      </c>
      <c r="AB244" s="6">
        <v>3730</v>
      </c>
      <c r="AC244" s="6">
        <v>3712</v>
      </c>
      <c r="AD244" s="6">
        <v>8030</v>
      </c>
      <c r="AE244" s="6">
        <v>3722</v>
      </c>
      <c r="AF244" s="6">
        <v>2882</v>
      </c>
      <c r="AG244" s="6">
        <v>9250</v>
      </c>
      <c r="AH244" s="6">
        <v>8296</v>
      </c>
      <c r="AI244" s="6">
        <v>6003</v>
      </c>
      <c r="AJ244" s="6">
        <v>4570</v>
      </c>
      <c r="AK244" s="6">
        <v>7816</v>
      </c>
      <c r="AL244" s="6">
        <v>3420</v>
      </c>
      <c r="AM244" s="6">
        <v>4933</v>
      </c>
      <c r="AN244" s="6">
        <v>5808</v>
      </c>
      <c r="AO244" s="6">
        <v>4866</v>
      </c>
      <c r="AP244" s="6">
        <v>8965</v>
      </c>
      <c r="AQ244" s="6">
        <v>7066</v>
      </c>
      <c r="AR244" s="6">
        <v>7277</v>
      </c>
    </row>
    <row r="245" spans="1:44">
      <c r="A245" s="4" t="s">
        <v>1041</v>
      </c>
      <c r="B245" s="1" t="s">
        <v>1042</v>
      </c>
      <c r="C245" s="1" t="s">
        <v>374</v>
      </c>
      <c r="D245" s="1" t="str">
        <f>HYPERLINK("http://eros.fiehnlab.ucdavis.edu:8080/binbase-compound/bin/show/223505?db=rtx5","223505")</f>
        <v>223505</v>
      </c>
      <c r="E245" s="1" t="s">
        <v>1043</v>
      </c>
      <c r="F245" s="1" t="s">
        <v>0</v>
      </c>
      <c r="G245" s="1" t="s">
        <v>0</v>
      </c>
      <c r="H245" s="1"/>
      <c r="I245" s="6">
        <v>461</v>
      </c>
      <c r="J245" s="6">
        <v>156</v>
      </c>
      <c r="K245" s="6">
        <v>147</v>
      </c>
      <c r="L245" s="6">
        <v>621</v>
      </c>
      <c r="M245" s="6">
        <v>361</v>
      </c>
      <c r="N245" s="6">
        <v>444</v>
      </c>
      <c r="O245" s="6">
        <v>201</v>
      </c>
      <c r="P245" s="6">
        <v>129</v>
      </c>
      <c r="Q245" s="6">
        <v>450</v>
      </c>
      <c r="R245" s="6">
        <v>239</v>
      </c>
      <c r="S245" s="6">
        <v>140</v>
      </c>
      <c r="T245" s="6">
        <v>124</v>
      </c>
      <c r="U245" s="6">
        <v>870</v>
      </c>
      <c r="V245" s="6">
        <v>171</v>
      </c>
      <c r="W245" s="6">
        <v>227</v>
      </c>
      <c r="X245" s="6">
        <v>223</v>
      </c>
      <c r="Y245" s="6">
        <v>631</v>
      </c>
      <c r="Z245" s="6">
        <v>340</v>
      </c>
      <c r="AA245" s="6">
        <v>106</v>
      </c>
      <c r="AB245" s="6">
        <v>823</v>
      </c>
      <c r="AC245" s="6">
        <v>179</v>
      </c>
      <c r="AD245" s="6">
        <v>302</v>
      </c>
      <c r="AE245" s="6">
        <v>461</v>
      </c>
      <c r="AF245" s="6">
        <v>176</v>
      </c>
      <c r="AG245" s="6">
        <v>123</v>
      </c>
      <c r="AH245" s="6">
        <v>749</v>
      </c>
      <c r="AI245" s="6">
        <v>101</v>
      </c>
      <c r="AJ245" s="6">
        <v>169</v>
      </c>
      <c r="AK245" s="6">
        <v>172</v>
      </c>
      <c r="AL245" s="6">
        <v>164</v>
      </c>
      <c r="AM245" s="6">
        <v>377</v>
      </c>
      <c r="AN245" s="6">
        <v>174</v>
      </c>
      <c r="AO245" s="6">
        <v>540</v>
      </c>
      <c r="AP245" s="6">
        <v>354</v>
      </c>
      <c r="AQ245" s="6">
        <v>147</v>
      </c>
      <c r="AR245" s="6">
        <v>537</v>
      </c>
    </row>
    <row r="246" spans="1:44">
      <c r="A246" s="4" t="s">
        <v>1153</v>
      </c>
      <c r="B246" s="1" t="s">
        <v>1154</v>
      </c>
      <c r="C246" s="1" t="s">
        <v>968</v>
      </c>
      <c r="D246" s="1" t="str">
        <f>HYPERLINK("http://eros.fiehnlab.ucdavis.edu:8080/binbase-compound/bin/show/201887?db=rtx5","201887")</f>
        <v>201887</v>
      </c>
      <c r="E246" s="1" t="s">
        <v>1155</v>
      </c>
      <c r="F246" s="1" t="s">
        <v>0</v>
      </c>
      <c r="G246" s="1" t="s">
        <v>0</v>
      </c>
      <c r="H246" s="1"/>
      <c r="I246" s="6">
        <v>531</v>
      </c>
      <c r="J246" s="6">
        <v>417</v>
      </c>
      <c r="K246" s="6">
        <v>447</v>
      </c>
      <c r="L246" s="6">
        <v>262</v>
      </c>
      <c r="M246" s="6">
        <v>412</v>
      </c>
      <c r="N246" s="6">
        <v>384</v>
      </c>
      <c r="O246" s="6">
        <v>517</v>
      </c>
      <c r="P246" s="6">
        <v>381</v>
      </c>
      <c r="Q246" s="6">
        <v>342</v>
      </c>
      <c r="R246" s="6">
        <v>421</v>
      </c>
      <c r="S246" s="6">
        <v>372</v>
      </c>
      <c r="T246" s="6">
        <v>469</v>
      </c>
      <c r="U246" s="6">
        <v>318</v>
      </c>
      <c r="V246" s="6">
        <v>295</v>
      </c>
      <c r="W246" s="6">
        <v>300</v>
      </c>
      <c r="X246" s="6">
        <v>279</v>
      </c>
      <c r="Y246" s="6">
        <v>422</v>
      </c>
      <c r="Z246" s="6">
        <v>360</v>
      </c>
      <c r="AA246" s="6">
        <v>397</v>
      </c>
      <c r="AB246" s="6">
        <v>248</v>
      </c>
      <c r="AC246" s="6">
        <v>318</v>
      </c>
      <c r="AD246" s="6">
        <v>334</v>
      </c>
      <c r="AE246" s="6">
        <v>388</v>
      </c>
      <c r="AF246" s="6">
        <v>640</v>
      </c>
      <c r="AG246" s="6">
        <v>496</v>
      </c>
      <c r="AH246" s="6">
        <v>551</v>
      </c>
      <c r="AI246" s="6">
        <v>452</v>
      </c>
      <c r="AJ246" s="6">
        <v>293</v>
      </c>
      <c r="AK246" s="6">
        <v>226</v>
      </c>
      <c r="AL246" s="6">
        <v>213</v>
      </c>
      <c r="AM246" s="6">
        <v>343</v>
      </c>
      <c r="AN246" s="6">
        <v>374</v>
      </c>
      <c r="AO246" s="6">
        <v>469</v>
      </c>
      <c r="AP246" s="6">
        <v>295</v>
      </c>
      <c r="AQ246" s="6">
        <v>237</v>
      </c>
      <c r="AR246" s="6">
        <v>381</v>
      </c>
    </row>
    <row r="247" spans="1:44">
      <c r="A247" s="4" t="s">
        <v>1071</v>
      </c>
      <c r="B247" s="1" t="s">
        <v>1072</v>
      </c>
      <c r="C247" s="1" t="s">
        <v>426</v>
      </c>
      <c r="D247" s="1" t="str">
        <f>HYPERLINK("http://eros.fiehnlab.ucdavis.edu:8080/binbase-compound/bin/show/217893?db=rtx5","217893")</f>
        <v>217893</v>
      </c>
      <c r="E247" s="1" t="s">
        <v>1073</v>
      </c>
      <c r="F247" s="1" t="s">
        <v>0</v>
      </c>
      <c r="G247" s="1" t="s">
        <v>0</v>
      </c>
      <c r="H247" s="1"/>
      <c r="I247" s="6">
        <v>575</v>
      </c>
      <c r="J247" s="6">
        <v>385</v>
      </c>
      <c r="K247" s="6">
        <v>307</v>
      </c>
      <c r="L247" s="6">
        <v>821</v>
      </c>
      <c r="M247" s="6">
        <v>523</v>
      </c>
      <c r="N247" s="6">
        <v>370</v>
      </c>
      <c r="O247" s="6">
        <v>278</v>
      </c>
      <c r="P247" s="6">
        <v>278</v>
      </c>
      <c r="Q247" s="6">
        <v>976</v>
      </c>
      <c r="R247" s="6">
        <v>349</v>
      </c>
      <c r="S247" s="6">
        <v>786</v>
      </c>
      <c r="T247" s="6">
        <v>289</v>
      </c>
      <c r="U247" s="6">
        <v>1501</v>
      </c>
      <c r="V247" s="6">
        <v>160</v>
      </c>
      <c r="W247" s="6">
        <v>346</v>
      </c>
      <c r="X247" s="6">
        <v>512</v>
      </c>
      <c r="Y247" s="6">
        <v>402</v>
      </c>
      <c r="Z247" s="6">
        <v>1325</v>
      </c>
      <c r="AA247" s="6">
        <v>2048</v>
      </c>
      <c r="AB247" s="6">
        <v>1735</v>
      </c>
      <c r="AC247" s="6">
        <v>361</v>
      </c>
      <c r="AD247" s="6">
        <v>231</v>
      </c>
      <c r="AE247" s="6">
        <v>840</v>
      </c>
      <c r="AF247" s="6">
        <v>1604</v>
      </c>
      <c r="AG247" s="6">
        <v>460</v>
      </c>
      <c r="AH247" s="6">
        <v>531</v>
      </c>
      <c r="AI247" s="6">
        <v>577</v>
      </c>
      <c r="AJ247" s="6">
        <v>381</v>
      </c>
      <c r="AK247" s="6">
        <v>297</v>
      </c>
      <c r="AL247" s="6">
        <v>750</v>
      </c>
      <c r="AM247" s="6">
        <v>896</v>
      </c>
      <c r="AN247" s="6">
        <v>1467</v>
      </c>
      <c r="AO247" s="6">
        <v>678</v>
      </c>
      <c r="AP247" s="6">
        <v>1075</v>
      </c>
      <c r="AQ247" s="6">
        <v>154</v>
      </c>
      <c r="AR247" s="6">
        <v>336</v>
      </c>
    </row>
    <row r="248" spans="1:44">
      <c r="A248" s="4" t="s">
        <v>664</v>
      </c>
      <c r="B248" s="1" t="s">
        <v>665</v>
      </c>
      <c r="C248" s="1" t="s">
        <v>363</v>
      </c>
      <c r="D248" s="1" t="str">
        <f>HYPERLINK("http://eros.fiehnlab.ucdavis.edu:8080/binbase-compound/bin/show/369728?db=rtx5","369728")</f>
        <v>369728</v>
      </c>
      <c r="E248" s="1" t="s">
        <v>666</v>
      </c>
      <c r="F248" s="1" t="s">
        <v>0</v>
      </c>
      <c r="G248" s="1" t="s">
        <v>0</v>
      </c>
      <c r="H248" s="1"/>
      <c r="I248" s="6">
        <v>4814</v>
      </c>
      <c r="J248" s="6">
        <v>2094</v>
      </c>
      <c r="K248" s="6">
        <v>2644</v>
      </c>
      <c r="L248" s="6">
        <v>4588</v>
      </c>
      <c r="M248" s="6">
        <v>2412</v>
      </c>
      <c r="N248" s="6">
        <v>2357</v>
      </c>
      <c r="O248" s="6">
        <v>3640</v>
      </c>
      <c r="P248" s="6">
        <v>2116</v>
      </c>
      <c r="Q248" s="6">
        <v>4202</v>
      </c>
      <c r="R248" s="6">
        <v>2078</v>
      </c>
      <c r="S248" s="6">
        <v>3496</v>
      </c>
      <c r="T248" s="6">
        <v>714</v>
      </c>
      <c r="U248" s="6">
        <v>5360</v>
      </c>
      <c r="V248" s="6">
        <v>4372</v>
      </c>
      <c r="W248" s="6">
        <v>7710</v>
      </c>
      <c r="X248" s="6">
        <v>3807</v>
      </c>
      <c r="Y248" s="6">
        <v>4462</v>
      </c>
      <c r="Z248" s="6">
        <v>4869</v>
      </c>
      <c r="AA248" s="6">
        <v>2253</v>
      </c>
      <c r="AB248" s="6">
        <v>4936</v>
      </c>
      <c r="AC248" s="6">
        <v>3502</v>
      </c>
      <c r="AD248" s="6">
        <v>5590</v>
      </c>
      <c r="AE248" s="6">
        <v>4299</v>
      </c>
      <c r="AF248" s="6">
        <v>2689</v>
      </c>
      <c r="AG248" s="6">
        <v>6311</v>
      </c>
      <c r="AH248" s="6">
        <v>6632</v>
      </c>
      <c r="AI248" s="6">
        <v>4605</v>
      </c>
      <c r="AJ248" s="6">
        <v>3020</v>
      </c>
      <c r="AK248" s="6">
        <v>5390</v>
      </c>
      <c r="AL248" s="6">
        <v>2769</v>
      </c>
      <c r="AM248" s="6">
        <v>3594</v>
      </c>
      <c r="AN248" s="6">
        <v>3267</v>
      </c>
      <c r="AO248" s="6">
        <v>4112</v>
      </c>
      <c r="AP248" s="6">
        <v>5909</v>
      </c>
      <c r="AQ248" s="6">
        <v>4879</v>
      </c>
      <c r="AR248" s="6">
        <v>4563</v>
      </c>
    </row>
    <row r="249" spans="1:44">
      <c r="A249" s="4" t="s">
        <v>1000</v>
      </c>
      <c r="B249" s="1" t="s">
        <v>1001</v>
      </c>
      <c r="C249" s="1" t="s">
        <v>133</v>
      </c>
      <c r="D249" s="1" t="str">
        <f>HYPERLINK("http://eros.fiehnlab.ucdavis.edu:8080/binbase-compound/bin/show/228279?db=rtx5","228279")</f>
        <v>228279</v>
      </c>
      <c r="E249" s="1" t="s">
        <v>1002</v>
      </c>
      <c r="F249" s="1" t="s">
        <v>0</v>
      </c>
      <c r="G249" s="1" t="s">
        <v>0</v>
      </c>
      <c r="H249" s="1"/>
      <c r="I249" s="6">
        <v>166</v>
      </c>
      <c r="J249" s="6">
        <v>116</v>
      </c>
      <c r="K249" s="6">
        <v>122</v>
      </c>
      <c r="L249" s="6">
        <v>424</v>
      </c>
      <c r="M249" s="6">
        <v>220</v>
      </c>
      <c r="N249" s="6">
        <v>299</v>
      </c>
      <c r="O249" s="6">
        <v>253</v>
      </c>
      <c r="P249" s="6">
        <v>115</v>
      </c>
      <c r="Q249" s="6">
        <v>440</v>
      </c>
      <c r="R249" s="6">
        <v>208</v>
      </c>
      <c r="S249" s="6">
        <v>127</v>
      </c>
      <c r="T249" s="6">
        <v>93</v>
      </c>
      <c r="U249" s="6">
        <v>631</v>
      </c>
      <c r="V249" s="6">
        <v>150</v>
      </c>
      <c r="W249" s="6">
        <v>210</v>
      </c>
      <c r="X249" s="6">
        <v>236</v>
      </c>
      <c r="Y249" s="6">
        <v>316</v>
      </c>
      <c r="Z249" s="6">
        <v>382</v>
      </c>
      <c r="AA249" s="6">
        <v>142</v>
      </c>
      <c r="AB249" s="6">
        <v>635</v>
      </c>
      <c r="AC249" s="6">
        <v>85</v>
      </c>
      <c r="AD249" s="6">
        <v>499</v>
      </c>
      <c r="AE249" s="6">
        <v>313</v>
      </c>
      <c r="AF249" s="6">
        <v>216</v>
      </c>
      <c r="AG249" s="6">
        <v>226</v>
      </c>
      <c r="AH249" s="6">
        <v>1464</v>
      </c>
      <c r="AI249" s="6">
        <v>242</v>
      </c>
      <c r="AJ249" s="6">
        <v>159</v>
      </c>
      <c r="AK249" s="6">
        <v>267</v>
      </c>
      <c r="AL249" s="6">
        <v>120</v>
      </c>
      <c r="AM249" s="6">
        <v>510</v>
      </c>
      <c r="AN249" s="6">
        <v>162</v>
      </c>
      <c r="AO249" s="6">
        <v>450</v>
      </c>
      <c r="AP249" s="6">
        <v>716</v>
      </c>
      <c r="AQ249" s="6">
        <v>275</v>
      </c>
      <c r="AR249" s="6">
        <v>436</v>
      </c>
    </row>
    <row r="250" spans="1:44">
      <c r="A250" s="4" t="s">
        <v>956</v>
      </c>
      <c r="B250" s="1" t="s">
        <v>957</v>
      </c>
      <c r="C250" s="1" t="s">
        <v>115</v>
      </c>
      <c r="D250" s="1" t="str">
        <f>HYPERLINK("http://eros.fiehnlab.ucdavis.edu:8080/binbase-compound/bin/show/235449?db=rtx5","235449")</f>
        <v>235449</v>
      </c>
      <c r="E250" s="1" t="s">
        <v>958</v>
      </c>
      <c r="F250" s="1" t="s">
        <v>0</v>
      </c>
      <c r="G250" s="1" t="s">
        <v>0</v>
      </c>
      <c r="H250" s="1"/>
      <c r="I250" s="6">
        <v>24893</v>
      </c>
      <c r="J250" s="6">
        <v>3537</v>
      </c>
      <c r="K250" s="6">
        <v>2065</v>
      </c>
      <c r="L250" s="6">
        <v>20846</v>
      </c>
      <c r="M250" s="6">
        <v>12802</v>
      </c>
      <c r="N250" s="6">
        <v>36881</v>
      </c>
      <c r="O250" s="6">
        <v>8917</v>
      </c>
      <c r="P250" s="6">
        <v>2324</v>
      </c>
      <c r="Q250" s="6">
        <v>23127</v>
      </c>
      <c r="R250" s="6">
        <v>14225</v>
      </c>
      <c r="S250" s="6">
        <v>4231</v>
      </c>
      <c r="T250" s="6">
        <v>1814</v>
      </c>
      <c r="U250" s="6">
        <v>44743</v>
      </c>
      <c r="V250" s="6">
        <v>7425</v>
      </c>
      <c r="W250" s="6">
        <v>11933</v>
      </c>
      <c r="X250" s="6">
        <v>15260</v>
      </c>
      <c r="Y250" s="6">
        <v>19726</v>
      </c>
      <c r="Z250" s="6">
        <v>15561</v>
      </c>
      <c r="AA250" s="6">
        <v>5537</v>
      </c>
      <c r="AB250" s="6">
        <v>37651</v>
      </c>
      <c r="AC250" s="6">
        <v>4350</v>
      </c>
      <c r="AD250" s="6">
        <v>14069</v>
      </c>
      <c r="AE250" s="6">
        <v>17899</v>
      </c>
      <c r="AF250" s="6">
        <v>7244</v>
      </c>
      <c r="AG250" s="6">
        <v>4781</v>
      </c>
      <c r="AH250" s="6">
        <v>35090</v>
      </c>
      <c r="AI250" s="6">
        <v>9073</v>
      </c>
      <c r="AJ250" s="6">
        <v>4403</v>
      </c>
      <c r="AK250" s="6">
        <v>11548</v>
      </c>
      <c r="AL250" s="6">
        <v>1644</v>
      </c>
      <c r="AM250" s="6">
        <v>9700</v>
      </c>
      <c r="AN250" s="6">
        <v>2612</v>
      </c>
      <c r="AO250" s="6">
        <v>17727</v>
      </c>
      <c r="AP250" s="6">
        <v>22654</v>
      </c>
      <c r="AQ250" s="6">
        <v>8172</v>
      </c>
      <c r="AR250" s="6">
        <v>16079</v>
      </c>
    </row>
    <row r="251" spans="1:44">
      <c r="A251" s="4" t="s">
        <v>943</v>
      </c>
      <c r="B251" s="1" t="s">
        <v>944</v>
      </c>
      <c r="C251" s="1" t="s">
        <v>259</v>
      </c>
      <c r="D251" s="1" t="str">
        <f>HYPERLINK("http://eros.fiehnlab.ucdavis.edu:8080/binbase-compound/bin/show/236828?db=rtx5","236828")</f>
        <v>236828</v>
      </c>
      <c r="E251" s="1" t="s">
        <v>945</v>
      </c>
      <c r="F251" s="1" t="s">
        <v>0</v>
      </c>
      <c r="G251" s="1" t="s">
        <v>0</v>
      </c>
      <c r="H251" s="1"/>
      <c r="I251" s="6">
        <v>5532</v>
      </c>
      <c r="J251" s="6">
        <v>1958</v>
      </c>
      <c r="K251" s="6">
        <v>1626</v>
      </c>
      <c r="L251" s="6">
        <v>11870</v>
      </c>
      <c r="M251" s="6">
        <v>5913</v>
      </c>
      <c r="N251" s="6">
        <v>6161</v>
      </c>
      <c r="O251" s="6">
        <v>4045</v>
      </c>
      <c r="P251" s="6">
        <v>1219</v>
      </c>
      <c r="Q251" s="6">
        <v>4941</v>
      </c>
      <c r="R251" s="6">
        <v>5954</v>
      </c>
      <c r="S251" s="6">
        <v>2305</v>
      </c>
      <c r="T251" s="6">
        <v>1437</v>
      </c>
      <c r="U251" s="6">
        <v>9156</v>
      </c>
      <c r="V251" s="6">
        <v>2676</v>
      </c>
      <c r="W251" s="6">
        <v>4120</v>
      </c>
      <c r="X251" s="6">
        <v>7218</v>
      </c>
      <c r="Y251" s="6">
        <v>6140</v>
      </c>
      <c r="Z251" s="6">
        <v>6048</v>
      </c>
      <c r="AA251" s="6">
        <v>2513</v>
      </c>
      <c r="AB251" s="6">
        <v>7658</v>
      </c>
      <c r="AC251" s="6">
        <v>4783</v>
      </c>
      <c r="AD251" s="6">
        <v>8244</v>
      </c>
      <c r="AE251" s="6">
        <v>7106</v>
      </c>
      <c r="AF251" s="6">
        <v>4087</v>
      </c>
      <c r="AG251" s="6">
        <v>1935</v>
      </c>
      <c r="AH251" s="6">
        <v>10726</v>
      </c>
      <c r="AI251" s="6">
        <v>2789</v>
      </c>
      <c r="AJ251" s="6">
        <v>1640</v>
      </c>
      <c r="AK251" s="6">
        <v>4940</v>
      </c>
      <c r="AL251" s="6">
        <v>764</v>
      </c>
      <c r="AM251" s="6">
        <v>4383</v>
      </c>
      <c r="AN251" s="6">
        <v>3553</v>
      </c>
      <c r="AO251" s="6">
        <v>4574</v>
      </c>
      <c r="AP251" s="6">
        <v>9648</v>
      </c>
      <c r="AQ251" s="6">
        <v>3372</v>
      </c>
      <c r="AR251" s="6">
        <v>8573</v>
      </c>
    </row>
    <row r="252" spans="1:44">
      <c r="A252" s="4" t="s">
        <v>702</v>
      </c>
      <c r="B252" s="1" t="s">
        <v>703</v>
      </c>
      <c r="C252" s="1" t="s">
        <v>165</v>
      </c>
      <c r="D252" s="1" t="str">
        <f>HYPERLINK("http://eros.fiehnlab.ucdavis.edu:8080/binbase-compound/bin/show/359513?db=rtx5","359513")</f>
        <v>359513</v>
      </c>
      <c r="E252" s="1" t="s">
        <v>704</v>
      </c>
      <c r="F252" s="1" t="s">
        <v>0</v>
      </c>
      <c r="G252" s="1" t="s">
        <v>0</v>
      </c>
      <c r="H252" s="1"/>
      <c r="I252" s="6">
        <v>61465</v>
      </c>
      <c r="J252" s="6">
        <v>5933</v>
      </c>
      <c r="K252" s="6">
        <v>3551</v>
      </c>
      <c r="L252" s="6">
        <v>86010</v>
      </c>
      <c r="M252" s="6">
        <v>31485</v>
      </c>
      <c r="N252" s="6">
        <v>73386</v>
      </c>
      <c r="O252" s="6">
        <v>25981</v>
      </c>
      <c r="P252" s="6">
        <v>5413</v>
      </c>
      <c r="Q252" s="6">
        <v>46724</v>
      </c>
      <c r="R252" s="6">
        <v>29171</v>
      </c>
      <c r="S252" s="6">
        <v>6447</v>
      </c>
      <c r="T252" s="6">
        <v>3276</v>
      </c>
      <c r="U252" s="6">
        <v>109492</v>
      </c>
      <c r="V252" s="6">
        <v>10422</v>
      </c>
      <c r="W252" s="6">
        <v>34110</v>
      </c>
      <c r="X252" s="6">
        <v>49104</v>
      </c>
      <c r="Y252" s="6">
        <v>57761</v>
      </c>
      <c r="Z252" s="6">
        <v>45195</v>
      </c>
      <c r="AA252" s="6">
        <v>8513</v>
      </c>
      <c r="AB252" s="6">
        <v>100672</v>
      </c>
      <c r="AC252" s="6">
        <v>6649</v>
      </c>
      <c r="AD252" s="6">
        <v>44949</v>
      </c>
      <c r="AE252" s="6">
        <v>59260</v>
      </c>
      <c r="AF252" s="6">
        <v>14759</v>
      </c>
      <c r="AG252" s="6">
        <v>11095</v>
      </c>
      <c r="AH252" s="6">
        <v>94162</v>
      </c>
      <c r="AI252" s="6">
        <v>21624</v>
      </c>
      <c r="AJ252" s="6">
        <v>8412</v>
      </c>
      <c r="AK252" s="6">
        <v>33485</v>
      </c>
      <c r="AL252" s="6">
        <v>4515</v>
      </c>
      <c r="AM252" s="6">
        <v>33952</v>
      </c>
      <c r="AN252" s="6">
        <v>12243</v>
      </c>
      <c r="AO252" s="6">
        <v>55270</v>
      </c>
      <c r="AP252" s="6">
        <v>72167</v>
      </c>
      <c r="AQ252" s="6">
        <v>23031</v>
      </c>
      <c r="AR252" s="6">
        <v>53934</v>
      </c>
    </row>
    <row r="253" spans="1:44">
      <c r="A253" s="4" t="s">
        <v>796</v>
      </c>
      <c r="B253" s="1" t="s">
        <v>797</v>
      </c>
      <c r="C253" s="1" t="s">
        <v>123</v>
      </c>
      <c r="D253" s="1" t="str">
        <f>HYPERLINK("http://eros.fiehnlab.ucdavis.edu:8080/binbase-compound/bin/show/280564?db=rtx5","280564")</f>
        <v>280564</v>
      </c>
      <c r="E253" s="1" t="s">
        <v>798</v>
      </c>
      <c r="F253" s="1" t="s">
        <v>0</v>
      </c>
      <c r="G253" s="1" t="s">
        <v>0</v>
      </c>
      <c r="H253" s="1"/>
      <c r="I253" s="6">
        <v>8402</v>
      </c>
      <c r="J253" s="6">
        <v>3256</v>
      </c>
      <c r="K253" s="6">
        <v>2149</v>
      </c>
      <c r="L253" s="6">
        <v>3735</v>
      </c>
      <c r="M253" s="6">
        <v>5320</v>
      </c>
      <c r="N253" s="6">
        <v>5272</v>
      </c>
      <c r="O253" s="6">
        <v>3890</v>
      </c>
      <c r="P253" s="6">
        <v>1552</v>
      </c>
      <c r="Q253" s="6">
        <v>5333</v>
      </c>
      <c r="R253" s="6">
        <v>4449</v>
      </c>
      <c r="S253" s="6">
        <v>2017</v>
      </c>
      <c r="T253" s="6">
        <v>1292</v>
      </c>
      <c r="U253" s="6">
        <v>6783</v>
      </c>
      <c r="V253" s="6">
        <v>875</v>
      </c>
      <c r="W253" s="6">
        <v>2120</v>
      </c>
      <c r="X253" s="6">
        <v>2837</v>
      </c>
      <c r="Y253" s="6">
        <v>4989</v>
      </c>
      <c r="Z253" s="6">
        <v>3920</v>
      </c>
      <c r="AA253" s="6">
        <v>2203</v>
      </c>
      <c r="AB253" s="6">
        <v>5801</v>
      </c>
      <c r="AC253" s="6">
        <v>2622</v>
      </c>
      <c r="AD253" s="6">
        <v>3367</v>
      </c>
      <c r="AE253" s="6">
        <v>3887</v>
      </c>
      <c r="AF253" s="6">
        <v>3257</v>
      </c>
      <c r="AG253" s="6">
        <v>1978</v>
      </c>
      <c r="AH253" s="6">
        <v>6205</v>
      </c>
      <c r="AI253" s="6">
        <v>3099</v>
      </c>
      <c r="AJ253" s="6">
        <v>1644</v>
      </c>
      <c r="AK253" s="6">
        <v>2532</v>
      </c>
      <c r="AL253" s="6">
        <v>939</v>
      </c>
      <c r="AM253" s="6">
        <v>4012</v>
      </c>
      <c r="AN253" s="6">
        <v>2009</v>
      </c>
      <c r="AO253" s="6">
        <v>4215</v>
      </c>
      <c r="AP253" s="6">
        <v>4554</v>
      </c>
      <c r="AQ253" s="6">
        <v>2149</v>
      </c>
      <c r="AR253" s="6">
        <v>5302</v>
      </c>
    </row>
    <row r="254" spans="1:44">
      <c r="A254" s="4" t="s">
        <v>1008</v>
      </c>
      <c r="B254" s="1" t="s">
        <v>1009</v>
      </c>
      <c r="C254" s="1" t="s">
        <v>680</v>
      </c>
      <c r="D254" s="1" t="str">
        <f>HYPERLINK("http://eros.fiehnlab.ucdavis.edu:8080/binbase-compound/bin/show/227767?db=rtx5","227767")</f>
        <v>227767</v>
      </c>
      <c r="E254" s="1" t="s">
        <v>1010</v>
      </c>
      <c r="F254" s="1" t="s">
        <v>0</v>
      </c>
      <c r="G254" s="1" t="s">
        <v>0</v>
      </c>
      <c r="H254" s="1"/>
      <c r="I254" s="6">
        <v>1089</v>
      </c>
      <c r="J254" s="6">
        <v>1226</v>
      </c>
      <c r="K254" s="6">
        <v>1504</v>
      </c>
      <c r="L254" s="6">
        <v>1509</v>
      </c>
      <c r="M254" s="6">
        <v>2184</v>
      </c>
      <c r="N254" s="6">
        <v>705</v>
      </c>
      <c r="O254" s="6">
        <v>890</v>
      </c>
      <c r="P254" s="6">
        <v>989</v>
      </c>
      <c r="Q254" s="6">
        <v>1655</v>
      </c>
      <c r="R254" s="6">
        <v>1308</v>
      </c>
      <c r="S254" s="6">
        <v>1077</v>
      </c>
      <c r="T254" s="6">
        <v>871</v>
      </c>
      <c r="U254" s="6">
        <v>1085</v>
      </c>
      <c r="V254" s="6">
        <v>938</v>
      </c>
      <c r="W254" s="6">
        <v>1369</v>
      </c>
      <c r="X254" s="6">
        <v>1708</v>
      </c>
      <c r="Y254" s="6">
        <v>1266</v>
      </c>
      <c r="Z254" s="6">
        <v>1178</v>
      </c>
      <c r="AA254" s="6">
        <v>1502</v>
      </c>
      <c r="AB254" s="6">
        <v>2439</v>
      </c>
      <c r="AC254" s="6">
        <v>1939</v>
      </c>
      <c r="AD254" s="6">
        <v>1850</v>
      </c>
      <c r="AE254" s="6">
        <v>1875</v>
      </c>
      <c r="AF254" s="6">
        <v>1687</v>
      </c>
      <c r="AG254" s="6">
        <v>1570</v>
      </c>
      <c r="AH254" s="6">
        <v>1551</v>
      </c>
      <c r="AI254" s="6">
        <v>1554</v>
      </c>
      <c r="AJ254" s="6">
        <v>1218</v>
      </c>
      <c r="AK254" s="6">
        <v>1459</v>
      </c>
      <c r="AL254" s="6">
        <v>1134</v>
      </c>
      <c r="AM254" s="6">
        <v>1398</v>
      </c>
      <c r="AN254" s="6">
        <v>849</v>
      </c>
      <c r="AO254" s="6">
        <v>1703</v>
      </c>
      <c r="AP254" s="6">
        <v>2231</v>
      </c>
      <c r="AQ254" s="6">
        <v>1658</v>
      </c>
      <c r="AR254" s="6">
        <v>1464</v>
      </c>
    </row>
    <row r="255" spans="1:44">
      <c r="A255" s="4" t="s">
        <v>915</v>
      </c>
      <c r="B255" s="1" t="s">
        <v>916</v>
      </c>
      <c r="C255" s="1" t="s">
        <v>109</v>
      </c>
      <c r="D255" s="1" t="str">
        <f>HYPERLINK("http://eros.fiehnlab.ucdavis.edu:8080/binbase-compound/bin/show/239305?db=rtx5","239305")</f>
        <v>239305</v>
      </c>
      <c r="E255" s="1" t="s">
        <v>917</v>
      </c>
      <c r="F255" s="1" t="s">
        <v>0</v>
      </c>
      <c r="G255" s="1" t="s">
        <v>0</v>
      </c>
      <c r="H255" s="1"/>
      <c r="I255" s="6">
        <v>2562</v>
      </c>
      <c r="J255" s="6">
        <v>464</v>
      </c>
      <c r="K255" s="6">
        <v>546</v>
      </c>
      <c r="L255" s="6">
        <v>4545</v>
      </c>
      <c r="M255" s="6">
        <v>1221</v>
      </c>
      <c r="N255" s="6">
        <v>3457</v>
      </c>
      <c r="O255" s="6">
        <v>950</v>
      </c>
      <c r="P255" s="6">
        <v>599</v>
      </c>
      <c r="Q255" s="6">
        <v>1991</v>
      </c>
      <c r="R255" s="6">
        <v>1228</v>
      </c>
      <c r="S255" s="6">
        <v>448</v>
      </c>
      <c r="T255" s="6">
        <v>420</v>
      </c>
      <c r="U255" s="6">
        <v>5469</v>
      </c>
      <c r="V255" s="6">
        <v>483</v>
      </c>
      <c r="W255" s="6">
        <v>1398</v>
      </c>
      <c r="X255" s="6">
        <v>2525</v>
      </c>
      <c r="Y255" s="6">
        <v>2681</v>
      </c>
      <c r="Z255" s="6">
        <v>2099</v>
      </c>
      <c r="AA255" s="6">
        <v>645</v>
      </c>
      <c r="AB255" s="6">
        <v>4823</v>
      </c>
      <c r="AC255" s="6">
        <v>635</v>
      </c>
      <c r="AD255" s="6">
        <v>1889</v>
      </c>
      <c r="AE255" s="6">
        <v>3236</v>
      </c>
      <c r="AF255" s="6">
        <v>718</v>
      </c>
      <c r="AG255" s="6">
        <v>735</v>
      </c>
      <c r="AH255" s="6">
        <v>5098</v>
      </c>
      <c r="AI255" s="6">
        <v>846</v>
      </c>
      <c r="AJ255" s="6">
        <v>534</v>
      </c>
      <c r="AK255" s="6">
        <v>1407</v>
      </c>
      <c r="AL255" s="6">
        <v>397</v>
      </c>
      <c r="AM255" s="6">
        <v>1880</v>
      </c>
      <c r="AN255" s="6">
        <v>753</v>
      </c>
      <c r="AO255" s="6">
        <v>2513</v>
      </c>
      <c r="AP255" s="6">
        <v>3404</v>
      </c>
      <c r="AQ255" s="6">
        <v>1189</v>
      </c>
      <c r="AR255" s="6">
        <v>2516</v>
      </c>
    </row>
    <row r="256" spans="1:44">
      <c r="A256" s="4" t="s">
        <v>994</v>
      </c>
      <c r="B256" s="1" t="s">
        <v>995</v>
      </c>
      <c r="C256" s="1" t="s">
        <v>655</v>
      </c>
      <c r="D256" s="1" t="str">
        <f>HYPERLINK("http://eros.fiehnlab.ucdavis.edu:8080/binbase-compound/bin/show/228872?db=rtx5","228872")</f>
        <v>228872</v>
      </c>
      <c r="E256" s="1" t="s">
        <v>996</v>
      </c>
      <c r="F256" s="1" t="s">
        <v>0</v>
      </c>
      <c r="G256" s="1" t="s">
        <v>0</v>
      </c>
      <c r="H256" s="1"/>
      <c r="I256" s="6">
        <v>1617</v>
      </c>
      <c r="J256" s="6">
        <v>1374</v>
      </c>
      <c r="K256" s="6">
        <v>1142</v>
      </c>
      <c r="L256" s="6">
        <v>760</v>
      </c>
      <c r="M256" s="6">
        <v>831</v>
      </c>
      <c r="N256" s="6">
        <v>746</v>
      </c>
      <c r="O256" s="6">
        <v>1741</v>
      </c>
      <c r="P256" s="6">
        <v>999</v>
      </c>
      <c r="Q256" s="6">
        <v>985</v>
      </c>
      <c r="R256" s="6">
        <v>473</v>
      </c>
      <c r="S256" s="6">
        <v>1149</v>
      </c>
      <c r="T256" s="6">
        <v>636</v>
      </c>
      <c r="U256" s="6">
        <v>918</v>
      </c>
      <c r="V256" s="6">
        <v>301</v>
      </c>
      <c r="W256" s="6">
        <v>520</v>
      </c>
      <c r="X256" s="6">
        <v>1012</v>
      </c>
      <c r="Y256" s="6">
        <v>587</v>
      </c>
      <c r="Z256" s="6">
        <v>507</v>
      </c>
      <c r="AA256" s="6">
        <v>667</v>
      </c>
      <c r="AB256" s="6">
        <v>986</v>
      </c>
      <c r="AC256" s="6">
        <v>655</v>
      </c>
      <c r="AD256" s="6">
        <v>590</v>
      </c>
      <c r="AE256" s="6">
        <v>543</v>
      </c>
      <c r="AF256" s="6">
        <v>1244</v>
      </c>
      <c r="AG256" s="6">
        <v>1138</v>
      </c>
      <c r="AH256" s="6">
        <v>1012</v>
      </c>
      <c r="AI256" s="6">
        <v>1055</v>
      </c>
      <c r="AJ256" s="6">
        <v>585</v>
      </c>
      <c r="AK256" s="6">
        <v>853</v>
      </c>
      <c r="AL256" s="6">
        <v>620</v>
      </c>
      <c r="AM256" s="6">
        <v>487</v>
      </c>
      <c r="AN256" s="6">
        <v>295</v>
      </c>
      <c r="AO256" s="6">
        <v>628</v>
      </c>
      <c r="AP256" s="6">
        <v>734</v>
      </c>
      <c r="AQ256" s="6">
        <v>1144</v>
      </c>
      <c r="AR256" s="6">
        <v>581</v>
      </c>
    </row>
    <row r="257" spans="1:44">
      <c r="A257" s="4" t="s">
        <v>991</v>
      </c>
      <c r="B257" s="1" t="s">
        <v>992</v>
      </c>
      <c r="C257" s="1" t="s">
        <v>520</v>
      </c>
      <c r="D257" s="1" t="str">
        <f>HYPERLINK("http://eros.fiehnlab.ucdavis.edu:8080/binbase-compound/bin/show/229201?db=rtx5","229201")</f>
        <v>229201</v>
      </c>
      <c r="E257" s="1" t="s">
        <v>993</v>
      </c>
      <c r="F257" s="1" t="s">
        <v>0</v>
      </c>
      <c r="G257" s="1" t="s">
        <v>0</v>
      </c>
      <c r="H257" s="1"/>
      <c r="I257" s="6">
        <v>518</v>
      </c>
      <c r="J257" s="6">
        <v>446</v>
      </c>
      <c r="K257" s="6">
        <v>287</v>
      </c>
      <c r="L257" s="6">
        <v>440</v>
      </c>
      <c r="M257" s="6">
        <v>519</v>
      </c>
      <c r="N257" s="6">
        <v>284</v>
      </c>
      <c r="O257" s="6">
        <v>840</v>
      </c>
      <c r="P257" s="6">
        <v>365</v>
      </c>
      <c r="Q257" s="6">
        <v>366</v>
      </c>
      <c r="R257" s="6">
        <v>268</v>
      </c>
      <c r="S257" s="6">
        <v>341</v>
      </c>
      <c r="T257" s="6">
        <v>494</v>
      </c>
      <c r="U257" s="6">
        <v>240</v>
      </c>
      <c r="V257" s="6">
        <v>316</v>
      </c>
      <c r="W257" s="6">
        <v>347</v>
      </c>
      <c r="X257" s="6">
        <v>395</v>
      </c>
      <c r="Y257" s="6">
        <v>724</v>
      </c>
      <c r="Z257" s="6">
        <v>158</v>
      </c>
      <c r="AA257" s="6">
        <v>431</v>
      </c>
      <c r="AB257" s="6">
        <v>226</v>
      </c>
      <c r="AC257" s="6">
        <v>482</v>
      </c>
      <c r="AD257" s="6">
        <v>216</v>
      </c>
      <c r="AE257" s="6">
        <v>528</v>
      </c>
      <c r="AF257" s="6">
        <v>379</v>
      </c>
      <c r="AG257" s="6">
        <v>435</v>
      </c>
      <c r="AH257" s="6">
        <v>509</v>
      </c>
      <c r="AI257" s="6">
        <v>298</v>
      </c>
      <c r="AJ257" s="6">
        <v>300</v>
      </c>
      <c r="AK257" s="6">
        <v>295</v>
      </c>
      <c r="AL257" s="6">
        <v>207</v>
      </c>
      <c r="AM257" s="6">
        <v>211</v>
      </c>
      <c r="AN257" s="6">
        <v>332</v>
      </c>
      <c r="AO257" s="6">
        <v>325</v>
      </c>
      <c r="AP257" s="6">
        <v>227</v>
      </c>
      <c r="AQ257" s="6">
        <v>317</v>
      </c>
      <c r="AR257" s="6">
        <v>461</v>
      </c>
    </row>
    <row r="258" spans="1:44">
      <c r="A258" s="4" t="s">
        <v>1074</v>
      </c>
      <c r="B258" s="1" t="s">
        <v>1075</v>
      </c>
      <c r="C258" s="1" t="s">
        <v>426</v>
      </c>
      <c r="D258" s="1" t="str">
        <f>HYPERLINK("http://eros.fiehnlab.ucdavis.edu:8080/binbase-compound/bin/show/216428?db=rtx5","216428")</f>
        <v>216428</v>
      </c>
      <c r="E258" s="1" t="s">
        <v>1076</v>
      </c>
      <c r="F258" s="1" t="s">
        <v>0</v>
      </c>
      <c r="G258" s="1" t="s">
        <v>0</v>
      </c>
      <c r="H258" s="1"/>
      <c r="I258" s="6">
        <v>6726</v>
      </c>
      <c r="J258" s="6">
        <v>9174</v>
      </c>
      <c r="K258" s="6">
        <v>5666</v>
      </c>
      <c r="L258" s="6">
        <v>6315</v>
      </c>
      <c r="M258" s="6">
        <v>7137</v>
      </c>
      <c r="N258" s="6">
        <v>6321</v>
      </c>
      <c r="O258" s="6">
        <v>7166</v>
      </c>
      <c r="P258" s="6">
        <v>5001</v>
      </c>
      <c r="Q258" s="6">
        <v>9015</v>
      </c>
      <c r="R258" s="6">
        <v>4825</v>
      </c>
      <c r="S258" s="6">
        <v>7811</v>
      </c>
      <c r="T258" s="6">
        <v>4620</v>
      </c>
      <c r="U258" s="6">
        <v>9216</v>
      </c>
      <c r="V258" s="6">
        <v>2851</v>
      </c>
      <c r="W258" s="6">
        <v>5437</v>
      </c>
      <c r="X258" s="6">
        <v>6896</v>
      </c>
      <c r="Y258" s="6">
        <v>6141</v>
      </c>
      <c r="Z258" s="6">
        <v>12621</v>
      </c>
      <c r="AA258" s="6">
        <v>9903</v>
      </c>
      <c r="AB258" s="6">
        <v>12515</v>
      </c>
      <c r="AC258" s="6">
        <v>10621</v>
      </c>
      <c r="AD258" s="6">
        <v>4583</v>
      </c>
      <c r="AE258" s="6">
        <v>8278</v>
      </c>
      <c r="AF258" s="6">
        <v>13219</v>
      </c>
      <c r="AG258" s="6">
        <v>7013</v>
      </c>
      <c r="AH258" s="6">
        <v>4583</v>
      </c>
      <c r="AI258" s="6">
        <v>8559</v>
      </c>
      <c r="AJ258" s="6">
        <v>3138</v>
      </c>
      <c r="AK258" s="6">
        <v>4943</v>
      </c>
      <c r="AL258" s="6">
        <v>8805</v>
      </c>
      <c r="AM258" s="6">
        <v>7925</v>
      </c>
      <c r="AN258" s="6">
        <v>10140</v>
      </c>
      <c r="AO258" s="6">
        <v>5524</v>
      </c>
      <c r="AP258" s="6">
        <v>14470</v>
      </c>
      <c r="AQ258" s="6">
        <v>2874</v>
      </c>
      <c r="AR258" s="6">
        <v>3686</v>
      </c>
    </row>
    <row r="259" spans="1:44">
      <c r="A259" s="4" t="s">
        <v>711</v>
      </c>
      <c r="B259" s="1" t="s">
        <v>712</v>
      </c>
      <c r="C259" s="1" t="s">
        <v>128</v>
      </c>
      <c r="D259" s="1" t="str">
        <f>HYPERLINK("http://eros.fiehnlab.ucdavis.edu:8080/binbase-compound/bin/show/357162?db=rtx5","357162")</f>
        <v>357162</v>
      </c>
      <c r="E259" s="1" t="s">
        <v>713</v>
      </c>
      <c r="F259" s="1" t="s">
        <v>0</v>
      </c>
      <c r="G259" s="1" t="s">
        <v>0</v>
      </c>
      <c r="H259" s="1"/>
      <c r="I259" s="6">
        <v>4239</v>
      </c>
      <c r="J259" s="6">
        <v>1015</v>
      </c>
      <c r="K259" s="6">
        <v>813</v>
      </c>
      <c r="L259" s="6">
        <v>2537</v>
      </c>
      <c r="M259" s="6">
        <v>1230</v>
      </c>
      <c r="N259" s="6">
        <v>2833</v>
      </c>
      <c r="O259" s="6">
        <v>3965</v>
      </c>
      <c r="P259" s="6">
        <v>1283</v>
      </c>
      <c r="Q259" s="6">
        <v>1927</v>
      </c>
      <c r="R259" s="6">
        <v>1819</v>
      </c>
      <c r="S259" s="6">
        <v>1705</v>
      </c>
      <c r="T259" s="6">
        <v>1143</v>
      </c>
      <c r="U259" s="6">
        <v>4476</v>
      </c>
      <c r="V259" s="6">
        <v>3204</v>
      </c>
      <c r="W259" s="6">
        <v>1405</v>
      </c>
      <c r="X259" s="6">
        <v>2268</v>
      </c>
      <c r="Y259" s="6">
        <v>2306</v>
      </c>
      <c r="Z259" s="6">
        <v>2210</v>
      </c>
      <c r="AA259" s="6">
        <v>2083</v>
      </c>
      <c r="AB259" s="6">
        <v>6785</v>
      </c>
      <c r="AC259" s="6">
        <v>1096</v>
      </c>
      <c r="AD259" s="6">
        <v>2836</v>
      </c>
      <c r="AE259" s="6">
        <v>2079</v>
      </c>
      <c r="AF259" s="6">
        <v>2576</v>
      </c>
      <c r="AG259" s="6">
        <v>2205</v>
      </c>
      <c r="AH259" s="6">
        <v>3838</v>
      </c>
      <c r="AI259" s="6">
        <v>861</v>
      </c>
      <c r="AJ259" s="6">
        <v>1708</v>
      </c>
      <c r="AK259" s="6">
        <v>1124</v>
      </c>
      <c r="AL259" s="6">
        <v>1251</v>
      </c>
      <c r="AM259" s="6">
        <v>1886</v>
      </c>
      <c r="AN259" s="6">
        <v>1951</v>
      </c>
      <c r="AO259" s="6">
        <v>2473</v>
      </c>
      <c r="AP259" s="6">
        <v>3649</v>
      </c>
      <c r="AQ259" s="6">
        <v>5937</v>
      </c>
      <c r="AR259" s="6">
        <v>2415</v>
      </c>
    </row>
    <row r="260" spans="1:44">
      <c r="A260" s="4" t="s">
        <v>946</v>
      </c>
      <c r="B260" s="1" t="s">
        <v>947</v>
      </c>
      <c r="C260" s="1" t="s">
        <v>430</v>
      </c>
      <c r="D260" s="1" t="str">
        <f>HYPERLINK("http://eros.fiehnlab.ucdavis.edu:8080/binbase-compound/bin/show/236821?db=rtx5","236821")</f>
        <v>236821</v>
      </c>
      <c r="E260" s="1" t="s">
        <v>948</v>
      </c>
      <c r="F260" s="1" t="s">
        <v>0</v>
      </c>
      <c r="G260" s="1" t="s">
        <v>0</v>
      </c>
      <c r="H260" s="1"/>
      <c r="I260" s="6">
        <v>853</v>
      </c>
      <c r="J260" s="6">
        <v>414</v>
      </c>
      <c r="K260" s="6">
        <v>310</v>
      </c>
      <c r="L260" s="6">
        <v>1143</v>
      </c>
      <c r="M260" s="6">
        <v>695</v>
      </c>
      <c r="N260" s="6">
        <v>230</v>
      </c>
      <c r="O260" s="6">
        <v>518</v>
      </c>
      <c r="P260" s="6">
        <v>238</v>
      </c>
      <c r="Q260" s="6">
        <v>238</v>
      </c>
      <c r="R260" s="6">
        <v>505</v>
      </c>
      <c r="S260" s="6">
        <v>331</v>
      </c>
      <c r="T260" s="6">
        <v>156</v>
      </c>
      <c r="U260" s="6">
        <v>1448</v>
      </c>
      <c r="V260" s="6">
        <v>307</v>
      </c>
      <c r="W260" s="6">
        <v>621</v>
      </c>
      <c r="X260" s="6">
        <v>445</v>
      </c>
      <c r="Y260" s="6">
        <v>534</v>
      </c>
      <c r="Z260" s="6">
        <v>369</v>
      </c>
      <c r="AA260" s="6">
        <v>241</v>
      </c>
      <c r="AB260" s="6">
        <v>634</v>
      </c>
      <c r="AC260" s="6">
        <v>317</v>
      </c>
      <c r="AD260" s="6">
        <v>474</v>
      </c>
      <c r="AE260" s="6">
        <v>324</v>
      </c>
      <c r="AF260" s="6">
        <v>256</v>
      </c>
      <c r="AG260" s="6">
        <v>377</v>
      </c>
      <c r="AH260" s="6">
        <v>1216</v>
      </c>
      <c r="AI260" s="6">
        <v>478</v>
      </c>
      <c r="AJ260" s="6">
        <v>320</v>
      </c>
      <c r="AK260" s="6">
        <v>522</v>
      </c>
      <c r="AL260" s="6">
        <v>240</v>
      </c>
      <c r="AM260" s="6">
        <v>379</v>
      </c>
      <c r="AN260" s="6">
        <v>77</v>
      </c>
      <c r="AO260" s="6">
        <v>150</v>
      </c>
      <c r="AP260" s="6">
        <v>827</v>
      </c>
      <c r="AQ260" s="6">
        <v>179</v>
      </c>
      <c r="AR260" s="6">
        <v>695</v>
      </c>
    </row>
    <row r="261" spans="1:44">
      <c r="A261" s="4" t="s">
        <v>608</v>
      </c>
      <c r="B261" s="1" t="s">
        <v>609</v>
      </c>
      <c r="C261" s="1" t="s">
        <v>86</v>
      </c>
      <c r="D261" s="1" t="str">
        <f>HYPERLINK("http://eros.fiehnlab.ucdavis.edu:8080/binbase-compound/bin/show/408756?db=rtx5","408756")</f>
        <v>408756</v>
      </c>
      <c r="E261" s="1" t="s">
        <v>610</v>
      </c>
      <c r="F261" s="1" t="s">
        <v>0</v>
      </c>
      <c r="G261" s="1" t="s">
        <v>0</v>
      </c>
      <c r="H261" s="1"/>
      <c r="I261" s="6">
        <v>1253</v>
      </c>
      <c r="J261" s="6">
        <v>665</v>
      </c>
      <c r="K261" s="6">
        <v>1076</v>
      </c>
      <c r="L261" s="6">
        <v>819</v>
      </c>
      <c r="M261" s="6">
        <v>1194</v>
      </c>
      <c r="N261" s="6">
        <v>881</v>
      </c>
      <c r="O261" s="6">
        <v>2025</v>
      </c>
      <c r="P261" s="6">
        <v>553</v>
      </c>
      <c r="Q261" s="6">
        <v>1393</v>
      </c>
      <c r="R261" s="6">
        <v>1182</v>
      </c>
      <c r="S261" s="6">
        <v>668</v>
      </c>
      <c r="T261" s="6">
        <v>841</v>
      </c>
      <c r="U261" s="6">
        <v>1582</v>
      </c>
      <c r="V261" s="6">
        <v>799</v>
      </c>
      <c r="W261" s="6">
        <v>716</v>
      </c>
      <c r="X261" s="6">
        <v>2202</v>
      </c>
      <c r="Y261" s="6">
        <v>1553</v>
      </c>
      <c r="Z261" s="6">
        <v>1769</v>
      </c>
      <c r="AA261" s="6">
        <v>1206</v>
      </c>
      <c r="AB261" s="6">
        <v>2700</v>
      </c>
      <c r="AC261" s="6">
        <v>2057</v>
      </c>
      <c r="AD261" s="6">
        <v>1670</v>
      </c>
      <c r="AE261" s="6">
        <v>2244</v>
      </c>
      <c r="AF261" s="6">
        <v>1112</v>
      </c>
      <c r="AG261" s="6">
        <v>645</v>
      </c>
      <c r="AH261" s="6">
        <v>1697</v>
      </c>
      <c r="AI261" s="6">
        <v>824</v>
      </c>
      <c r="AJ261" s="6">
        <v>612</v>
      </c>
      <c r="AK261" s="6">
        <v>1273</v>
      </c>
      <c r="AL261" s="6">
        <v>588</v>
      </c>
      <c r="AM261" s="6">
        <v>1052</v>
      </c>
      <c r="AN261" s="6">
        <v>558</v>
      </c>
      <c r="AO261" s="6">
        <v>1195</v>
      </c>
      <c r="AP261" s="6">
        <v>2521</v>
      </c>
      <c r="AQ261" s="6">
        <v>3440</v>
      </c>
      <c r="AR261" s="6">
        <v>1943</v>
      </c>
    </row>
    <row r="262" spans="1:44">
      <c r="A262" s="4" t="s">
        <v>1162</v>
      </c>
      <c r="B262" s="1" t="s">
        <v>1163</v>
      </c>
      <c r="C262" s="1" t="s">
        <v>156</v>
      </c>
      <c r="D262" s="1" t="str">
        <f>HYPERLINK("http://eros.fiehnlab.ucdavis.edu:8080/binbase-compound/bin/show/201042?db=rtx5","201042")</f>
        <v>201042</v>
      </c>
      <c r="E262" s="1" t="s">
        <v>1164</v>
      </c>
      <c r="F262" s="1" t="s">
        <v>0</v>
      </c>
      <c r="G262" s="1" t="s">
        <v>0</v>
      </c>
      <c r="H262" s="1"/>
      <c r="I262" s="6">
        <v>5576</v>
      </c>
      <c r="J262" s="6">
        <v>3307</v>
      </c>
      <c r="K262" s="6">
        <v>3647</v>
      </c>
      <c r="L262" s="6">
        <v>2858</v>
      </c>
      <c r="M262" s="6">
        <v>3224</v>
      </c>
      <c r="N262" s="6">
        <v>4825</v>
      </c>
      <c r="O262" s="6">
        <v>5238</v>
      </c>
      <c r="P262" s="6">
        <v>3065</v>
      </c>
      <c r="Q262" s="6">
        <v>3474</v>
      </c>
      <c r="R262" s="6">
        <v>2297</v>
      </c>
      <c r="S262" s="6">
        <v>3340</v>
      </c>
      <c r="T262" s="6">
        <v>2672</v>
      </c>
      <c r="U262" s="6">
        <v>2700</v>
      </c>
      <c r="V262" s="6">
        <v>4490</v>
      </c>
      <c r="W262" s="6">
        <v>2813</v>
      </c>
      <c r="X262" s="6">
        <v>5133</v>
      </c>
      <c r="Y262" s="6">
        <v>2953</v>
      </c>
      <c r="Z262" s="6">
        <v>1986</v>
      </c>
      <c r="AA262" s="6">
        <v>4332</v>
      </c>
      <c r="AB262" s="6">
        <v>3337</v>
      </c>
      <c r="AC262" s="6">
        <v>3862</v>
      </c>
      <c r="AD262" s="6">
        <v>2939</v>
      </c>
      <c r="AE262" s="6">
        <v>4059</v>
      </c>
      <c r="AF262" s="6">
        <v>3987</v>
      </c>
      <c r="AG262" s="6">
        <v>4249</v>
      </c>
      <c r="AH262" s="6">
        <v>4429</v>
      </c>
      <c r="AI262" s="6">
        <v>3326</v>
      </c>
      <c r="AJ262" s="6">
        <v>4009</v>
      </c>
      <c r="AK262" s="6">
        <v>2621</v>
      </c>
      <c r="AL262" s="6">
        <v>2945</v>
      </c>
      <c r="AM262" s="6">
        <v>1819</v>
      </c>
      <c r="AN262" s="6">
        <v>3897</v>
      </c>
      <c r="AO262" s="6">
        <v>2210</v>
      </c>
      <c r="AP262" s="6">
        <v>2933</v>
      </c>
      <c r="AQ262" s="6">
        <v>4615</v>
      </c>
      <c r="AR262" s="6">
        <v>2988</v>
      </c>
    </row>
    <row r="263" spans="1:44">
      <c r="A263" s="4" t="s">
        <v>564</v>
      </c>
      <c r="B263" s="1" t="s">
        <v>565</v>
      </c>
      <c r="C263" s="1" t="s">
        <v>383</v>
      </c>
      <c r="D263" s="1" t="str">
        <f>HYPERLINK("http://eros.fiehnlab.ucdavis.edu:8080/binbase-compound/bin/show/409045?db=rtx5","409045")</f>
        <v>409045</v>
      </c>
      <c r="E263" s="1" t="s">
        <v>566</v>
      </c>
      <c r="F263" s="1" t="s">
        <v>0</v>
      </c>
      <c r="G263" s="1" t="s">
        <v>0</v>
      </c>
      <c r="H263" s="1"/>
      <c r="I263" s="6">
        <v>1966</v>
      </c>
      <c r="J263" s="6">
        <v>1893</v>
      </c>
      <c r="K263" s="6">
        <v>1931</v>
      </c>
      <c r="L263" s="6">
        <v>2722</v>
      </c>
      <c r="M263" s="6">
        <v>4072</v>
      </c>
      <c r="N263" s="6">
        <v>1662</v>
      </c>
      <c r="O263" s="6">
        <v>2108</v>
      </c>
      <c r="P263" s="6">
        <v>1600</v>
      </c>
      <c r="Q263" s="6">
        <v>1939</v>
      </c>
      <c r="R263" s="6">
        <v>1870</v>
      </c>
      <c r="S263" s="6">
        <v>2885</v>
      </c>
      <c r="T263" s="6">
        <v>1028</v>
      </c>
      <c r="U263" s="6">
        <v>2747</v>
      </c>
      <c r="V263" s="6">
        <v>2488</v>
      </c>
      <c r="W263" s="6">
        <v>3336</v>
      </c>
      <c r="X263" s="6">
        <v>2849</v>
      </c>
      <c r="Y263" s="6">
        <v>2047</v>
      </c>
      <c r="Z263" s="6">
        <v>2340</v>
      </c>
      <c r="AA263" s="6">
        <v>2307</v>
      </c>
      <c r="AB263" s="6">
        <v>3103</v>
      </c>
      <c r="AC263" s="6">
        <v>3746</v>
      </c>
      <c r="AD263" s="6">
        <v>2260</v>
      </c>
      <c r="AE263" s="6">
        <v>2097</v>
      </c>
      <c r="AF263" s="6">
        <v>2801</v>
      </c>
      <c r="AG263" s="6">
        <v>3234</v>
      </c>
      <c r="AH263" s="6">
        <v>3363</v>
      </c>
      <c r="AI263" s="6">
        <v>1579</v>
      </c>
      <c r="AJ263" s="6">
        <v>1499</v>
      </c>
      <c r="AK263" s="6">
        <v>3115</v>
      </c>
      <c r="AL263" s="6">
        <v>1581</v>
      </c>
      <c r="AM263" s="6">
        <v>1811</v>
      </c>
      <c r="AN263" s="6">
        <v>1753</v>
      </c>
      <c r="AO263" s="6">
        <v>1956</v>
      </c>
      <c r="AP263" s="6">
        <v>2586</v>
      </c>
      <c r="AQ263" s="6">
        <v>3041</v>
      </c>
      <c r="AR263" s="6">
        <v>2792</v>
      </c>
    </row>
    <row r="264" spans="1:44">
      <c r="A264" s="4" t="s">
        <v>1025</v>
      </c>
      <c r="B264" s="1" t="s">
        <v>1026</v>
      </c>
      <c r="C264" s="1" t="s">
        <v>728</v>
      </c>
      <c r="D264" s="1" t="str">
        <f>HYPERLINK("http://eros.fiehnlab.ucdavis.edu:8080/binbase-compound/bin/show/224632?db=rtx5","224632")</f>
        <v>224632</v>
      </c>
      <c r="E264" s="1" t="s">
        <v>1027</v>
      </c>
      <c r="F264" s="1" t="s">
        <v>0</v>
      </c>
      <c r="G264" s="1" t="s">
        <v>0</v>
      </c>
      <c r="H264" s="1"/>
      <c r="I264" s="6">
        <v>567</v>
      </c>
      <c r="J264" s="6">
        <v>412</v>
      </c>
      <c r="K264" s="6">
        <v>181</v>
      </c>
      <c r="L264" s="6">
        <v>338</v>
      </c>
      <c r="M264" s="6">
        <v>482</v>
      </c>
      <c r="N264" s="6">
        <v>618</v>
      </c>
      <c r="O264" s="6">
        <v>369</v>
      </c>
      <c r="P264" s="6">
        <v>218</v>
      </c>
      <c r="Q264" s="6">
        <v>388</v>
      </c>
      <c r="R264" s="6">
        <v>745</v>
      </c>
      <c r="S264" s="6">
        <v>354</v>
      </c>
      <c r="T264" s="6">
        <v>236</v>
      </c>
      <c r="U264" s="6">
        <v>126</v>
      </c>
      <c r="V264" s="6">
        <v>133</v>
      </c>
      <c r="W264" s="6">
        <v>269</v>
      </c>
      <c r="X264" s="6">
        <v>347</v>
      </c>
      <c r="Y264" s="6">
        <v>391</v>
      </c>
      <c r="Z264" s="6">
        <v>426</v>
      </c>
      <c r="AA264" s="6">
        <v>329</v>
      </c>
      <c r="AB264" s="6">
        <v>624</v>
      </c>
      <c r="AC264" s="6">
        <v>408</v>
      </c>
      <c r="AD264" s="6">
        <v>335</v>
      </c>
      <c r="AE264" s="6">
        <v>372</v>
      </c>
      <c r="AF264" s="6">
        <v>516</v>
      </c>
      <c r="AG264" s="6">
        <v>409</v>
      </c>
      <c r="AH264" s="6">
        <v>950</v>
      </c>
      <c r="AI264" s="6">
        <v>219</v>
      </c>
      <c r="AJ264" s="6">
        <v>163</v>
      </c>
      <c r="AK264" s="6">
        <v>206</v>
      </c>
      <c r="AL264" s="6">
        <v>233</v>
      </c>
      <c r="AM264" s="6">
        <v>334</v>
      </c>
      <c r="AN264" s="6">
        <v>101</v>
      </c>
      <c r="AO264" s="6">
        <v>240</v>
      </c>
      <c r="AP264" s="6">
        <v>353</v>
      </c>
      <c r="AQ264" s="6">
        <v>295</v>
      </c>
      <c r="AR264" s="6">
        <v>303</v>
      </c>
    </row>
    <row r="265" spans="1:44">
      <c r="A265" s="4" t="s">
        <v>935</v>
      </c>
      <c r="B265" s="1" t="s">
        <v>936</v>
      </c>
      <c r="C265" s="1" t="s">
        <v>937</v>
      </c>
      <c r="D265" s="1" t="str">
        <f>HYPERLINK("http://eros.fiehnlab.ucdavis.edu:8080/binbase-compound/bin/show/237138?db=rtx5","237138")</f>
        <v>237138</v>
      </c>
      <c r="E265" s="1" t="s">
        <v>938</v>
      </c>
      <c r="F265" s="1" t="s">
        <v>0</v>
      </c>
      <c r="G265" s="1" t="s">
        <v>0</v>
      </c>
      <c r="H265" s="1"/>
      <c r="I265" s="6">
        <v>1210</v>
      </c>
      <c r="J265" s="6">
        <v>625</v>
      </c>
      <c r="K265" s="6">
        <v>1024</v>
      </c>
      <c r="L265" s="6">
        <v>1123</v>
      </c>
      <c r="M265" s="6">
        <v>492</v>
      </c>
      <c r="N265" s="6">
        <v>923</v>
      </c>
      <c r="O265" s="6">
        <v>1360</v>
      </c>
      <c r="P265" s="6">
        <v>690</v>
      </c>
      <c r="Q265" s="6">
        <v>1056</v>
      </c>
      <c r="R265" s="6">
        <v>1337</v>
      </c>
      <c r="S265" s="6">
        <v>654</v>
      </c>
      <c r="T265" s="6">
        <v>1262</v>
      </c>
      <c r="U265" s="6">
        <v>530</v>
      </c>
      <c r="V265" s="6">
        <v>413</v>
      </c>
      <c r="W265" s="6">
        <v>461</v>
      </c>
      <c r="X265" s="6">
        <v>972</v>
      </c>
      <c r="Y265" s="6">
        <v>508</v>
      </c>
      <c r="Z265" s="6">
        <v>729</v>
      </c>
      <c r="AA265" s="6">
        <v>598</v>
      </c>
      <c r="AB265" s="6">
        <v>1587</v>
      </c>
      <c r="AC265" s="6">
        <v>1262</v>
      </c>
      <c r="AD265" s="6">
        <v>749</v>
      </c>
      <c r="AE265" s="6">
        <v>978</v>
      </c>
      <c r="AF265" s="6">
        <v>1601</v>
      </c>
      <c r="AG265" s="6">
        <v>579</v>
      </c>
      <c r="AH265" s="6">
        <v>991</v>
      </c>
      <c r="AI265" s="6">
        <v>623</v>
      </c>
      <c r="AJ265" s="6">
        <v>394</v>
      </c>
      <c r="AK265" s="6">
        <v>574</v>
      </c>
      <c r="AL265" s="6">
        <v>807</v>
      </c>
      <c r="AM265" s="6">
        <v>530</v>
      </c>
      <c r="AN265" s="6">
        <v>345</v>
      </c>
      <c r="AO265" s="6">
        <v>606</v>
      </c>
      <c r="AP265" s="6">
        <v>707</v>
      </c>
      <c r="AQ265" s="6">
        <v>681</v>
      </c>
      <c r="AR265" s="6">
        <v>698</v>
      </c>
    </row>
    <row r="266" spans="1:44">
      <c r="A266" s="4" t="s">
        <v>965</v>
      </c>
      <c r="B266" s="1" t="s">
        <v>966</v>
      </c>
      <c r="C266" s="1" t="s">
        <v>414</v>
      </c>
      <c r="D266" s="1" t="str">
        <f>HYPERLINK("http://eros.fiehnlab.ucdavis.edu:8080/binbase-compound/bin/show/234677?db=rtx5","234677")</f>
        <v>234677</v>
      </c>
      <c r="E266" s="1" t="s">
        <v>967</v>
      </c>
      <c r="F266" s="1" t="s">
        <v>0</v>
      </c>
      <c r="G266" s="1" t="s">
        <v>0</v>
      </c>
      <c r="H266" s="1"/>
      <c r="I266" s="6">
        <v>1229</v>
      </c>
      <c r="J266" s="6">
        <v>1593</v>
      </c>
      <c r="K266" s="6">
        <v>1564</v>
      </c>
      <c r="L266" s="6">
        <v>849</v>
      </c>
      <c r="M266" s="6">
        <v>2512</v>
      </c>
      <c r="N266" s="6">
        <v>1528</v>
      </c>
      <c r="O266" s="6">
        <v>1115</v>
      </c>
      <c r="P266" s="6">
        <v>1062</v>
      </c>
      <c r="Q266" s="6">
        <v>1844</v>
      </c>
      <c r="R266" s="6">
        <v>1561</v>
      </c>
      <c r="S266" s="6">
        <v>1804</v>
      </c>
      <c r="T266" s="6">
        <v>628</v>
      </c>
      <c r="U266" s="6">
        <v>1696</v>
      </c>
      <c r="V266" s="6">
        <v>1308</v>
      </c>
      <c r="W266" s="6">
        <v>1230</v>
      </c>
      <c r="X266" s="6">
        <v>939</v>
      </c>
      <c r="Y266" s="6">
        <v>1274</v>
      </c>
      <c r="Z266" s="6">
        <v>1236</v>
      </c>
      <c r="AA266" s="6">
        <v>1881</v>
      </c>
      <c r="AB266" s="6">
        <v>1821</v>
      </c>
      <c r="AC266" s="6">
        <v>2367</v>
      </c>
      <c r="AD266" s="6">
        <v>1413</v>
      </c>
      <c r="AE266" s="6">
        <v>1147</v>
      </c>
      <c r="AF266" s="6">
        <v>2432</v>
      </c>
      <c r="AG266" s="6">
        <v>2246</v>
      </c>
      <c r="AH266" s="6">
        <v>1726</v>
      </c>
      <c r="AI266" s="6">
        <v>1574</v>
      </c>
      <c r="AJ266" s="6">
        <v>1119</v>
      </c>
      <c r="AK266" s="6">
        <v>1043</v>
      </c>
      <c r="AL266" s="6">
        <v>1027</v>
      </c>
      <c r="AM266" s="6">
        <v>1200</v>
      </c>
      <c r="AN266" s="6">
        <v>1670</v>
      </c>
      <c r="AO266" s="6">
        <v>1744</v>
      </c>
      <c r="AP266" s="6">
        <v>1553</v>
      </c>
      <c r="AQ266" s="6">
        <v>1309</v>
      </c>
      <c r="AR266" s="6">
        <v>1585</v>
      </c>
    </row>
    <row r="267" spans="1:44">
      <c r="A267" s="4" t="s">
        <v>670</v>
      </c>
      <c r="B267" s="1" t="s">
        <v>671</v>
      </c>
      <c r="C267" s="1" t="s">
        <v>511</v>
      </c>
      <c r="D267" s="1" t="str">
        <f>HYPERLINK("http://eros.fiehnlab.ucdavis.edu:8080/binbase-compound/bin/show/367932?db=rtx5","367932")</f>
        <v>367932</v>
      </c>
      <c r="E267" s="1" t="s">
        <v>672</v>
      </c>
      <c r="F267" s="1" t="s">
        <v>0</v>
      </c>
      <c r="G267" s="1" t="s">
        <v>0</v>
      </c>
      <c r="H267" s="1"/>
      <c r="I267" s="6">
        <v>21331</v>
      </c>
      <c r="J267" s="6">
        <v>18079</v>
      </c>
      <c r="K267" s="6">
        <v>16760</v>
      </c>
      <c r="L267" s="6">
        <v>4362</v>
      </c>
      <c r="M267" s="6">
        <v>15054</v>
      </c>
      <c r="N267" s="6">
        <v>16523</v>
      </c>
      <c r="O267" s="6">
        <v>18400</v>
      </c>
      <c r="P267" s="6">
        <v>13024</v>
      </c>
      <c r="Q267" s="6">
        <v>18114</v>
      </c>
      <c r="R267" s="6">
        <v>18272</v>
      </c>
      <c r="S267" s="6">
        <v>16165</v>
      </c>
      <c r="T267" s="6">
        <v>14225</v>
      </c>
      <c r="U267" s="6">
        <v>16233</v>
      </c>
      <c r="V267" s="6">
        <v>11916</v>
      </c>
      <c r="W267" s="6">
        <v>14756</v>
      </c>
      <c r="X267" s="6">
        <v>15449</v>
      </c>
      <c r="Y267" s="6">
        <v>15488</v>
      </c>
      <c r="Z267" s="6">
        <v>16218</v>
      </c>
      <c r="AA267" s="6">
        <v>13695</v>
      </c>
      <c r="AB267" s="6">
        <v>20378</v>
      </c>
      <c r="AC267" s="6">
        <v>17756</v>
      </c>
      <c r="AD267" s="6">
        <v>19126</v>
      </c>
      <c r="AE267" s="6">
        <v>14951</v>
      </c>
      <c r="AF267" s="6">
        <v>18150</v>
      </c>
      <c r="AG267" s="6">
        <v>16006</v>
      </c>
      <c r="AH267" s="6">
        <v>18511</v>
      </c>
      <c r="AI267" s="6">
        <v>16613</v>
      </c>
      <c r="AJ267" s="6">
        <v>11808</v>
      </c>
      <c r="AK267" s="6">
        <v>12790</v>
      </c>
      <c r="AL267" s="6">
        <v>13329</v>
      </c>
      <c r="AM267" s="6">
        <v>15132</v>
      </c>
      <c r="AN267" s="6">
        <v>14752</v>
      </c>
      <c r="AO267" s="6">
        <v>16715</v>
      </c>
      <c r="AP267" s="6">
        <v>19278</v>
      </c>
      <c r="AQ267" s="6">
        <v>13231</v>
      </c>
      <c r="AR267" s="6">
        <v>17189</v>
      </c>
    </row>
    <row r="268" spans="1:44">
      <c r="A268" s="4" t="s">
        <v>896</v>
      </c>
      <c r="B268" s="1" t="s">
        <v>897</v>
      </c>
      <c r="C268" s="1" t="s">
        <v>193</v>
      </c>
      <c r="D268" s="1" t="str">
        <f>HYPERLINK("http://eros.fiehnlab.ucdavis.edu:8080/binbase-compound/bin/show/241041?db=rtx5","241041")</f>
        <v>241041</v>
      </c>
      <c r="E268" s="1" t="s">
        <v>898</v>
      </c>
      <c r="F268" s="1" t="s">
        <v>0</v>
      </c>
      <c r="G268" s="1" t="s">
        <v>0</v>
      </c>
      <c r="H268" s="1"/>
      <c r="I268" s="6">
        <v>2246</v>
      </c>
      <c r="J268" s="6">
        <v>426</v>
      </c>
      <c r="K268" s="6">
        <v>252</v>
      </c>
      <c r="L268" s="6">
        <v>2753</v>
      </c>
      <c r="M268" s="6">
        <v>2031</v>
      </c>
      <c r="N268" s="6">
        <v>2473</v>
      </c>
      <c r="O268" s="6">
        <v>884</v>
      </c>
      <c r="P268" s="6">
        <v>362</v>
      </c>
      <c r="Q268" s="6">
        <v>2479</v>
      </c>
      <c r="R268" s="6">
        <v>1264</v>
      </c>
      <c r="S268" s="6">
        <v>413</v>
      </c>
      <c r="T268" s="6">
        <v>301</v>
      </c>
      <c r="U268" s="6">
        <v>4613</v>
      </c>
      <c r="V268" s="6">
        <v>785</v>
      </c>
      <c r="W268" s="6">
        <v>1501</v>
      </c>
      <c r="X268" s="6">
        <v>1720</v>
      </c>
      <c r="Y268" s="6">
        <v>2480</v>
      </c>
      <c r="Z268" s="6">
        <v>1667</v>
      </c>
      <c r="AA268" s="6">
        <v>538</v>
      </c>
      <c r="AB268" s="6">
        <v>3723</v>
      </c>
      <c r="AC268" s="6">
        <v>475</v>
      </c>
      <c r="AD268" s="6">
        <v>1880</v>
      </c>
      <c r="AE268" s="6">
        <v>1998</v>
      </c>
      <c r="AF268" s="6">
        <v>453</v>
      </c>
      <c r="AG268" s="6">
        <v>404</v>
      </c>
      <c r="AH268" s="6">
        <v>5063</v>
      </c>
      <c r="AI268" s="6">
        <v>1060</v>
      </c>
      <c r="AJ268" s="6">
        <v>682</v>
      </c>
      <c r="AK268" s="6">
        <v>1673</v>
      </c>
      <c r="AL268" s="6">
        <v>383</v>
      </c>
      <c r="AM268" s="6">
        <v>2076</v>
      </c>
      <c r="AN268" s="6">
        <v>867</v>
      </c>
      <c r="AO268" s="6">
        <v>2847</v>
      </c>
      <c r="AP268" s="6">
        <v>2973</v>
      </c>
      <c r="AQ268" s="6">
        <v>1877</v>
      </c>
      <c r="AR268" s="6">
        <v>2016</v>
      </c>
    </row>
    <row r="269" spans="1:44">
      <c r="A269" s="4" t="s">
        <v>705</v>
      </c>
      <c r="B269" s="1" t="s">
        <v>706</v>
      </c>
      <c r="C269" s="1" t="s">
        <v>91</v>
      </c>
      <c r="D269" s="1" t="str">
        <f>HYPERLINK("http://eros.fiehnlab.ucdavis.edu:8080/binbase-compound/bin/show/359486?db=rtx5","359486")</f>
        <v>359486</v>
      </c>
      <c r="E269" s="1" t="s">
        <v>707</v>
      </c>
      <c r="F269" s="1" t="s">
        <v>0</v>
      </c>
      <c r="G269" s="1" t="s">
        <v>0</v>
      </c>
      <c r="H269" s="1"/>
      <c r="I269" s="6">
        <v>6198</v>
      </c>
      <c r="J269" s="6">
        <v>709</v>
      </c>
      <c r="K269" s="6">
        <v>489</v>
      </c>
      <c r="L269" s="6">
        <v>6816</v>
      </c>
      <c r="M269" s="6">
        <v>3410</v>
      </c>
      <c r="N269" s="6">
        <v>6688</v>
      </c>
      <c r="O269" s="6">
        <v>1807</v>
      </c>
      <c r="P269" s="6">
        <v>706</v>
      </c>
      <c r="Q269" s="6">
        <v>4616</v>
      </c>
      <c r="R269" s="6">
        <v>3034</v>
      </c>
      <c r="S269" s="6">
        <v>600</v>
      </c>
      <c r="T269" s="6">
        <v>357</v>
      </c>
      <c r="U269" s="6">
        <v>11775</v>
      </c>
      <c r="V269" s="6">
        <v>868</v>
      </c>
      <c r="W269" s="6">
        <v>3314</v>
      </c>
      <c r="X269" s="6">
        <v>3311</v>
      </c>
      <c r="Y269" s="6">
        <v>5205</v>
      </c>
      <c r="Z269" s="6">
        <v>4348</v>
      </c>
      <c r="AA269" s="6">
        <v>506</v>
      </c>
      <c r="AB269" s="6">
        <v>8994</v>
      </c>
      <c r="AC269" s="6">
        <v>523</v>
      </c>
      <c r="AD269" s="6">
        <v>4203</v>
      </c>
      <c r="AE269" s="6">
        <v>4678</v>
      </c>
      <c r="AF269" s="6">
        <v>911</v>
      </c>
      <c r="AG269" s="6">
        <v>560</v>
      </c>
      <c r="AH269" s="6">
        <v>9928</v>
      </c>
      <c r="AI269" s="6">
        <v>2280</v>
      </c>
      <c r="AJ269" s="6">
        <v>643</v>
      </c>
      <c r="AK269" s="6">
        <v>3144</v>
      </c>
      <c r="AL269" s="6">
        <v>308</v>
      </c>
      <c r="AM269" s="6">
        <v>3860</v>
      </c>
      <c r="AN269" s="6">
        <v>1118</v>
      </c>
      <c r="AO269" s="6">
        <v>5505</v>
      </c>
      <c r="AP269" s="6">
        <v>7094</v>
      </c>
      <c r="AQ269" s="6">
        <v>1625</v>
      </c>
      <c r="AR269" s="6">
        <v>4245</v>
      </c>
    </row>
    <row r="270" spans="1:44">
      <c r="A270" s="4" t="s">
        <v>1029</v>
      </c>
      <c r="B270" s="1" t="s">
        <v>1030</v>
      </c>
      <c r="C270" s="1" t="s">
        <v>680</v>
      </c>
      <c r="D270" s="1" t="str">
        <f>HYPERLINK("http://eros.fiehnlab.ucdavis.edu:8080/binbase-compound/bin/show/223747?db=rtx5","223747")</f>
        <v>223747</v>
      </c>
      <c r="E270" s="1" t="s">
        <v>1031</v>
      </c>
      <c r="F270" s="1" t="s">
        <v>0</v>
      </c>
      <c r="G270" s="1" t="s">
        <v>0</v>
      </c>
      <c r="H270" s="1"/>
      <c r="I270" s="6">
        <v>1045</v>
      </c>
      <c r="J270" s="6">
        <v>342</v>
      </c>
      <c r="K270" s="6">
        <v>395</v>
      </c>
      <c r="L270" s="6">
        <v>1768</v>
      </c>
      <c r="M270" s="6">
        <v>602</v>
      </c>
      <c r="N270" s="6">
        <v>1268</v>
      </c>
      <c r="O270" s="6">
        <v>914</v>
      </c>
      <c r="P270" s="6">
        <v>386</v>
      </c>
      <c r="Q270" s="6">
        <v>1245</v>
      </c>
      <c r="R270" s="6">
        <v>1298</v>
      </c>
      <c r="S270" s="6">
        <v>382</v>
      </c>
      <c r="T270" s="6">
        <v>295</v>
      </c>
      <c r="U270" s="6">
        <v>1465</v>
      </c>
      <c r="V270" s="6">
        <v>421</v>
      </c>
      <c r="W270" s="6">
        <v>1035</v>
      </c>
      <c r="X270" s="6">
        <v>1503</v>
      </c>
      <c r="Y270" s="6">
        <v>1357</v>
      </c>
      <c r="Z270" s="6">
        <v>1692</v>
      </c>
      <c r="AA270" s="6">
        <v>429</v>
      </c>
      <c r="AB270" s="6">
        <v>1401</v>
      </c>
      <c r="AC270" s="6">
        <v>455</v>
      </c>
      <c r="AD270" s="6">
        <v>1480</v>
      </c>
      <c r="AE270" s="6">
        <v>1276</v>
      </c>
      <c r="AF270" s="6">
        <v>812</v>
      </c>
      <c r="AG270" s="6">
        <v>647</v>
      </c>
      <c r="AH270" s="6">
        <v>1712</v>
      </c>
      <c r="AI270" s="6">
        <v>1257</v>
      </c>
      <c r="AJ270" s="6">
        <v>502</v>
      </c>
      <c r="AK270" s="6">
        <v>763</v>
      </c>
      <c r="AL270" s="6">
        <v>416</v>
      </c>
      <c r="AM270" s="6">
        <v>1087</v>
      </c>
      <c r="AN270" s="6">
        <v>2067</v>
      </c>
      <c r="AO270" s="6">
        <v>1038</v>
      </c>
      <c r="AP270" s="6">
        <v>1732</v>
      </c>
      <c r="AQ270" s="6">
        <v>721</v>
      </c>
      <c r="AR270" s="6">
        <v>1233</v>
      </c>
    </row>
    <row r="271" spans="1:44">
      <c r="A271" s="4" t="s">
        <v>1089</v>
      </c>
      <c r="B271" s="1" t="s">
        <v>1090</v>
      </c>
      <c r="C271" s="1" t="s">
        <v>1091</v>
      </c>
      <c r="D271" s="1" t="str">
        <f>HYPERLINK("http://eros.fiehnlab.ucdavis.edu:8080/binbase-compound/bin/show/214011?db=rtx5","214011")</f>
        <v>214011</v>
      </c>
      <c r="E271" s="1" t="s">
        <v>1092</v>
      </c>
      <c r="F271" s="1" t="s">
        <v>0</v>
      </c>
      <c r="G271" s="1" t="s">
        <v>0</v>
      </c>
      <c r="H271" s="1"/>
      <c r="I271" s="6">
        <v>1355</v>
      </c>
      <c r="J271" s="6">
        <v>681</v>
      </c>
      <c r="K271" s="6">
        <v>704</v>
      </c>
      <c r="L271" s="6">
        <v>529</v>
      </c>
      <c r="M271" s="6">
        <v>867</v>
      </c>
      <c r="N271" s="6">
        <v>939</v>
      </c>
      <c r="O271" s="6">
        <v>709</v>
      </c>
      <c r="P271" s="6">
        <v>479</v>
      </c>
      <c r="Q271" s="6">
        <v>851</v>
      </c>
      <c r="R271" s="6">
        <v>982</v>
      </c>
      <c r="S271" s="6">
        <v>927</v>
      </c>
      <c r="T271" s="6">
        <v>556</v>
      </c>
      <c r="U271" s="6">
        <v>721</v>
      </c>
      <c r="V271" s="6">
        <v>406</v>
      </c>
      <c r="W271" s="6">
        <v>455</v>
      </c>
      <c r="X271" s="6">
        <v>691</v>
      </c>
      <c r="Y271" s="6">
        <v>807</v>
      </c>
      <c r="Z271" s="6">
        <v>639</v>
      </c>
      <c r="AA271" s="6">
        <v>692</v>
      </c>
      <c r="AB271" s="6">
        <v>492</v>
      </c>
      <c r="AC271" s="6">
        <v>1121</v>
      </c>
      <c r="AD271" s="6">
        <v>962</v>
      </c>
      <c r="AE271" s="6">
        <v>758</v>
      </c>
      <c r="AF271" s="6">
        <v>1439</v>
      </c>
      <c r="AG271" s="6">
        <v>582</v>
      </c>
      <c r="AH271" s="6">
        <v>1438</v>
      </c>
      <c r="AI271" s="6">
        <v>1181</v>
      </c>
      <c r="AJ271" s="6">
        <v>419</v>
      </c>
      <c r="AK271" s="6">
        <v>482</v>
      </c>
      <c r="AL271" s="6">
        <v>503</v>
      </c>
      <c r="AM271" s="6">
        <v>483</v>
      </c>
      <c r="AN271" s="6">
        <v>539</v>
      </c>
      <c r="AO271" s="6">
        <v>702</v>
      </c>
      <c r="AP271" s="6">
        <v>1035</v>
      </c>
      <c r="AQ271" s="6">
        <v>592</v>
      </c>
      <c r="AR271" s="6">
        <v>603</v>
      </c>
    </row>
    <row r="272" spans="1:44">
      <c r="A272" s="4" t="s">
        <v>1065</v>
      </c>
      <c r="B272" s="1" t="s">
        <v>1066</v>
      </c>
      <c r="C272" s="1" t="s">
        <v>128</v>
      </c>
      <c r="D272" s="1" t="str">
        <f>HYPERLINK("http://eros.fiehnlab.ucdavis.edu:8080/binbase-compound/bin/show/218694?db=rtx5","218694")</f>
        <v>218694</v>
      </c>
      <c r="E272" s="1" t="s">
        <v>1067</v>
      </c>
      <c r="F272" s="1" t="s">
        <v>0</v>
      </c>
      <c r="G272" s="1" t="s">
        <v>0</v>
      </c>
      <c r="H272" s="1"/>
      <c r="I272" s="6">
        <v>2793</v>
      </c>
      <c r="J272" s="6">
        <v>1036</v>
      </c>
      <c r="K272" s="6">
        <v>853</v>
      </c>
      <c r="L272" s="6">
        <v>3416</v>
      </c>
      <c r="M272" s="6">
        <v>1702</v>
      </c>
      <c r="N272" s="6">
        <v>3042</v>
      </c>
      <c r="O272" s="6">
        <v>4521</v>
      </c>
      <c r="P272" s="6">
        <v>1752</v>
      </c>
      <c r="Q272" s="6">
        <v>2770</v>
      </c>
      <c r="R272" s="6">
        <v>1838</v>
      </c>
      <c r="S272" s="6">
        <v>2650</v>
      </c>
      <c r="T272" s="6">
        <v>1100</v>
      </c>
      <c r="U272" s="6">
        <v>4729</v>
      </c>
      <c r="V272" s="6">
        <v>1573</v>
      </c>
      <c r="W272" s="6">
        <v>1737</v>
      </c>
      <c r="X272" s="6">
        <v>2096</v>
      </c>
      <c r="Y272" s="6">
        <v>2786</v>
      </c>
      <c r="Z272" s="6">
        <v>2175</v>
      </c>
      <c r="AA272" s="6">
        <v>1712</v>
      </c>
      <c r="AB272" s="6">
        <v>4292</v>
      </c>
      <c r="AC272" s="6">
        <v>1911</v>
      </c>
      <c r="AD272" s="6">
        <v>3058</v>
      </c>
      <c r="AE272" s="6">
        <v>2319</v>
      </c>
      <c r="AF272" s="6">
        <v>1709</v>
      </c>
      <c r="AG272" s="6">
        <v>781</v>
      </c>
      <c r="AH272" s="6">
        <v>4542</v>
      </c>
      <c r="AI272" s="6">
        <v>1205</v>
      </c>
      <c r="AJ272" s="6">
        <v>739</v>
      </c>
      <c r="AK272" s="6">
        <v>1828</v>
      </c>
      <c r="AL272" s="6">
        <v>992</v>
      </c>
      <c r="AM272" s="6">
        <v>1889</v>
      </c>
      <c r="AN272" s="6">
        <v>1104</v>
      </c>
      <c r="AO272" s="6">
        <v>2576</v>
      </c>
      <c r="AP272" s="6">
        <v>4001</v>
      </c>
      <c r="AQ272" s="6">
        <v>1114</v>
      </c>
      <c r="AR272" s="6">
        <v>3448</v>
      </c>
    </row>
    <row r="273" spans="1:44">
      <c r="A273" s="4" t="s">
        <v>673</v>
      </c>
      <c r="B273" s="1" t="s">
        <v>674</v>
      </c>
      <c r="C273" s="1" t="s">
        <v>283</v>
      </c>
      <c r="D273" s="1" t="str">
        <f>HYPERLINK("http://eros.fiehnlab.ucdavis.edu:8080/binbase-compound/bin/show/367905?db=rtx5","367905")</f>
        <v>367905</v>
      </c>
      <c r="E273" s="1" t="s">
        <v>675</v>
      </c>
      <c r="F273" s="1" t="s">
        <v>0</v>
      </c>
      <c r="G273" s="1" t="s">
        <v>0</v>
      </c>
      <c r="H273" s="1"/>
      <c r="I273" s="6">
        <v>164248</v>
      </c>
      <c r="J273" s="6">
        <v>13648</v>
      </c>
      <c r="K273" s="6">
        <v>12338</v>
      </c>
      <c r="L273" s="6">
        <v>230552</v>
      </c>
      <c r="M273" s="6">
        <v>93580</v>
      </c>
      <c r="N273" s="6">
        <v>186367</v>
      </c>
      <c r="O273" s="6">
        <v>63973</v>
      </c>
      <c r="P273" s="6">
        <v>10734</v>
      </c>
      <c r="Q273" s="6">
        <v>136438</v>
      </c>
      <c r="R273" s="6">
        <v>84738</v>
      </c>
      <c r="S273" s="6">
        <v>15318</v>
      </c>
      <c r="T273" s="6">
        <v>10391</v>
      </c>
      <c r="U273" s="6">
        <v>261803</v>
      </c>
      <c r="V273" s="6">
        <v>45583</v>
      </c>
      <c r="W273" s="6">
        <v>101669</v>
      </c>
      <c r="X273" s="6">
        <v>156571</v>
      </c>
      <c r="Y273" s="6">
        <v>175662</v>
      </c>
      <c r="Z273" s="6">
        <v>111124</v>
      </c>
      <c r="AA273" s="6">
        <v>28846</v>
      </c>
      <c r="AB273" s="6">
        <v>192711</v>
      </c>
      <c r="AC273" s="6">
        <v>27171</v>
      </c>
      <c r="AD273" s="6">
        <v>113984</v>
      </c>
      <c r="AE273" s="6">
        <v>164522</v>
      </c>
      <c r="AF273" s="6">
        <v>39179</v>
      </c>
      <c r="AG273" s="6">
        <v>44504</v>
      </c>
      <c r="AH273" s="6">
        <v>265385</v>
      </c>
      <c r="AI273" s="6">
        <v>66268</v>
      </c>
      <c r="AJ273" s="6">
        <v>33072</v>
      </c>
      <c r="AK273" s="6">
        <v>96290</v>
      </c>
      <c r="AL273" s="6">
        <v>16990</v>
      </c>
      <c r="AM273" s="6">
        <v>118926</v>
      </c>
      <c r="AN273" s="6">
        <v>41889</v>
      </c>
      <c r="AO273" s="6">
        <v>135580</v>
      </c>
      <c r="AP273" s="6">
        <v>209333</v>
      </c>
      <c r="AQ273" s="6">
        <v>83029</v>
      </c>
      <c r="AR273" s="6">
        <v>137660</v>
      </c>
    </row>
    <row r="274" spans="1:44">
      <c r="A274" s="4" t="s">
        <v>1038</v>
      </c>
      <c r="B274" s="1" t="s">
        <v>1039</v>
      </c>
      <c r="C274" s="1" t="s">
        <v>931</v>
      </c>
      <c r="D274" s="1" t="str">
        <f>HYPERLINK("http://eros.fiehnlab.ucdavis.edu:8080/binbase-compound/bin/show/223531?db=rtx5","223531")</f>
        <v>223531</v>
      </c>
      <c r="E274" s="1" t="s">
        <v>1040</v>
      </c>
      <c r="F274" s="1" t="s">
        <v>0</v>
      </c>
      <c r="G274" s="1" t="s">
        <v>0</v>
      </c>
      <c r="H274" s="1"/>
      <c r="I274" s="6">
        <v>493</v>
      </c>
      <c r="J274" s="6">
        <v>864</v>
      </c>
      <c r="K274" s="6">
        <v>820</v>
      </c>
      <c r="L274" s="6">
        <v>417</v>
      </c>
      <c r="M274" s="6">
        <v>738</v>
      </c>
      <c r="N274" s="6">
        <v>476</v>
      </c>
      <c r="O274" s="6">
        <v>375</v>
      </c>
      <c r="P274" s="6">
        <v>582</v>
      </c>
      <c r="Q274" s="6">
        <v>478</v>
      </c>
      <c r="R274" s="6">
        <v>618</v>
      </c>
      <c r="S274" s="6">
        <v>945</v>
      </c>
      <c r="T274" s="6">
        <v>788</v>
      </c>
      <c r="U274" s="6">
        <v>446</v>
      </c>
      <c r="V274" s="6">
        <v>258</v>
      </c>
      <c r="W274" s="6">
        <v>340</v>
      </c>
      <c r="X274" s="6">
        <v>416</v>
      </c>
      <c r="Y274" s="6">
        <v>764</v>
      </c>
      <c r="Z274" s="6">
        <v>441</v>
      </c>
      <c r="AA274" s="6">
        <v>653</v>
      </c>
      <c r="AB274" s="6">
        <v>918</v>
      </c>
      <c r="AC274" s="6">
        <v>1043</v>
      </c>
      <c r="AD274" s="6">
        <v>595</v>
      </c>
      <c r="AE274" s="6">
        <v>356</v>
      </c>
      <c r="AF274" s="6">
        <v>748</v>
      </c>
      <c r="AG274" s="6">
        <v>729</v>
      </c>
      <c r="AH274" s="6">
        <v>552</v>
      </c>
      <c r="AI274" s="6">
        <v>594</v>
      </c>
      <c r="AJ274" s="6">
        <v>284</v>
      </c>
      <c r="AK274" s="6">
        <v>347</v>
      </c>
      <c r="AL274" s="6">
        <v>770</v>
      </c>
      <c r="AM274" s="6">
        <v>594</v>
      </c>
      <c r="AN274" s="6">
        <v>533</v>
      </c>
      <c r="AO274" s="6">
        <v>839</v>
      </c>
      <c r="AP274" s="6">
        <v>815</v>
      </c>
      <c r="AQ274" s="6">
        <v>532</v>
      </c>
      <c r="AR274" s="6">
        <v>668</v>
      </c>
    </row>
    <row r="275" spans="1:44">
      <c r="A275" s="4" t="s">
        <v>693</v>
      </c>
      <c r="B275" s="1" t="s">
        <v>694</v>
      </c>
      <c r="C275" s="1" t="s">
        <v>165</v>
      </c>
      <c r="D275" s="1" t="str">
        <f>HYPERLINK("http://eros.fiehnlab.ucdavis.edu:8080/binbase-compound/bin/show/359697?db=rtx5","359697")</f>
        <v>359697</v>
      </c>
      <c r="E275" s="1" t="s">
        <v>695</v>
      </c>
      <c r="F275" s="1" t="s">
        <v>0</v>
      </c>
      <c r="G275" s="1" t="s">
        <v>0</v>
      </c>
      <c r="H275" s="1"/>
      <c r="I275" s="6">
        <v>46878</v>
      </c>
      <c r="J275" s="6">
        <v>4795</v>
      </c>
      <c r="K275" s="6">
        <v>3128</v>
      </c>
      <c r="L275" s="6">
        <v>61051</v>
      </c>
      <c r="M275" s="6">
        <v>26299</v>
      </c>
      <c r="N275" s="6">
        <v>56919</v>
      </c>
      <c r="O275" s="6">
        <v>22585</v>
      </c>
      <c r="P275" s="6">
        <v>4662</v>
      </c>
      <c r="Q275" s="6">
        <v>35348</v>
      </c>
      <c r="R275" s="6">
        <v>22601</v>
      </c>
      <c r="S275" s="6">
        <v>5545</v>
      </c>
      <c r="T275" s="6">
        <v>2776</v>
      </c>
      <c r="U275" s="6">
        <v>81149</v>
      </c>
      <c r="V275" s="6">
        <v>8222</v>
      </c>
      <c r="W275" s="6">
        <v>23147</v>
      </c>
      <c r="X275" s="6">
        <v>37136</v>
      </c>
      <c r="Y275" s="6">
        <v>42609</v>
      </c>
      <c r="Z275" s="6">
        <v>32790</v>
      </c>
      <c r="AA275" s="6">
        <v>7009</v>
      </c>
      <c r="AB275" s="6">
        <v>78933</v>
      </c>
      <c r="AC275" s="6">
        <v>5315</v>
      </c>
      <c r="AD275" s="6">
        <v>31152</v>
      </c>
      <c r="AE275" s="6">
        <v>44307</v>
      </c>
      <c r="AF275" s="6">
        <v>11616</v>
      </c>
      <c r="AG275" s="6">
        <v>9281</v>
      </c>
      <c r="AH275" s="6">
        <v>74056</v>
      </c>
      <c r="AI275" s="6">
        <v>17776</v>
      </c>
      <c r="AJ275" s="6">
        <v>7055</v>
      </c>
      <c r="AK275" s="6">
        <v>24809</v>
      </c>
      <c r="AL275" s="6">
        <v>4305</v>
      </c>
      <c r="AM275" s="6">
        <v>26757</v>
      </c>
      <c r="AN275" s="6">
        <v>10848</v>
      </c>
      <c r="AO275" s="6">
        <v>40232</v>
      </c>
      <c r="AP275" s="6">
        <v>51064</v>
      </c>
      <c r="AQ275" s="6">
        <v>18689</v>
      </c>
      <c r="AR275" s="6">
        <v>38340</v>
      </c>
    </row>
    <row r="276" spans="1:44">
      <c r="A276" s="4" t="s">
        <v>661</v>
      </c>
      <c r="B276" s="1" t="s">
        <v>662</v>
      </c>
      <c r="C276" s="1" t="s">
        <v>159</v>
      </c>
      <c r="D276" s="1" t="str">
        <f>HYPERLINK("http://eros.fiehnlab.ucdavis.edu:8080/binbase-compound/bin/show/374786?db=rtx5","374786")</f>
        <v>374786</v>
      </c>
      <c r="E276" s="1" t="s">
        <v>663</v>
      </c>
      <c r="F276" s="1" t="s">
        <v>0</v>
      </c>
      <c r="G276" s="1" t="s">
        <v>0</v>
      </c>
      <c r="H276" s="1"/>
      <c r="I276" s="6">
        <v>1028</v>
      </c>
      <c r="J276" s="6">
        <v>423</v>
      </c>
      <c r="K276" s="6">
        <v>928</v>
      </c>
      <c r="L276" s="6">
        <v>2249</v>
      </c>
      <c r="M276" s="6">
        <v>685</v>
      </c>
      <c r="N276" s="6">
        <v>1581</v>
      </c>
      <c r="O276" s="6">
        <v>1662</v>
      </c>
      <c r="P276" s="6">
        <v>1259</v>
      </c>
      <c r="Q276" s="6">
        <v>672</v>
      </c>
      <c r="R276" s="6">
        <v>1364</v>
      </c>
      <c r="S276" s="6">
        <v>1524</v>
      </c>
      <c r="T276" s="6">
        <v>781</v>
      </c>
      <c r="U276" s="6">
        <v>1093</v>
      </c>
      <c r="V276" s="6">
        <v>885</v>
      </c>
      <c r="W276" s="6">
        <v>979</v>
      </c>
      <c r="X276" s="6">
        <v>1814</v>
      </c>
      <c r="Y276" s="6">
        <v>695</v>
      </c>
      <c r="Z276" s="6">
        <v>1025</v>
      </c>
      <c r="AA276" s="6">
        <v>856</v>
      </c>
      <c r="AB276" s="6">
        <v>1424</v>
      </c>
      <c r="AC276" s="6">
        <v>1911</v>
      </c>
      <c r="AD276" s="6">
        <v>1030</v>
      </c>
      <c r="AE276" s="6">
        <v>1571</v>
      </c>
      <c r="AF276" s="6">
        <v>2858</v>
      </c>
      <c r="AG276" s="6">
        <v>638</v>
      </c>
      <c r="AH276" s="6">
        <v>2114</v>
      </c>
      <c r="AI276" s="6">
        <v>1088</v>
      </c>
      <c r="AJ276" s="6">
        <v>374</v>
      </c>
      <c r="AK276" s="6">
        <v>1002</v>
      </c>
      <c r="AL276" s="6">
        <v>1031</v>
      </c>
      <c r="AM276" s="6">
        <v>492</v>
      </c>
      <c r="AN276" s="6">
        <v>676</v>
      </c>
      <c r="AO276" s="6">
        <v>976</v>
      </c>
      <c r="AP276" s="6">
        <v>919</v>
      </c>
      <c r="AQ276" s="6">
        <v>1682</v>
      </c>
      <c r="AR276" s="6">
        <v>1058</v>
      </c>
    </row>
    <row r="277" spans="1:44">
      <c r="A277" s="4" t="s">
        <v>802</v>
      </c>
      <c r="B277" s="1" t="s">
        <v>803</v>
      </c>
      <c r="C277" s="1" t="s">
        <v>115</v>
      </c>
      <c r="D277" s="1" t="str">
        <f>HYPERLINK("http://eros.fiehnlab.ucdavis.edu:8080/binbase-compound/bin/show/274189?db=rtx5","274189")</f>
        <v>274189</v>
      </c>
      <c r="E277" s="1" t="s">
        <v>804</v>
      </c>
      <c r="F277" s="1" t="s">
        <v>0</v>
      </c>
      <c r="G277" s="1" t="s">
        <v>0</v>
      </c>
      <c r="H277" s="1"/>
      <c r="I277" s="6">
        <v>985</v>
      </c>
      <c r="J277" s="6">
        <v>420</v>
      </c>
      <c r="K277" s="6">
        <v>501</v>
      </c>
      <c r="L277" s="6">
        <v>1473</v>
      </c>
      <c r="M277" s="6">
        <v>2002</v>
      </c>
      <c r="N277" s="6">
        <v>1209</v>
      </c>
      <c r="O277" s="6">
        <v>886</v>
      </c>
      <c r="P277" s="6">
        <v>496</v>
      </c>
      <c r="Q277" s="6">
        <v>1395</v>
      </c>
      <c r="R277" s="6">
        <v>1660</v>
      </c>
      <c r="S277" s="6">
        <v>545</v>
      </c>
      <c r="T277" s="6">
        <v>377</v>
      </c>
      <c r="U277" s="6">
        <v>1646</v>
      </c>
      <c r="V277" s="6">
        <v>3325</v>
      </c>
      <c r="W277" s="6">
        <v>1229</v>
      </c>
      <c r="X277" s="6">
        <v>1274</v>
      </c>
      <c r="Y277" s="6">
        <v>969</v>
      </c>
      <c r="Z277" s="6">
        <v>1588</v>
      </c>
      <c r="AA277" s="6">
        <v>354</v>
      </c>
      <c r="AB277" s="6">
        <v>1350</v>
      </c>
      <c r="AC277" s="6">
        <v>1244</v>
      </c>
      <c r="AD277" s="6">
        <v>1681</v>
      </c>
      <c r="AE277" s="6">
        <v>1661</v>
      </c>
      <c r="AF277" s="6">
        <v>768</v>
      </c>
      <c r="AG277" s="6">
        <v>1931</v>
      </c>
      <c r="AH277" s="6">
        <v>2401</v>
      </c>
      <c r="AI277" s="6">
        <v>1127</v>
      </c>
      <c r="AJ277" s="6">
        <v>881</v>
      </c>
      <c r="AK277" s="6">
        <v>2195</v>
      </c>
      <c r="AL277" s="6">
        <v>637</v>
      </c>
      <c r="AM277" s="6">
        <v>1263</v>
      </c>
      <c r="AN277" s="6">
        <v>455</v>
      </c>
      <c r="AO277" s="6">
        <v>2632</v>
      </c>
      <c r="AP277" s="6">
        <v>1709</v>
      </c>
      <c r="AQ277" s="6">
        <v>1231</v>
      </c>
      <c r="AR277" s="6">
        <v>979</v>
      </c>
    </row>
    <row r="278" spans="1:44">
      <c r="A278" s="4" t="s">
        <v>567</v>
      </c>
      <c r="B278" s="1" t="s">
        <v>568</v>
      </c>
      <c r="C278" s="1" t="s">
        <v>519</v>
      </c>
      <c r="D278" s="1" t="str">
        <f>HYPERLINK("http://eros.fiehnlab.ucdavis.edu:8080/binbase-compound/bin/show/409031?db=rtx5","409031")</f>
        <v>409031</v>
      </c>
      <c r="E278" s="1" t="s">
        <v>569</v>
      </c>
      <c r="F278" s="1" t="s">
        <v>0</v>
      </c>
      <c r="G278" s="1" t="s">
        <v>0</v>
      </c>
      <c r="H278" s="1"/>
      <c r="I278" s="6">
        <v>10096</v>
      </c>
      <c r="J278" s="6">
        <v>9825</v>
      </c>
      <c r="K278" s="6">
        <v>9788</v>
      </c>
      <c r="L278" s="6">
        <v>9239</v>
      </c>
      <c r="M278" s="6">
        <v>8984</v>
      </c>
      <c r="N278" s="6">
        <v>9341</v>
      </c>
      <c r="O278" s="6">
        <v>9394</v>
      </c>
      <c r="P278" s="6">
        <v>7849</v>
      </c>
      <c r="Q278" s="6">
        <v>9058</v>
      </c>
      <c r="R278" s="6">
        <v>9386</v>
      </c>
      <c r="S278" s="6">
        <v>8811</v>
      </c>
      <c r="T278" s="6">
        <v>7795</v>
      </c>
      <c r="U278" s="6">
        <v>8531</v>
      </c>
      <c r="V278" s="6">
        <v>6283</v>
      </c>
      <c r="W278" s="6">
        <v>7758</v>
      </c>
      <c r="X278" s="6">
        <v>8125</v>
      </c>
      <c r="Y278" s="6">
        <v>9257</v>
      </c>
      <c r="Z278" s="6">
        <v>9178</v>
      </c>
      <c r="AA278" s="6">
        <v>7717</v>
      </c>
      <c r="AB278" s="6">
        <v>10794</v>
      </c>
      <c r="AC278" s="6">
        <v>9774</v>
      </c>
      <c r="AD278" s="6">
        <v>10451</v>
      </c>
      <c r="AE278" s="6">
        <v>8673</v>
      </c>
      <c r="AF278" s="6">
        <v>9316</v>
      </c>
      <c r="AG278" s="6">
        <v>9183</v>
      </c>
      <c r="AH278" s="6">
        <v>10892</v>
      </c>
      <c r="AI278" s="6">
        <v>9326</v>
      </c>
      <c r="AJ278" s="6">
        <v>7329</v>
      </c>
      <c r="AK278" s="6">
        <v>8117</v>
      </c>
      <c r="AL278" s="6">
        <v>8939</v>
      </c>
      <c r="AM278" s="6">
        <v>8979</v>
      </c>
      <c r="AN278" s="6">
        <v>8947</v>
      </c>
      <c r="AO278" s="6">
        <v>9597</v>
      </c>
      <c r="AP278" s="6">
        <v>10269</v>
      </c>
      <c r="AQ278" s="6">
        <v>8333</v>
      </c>
      <c r="AR278" s="6">
        <v>8594</v>
      </c>
    </row>
    <row r="279" spans="1:44">
      <c r="A279" s="4" t="s">
        <v>748</v>
      </c>
      <c r="B279" s="1" t="s">
        <v>749</v>
      </c>
      <c r="C279" s="1" t="s">
        <v>115</v>
      </c>
      <c r="D279" s="1" t="str">
        <f>HYPERLINK("http://eros.fiehnlab.ucdavis.edu:8080/binbase-compound/bin/show/309703?db=rtx5","309703")</f>
        <v>309703</v>
      </c>
      <c r="E279" s="1" t="s">
        <v>750</v>
      </c>
      <c r="F279" s="1" t="s">
        <v>0</v>
      </c>
      <c r="G279" s="1" t="s">
        <v>0</v>
      </c>
      <c r="H279" s="1"/>
      <c r="I279" s="6">
        <v>2472</v>
      </c>
      <c r="J279" s="6">
        <v>1564</v>
      </c>
      <c r="K279" s="6">
        <v>1909</v>
      </c>
      <c r="L279" s="6">
        <v>1447</v>
      </c>
      <c r="M279" s="6">
        <v>962</v>
      </c>
      <c r="N279" s="6">
        <v>2034</v>
      </c>
      <c r="O279" s="6">
        <v>2031</v>
      </c>
      <c r="P279" s="6">
        <v>1171</v>
      </c>
      <c r="Q279" s="6">
        <v>2273</v>
      </c>
      <c r="R279" s="6">
        <v>3430</v>
      </c>
      <c r="S279" s="6">
        <v>1086</v>
      </c>
      <c r="T279" s="6">
        <v>1356</v>
      </c>
      <c r="U279" s="6">
        <v>2067</v>
      </c>
      <c r="V279" s="6">
        <v>947</v>
      </c>
      <c r="W279" s="6">
        <v>1200</v>
      </c>
      <c r="X279" s="6">
        <v>1913</v>
      </c>
      <c r="Y279" s="6">
        <v>1766</v>
      </c>
      <c r="Z279" s="6">
        <v>994</v>
      </c>
      <c r="AA279" s="6">
        <v>2399</v>
      </c>
      <c r="AB279" s="6">
        <v>1625</v>
      </c>
      <c r="AC279" s="6">
        <v>2014</v>
      </c>
      <c r="AD279" s="6">
        <v>2116</v>
      </c>
      <c r="AE279" s="6">
        <v>3256</v>
      </c>
      <c r="AF279" s="6">
        <v>1927</v>
      </c>
      <c r="AG279" s="6">
        <v>1936</v>
      </c>
      <c r="AH279" s="6">
        <v>2565</v>
      </c>
      <c r="AI279" s="6">
        <v>1721</v>
      </c>
      <c r="AJ279" s="6">
        <v>833</v>
      </c>
      <c r="AK279" s="6">
        <v>1047</v>
      </c>
      <c r="AL279" s="6">
        <v>707</v>
      </c>
      <c r="AM279" s="6">
        <v>998</v>
      </c>
      <c r="AN279" s="6">
        <v>983</v>
      </c>
      <c r="AO279" s="6">
        <v>1056</v>
      </c>
      <c r="AP279" s="6">
        <v>2305</v>
      </c>
      <c r="AQ279" s="6">
        <v>2361</v>
      </c>
      <c r="AR279" s="6">
        <v>1906</v>
      </c>
    </row>
    <row r="280" spans="1:44">
      <c r="A280" s="4" t="s">
        <v>588</v>
      </c>
      <c r="B280" s="1" t="s">
        <v>589</v>
      </c>
      <c r="C280" s="1" t="s">
        <v>115</v>
      </c>
      <c r="D280" s="1" t="str">
        <f>HYPERLINK("http://eros.fiehnlab.ucdavis.edu:8080/binbase-compound/bin/show/408852?db=rtx5","408852")</f>
        <v>408852</v>
      </c>
      <c r="E280" s="1" t="s">
        <v>590</v>
      </c>
      <c r="F280" s="1" t="s">
        <v>0</v>
      </c>
      <c r="G280" s="1" t="s">
        <v>0</v>
      </c>
      <c r="H280" s="1"/>
      <c r="I280" s="6">
        <v>5140</v>
      </c>
      <c r="J280" s="6">
        <v>1820</v>
      </c>
      <c r="K280" s="6">
        <v>2575</v>
      </c>
      <c r="L280" s="6">
        <v>6079</v>
      </c>
      <c r="M280" s="6">
        <v>1564</v>
      </c>
      <c r="N280" s="6">
        <v>2246</v>
      </c>
      <c r="O280" s="6">
        <v>4086</v>
      </c>
      <c r="P280" s="6">
        <v>749</v>
      </c>
      <c r="Q280" s="6">
        <v>4959</v>
      </c>
      <c r="R280" s="6">
        <v>6321</v>
      </c>
      <c r="S280" s="6">
        <v>1443</v>
      </c>
      <c r="T280" s="6">
        <v>3514</v>
      </c>
      <c r="U280" s="6">
        <v>3262</v>
      </c>
      <c r="V280" s="6">
        <v>3404</v>
      </c>
      <c r="W280" s="6">
        <v>3246</v>
      </c>
      <c r="X280" s="6">
        <v>4842</v>
      </c>
      <c r="Y280" s="6">
        <v>2225</v>
      </c>
      <c r="Z280" s="6">
        <v>4614</v>
      </c>
      <c r="AA280" s="6">
        <v>1741</v>
      </c>
      <c r="AB280" s="6">
        <v>5073</v>
      </c>
      <c r="AC280" s="6">
        <v>4932</v>
      </c>
      <c r="AD280" s="6">
        <v>5077</v>
      </c>
      <c r="AE280" s="6">
        <v>3995</v>
      </c>
      <c r="AF280" s="6">
        <v>3861</v>
      </c>
      <c r="AG280" s="6">
        <v>3367</v>
      </c>
      <c r="AH280" s="6">
        <v>4693</v>
      </c>
      <c r="AI280" s="6">
        <v>4069</v>
      </c>
      <c r="AJ280" s="6">
        <v>2368</v>
      </c>
      <c r="AK280" s="6">
        <v>3987</v>
      </c>
      <c r="AL280" s="6">
        <v>652</v>
      </c>
      <c r="AM280" s="6">
        <v>4161</v>
      </c>
      <c r="AN280" s="6">
        <v>4112</v>
      </c>
      <c r="AO280" s="6">
        <v>4742</v>
      </c>
      <c r="AP280" s="6">
        <v>4033</v>
      </c>
      <c r="AQ280" s="6">
        <v>2286</v>
      </c>
      <c r="AR280" s="6">
        <v>4030</v>
      </c>
    </row>
    <row r="281" spans="1:44">
      <c r="A281" s="4" t="s">
        <v>155</v>
      </c>
      <c r="B281" s="1" t="s">
        <v>733</v>
      </c>
      <c r="C281" s="1" t="s">
        <v>165</v>
      </c>
      <c r="D281" s="1" t="str">
        <f>HYPERLINK("http://eros.fiehnlab.ucdavis.edu:8080/binbase-compound/bin/show/339455?db=rtx5","339455")</f>
        <v>339455</v>
      </c>
      <c r="E281" s="1" t="s">
        <v>734</v>
      </c>
      <c r="F281" s="1" t="s">
        <v>0</v>
      </c>
      <c r="G281" s="1" t="s">
        <v>0</v>
      </c>
      <c r="H281" s="1"/>
      <c r="I281" s="6">
        <v>3583</v>
      </c>
      <c r="J281" s="6">
        <v>1721</v>
      </c>
      <c r="K281" s="6">
        <v>1636</v>
      </c>
      <c r="L281" s="6">
        <v>2263</v>
      </c>
      <c r="M281" s="6">
        <v>3497</v>
      </c>
      <c r="N281" s="6">
        <v>3481</v>
      </c>
      <c r="O281" s="6">
        <v>2252</v>
      </c>
      <c r="P281" s="6">
        <v>2123</v>
      </c>
      <c r="Q281" s="6">
        <v>3144</v>
      </c>
      <c r="R281" s="6">
        <v>2863</v>
      </c>
      <c r="S281" s="6">
        <v>2262</v>
      </c>
      <c r="T281" s="6">
        <v>1219</v>
      </c>
      <c r="U281" s="6">
        <v>3218</v>
      </c>
      <c r="V281" s="6">
        <v>844</v>
      </c>
      <c r="W281" s="6">
        <v>1860</v>
      </c>
      <c r="X281" s="6">
        <v>2619</v>
      </c>
      <c r="Y281" s="6">
        <v>3115</v>
      </c>
      <c r="Z281" s="6">
        <v>2299</v>
      </c>
      <c r="AA281" s="6">
        <v>1654</v>
      </c>
      <c r="AB281" s="6">
        <v>3586</v>
      </c>
      <c r="AC281" s="6">
        <v>1903</v>
      </c>
      <c r="AD281" s="6">
        <v>3048</v>
      </c>
      <c r="AE281" s="6">
        <v>2742</v>
      </c>
      <c r="AF281" s="6">
        <v>2617</v>
      </c>
      <c r="AG281" s="6">
        <v>2094</v>
      </c>
      <c r="AH281" s="6">
        <v>4493</v>
      </c>
      <c r="AI281" s="6">
        <v>2539</v>
      </c>
      <c r="AJ281" s="6">
        <v>1012</v>
      </c>
      <c r="AK281" s="6">
        <v>1835</v>
      </c>
      <c r="AL281" s="6">
        <v>1182</v>
      </c>
      <c r="AM281" s="6">
        <v>2049</v>
      </c>
      <c r="AN281" s="6">
        <v>1552</v>
      </c>
      <c r="AO281" s="6">
        <v>3655</v>
      </c>
      <c r="AP281" s="6">
        <v>2541</v>
      </c>
      <c r="AQ281" s="6">
        <v>2077</v>
      </c>
      <c r="AR281" s="6">
        <v>2723</v>
      </c>
    </row>
    <row r="282" spans="1:44">
      <c r="A282" s="4" t="s">
        <v>878</v>
      </c>
      <c r="B282" s="1" t="s">
        <v>879</v>
      </c>
      <c r="C282" s="1" t="s">
        <v>503</v>
      </c>
      <c r="D282" s="1" t="str">
        <f>HYPERLINK("http://eros.fiehnlab.ucdavis.edu:8080/binbase-compound/bin/show/241090?db=rtx5","241090")</f>
        <v>241090</v>
      </c>
      <c r="E282" s="1" t="s">
        <v>880</v>
      </c>
      <c r="F282" s="1" t="s">
        <v>0</v>
      </c>
      <c r="G282" s="1" t="s">
        <v>0</v>
      </c>
      <c r="H282" s="1"/>
      <c r="I282" s="6">
        <v>352</v>
      </c>
      <c r="J282" s="6">
        <v>355</v>
      </c>
      <c r="K282" s="6">
        <v>262</v>
      </c>
      <c r="L282" s="6">
        <v>231</v>
      </c>
      <c r="M282" s="6">
        <v>156</v>
      </c>
      <c r="N282" s="6">
        <v>350</v>
      </c>
      <c r="O282" s="6">
        <v>426</v>
      </c>
      <c r="P282" s="6">
        <v>266</v>
      </c>
      <c r="Q282" s="6">
        <v>277</v>
      </c>
      <c r="R282" s="6">
        <v>265</v>
      </c>
      <c r="S282" s="6">
        <v>117</v>
      </c>
      <c r="T282" s="6">
        <v>247</v>
      </c>
      <c r="U282" s="6">
        <v>159</v>
      </c>
      <c r="V282" s="6">
        <v>227</v>
      </c>
      <c r="W282" s="6">
        <v>273</v>
      </c>
      <c r="X282" s="6">
        <v>139</v>
      </c>
      <c r="Y282" s="6">
        <v>171</v>
      </c>
      <c r="Z282" s="6">
        <v>199</v>
      </c>
      <c r="AA282" s="6">
        <v>237</v>
      </c>
      <c r="AB282" s="6">
        <v>198</v>
      </c>
      <c r="AC282" s="6">
        <v>148</v>
      </c>
      <c r="AD282" s="6">
        <v>247</v>
      </c>
      <c r="AE282" s="6">
        <v>199</v>
      </c>
      <c r="AF282" s="6">
        <v>209</v>
      </c>
      <c r="AG282" s="6">
        <v>310</v>
      </c>
      <c r="AH282" s="6">
        <v>337</v>
      </c>
      <c r="AI282" s="6">
        <v>68</v>
      </c>
      <c r="AJ282" s="6">
        <v>269</v>
      </c>
      <c r="AK282" s="6">
        <v>77</v>
      </c>
      <c r="AL282" s="6">
        <v>170</v>
      </c>
      <c r="AM282" s="6">
        <v>281</v>
      </c>
      <c r="AN282" s="6">
        <v>151</v>
      </c>
      <c r="AO282" s="6">
        <v>144</v>
      </c>
      <c r="AP282" s="6">
        <v>288</v>
      </c>
      <c r="AQ282" s="6">
        <v>214</v>
      </c>
      <c r="AR282" s="6">
        <v>260</v>
      </c>
    </row>
    <row r="283" spans="1:44">
      <c r="A283" s="4" t="s">
        <v>818</v>
      </c>
      <c r="B283" s="1" t="s">
        <v>819</v>
      </c>
      <c r="C283" s="1" t="s">
        <v>820</v>
      </c>
      <c r="D283" s="1" t="str">
        <f>HYPERLINK("http://eros.fiehnlab.ucdavis.edu:8080/binbase-compound/bin/show/268585?db=rtx5","268585")</f>
        <v>268585</v>
      </c>
      <c r="E283" s="1" t="s">
        <v>821</v>
      </c>
      <c r="F283" s="1" t="s">
        <v>0</v>
      </c>
      <c r="G283" s="1" t="s">
        <v>0</v>
      </c>
      <c r="H283" s="1"/>
      <c r="I283" s="6">
        <v>9176</v>
      </c>
      <c r="J283" s="6">
        <v>9907</v>
      </c>
      <c r="K283" s="6">
        <v>9472</v>
      </c>
      <c r="L283" s="6">
        <v>6673</v>
      </c>
      <c r="M283" s="6">
        <v>6966</v>
      </c>
      <c r="N283" s="6">
        <v>7513</v>
      </c>
      <c r="O283" s="6">
        <v>9383</v>
      </c>
      <c r="P283" s="6">
        <v>6682</v>
      </c>
      <c r="Q283" s="6">
        <v>8402</v>
      </c>
      <c r="R283" s="6">
        <v>7568</v>
      </c>
      <c r="S283" s="6">
        <v>8478</v>
      </c>
      <c r="T283" s="6">
        <v>6970</v>
      </c>
      <c r="U283" s="6">
        <v>6892</v>
      </c>
      <c r="V283" s="6">
        <v>5463</v>
      </c>
      <c r="W283" s="6">
        <v>6083</v>
      </c>
      <c r="X283" s="6">
        <v>6909</v>
      </c>
      <c r="Y283" s="6">
        <v>6826</v>
      </c>
      <c r="Z283" s="6">
        <v>7030</v>
      </c>
      <c r="AA283" s="6">
        <v>6249</v>
      </c>
      <c r="AB283" s="6">
        <v>7654</v>
      </c>
      <c r="AC283" s="6">
        <v>9212</v>
      </c>
      <c r="AD283" s="6">
        <v>7784</v>
      </c>
      <c r="AE283" s="6">
        <v>6132</v>
      </c>
      <c r="AF283" s="6">
        <v>8672</v>
      </c>
      <c r="AG283" s="6">
        <v>7041</v>
      </c>
      <c r="AH283" s="6">
        <v>8272</v>
      </c>
      <c r="AI283" s="6">
        <v>8329</v>
      </c>
      <c r="AJ283" s="6">
        <v>5098</v>
      </c>
      <c r="AK283" s="6">
        <v>5394</v>
      </c>
      <c r="AL283" s="6">
        <v>7159</v>
      </c>
      <c r="AM283" s="6">
        <v>6643</v>
      </c>
      <c r="AN283" s="6">
        <v>6423</v>
      </c>
      <c r="AO283" s="6">
        <v>7549</v>
      </c>
      <c r="AP283" s="6">
        <v>7721</v>
      </c>
      <c r="AQ283" s="6">
        <v>6394</v>
      </c>
      <c r="AR283" s="6">
        <v>7254</v>
      </c>
    </row>
    <row r="284" spans="1:44">
      <c r="A284" s="4" t="s">
        <v>626</v>
      </c>
      <c r="B284" s="1" t="s">
        <v>627</v>
      </c>
      <c r="C284" s="1" t="s">
        <v>115</v>
      </c>
      <c r="D284" s="1" t="str">
        <f>HYPERLINK("http://eros.fiehnlab.ucdavis.edu:8080/binbase-compound/bin/show/408607?db=rtx5","408607")</f>
        <v>408607</v>
      </c>
      <c r="E284" s="1" t="s">
        <v>628</v>
      </c>
      <c r="F284" s="1" t="s">
        <v>0</v>
      </c>
      <c r="G284" s="1" t="s">
        <v>0</v>
      </c>
      <c r="H284" s="1"/>
      <c r="I284" s="6">
        <v>60655</v>
      </c>
      <c r="J284" s="6">
        <v>24393</v>
      </c>
      <c r="K284" s="6">
        <v>13493</v>
      </c>
      <c r="L284" s="6">
        <v>100641</v>
      </c>
      <c r="M284" s="6">
        <v>63793</v>
      </c>
      <c r="N284" s="6">
        <v>90595</v>
      </c>
      <c r="O284" s="6">
        <v>63899</v>
      </c>
      <c r="P284" s="6">
        <v>9544</v>
      </c>
      <c r="Q284" s="6">
        <v>112017</v>
      </c>
      <c r="R284" s="6">
        <v>91543</v>
      </c>
      <c r="S284" s="6">
        <v>18818</v>
      </c>
      <c r="T284" s="6">
        <v>25359</v>
      </c>
      <c r="U284" s="6">
        <v>84521</v>
      </c>
      <c r="V284" s="6">
        <v>73138</v>
      </c>
      <c r="W284" s="6">
        <v>85614</v>
      </c>
      <c r="X284" s="6">
        <v>110026</v>
      </c>
      <c r="Y284" s="6">
        <v>94866</v>
      </c>
      <c r="Z284" s="6">
        <v>66255</v>
      </c>
      <c r="AA284" s="6">
        <v>37399</v>
      </c>
      <c r="AB284" s="6">
        <v>166214</v>
      </c>
      <c r="AC284" s="6">
        <v>87071</v>
      </c>
      <c r="AD284" s="6">
        <v>92924</v>
      </c>
      <c r="AE284" s="6">
        <v>152655</v>
      </c>
      <c r="AF284" s="6">
        <v>79121</v>
      </c>
      <c r="AG284" s="6">
        <v>90567</v>
      </c>
      <c r="AH284" s="6">
        <v>72993</v>
      </c>
      <c r="AI284" s="6">
        <v>79636</v>
      </c>
      <c r="AJ284" s="6">
        <v>42687</v>
      </c>
      <c r="AK284" s="6">
        <v>85781</v>
      </c>
      <c r="AL284" s="6">
        <v>10880</v>
      </c>
      <c r="AM284" s="6">
        <v>100584</v>
      </c>
      <c r="AN284" s="6">
        <v>62300</v>
      </c>
      <c r="AO284" s="6">
        <v>93095</v>
      </c>
      <c r="AP284" s="6">
        <v>97855</v>
      </c>
      <c r="AQ284" s="6">
        <v>76366</v>
      </c>
      <c r="AR284" s="6">
        <v>75912</v>
      </c>
    </row>
    <row r="285" spans="1:44">
      <c r="A285" s="4" t="s">
        <v>1122</v>
      </c>
      <c r="B285" s="1" t="s">
        <v>1123</v>
      </c>
      <c r="C285" s="1" t="s">
        <v>418</v>
      </c>
      <c r="D285" s="1" t="str">
        <f>HYPERLINK("http://eros.fiehnlab.ucdavis.edu:8080/binbase-compound/bin/show/211972?db=rtx5","211972")</f>
        <v>211972</v>
      </c>
      <c r="E285" s="1" t="s">
        <v>1124</v>
      </c>
      <c r="F285" s="1" t="s">
        <v>0</v>
      </c>
      <c r="G285" s="1" t="s">
        <v>0</v>
      </c>
      <c r="H285" s="1"/>
      <c r="I285" s="6">
        <v>19012</v>
      </c>
      <c r="J285" s="6">
        <v>18358</v>
      </c>
      <c r="K285" s="6">
        <v>14126</v>
      </c>
      <c r="L285" s="6">
        <v>13703</v>
      </c>
      <c r="M285" s="6">
        <v>17994</v>
      </c>
      <c r="N285" s="6">
        <v>15201</v>
      </c>
      <c r="O285" s="6">
        <v>6454</v>
      </c>
      <c r="P285" s="6">
        <v>3175</v>
      </c>
      <c r="Q285" s="6">
        <v>11498</v>
      </c>
      <c r="R285" s="6">
        <v>11177</v>
      </c>
      <c r="S285" s="6">
        <v>11917</v>
      </c>
      <c r="T285" s="6">
        <v>3735</v>
      </c>
      <c r="U285" s="6">
        <v>11002</v>
      </c>
      <c r="V285" s="6">
        <v>4665</v>
      </c>
      <c r="W285" s="6">
        <v>10234</v>
      </c>
      <c r="X285" s="6">
        <v>10164</v>
      </c>
      <c r="Y285" s="6">
        <v>15415</v>
      </c>
      <c r="Z285" s="6">
        <v>17411</v>
      </c>
      <c r="AA285" s="6">
        <v>8297</v>
      </c>
      <c r="AB285" s="6">
        <v>18628</v>
      </c>
      <c r="AC285" s="6">
        <v>7078</v>
      </c>
      <c r="AD285" s="6">
        <v>14077</v>
      </c>
      <c r="AE285" s="6">
        <v>10462</v>
      </c>
      <c r="AF285" s="6">
        <v>6549</v>
      </c>
      <c r="AG285" s="6">
        <v>12451</v>
      </c>
      <c r="AH285" s="6">
        <v>16118</v>
      </c>
      <c r="AI285" s="6">
        <v>15177</v>
      </c>
      <c r="AJ285" s="6">
        <v>9428</v>
      </c>
      <c r="AK285" s="6">
        <v>9730</v>
      </c>
      <c r="AL285" s="6">
        <v>15239</v>
      </c>
      <c r="AM285" s="6">
        <v>12529</v>
      </c>
      <c r="AN285" s="6">
        <v>9857</v>
      </c>
      <c r="AO285" s="6">
        <v>13210</v>
      </c>
      <c r="AP285" s="6">
        <v>17745</v>
      </c>
      <c r="AQ285" s="6">
        <v>14139</v>
      </c>
      <c r="AR285" s="6">
        <v>16697</v>
      </c>
    </row>
    <row r="286" spans="1:44">
      <c r="A286" s="4" t="s">
        <v>985</v>
      </c>
      <c r="B286" s="1" t="s">
        <v>986</v>
      </c>
      <c r="C286" s="1" t="s">
        <v>778</v>
      </c>
      <c r="D286" s="1" t="str">
        <f>HYPERLINK("http://eros.fiehnlab.ucdavis.edu:8080/binbase-compound/bin/show/231260?db=rtx5","231260")</f>
        <v>231260</v>
      </c>
      <c r="E286" s="1" t="s">
        <v>987</v>
      </c>
      <c r="F286" s="1" t="s">
        <v>0</v>
      </c>
      <c r="G286" s="1" t="s">
        <v>0</v>
      </c>
      <c r="H286" s="1"/>
      <c r="I286" s="6">
        <v>992</v>
      </c>
      <c r="J286" s="6">
        <v>325</v>
      </c>
      <c r="K286" s="6">
        <v>235</v>
      </c>
      <c r="L286" s="6">
        <v>599</v>
      </c>
      <c r="M286" s="6">
        <v>478</v>
      </c>
      <c r="N286" s="6">
        <v>493</v>
      </c>
      <c r="O286" s="6">
        <v>675</v>
      </c>
      <c r="P286" s="6">
        <v>228</v>
      </c>
      <c r="Q286" s="6">
        <v>524</v>
      </c>
      <c r="R286" s="6">
        <v>341</v>
      </c>
      <c r="S286" s="6">
        <v>246</v>
      </c>
      <c r="T286" s="6">
        <v>226</v>
      </c>
      <c r="U286" s="6">
        <v>679</v>
      </c>
      <c r="V286" s="6">
        <v>343</v>
      </c>
      <c r="W286" s="6">
        <v>473</v>
      </c>
      <c r="X286" s="6">
        <v>401</v>
      </c>
      <c r="Y286" s="6">
        <v>269</v>
      </c>
      <c r="Z286" s="6">
        <v>484</v>
      </c>
      <c r="AA286" s="6">
        <v>331</v>
      </c>
      <c r="AB286" s="6">
        <v>750</v>
      </c>
      <c r="AC286" s="6">
        <v>459</v>
      </c>
      <c r="AD286" s="6">
        <v>492</v>
      </c>
      <c r="AE286" s="6">
        <v>826</v>
      </c>
      <c r="AF286" s="6">
        <v>443</v>
      </c>
      <c r="AG286" s="6">
        <v>448</v>
      </c>
      <c r="AH286" s="6">
        <v>968</v>
      </c>
      <c r="AI286" s="6">
        <v>401</v>
      </c>
      <c r="AJ286" s="6">
        <v>349</v>
      </c>
      <c r="AK286" s="6">
        <v>324</v>
      </c>
      <c r="AL286" s="6">
        <v>202</v>
      </c>
      <c r="AM286" s="6">
        <v>360</v>
      </c>
      <c r="AN286" s="6">
        <v>306</v>
      </c>
      <c r="AO286" s="6">
        <v>497</v>
      </c>
      <c r="AP286" s="6">
        <v>578</v>
      </c>
      <c r="AQ286" s="6">
        <v>276</v>
      </c>
      <c r="AR286" s="6">
        <v>712</v>
      </c>
    </row>
    <row r="287" spans="1:44">
      <c r="A287" s="4" t="s">
        <v>1011</v>
      </c>
      <c r="B287" s="1" t="s">
        <v>1012</v>
      </c>
      <c r="C287" s="1" t="s">
        <v>656</v>
      </c>
      <c r="D287" s="1" t="str">
        <f>HYPERLINK("http://eros.fiehnlab.ucdavis.edu:8080/binbase-compound/bin/show/227712?db=rtx5","227712")</f>
        <v>227712</v>
      </c>
      <c r="E287" s="1" t="s">
        <v>1013</v>
      </c>
      <c r="F287" s="1" t="s">
        <v>0</v>
      </c>
      <c r="G287" s="1" t="s">
        <v>0</v>
      </c>
      <c r="H287" s="1"/>
      <c r="I287" s="6">
        <v>1193</v>
      </c>
      <c r="J287" s="6">
        <v>713</v>
      </c>
      <c r="K287" s="6">
        <v>422</v>
      </c>
      <c r="L287" s="6">
        <v>1458</v>
      </c>
      <c r="M287" s="6">
        <v>1189</v>
      </c>
      <c r="N287" s="6">
        <v>1013</v>
      </c>
      <c r="O287" s="6">
        <v>488</v>
      </c>
      <c r="P287" s="6">
        <v>192</v>
      </c>
      <c r="Q287" s="6">
        <v>948</v>
      </c>
      <c r="R287" s="6">
        <v>894</v>
      </c>
      <c r="S287" s="6">
        <v>581</v>
      </c>
      <c r="T287" s="6">
        <v>210</v>
      </c>
      <c r="U287" s="6">
        <v>1299</v>
      </c>
      <c r="V287" s="6">
        <v>657</v>
      </c>
      <c r="W287" s="6">
        <v>1186</v>
      </c>
      <c r="X287" s="6">
        <v>1112</v>
      </c>
      <c r="Y287" s="6">
        <v>1044</v>
      </c>
      <c r="Z287" s="6">
        <v>1456</v>
      </c>
      <c r="AA287" s="6">
        <v>936</v>
      </c>
      <c r="AB287" s="6">
        <v>1106</v>
      </c>
      <c r="AC287" s="6">
        <v>551</v>
      </c>
      <c r="AD287" s="6">
        <v>963</v>
      </c>
      <c r="AE287" s="6">
        <v>1038</v>
      </c>
      <c r="AF287" s="6">
        <v>727</v>
      </c>
      <c r="AG287" s="6">
        <v>1078</v>
      </c>
      <c r="AH287" s="6">
        <v>1650</v>
      </c>
      <c r="AI287" s="6">
        <v>784</v>
      </c>
      <c r="AJ287" s="6">
        <v>664</v>
      </c>
      <c r="AK287" s="6">
        <v>1254</v>
      </c>
      <c r="AL287" s="6">
        <v>506</v>
      </c>
      <c r="AM287" s="6">
        <v>720</v>
      </c>
      <c r="AN287" s="6">
        <v>530</v>
      </c>
      <c r="AO287" s="6">
        <v>1042</v>
      </c>
      <c r="AP287" s="6">
        <v>1435</v>
      </c>
      <c r="AQ287" s="6">
        <v>966</v>
      </c>
      <c r="AR287" s="6">
        <v>1815</v>
      </c>
    </row>
    <row r="288" spans="1:44">
      <c r="A288" s="4" t="s">
        <v>1059</v>
      </c>
      <c r="B288" s="1" t="s">
        <v>1060</v>
      </c>
      <c r="C288" s="1" t="s">
        <v>388</v>
      </c>
      <c r="D288" s="1" t="str">
        <f>HYPERLINK("http://eros.fiehnlab.ucdavis.edu:8080/binbase-compound/bin/show/218769?db=rtx5","218769")</f>
        <v>218769</v>
      </c>
      <c r="E288" s="1" t="s">
        <v>1061</v>
      </c>
      <c r="F288" s="1" t="s">
        <v>0</v>
      </c>
      <c r="G288" s="1" t="s">
        <v>0</v>
      </c>
      <c r="H288" s="1"/>
      <c r="I288" s="6">
        <v>3119</v>
      </c>
      <c r="J288" s="6">
        <v>1694</v>
      </c>
      <c r="K288" s="6">
        <v>1538</v>
      </c>
      <c r="L288" s="6">
        <v>4649</v>
      </c>
      <c r="M288" s="6">
        <v>2432</v>
      </c>
      <c r="N288" s="6">
        <v>4560</v>
      </c>
      <c r="O288" s="6">
        <v>7376</v>
      </c>
      <c r="P288" s="6">
        <v>7503</v>
      </c>
      <c r="Q288" s="6">
        <v>3409</v>
      </c>
      <c r="R288" s="6">
        <v>2539</v>
      </c>
      <c r="S288" s="6">
        <v>1559</v>
      </c>
      <c r="T288" s="6">
        <v>2958</v>
      </c>
      <c r="U288" s="6">
        <v>4945</v>
      </c>
      <c r="V288" s="6">
        <v>3381</v>
      </c>
      <c r="W288" s="6">
        <v>6601</v>
      </c>
      <c r="X288" s="6">
        <v>5445</v>
      </c>
      <c r="Y288" s="6">
        <v>2974</v>
      </c>
      <c r="Z288" s="6">
        <v>3226</v>
      </c>
      <c r="AA288" s="6">
        <v>2501</v>
      </c>
      <c r="AB288" s="6">
        <v>4234</v>
      </c>
      <c r="AC288" s="6">
        <v>3825</v>
      </c>
      <c r="AD288" s="6">
        <v>4441</v>
      </c>
      <c r="AE288" s="6">
        <v>5352</v>
      </c>
      <c r="AF288" s="6">
        <v>2609</v>
      </c>
      <c r="AG288" s="6">
        <v>3558</v>
      </c>
      <c r="AH288" s="6">
        <v>6343</v>
      </c>
      <c r="AI288" s="6">
        <v>2649</v>
      </c>
      <c r="AJ288" s="6">
        <v>2080</v>
      </c>
      <c r="AK288" s="6">
        <v>3879</v>
      </c>
      <c r="AL288" s="6">
        <v>1313</v>
      </c>
      <c r="AM288" s="6">
        <v>2786</v>
      </c>
      <c r="AN288" s="6">
        <v>2510</v>
      </c>
      <c r="AO288" s="6">
        <v>3591</v>
      </c>
      <c r="AP288" s="6">
        <v>5315</v>
      </c>
      <c r="AQ288" s="6">
        <v>3085</v>
      </c>
      <c r="AR288" s="6">
        <v>4638</v>
      </c>
    </row>
    <row r="289" spans="1:44">
      <c r="A289" s="4" t="s">
        <v>738</v>
      </c>
      <c r="B289" s="1" t="s">
        <v>739</v>
      </c>
      <c r="C289" s="1" t="s">
        <v>159</v>
      </c>
      <c r="D289" s="1" t="str">
        <f>HYPERLINK("http://eros.fiehnlab.ucdavis.edu:8080/binbase-compound/bin/show/314770?db=rtx5","314770")</f>
        <v>314770</v>
      </c>
      <c r="E289" s="1" t="s">
        <v>740</v>
      </c>
      <c r="F289" s="1" t="s">
        <v>0</v>
      </c>
      <c r="G289" s="1" t="s">
        <v>0</v>
      </c>
      <c r="H289" s="1"/>
      <c r="I289" s="6">
        <v>1558</v>
      </c>
      <c r="J289" s="6">
        <v>537</v>
      </c>
      <c r="K289" s="6">
        <v>686</v>
      </c>
      <c r="L289" s="6">
        <v>3199</v>
      </c>
      <c r="M289" s="6">
        <v>1812</v>
      </c>
      <c r="N289" s="6">
        <v>1797</v>
      </c>
      <c r="O289" s="6">
        <v>1067</v>
      </c>
      <c r="P289" s="6">
        <v>520</v>
      </c>
      <c r="Q289" s="6">
        <v>1371</v>
      </c>
      <c r="R289" s="6">
        <v>1887</v>
      </c>
      <c r="S289" s="6">
        <v>681</v>
      </c>
      <c r="T289" s="6">
        <v>331</v>
      </c>
      <c r="U289" s="6">
        <v>2762</v>
      </c>
      <c r="V289" s="6">
        <v>823</v>
      </c>
      <c r="W289" s="6">
        <v>1164</v>
      </c>
      <c r="X289" s="6">
        <v>2934</v>
      </c>
      <c r="Y289" s="6">
        <v>2589</v>
      </c>
      <c r="Z289" s="6">
        <v>1622</v>
      </c>
      <c r="AA289" s="6">
        <v>594</v>
      </c>
      <c r="AB289" s="6">
        <v>2737</v>
      </c>
      <c r="AC289" s="6">
        <v>1475</v>
      </c>
      <c r="AD289" s="6">
        <v>2474</v>
      </c>
      <c r="AE289" s="6">
        <v>3553</v>
      </c>
      <c r="AF289" s="6">
        <v>740</v>
      </c>
      <c r="AG289" s="6">
        <v>746</v>
      </c>
      <c r="AH289" s="6">
        <v>3070</v>
      </c>
      <c r="AI289" s="6">
        <v>1571</v>
      </c>
      <c r="AJ289" s="6">
        <v>1227</v>
      </c>
      <c r="AK289" s="6">
        <v>1106</v>
      </c>
      <c r="AL289" s="6">
        <v>409</v>
      </c>
      <c r="AM289" s="6">
        <v>1163</v>
      </c>
      <c r="AN289" s="6">
        <v>781</v>
      </c>
      <c r="AO289" s="6">
        <v>1194</v>
      </c>
      <c r="AP289" s="6">
        <v>3074</v>
      </c>
      <c r="AQ289" s="6">
        <v>1707</v>
      </c>
      <c r="AR289" s="6">
        <v>2189</v>
      </c>
    </row>
    <row r="290" spans="1:44">
      <c r="A290" s="4" t="s">
        <v>841</v>
      </c>
      <c r="B290" s="1" t="s">
        <v>842</v>
      </c>
      <c r="C290" s="1" t="s">
        <v>383</v>
      </c>
      <c r="D290" s="1" t="str">
        <f>HYPERLINK("http://eros.fiehnlab.ucdavis.edu:8080/binbase-compound/bin/show/267742?db=rtx5","267742")</f>
        <v>267742</v>
      </c>
      <c r="E290" s="1" t="s">
        <v>843</v>
      </c>
      <c r="F290" s="1" t="s">
        <v>0</v>
      </c>
      <c r="G290" s="1" t="s">
        <v>0</v>
      </c>
      <c r="H290" s="1"/>
      <c r="I290" s="6">
        <v>2387</v>
      </c>
      <c r="J290" s="6">
        <v>2896</v>
      </c>
      <c r="K290" s="6">
        <v>2868</v>
      </c>
      <c r="L290" s="6">
        <v>3219</v>
      </c>
      <c r="M290" s="6">
        <v>4960</v>
      </c>
      <c r="N290" s="6">
        <v>1560</v>
      </c>
      <c r="O290" s="6">
        <v>2606</v>
      </c>
      <c r="P290" s="6">
        <v>2199</v>
      </c>
      <c r="Q290" s="6">
        <v>2498</v>
      </c>
      <c r="R290" s="6">
        <v>2453</v>
      </c>
      <c r="S290" s="6">
        <v>3939</v>
      </c>
      <c r="T290" s="6">
        <v>1062</v>
      </c>
      <c r="U290" s="6">
        <v>2986</v>
      </c>
      <c r="V290" s="6">
        <v>3593</v>
      </c>
      <c r="W290" s="6">
        <v>4326</v>
      </c>
      <c r="X290" s="6">
        <v>3108</v>
      </c>
      <c r="Y290" s="6">
        <v>2472</v>
      </c>
      <c r="Z290" s="6">
        <v>2915</v>
      </c>
      <c r="AA290" s="6">
        <v>3305</v>
      </c>
      <c r="AB290" s="6">
        <v>4376</v>
      </c>
      <c r="AC290" s="6">
        <v>4893</v>
      </c>
      <c r="AD290" s="6">
        <v>3122</v>
      </c>
      <c r="AE290" s="6">
        <v>2708</v>
      </c>
      <c r="AF290" s="6">
        <v>3218</v>
      </c>
      <c r="AG290" s="6">
        <v>4165</v>
      </c>
      <c r="AH290" s="6">
        <v>3658</v>
      </c>
      <c r="AI290" s="6">
        <v>2205</v>
      </c>
      <c r="AJ290" s="6">
        <v>1824</v>
      </c>
      <c r="AK290" s="6">
        <v>3920</v>
      </c>
      <c r="AL290" s="6">
        <v>1968</v>
      </c>
      <c r="AM290" s="6">
        <v>2133</v>
      </c>
      <c r="AN290" s="6">
        <v>2419</v>
      </c>
      <c r="AO290" s="6">
        <v>2474</v>
      </c>
      <c r="AP290" s="6">
        <v>2958</v>
      </c>
      <c r="AQ290" s="6">
        <v>3418</v>
      </c>
      <c r="AR290" s="6">
        <v>3295</v>
      </c>
    </row>
    <row r="291" spans="1:44">
      <c r="A291" s="4" t="s">
        <v>979</v>
      </c>
      <c r="B291" s="1" t="s">
        <v>980</v>
      </c>
      <c r="C291" s="1" t="s">
        <v>827</v>
      </c>
      <c r="D291" s="1" t="str">
        <f>HYPERLINK("http://eros.fiehnlab.ucdavis.edu:8080/binbase-compound/bin/show/231947?db=rtx5","231947")</f>
        <v>231947</v>
      </c>
      <c r="E291" s="1" t="s">
        <v>981</v>
      </c>
      <c r="F291" s="1" t="s">
        <v>0</v>
      </c>
      <c r="G291" s="1" t="s">
        <v>0</v>
      </c>
      <c r="H291" s="1"/>
      <c r="I291" s="6">
        <v>755</v>
      </c>
      <c r="J291" s="6">
        <v>857</v>
      </c>
      <c r="K291" s="6">
        <v>846</v>
      </c>
      <c r="L291" s="6">
        <v>717</v>
      </c>
      <c r="M291" s="6">
        <v>792</v>
      </c>
      <c r="N291" s="6">
        <v>864</v>
      </c>
      <c r="O291" s="6">
        <v>861</v>
      </c>
      <c r="P291" s="6">
        <v>542</v>
      </c>
      <c r="Q291" s="6">
        <v>805</v>
      </c>
      <c r="R291" s="6">
        <v>908</v>
      </c>
      <c r="S291" s="6">
        <v>631</v>
      </c>
      <c r="T291" s="6">
        <v>586</v>
      </c>
      <c r="U291" s="6">
        <v>954</v>
      </c>
      <c r="V291" s="6">
        <v>475</v>
      </c>
      <c r="W291" s="6">
        <v>387</v>
      </c>
      <c r="X291" s="6">
        <v>758</v>
      </c>
      <c r="Y291" s="6">
        <v>686</v>
      </c>
      <c r="Z291" s="6">
        <v>566</v>
      </c>
      <c r="AA291" s="6">
        <v>947</v>
      </c>
      <c r="AB291" s="6">
        <v>1307</v>
      </c>
      <c r="AC291" s="6">
        <v>732</v>
      </c>
      <c r="AD291" s="6">
        <v>833</v>
      </c>
      <c r="AE291" s="6">
        <v>670</v>
      </c>
      <c r="AF291" s="6">
        <v>1357</v>
      </c>
      <c r="AG291" s="6">
        <v>970</v>
      </c>
      <c r="AH291" s="6">
        <v>1050</v>
      </c>
      <c r="AI291" s="6">
        <v>902</v>
      </c>
      <c r="AJ291" s="6">
        <v>520</v>
      </c>
      <c r="AK291" s="6">
        <v>306</v>
      </c>
      <c r="AL291" s="6">
        <v>546</v>
      </c>
      <c r="AM291" s="6">
        <v>690</v>
      </c>
      <c r="AN291" s="6">
        <v>740</v>
      </c>
      <c r="AO291" s="6">
        <v>1345</v>
      </c>
      <c r="AP291" s="6">
        <v>859</v>
      </c>
      <c r="AQ291" s="6">
        <v>576</v>
      </c>
      <c r="AR291" s="6">
        <v>998</v>
      </c>
    </row>
    <row r="292" spans="1:44">
      <c r="A292" s="4" t="s">
        <v>792</v>
      </c>
      <c r="B292" s="1" t="s">
        <v>793</v>
      </c>
      <c r="C292" s="1" t="s">
        <v>185</v>
      </c>
      <c r="D292" s="1" t="str">
        <f>HYPERLINK("http://eros.fiehnlab.ucdavis.edu:8080/binbase-compound/bin/show/284389?db=rtx5","284389")</f>
        <v>284389</v>
      </c>
      <c r="E292" s="1" t="s">
        <v>794</v>
      </c>
      <c r="F292" s="1" t="s">
        <v>0</v>
      </c>
      <c r="G292" s="1" t="s">
        <v>0</v>
      </c>
      <c r="H292" s="1"/>
      <c r="I292" s="6">
        <v>2943</v>
      </c>
      <c r="J292" s="6">
        <v>841</v>
      </c>
      <c r="K292" s="6">
        <v>947</v>
      </c>
      <c r="L292" s="6">
        <v>3771</v>
      </c>
      <c r="M292" s="6">
        <v>5593</v>
      </c>
      <c r="N292" s="6">
        <v>3824</v>
      </c>
      <c r="O292" s="6">
        <v>3036</v>
      </c>
      <c r="P292" s="6">
        <v>842</v>
      </c>
      <c r="Q292" s="6">
        <v>2735</v>
      </c>
      <c r="R292" s="6">
        <v>3203</v>
      </c>
      <c r="S292" s="6">
        <v>1630</v>
      </c>
      <c r="T292" s="6">
        <v>869</v>
      </c>
      <c r="U292" s="6">
        <v>3932</v>
      </c>
      <c r="V292" s="6">
        <v>833</v>
      </c>
      <c r="W292" s="6">
        <v>1842</v>
      </c>
      <c r="X292" s="6">
        <v>2762</v>
      </c>
      <c r="Y292" s="6">
        <v>1780</v>
      </c>
      <c r="Z292" s="6">
        <v>1853</v>
      </c>
      <c r="AA292" s="6">
        <v>1444</v>
      </c>
      <c r="AB292" s="6">
        <v>4174</v>
      </c>
      <c r="AC292" s="6">
        <v>2375</v>
      </c>
      <c r="AD292" s="6">
        <v>2687</v>
      </c>
      <c r="AE292" s="6">
        <v>2219</v>
      </c>
      <c r="AF292" s="6">
        <v>3314</v>
      </c>
      <c r="AG292" s="6">
        <v>1365</v>
      </c>
      <c r="AH292" s="6">
        <v>5271</v>
      </c>
      <c r="AI292" s="6">
        <v>1466</v>
      </c>
      <c r="AJ292" s="6">
        <v>954</v>
      </c>
      <c r="AK292" s="6">
        <v>1186</v>
      </c>
      <c r="AL292" s="6">
        <v>482</v>
      </c>
      <c r="AM292" s="6">
        <v>2283</v>
      </c>
      <c r="AN292" s="6">
        <v>1334</v>
      </c>
      <c r="AO292" s="6">
        <v>2412</v>
      </c>
      <c r="AP292" s="6">
        <v>4194</v>
      </c>
      <c r="AQ292" s="6">
        <v>1533</v>
      </c>
      <c r="AR292" s="6">
        <v>3328</v>
      </c>
    </row>
    <row r="293" spans="1:44">
      <c r="A293" s="4" t="s">
        <v>611</v>
      </c>
      <c r="B293" s="1" t="s">
        <v>612</v>
      </c>
      <c r="C293" s="1" t="s">
        <v>613</v>
      </c>
      <c r="D293" s="1" t="str">
        <f>HYPERLINK("http://eros.fiehnlab.ucdavis.edu:8080/binbase-compound/bin/show/408731?db=rtx5","408731")</f>
        <v>408731</v>
      </c>
      <c r="E293" s="1" t="s">
        <v>614</v>
      </c>
      <c r="F293" s="1" t="s">
        <v>0</v>
      </c>
      <c r="G293" s="1" t="s">
        <v>0</v>
      </c>
      <c r="H293" s="1"/>
      <c r="I293" s="6">
        <v>21797</v>
      </c>
      <c r="J293" s="6">
        <v>20835</v>
      </c>
      <c r="K293" s="6">
        <v>18839</v>
      </c>
      <c r="L293" s="6">
        <v>18409</v>
      </c>
      <c r="M293" s="6">
        <v>17143</v>
      </c>
      <c r="N293" s="6">
        <v>18859</v>
      </c>
      <c r="O293" s="6">
        <v>20255</v>
      </c>
      <c r="P293" s="6">
        <v>15508</v>
      </c>
      <c r="Q293" s="6">
        <v>18687</v>
      </c>
      <c r="R293" s="6">
        <v>18532</v>
      </c>
      <c r="S293" s="6">
        <v>17234</v>
      </c>
      <c r="T293" s="6">
        <v>16376</v>
      </c>
      <c r="U293" s="6">
        <v>16338</v>
      </c>
      <c r="V293" s="6">
        <v>12361</v>
      </c>
      <c r="W293" s="6">
        <v>15492</v>
      </c>
      <c r="X293" s="6">
        <v>16484</v>
      </c>
      <c r="Y293" s="6">
        <v>16930</v>
      </c>
      <c r="Z293" s="6">
        <v>18842</v>
      </c>
      <c r="AA293" s="6">
        <v>14993</v>
      </c>
      <c r="AB293" s="6">
        <v>20149</v>
      </c>
      <c r="AC293" s="6">
        <v>19772</v>
      </c>
      <c r="AD293" s="6">
        <v>20847</v>
      </c>
      <c r="AE293" s="6">
        <v>16637</v>
      </c>
      <c r="AF293" s="6">
        <v>18960</v>
      </c>
      <c r="AG293" s="6">
        <v>17755</v>
      </c>
      <c r="AH293" s="6">
        <v>21725</v>
      </c>
      <c r="AI293" s="6">
        <v>18541</v>
      </c>
      <c r="AJ293" s="6">
        <v>13644</v>
      </c>
      <c r="AK293" s="6">
        <v>16488</v>
      </c>
      <c r="AL293" s="6">
        <v>17067</v>
      </c>
      <c r="AM293" s="6">
        <v>17015</v>
      </c>
      <c r="AN293" s="6">
        <v>17511</v>
      </c>
      <c r="AO293" s="6">
        <v>19418</v>
      </c>
      <c r="AP293" s="6">
        <v>19216</v>
      </c>
      <c r="AQ293" s="6">
        <v>15861</v>
      </c>
      <c r="AR293" s="6">
        <v>17948</v>
      </c>
    </row>
    <row r="294" spans="1:44">
      <c r="A294" s="4" t="s">
        <v>838</v>
      </c>
      <c r="B294" s="1" t="s">
        <v>839</v>
      </c>
      <c r="C294" s="1" t="s">
        <v>165</v>
      </c>
      <c r="D294" s="1" t="str">
        <f>HYPERLINK("http://eros.fiehnlab.ucdavis.edu:8080/binbase-compound/bin/show/267904?db=rtx5","267904")</f>
        <v>267904</v>
      </c>
      <c r="E294" s="1" t="s">
        <v>840</v>
      </c>
      <c r="F294" s="1" t="s">
        <v>0</v>
      </c>
      <c r="G294" s="1" t="s">
        <v>0</v>
      </c>
      <c r="H294" s="1"/>
      <c r="I294" s="6">
        <v>26820</v>
      </c>
      <c r="J294" s="6">
        <v>3162</v>
      </c>
      <c r="K294" s="6">
        <v>1527</v>
      </c>
      <c r="L294" s="6">
        <v>30231</v>
      </c>
      <c r="M294" s="6">
        <v>12605</v>
      </c>
      <c r="N294" s="6">
        <v>44011</v>
      </c>
      <c r="O294" s="6">
        <v>12718</v>
      </c>
      <c r="P294" s="6">
        <v>3042</v>
      </c>
      <c r="Q294" s="6">
        <v>20132</v>
      </c>
      <c r="R294" s="6">
        <v>13210</v>
      </c>
      <c r="S294" s="6">
        <v>3388</v>
      </c>
      <c r="T294" s="6">
        <v>1184</v>
      </c>
      <c r="U294" s="6">
        <v>46545</v>
      </c>
      <c r="V294" s="6">
        <v>6302</v>
      </c>
      <c r="W294" s="6">
        <v>11981</v>
      </c>
      <c r="X294" s="6">
        <v>17968</v>
      </c>
      <c r="Y294" s="6">
        <v>20566</v>
      </c>
      <c r="Z294" s="6">
        <v>16737</v>
      </c>
      <c r="AA294" s="6">
        <v>3927</v>
      </c>
      <c r="AB294" s="6">
        <v>37278</v>
      </c>
      <c r="AC294" s="6">
        <v>2464</v>
      </c>
      <c r="AD294" s="6">
        <v>14126</v>
      </c>
      <c r="AE294" s="6">
        <v>18390</v>
      </c>
      <c r="AF294" s="6">
        <v>5237</v>
      </c>
      <c r="AG294" s="6">
        <v>6102</v>
      </c>
      <c r="AH294" s="6">
        <v>41561</v>
      </c>
      <c r="AI294" s="6">
        <v>8113</v>
      </c>
      <c r="AJ294" s="6">
        <v>4967</v>
      </c>
      <c r="AK294" s="6">
        <v>14080</v>
      </c>
      <c r="AL294" s="6">
        <v>1654</v>
      </c>
      <c r="AM294" s="6">
        <v>11097</v>
      </c>
      <c r="AN294" s="6">
        <v>6597</v>
      </c>
      <c r="AO294" s="6">
        <v>17547</v>
      </c>
      <c r="AP294" s="6">
        <v>23748</v>
      </c>
      <c r="AQ294" s="6">
        <v>9558</v>
      </c>
      <c r="AR294" s="6">
        <v>18918</v>
      </c>
    </row>
    <row r="295" spans="1:44">
      <c r="A295" s="4" t="s">
        <v>822</v>
      </c>
      <c r="B295" s="1" t="s">
        <v>823</v>
      </c>
      <c r="C295" s="1" t="s">
        <v>418</v>
      </c>
      <c r="D295" s="1" t="str">
        <f>HYPERLINK("http://eros.fiehnlab.ucdavis.edu:8080/binbase-compound/bin/show/268461?db=rtx5","268461")</f>
        <v>268461</v>
      </c>
      <c r="E295" s="1" t="s">
        <v>824</v>
      </c>
      <c r="F295" s="1" t="s">
        <v>0</v>
      </c>
      <c r="G295" s="1" t="s">
        <v>0</v>
      </c>
      <c r="H295" s="1"/>
      <c r="I295" s="6">
        <v>1498</v>
      </c>
      <c r="J295" s="6">
        <v>1169</v>
      </c>
      <c r="K295" s="6">
        <v>1235</v>
      </c>
      <c r="L295" s="6">
        <v>1999</v>
      </c>
      <c r="M295" s="6">
        <v>2038</v>
      </c>
      <c r="N295" s="6">
        <v>2217</v>
      </c>
      <c r="O295" s="6">
        <v>1799</v>
      </c>
      <c r="P295" s="6">
        <v>818</v>
      </c>
      <c r="Q295" s="6">
        <v>1907</v>
      </c>
      <c r="R295" s="6">
        <v>1546</v>
      </c>
      <c r="S295" s="6">
        <v>1737</v>
      </c>
      <c r="T295" s="6">
        <v>1764</v>
      </c>
      <c r="U295" s="6">
        <v>1945</v>
      </c>
      <c r="V295" s="6">
        <v>1355</v>
      </c>
      <c r="W295" s="6">
        <v>1606</v>
      </c>
      <c r="X295" s="6">
        <v>3447</v>
      </c>
      <c r="Y295" s="6">
        <v>622</v>
      </c>
      <c r="Z295" s="6">
        <v>1618</v>
      </c>
      <c r="AA295" s="6">
        <v>754</v>
      </c>
      <c r="AB295" s="6">
        <v>1767</v>
      </c>
      <c r="AC295" s="6">
        <v>1249</v>
      </c>
      <c r="AD295" s="6">
        <v>1442</v>
      </c>
      <c r="AE295" s="6">
        <v>1957</v>
      </c>
      <c r="AF295" s="6">
        <v>1466</v>
      </c>
      <c r="AG295" s="6">
        <v>1514</v>
      </c>
      <c r="AH295" s="6">
        <v>1541</v>
      </c>
      <c r="AI295" s="6">
        <v>1471</v>
      </c>
      <c r="AJ295" s="6">
        <v>1823</v>
      </c>
      <c r="AK295" s="6">
        <v>1475</v>
      </c>
      <c r="AL295" s="6">
        <v>1862</v>
      </c>
      <c r="AM295" s="6">
        <v>1822</v>
      </c>
      <c r="AN295" s="6">
        <v>1733</v>
      </c>
      <c r="AO295" s="6">
        <v>1537</v>
      </c>
      <c r="AP295" s="6">
        <v>1585</v>
      </c>
      <c r="AQ295" s="6">
        <v>2066</v>
      </c>
      <c r="AR295" s="6">
        <v>1726</v>
      </c>
    </row>
    <row r="296" spans="1:44">
      <c r="A296" s="4" t="s">
        <v>799</v>
      </c>
      <c r="B296" s="1" t="s">
        <v>800</v>
      </c>
      <c r="C296" s="1" t="s">
        <v>746</v>
      </c>
      <c r="D296" s="1" t="str">
        <f>HYPERLINK("http://eros.fiehnlab.ucdavis.edu:8080/binbase-compound/bin/show/274608?db=rtx5","274608")</f>
        <v>274608</v>
      </c>
      <c r="E296" s="1" t="s">
        <v>801</v>
      </c>
      <c r="F296" s="1" t="s">
        <v>0</v>
      </c>
      <c r="G296" s="1" t="s">
        <v>0</v>
      </c>
      <c r="H296" s="1"/>
      <c r="I296" s="6">
        <v>717</v>
      </c>
      <c r="J296" s="6">
        <v>871</v>
      </c>
      <c r="K296" s="6">
        <v>670</v>
      </c>
      <c r="L296" s="6">
        <v>542</v>
      </c>
      <c r="M296" s="6">
        <v>651</v>
      </c>
      <c r="N296" s="6">
        <v>712</v>
      </c>
      <c r="O296" s="6">
        <v>811</v>
      </c>
      <c r="P296" s="6">
        <v>725</v>
      </c>
      <c r="Q296" s="6">
        <v>886</v>
      </c>
      <c r="R296" s="6">
        <v>674</v>
      </c>
      <c r="S296" s="6">
        <v>772</v>
      </c>
      <c r="T296" s="6">
        <v>580</v>
      </c>
      <c r="U296" s="6">
        <v>583</v>
      </c>
      <c r="V296" s="6">
        <v>635</v>
      </c>
      <c r="W296" s="6">
        <v>582</v>
      </c>
      <c r="X296" s="6">
        <v>689</v>
      </c>
      <c r="Y296" s="6">
        <v>595</v>
      </c>
      <c r="Z296" s="6">
        <v>685</v>
      </c>
      <c r="AA296" s="6">
        <v>723</v>
      </c>
      <c r="AB296" s="6">
        <v>852</v>
      </c>
      <c r="AC296" s="6">
        <v>645</v>
      </c>
      <c r="AD296" s="6">
        <v>664</v>
      </c>
      <c r="AE296" s="6">
        <v>576</v>
      </c>
      <c r="AF296" s="6">
        <v>784</v>
      </c>
      <c r="AG296" s="6">
        <v>696</v>
      </c>
      <c r="AH296" s="6">
        <v>686</v>
      </c>
      <c r="AI296" s="6">
        <v>747</v>
      </c>
      <c r="AJ296" s="6">
        <v>592</v>
      </c>
      <c r="AK296" s="6">
        <v>566</v>
      </c>
      <c r="AL296" s="6">
        <v>583</v>
      </c>
      <c r="AM296" s="6">
        <v>592</v>
      </c>
      <c r="AN296" s="6">
        <v>611</v>
      </c>
      <c r="AO296" s="6">
        <v>595</v>
      </c>
      <c r="AP296" s="6">
        <v>818</v>
      </c>
      <c r="AQ296" s="6">
        <v>703</v>
      </c>
      <c r="AR296" s="6">
        <v>680</v>
      </c>
    </row>
    <row r="297" spans="1:44">
      <c r="A297" s="4" t="s">
        <v>789</v>
      </c>
      <c r="B297" s="1" t="s">
        <v>790</v>
      </c>
      <c r="C297" s="1" t="s">
        <v>599</v>
      </c>
      <c r="D297" s="1" t="str">
        <f>HYPERLINK("http://eros.fiehnlab.ucdavis.edu:8080/binbase-compound/bin/show/288810?db=rtx5","288810")</f>
        <v>288810</v>
      </c>
      <c r="E297" s="1" t="s">
        <v>791</v>
      </c>
      <c r="F297" s="1" t="s">
        <v>0</v>
      </c>
      <c r="G297" s="1" t="s">
        <v>0</v>
      </c>
      <c r="H297" s="1"/>
      <c r="I297" s="6">
        <v>1576</v>
      </c>
      <c r="J297" s="6">
        <v>1359</v>
      </c>
      <c r="K297" s="6">
        <v>1376</v>
      </c>
      <c r="L297" s="6">
        <v>1050</v>
      </c>
      <c r="M297" s="6">
        <v>1113</v>
      </c>
      <c r="N297" s="6">
        <v>1377</v>
      </c>
      <c r="O297" s="6">
        <v>1758</v>
      </c>
      <c r="P297" s="6">
        <v>1308</v>
      </c>
      <c r="Q297" s="6">
        <v>1157</v>
      </c>
      <c r="R297" s="6">
        <v>1010</v>
      </c>
      <c r="S297" s="6">
        <v>1819</v>
      </c>
      <c r="T297" s="6">
        <v>1231</v>
      </c>
      <c r="U297" s="6">
        <v>1017</v>
      </c>
      <c r="V297" s="6">
        <v>532</v>
      </c>
      <c r="W297" s="6">
        <v>660</v>
      </c>
      <c r="X297" s="6">
        <v>1231</v>
      </c>
      <c r="Y297" s="6">
        <v>1102</v>
      </c>
      <c r="Z297" s="6">
        <v>926</v>
      </c>
      <c r="AA297" s="6">
        <v>1330</v>
      </c>
      <c r="AB297" s="6">
        <v>1311</v>
      </c>
      <c r="AC297" s="6">
        <v>1829</v>
      </c>
      <c r="AD297" s="6">
        <v>1188</v>
      </c>
      <c r="AE297" s="6">
        <v>1211</v>
      </c>
      <c r="AF297" s="6">
        <v>1382</v>
      </c>
      <c r="AG297" s="6">
        <v>1052</v>
      </c>
      <c r="AH297" s="6">
        <v>1540</v>
      </c>
      <c r="AI297" s="6">
        <v>1255</v>
      </c>
      <c r="AJ297" s="6">
        <v>467</v>
      </c>
      <c r="AK297" s="6">
        <v>719</v>
      </c>
      <c r="AL297" s="6">
        <v>725</v>
      </c>
      <c r="AM297" s="6">
        <v>823</v>
      </c>
      <c r="AN297" s="6">
        <v>617</v>
      </c>
      <c r="AO297" s="6">
        <v>1258</v>
      </c>
      <c r="AP297" s="6">
        <v>1185</v>
      </c>
      <c r="AQ297" s="6">
        <v>1045</v>
      </c>
      <c r="AR297" s="6">
        <v>1122</v>
      </c>
    </row>
    <row r="298" spans="1:44">
      <c r="A298" s="4" t="s">
        <v>717</v>
      </c>
      <c r="B298" s="1" t="s">
        <v>718</v>
      </c>
      <c r="C298" s="1" t="s">
        <v>141</v>
      </c>
      <c r="D298" s="1" t="str">
        <f>HYPERLINK("http://eros.fiehnlab.ucdavis.edu:8080/binbase-compound/bin/show/356938?db=rtx5","356938")</f>
        <v>356938</v>
      </c>
      <c r="E298" s="1" t="s">
        <v>719</v>
      </c>
      <c r="F298" s="1" t="s">
        <v>0</v>
      </c>
      <c r="G298" s="1" t="s">
        <v>0</v>
      </c>
      <c r="H298" s="1"/>
      <c r="I298" s="6">
        <v>486</v>
      </c>
      <c r="J298" s="6">
        <v>353</v>
      </c>
      <c r="K298" s="6">
        <v>308</v>
      </c>
      <c r="L298" s="6">
        <v>555</v>
      </c>
      <c r="M298" s="6">
        <v>469</v>
      </c>
      <c r="N298" s="6">
        <v>537</v>
      </c>
      <c r="O298" s="6">
        <v>367</v>
      </c>
      <c r="P298" s="6">
        <v>243</v>
      </c>
      <c r="Q298" s="6">
        <v>500</v>
      </c>
      <c r="R298" s="6">
        <v>476</v>
      </c>
      <c r="S298" s="6">
        <v>281</v>
      </c>
      <c r="T298" s="6">
        <v>260</v>
      </c>
      <c r="U298" s="6">
        <v>631</v>
      </c>
      <c r="V298" s="6">
        <v>388</v>
      </c>
      <c r="W298" s="6">
        <v>388</v>
      </c>
      <c r="X298" s="6">
        <v>414</v>
      </c>
      <c r="Y298" s="6">
        <v>541</v>
      </c>
      <c r="Z298" s="6">
        <v>520</v>
      </c>
      <c r="AA298" s="6">
        <v>416</v>
      </c>
      <c r="AB298" s="6">
        <v>643</v>
      </c>
      <c r="AC298" s="6">
        <v>439</v>
      </c>
      <c r="AD298" s="6">
        <v>513</v>
      </c>
      <c r="AE298" s="6">
        <v>528</v>
      </c>
      <c r="AF298" s="6">
        <v>456</v>
      </c>
      <c r="AG298" s="6">
        <v>438</v>
      </c>
      <c r="AH298" s="6">
        <v>695</v>
      </c>
      <c r="AI298" s="6">
        <v>446</v>
      </c>
      <c r="AJ298" s="6">
        <v>313</v>
      </c>
      <c r="AK298" s="6">
        <v>358</v>
      </c>
      <c r="AL298" s="6">
        <v>302</v>
      </c>
      <c r="AM298" s="6">
        <v>502</v>
      </c>
      <c r="AN298" s="6">
        <v>512</v>
      </c>
      <c r="AO298" s="6">
        <v>501</v>
      </c>
      <c r="AP298" s="6">
        <v>555</v>
      </c>
      <c r="AQ298" s="6">
        <v>412</v>
      </c>
      <c r="AR298" s="6">
        <v>392</v>
      </c>
    </row>
    <row r="299" spans="1:44">
      <c r="A299" s="4" t="s">
        <v>544</v>
      </c>
      <c r="B299" s="1" t="s">
        <v>545</v>
      </c>
      <c r="C299" s="1" t="s">
        <v>546</v>
      </c>
      <c r="D299" s="1" t="str">
        <f>HYPERLINK("http://eros.fiehnlab.ucdavis.edu:8080/binbase-compound/bin/show/409521?db=rtx5","409521")</f>
        <v>409521</v>
      </c>
      <c r="E299" s="1" t="s">
        <v>547</v>
      </c>
      <c r="F299" s="1" t="s">
        <v>0</v>
      </c>
      <c r="G299" s="1" t="s">
        <v>0</v>
      </c>
      <c r="H299" s="1"/>
      <c r="I299" s="6">
        <v>1288</v>
      </c>
      <c r="J299" s="6">
        <v>641</v>
      </c>
      <c r="K299" s="6">
        <v>463</v>
      </c>
      <c r="L299" s="6">
        <v>1760</v>
      </c>
      <c r="M299" s="6">
        <v>1464</v>
      </c>
      <c r="N299" s="6">
        <v>1472</v>
      </c>
      <c r="O299" s="6">
        <v>664</v>
      </c>
      <c r="P299" s="6">
        <v>552</v>
      </c>
      <c r="Q299" s="6">
        <v>1491</v>
      </c>
      <c r="R299" s="6">
        <v>1500</v>
      </c>
      <c r="S299" s="6">
        <v>515</v>
      </c>
      <c r="T299" s="6">
        <v>246</v>
      </c>
      <c r="U299" s="6">
        <v>2841</v>
      </c>
      <c r="V299" s="6">
        <v>1486</v>
      </c>
      <c r="W299" s="6">
        <v>1206</v>
      </c>
      <c r="X299" s="6">
        <v>753</v>
      </c>
      <c r="Y299" s="6">
        <v>2146</v>
      </c>
      <c r="Z299" s="6">
        <v>1373</v>
      </c>
      <c r="AA299" s="6">
        <v>714</v>
      </c>
      <c r="AB299" s="6">
        <v>763</v>
      </c>
      <c r="AC299" s="6">
        <v>572</v>
      </c>
      <c r="AD299" s="6">
        <v>2674</v>
      </c>
      <c r="AE299" s="6">
        <v>976</v>
      </c>
      <c r="AF299" s="6">
        <v>715</v>
      </c>
      <c r="AG299" s="6">
        <v>1341</v>
      </c>
      <c r="AH299" s="6">
        <v>3538</v>
      </c>
      <c r="AI299" s="6">
        <v>1053</v>
      </c>
      <c r="AJ299" s="6">
        <v>608</v>
      </c>
      <c r="AK299" s="6">
        <v>1122</v>
      </c>
      <c r="AL299" s="6">
        <v>310</v>
      </c>
      <c r="AM299" s="6">
        <v>902</v>
      </c>
      <c r="AN299" s="6">
        <v>1661</v>
      </c>
      <c r="AO299" s="6">
        <v>1332</v>
      </c>
      <c r="AP299" s="6">
        <v>3119</v>
      </c>
      <c r="AQ299" s="6">
        <v>797</v>
      </c>
      <c r="AR299" s="6">
        <v>2496</v>
      </c>
    </row>
    <row r="300" spans="1:44">
      <c r="A300" s="4" t="s">
        <v>1097</v>
      </c>
      <c r="B300" s="1" t="s">
        <v>1098</v>
      </c>
      <c r="C300" s="1" t="s">
        <v>115</v>
      </c>
      <c r="D300" s="1" t="str">
        <f>HYPERLINK("http://eros.fiehnlab.ucdavis.edu:8080/binbase-compound/bin/show/213327?db=rtx5","213327")</f>
        <v>213327</v>
      </c>
      <c r="E300" s="1" t="s">
        <v>1099</v>
      </c>
      <c r="F300" s="1" t="s">
        <v>0</v>
      </c>
      <c r="G300" s="1" t="s">
        <v>0</v>
      </c>
      <c r="H300" s="1"/>
      <c r="I300" s="6">
        <v>283221</v>
      </c>
      <c r="J300" s="6">
        <v>81096</v>
      </c>
      <c r="K300" s="6">
        <v>115784</v>
      </c>
      <c r="L300" s="6">
        <v>319602</v>
      </c>
      <c r="M300" s="6">
        <v>110172</v>
      </c>
      <c r="N300" s="6">
        <v>139820</v>
      </c>
      <c r="O300" s="6">
        <v>66606</v>
      </c>
      <c r="P300" s="6">
        <v>10976</v>
      </c>
      <c r="Q300" s="6">
        <v>82203</v>
      </c>
      <c r="R300" s="6">
        <v>73228</v>
      </c>
      <c r="S300" s="6">
        <v>18407</v>
      </c>
      <c r="T300" s="6">
        <v>41073</v>
      </c>
      <c r="U300" s="6">
        <v>87800</v>
      </c>
      <c r="V300" s="6">
        <v>69151</v>
      </c>
      <c r="W300" s="6">
        <v>117108</v>
      </c>
      <c r="X300" s="6">
        <v>103109</v>
      </c>
      <c r="Y300" s="6">
        <v>119309</v>
      </c>
      <c r="Z300" s="6">
        <v>224832</v>
      </c>
      <c r="AA300" s="6">
        <v>38176</v>
      </c>
      <c r="AB300" s="6">
        <v>157392</v>
      </c>
      <c r="AC300" s="6">
        <v>119050</v>
      </c>
      <c r="AD300" s="6">
        <v>169631</v>
      </c>
      <c r="AE300" s="6">
        <v>134229</v>
      </c>
      <c r="AF300" s="6">
        <v>102293</v>
      </c>
      <c r="AG300" s="6">
        <v>80539</v>
      </c>
      <c r="AH300" s="6">
        <v>168487</v>
      </c>
      <c r="AI300" s="6">
        <v>136502</v>
      </c>
      <c r="AJ300" s="6">
        <v>83831</v>
      </c>
      <c r="AK300" s="6">
        <v>171952</v>
      </c>
      <c r="AL300" s="6">
        <v>35017</v>
      </c>
      <c r="AM300" s="6">
        <v>93052</v>
      </c>
      <c r="AN300" s="6">
        <v>102784</v>
      </c>
      <c r="AO300" s="6">
        <v>141368</v>
      </c>
      <c r="AP300" s="6">
        <v>163262</v>
      </c>
      <c r="AQ300" s="6">
        <v>124029</v>
      </c>
      <c r="AR300" s="6">
        <v>239592</v>
      </c>
    </row>
    <row r="301" spans="1:44">
      <c r="A301" s="4" t="s">
        <v>687</v>
      </c>
      <c r="B301" s="1" t="s">
        <v>688</v>
      </c>
      <c r="C301" s="1" t="s">
        <v>185</v>
      </c>
      <c r="D301" s="1" t="str">
        <f>HYPERLINK("http://eros.fiehnlab.ucdavis.edu:8080/binbase-compound/bin/show/360205?db=rtx5","360205")</f>
        <v>360205</v>
      </c>
      <c r="E301" s="1" t="s">
        <v>689</v>
      </c>
      <c r="F301" s="1" t="s">
        <v>0</v>
      </c>
      <c r="G301" s="1" t="s">
        <v>0</v>
      </c>
      <c r="H301" s="1"/>
      <c r="I301" s="6">
        <v>2624</v>
      </c>
      <c r="J301" s="6">
        <v>2511</v>
      </c>
      <c r="K301" s="6">
        <v>2897</v>
      </c>
      <c r="L301" s="6">
        <v>3795</v>
      </c>
      <c r="M301" s="6">
        <v>1929</v>
      </c>
      <c r="N301" s="6">
        <v>2541</v>
      </c>
      <c r="O301" s="6">
        <v>4510</v>
      </c>
      <c r="P301" s="6">
        <v>2977</v>
      </c>
      <c r="Q301" s="6">
        <v>1897</v>
      </c>
      <c r="R301" s="6">
        <v>1756</v>
      </c>
      <c r="S301" s="6">
        <v>2784</v>
      </c>
      <c r="T301" s="6">
        <v>1950</v>
      </c>
      <c r="U301" s="6">
        <v>2546</v>
      </c>
      <c r="V301" s="6">
        <v>3037</v>
      </c>
      <c r="W301" s="6">
        <v>5035</v>
      </c>
      <c r="X301" s="6">
        <v>1859</v>
      </c>
      <c r="Y301" s="6">
        <v>3829</v>
      </c>
      <c r="Z301" s="6">
        <v>1755</v>
      </c>
      <c r="AA301" s="6">
        <v>3263</v>
      </c>
      <c r="AB301" s="6">
        <v>6780</v>
      </c>
      <c r="AC301" s="6">
        <v>3730</v>
      </c>
      <c r="AD301" s="6">
        <v>3423</v>
      </c>
      <c r="AE301" s="6">
        <v>2587</v>
      </c>
      <c r="AF301" s="6">
        <v>3166</v>
      </c>
      <c r="AG301" s="6">
        <v>3721</v>
      </c>
      <c r="AH301" s="6">
        <v>6488</v>
      </c>
      <c r="AI301" s="6">
        <v>1870</v>
      </c>
      <c r="AJ301" s="6">
        <v>1794</v>
      </c>
      <c r="AK301" s="6">
        <v>3580</v>
      </c>
      <c r="AL301" s="6">
        <v>1841</v>
      </c>
      <c r="AM301" s="6">
        <v>2596</v>
      </c>
      <c r="AN301" s="6">
        <v>2524</v>
      </c>
      <c r="AO301" s="6">
        <v>3550</v>
      </c>
      <c r="AP301" s="6">
        <v>2574</v>
      </c>
      <c r="AQ301" s="6">
        <v>3451</v>
      </c>
      <c r="AR301" s="6">
        <v>2345</v>
      </c>
    </row>
    <row r="302" spans="1:44">
      <c r="A302" s="4" t="s">
        <v>1110</v>
      </c>
      <c r="B302" s="1" t="s">
        <v>1111</v>
      </c>
      <c r="C302" s="1" t="s">
        <v>201</v>
      </c>
      <c r="D302" s="1" t="str">
        <f>HYPERLINK("http://eros.fiehnlab.ucdavis.edu:8080/binbase-compound/bin/show/212793?db=rtx5","212793")</f>
        <v>212793</v>
      </c>
      <c r="E302" s="1" t="s">
        <v>1112</v>
      </c>
      <c r="F302" s="1" t="s">
        <v>0</v>
      </c>
      <c r="G302" s="1" t="s">
        <v>0</v>
      </c>
      <c r="H302" s="1"/>
      <c r="I302" s="6">
        <v>3873</v>
      </c>
      <c r="J302" s="6">
        <v>3558</v>
      </c>
      <c r="K302" s="6">
        <v>3338</v>
      </c>
      <c r="L302" s="6">
        <v>3313</v>
      </c>
      <c r="M302" s="6">
        <v>3958</v>
      </c>
      <c r="N302" s="6">
        <v>3633</v>
      </c>
      <c r="O302" s="6">
        <v>3967</v>
      </c>
      <c r="P302" s="6">
        <v>2891</v>
      </c>
      <c r="Q302" s="6">
        <v>4269</v>
      </c>
      <c r="R302" s="6">
        <v>3913</v>
      </c>
      <c r="S302" s="6">
        <v>3649</v>
      </c>
      <c r="T302" s="6">
        <v>2701</v>
      </c>
      <c r="U302" s="6">
        <v>4362</v>
      </c>
      <c r="V302" s="6">
        <v>2803</v>
      </c>
      <c r="W302" s="6">
        <v>3517</v>
      </c>
      <c r="X302" s="6">
        <v>3349</v>
      </c>
      <c r="Y302" s="6">
        <v>3437</v>
      </c>
      <c r="Z302" s="6">
        <v>3510</v>
      </c>
      <c r="AA302" s="6">
        <v>3232</v>
      </c>
      <c r="AB302" s="6">
        <v>5110</v>
      </c>
      <c r="AC302" s="6">
        <v>4034</v>
      </c>
      <c r="AD302" s="6">
        <v>3882</v>
      </c>
      <c r="AE302" s="6">
        <v>3874</v>
      </c>
      <c r="AF302" s="6">
        <v>3962</v>
      </c>
      <c r="AG302" s="6">
        <v>3193</v>
      </c>
      <c r="AH302" s="6">
        <v>4338</v>
      </c>
      <c r="AI302" s="6">
        <v>3339</v>
      </c>
      <c r="AJ302" s="6">
        <v>2518</v>
      </c>
      <c r="AK302" s="6">
        <v>3328</v>
      </c>
      <c r="AL302" s="6">
        <v>2813</v>
      </c>
      <c r="AM302" s="6">
        <v>3705</v>
      </c>
      <c r="AN302" s="6">
        <v>2996</v>
      </c>
      <c r="AO302" s="6">
        <v>4244</v>
      </c>
      <c r="AP302" s="6">
        <v>3845</v>
      </c>
      <c r="AQ302" s="6">
        <v>3527</v>
      </c>
      <c r="AR302" s="6">
        <v>3565</v>
      </c>
    </row>
    <row r="303" spans="1:44">
      <c r="A303" s="4" t="s">
        <v>615</v>
      </c>
      <c r="B303" s="1" t="s">
        <v>616</v>
      </c>
      <c r="C303" s="1" t="s">
        <v>617</v>
      </c>
      <c r="D303" s="1" t="str">
        <f>HYPERLINK("http://eros.fiehnlab.ucdavis.edu:8080/binbase-compound/bin/show/408701?db=rtx5","408701")</f>
        <v>408701</v>
      </c>
      <c r="E303" s="1" t="s">
        <v>618</v>
      </c>
      <c r="F303" s="1" t="s">
        <v>0</v>
      </c>
      <c r="G303" s="1" t="s">
        <v>0</v>
      </c>
      <c r="H303" s="1"/>
      <c r="I303" s="6">
        <v>2159</v>
      </c>
      <c r="J303" s="6">
        <v>1644</v>
      </c>
      <c r="K303" s="6">
        <v>1455</v>
      </c>
      <c r="L303" s="6">
        <v>1886</v>
      </c>
      <c r="M303" s="6">
        <v>1722</v>
      </c>
      <c r="N303" s="6">
        <v>1886</v>
      </c>
      <c r="O303" s="6">
        <v>1937</v>
      </c>
      <c r="P303" s="6">
        <v>1165</v>
      </c>
      <c r="Q303" s="6">
        <v>1923</v>
      </c>
      <c r="R303" s="6">
        <v>2058</v>
      </c>
      <c r="S303" s="6">
        <v>1561</v>
      </c>
      <c r="T303" s="6">
        <v>1237</v>
      </c>
      <c r="U303" s="6">
        <v>2026</v>
      </c>
      <c r="V303" s="6">
        <v>1182</v>
      </c>
      <c r="W303" s="6">
        <v>1623</v>
      </c>
      <c r="X303" s="6">
        <v>1735</v>
      </c>
      <c r="Y303" s="6">
        <v>1889</v>
      </c>
      <c r="Z303" s="6">
        <v>1839</v>
      </c>
      <c r="AA303" s="6">
        <v>1210</v>
      </c>
      <c r="AB303" s="6">
        <v>2273</v>
      </c>
      <c r="AC303" s="6">
        <v>1750</v>
      </c>
      <c r="AD303" s="6">
        <v>2206</v>
      </c>
      <c r="AE303" s="6">
        <v>1859</v>
      </c>
      <c r="AF303" s="6">
        <v>1743</v>
      </c>
      <c r="AG303" s="6">
        <v>1582</v>
      </c>
      <c r="AH303" s="6">
        <v>2386</v>
      </c>
      <c r="AI303" s="6">
        <v>1755</v>
      </c>
      <c r="AJ303" s="6">
        <v>1112</v>
      </c>
      <c r="AK303" s="6">
        <v>1444</v>
      </c>
      <c r="AL303" s="6">
        <v>1249</v>
      </c>
      <c r="AM303" s="6">
        <v>1845</v>
      </c>
      <c r="AN303" s="6">
        <v>977</v>
      </c>
      <c r="AO303" s="6">
        <v>1790</v>
      </c>
      <c r="AP303" s="6">
        <v>2241</v>
      </c>
      <c r="AQ303" s="6">
        <v>1500</v>
      </c>
      <c r="AR303" s="6">
        <v>1975</v>
      </c>
    </row>
    <row r="304" spans="1:44">
      <c r="A304" s="4" t="s">
        <v>635</v>
      </c>
      <c r="B304" s="1" t="s">
        <v>636</v>
      </c>
      <c r="C304" s="1" t="s">
        <v>637</v>
      </c>
      <c r="D304" s="1" t="str">
        <f>HYPERLINK("http://eros.fiehnlab.ucdavis.edu:8080/binbase-compound/bin/show/408490?db=rtx5","408490")</f>
        <v>408490</v>
      </c>
      <c r="E304" s="1" t="s">
        <v>638</v>
      </c>
      <c r="F304" s="1" t="s">
        <v>0</v>
      </c>
      <c r="G304" s="1" t="s">
        <v>0</v>
      </c>
      <c r="H304" s="1"/>
      <c r="I304" s="6">
        <v>1844</v>
      </c>
      <c r="J304" s="6">
        <v>1804</v>
      </c>
      <c r="K304" s="6">
        <v>1620</v>
      </c>
      <c r="L304" s="6">
        <v>1415</v>
      </c>
      <c r="M304" s="6">
        <v>1743</v>
      </c>
      <c r="N304" s="6">
        <v>1780</v>
      </c>
      <c r="O304" s="6">
        <v>1564</v>
      </c>
      <c r="P304" s="6">
        <v>1617</v>
      </c>
      <c r="Q304" s="6">
        <v>1655</v>
      </c>
      <c r="R304" s="6">
        <v>1737</v>
      </c>
      <c r="S304" s="6">
        <v>1515</v>
      </c>
      <c r="T304" s="6">
        <v>1285</v>
      </c>
      <c r="U304" s="6">
        <v>1954</v>
      </c>
      <c r="V304" s="6">
        <v>1072</v>
      </c>
      <c r="W304" s="6">
        <v>1417</v>
      </c>
      <c r="X304" s="6">
        <v>1211</v>
      </c>
      <c r="Y304" s="6">
        <v>1851</v>
      </c>
      <c r="Z304" s="6">
        <v>1721</v>
      </c>
      <c r="AA304" s="6">
        <v>1369</v>
      </c>
      <c r="AB304" s="6">
        <v>1957</v>
      </c>
      <c r="AC304" s="6">
        <v>1618</v>
      </c>
      <c r="AD304" s="6">
        <v>1783</v>
      </c>
      <c r="AE304" s="6">
        <v>1922</v>
      </c>
      <c r="AF304" s="6">
        <v>1627</v>
      </c>
      <c r="AG304" s="6">
        <v>1718</v>
      </c>
      <c r="AH304" s="6">
        <v>1946</v>
      </c>
      <c r="AI304" s="6">
        <v>1920</v>
      </c>
      <c r="AJ304" s="6">
        <v>1250</v>
      </c>
      <c r="AK304" s="6">
        <v>1348</v>
      </c>
      <c r="AL304" s="6">
        <v>1195</v>
      </c>
      <c r="AM304" s="6">
        <v>1553</v>
      </c>
      <c r="AN304" s="6">
        <v>1702</v>
      </c>
      <c r="AO304" s="6">
        <v>1932</v>
      </c>
      <c r="AP304" s="6">
        <v>1835</v>
      </c>
      <c r="AQ304" s="6">
        <v>1554</v>
      </c>
      <c r="AR304" s="6">
        <v>1754</v>
      </c>
    </row>
    <row r="305" spans="1:44">
      <c r="A305" s="4" t="s">
        <v>833</v>
      </c>
      <c r="B305" s="1" t="s">
        <v>834</v>
      </c>
      <c r="C305" s="1" t="s">
        <v>835</v>
      </c>
      <c r="D305" s="1" t="str">
        <f>HYPERLINK("http://eros.fiehnlab.ucdavis.edu:8080/binbase-compound/bin/show/268306?db=rtx5","268306")</f>
        <v>268306</v>
      </c>
      <c r="E305" s="1" t="s">
        <v>836</v>
      </c>
      <c r="F305" s="1" t="s">
        <v>0</v>
      </c>
      <c r="G305" s="1" t="s">
        <v>0</v>
      </c>
      <c r="H305" s="1"/>
      <c r="I305" s="6">
        <v>614</v>
      </c>
      <c r="J305" s="6">
        <v>614</v>
      </c>
      <c r="K305" s="6">
        <v>475</v>
      </c>
      <c r="L305" s="6">
        <v>488</v>
      </c>
      <c r="M305" s="6">
        <v>331</v>
      </c>
      <c r="N305" s="6">
        <v>650</v>
      </c>
      <c r="O305" s="6">
        <v>919</v>
      </c>
      <c r="P305" s="6">
        <v>292</v>
      </c>
      <c r="Q305" s="6">
        <v>459</v>
      </c>
      <c r="R305" s="6">
        <v>502</v>
      </c>
      <c r="S305" s="6">
        <v>440</v>
      </c>
      <c r="T305" s="6">
        <v>399</v>
      </c>
      <c r="U305" s="6">
        <v>448</v>
      </c>
      <c r="V305" s="6">
        <v>572</v>
      </c>
      <c r="W305" s="6">
        <v>430</v>
      </c>
      <c r="X305" s="6">
        <v>371</v>
      </c>
      <c r="Y305" s="6">
        <v>459</v>
      </c>
      <c r="Z305" s="6">
        <v>561</v>
      </c>
      <c r="AA305" s="6">
        <v>360</v>
      </c>
      <c r="AB305" s="6">
        <v>442</v>
      </c>
      <c r="AC305" s="6">
        <v>310</v>
      </c>
      <c r="AD305" s="6">
        <v>415</v>
      </c>
      <c r="AE305" s="6">
        <v>410</v>
      </c>
      <c r="AF305" s="6">
        <v>430</v>
      </c>
      <c r="AG305" s="6">
        <v>411</v>
      </c>
      <c r="AH305" s="6">
        <v>676</v>
      </c>
      <c r="AI305" s="6">
        <v>365</v>
      </c>
      <c r="AJ305" s="6">
        <v>371</v>
      </c>
      <c r="AK305" s="6">
        <v>429</v>
      </c>
      <c r="AL305" s="6">
        <v>281</v>
      </c>
      <c r="AM305" s="6">
        <v>421</v>
      </c>
      <c r="AN305" s="6">
        <v>431</v>
      </c>
      <c r="AO305" s="6">
        <v>542</v>
      </c>
      <c r="AP305" s="6">
        <v>396</v>
      </c>
      <c r="AQ305" s="6">
        <v>285</v>
      </c>
      <c r="AR305" s="6">
        <v>367</v>
      </c>
    </row>
    <row r="306" spans="1:44">
      <c r="A306" s="4" t="s">
        <v>560</v>
      </c>
      <c r="B306" s="1" t="s">
        <v>561</v>
      </c>
      <c r="C306" s="1" t="s">
        <v>562</v>
      </c>
      <c r="D306" s="1" t="str">
        <f>HYPERLINK("http://eros.fiehnlab.ucdavis.edu:8080/binbase-compound/bin/show/409052?db=rtx5","409052")</f>
        <v>409052</v>
      </c>
      <c r="E306" s="1" t="s">
        <v>563</v>
      </c>
      <c r="F306" s="1" t="s">
        <v>0</v>
      </c>
      <c r="G306" s="1" t="s">
        <v>0</v>
      </c>
      <c r="H306" s="1"/>
      <c r="I306" s="6">
        <v>2900</v>
      </c>
      <c r="J306" s="6">
        <v>1458</v>
      </c>
      <c r="K306" s="6">
        <v>891</v>
      </c>
      <c r="L306" s="6">
        <v>1945</v>
      </c>
      <c r="M306" s="6">
        <v>3917</v>
      </c>
      <c r="N306" s="6">
        <v>2610</v>
      </c>
      <c r="O306" s="6">
        <v>1155</v>
      </c>
      <c r="P306" s="6">
        <v>588</v>
      </c>
      <c r="Q306" s="6">
        <v>2348</v>
      </c>
      <c r="R306" s="6">
        <v>3025</v>
      </c>
      <c r="S306" s="6">
        <v>1758</v>
      </c>
      <c r="T306" s="6">
        <v>283</v>
      </c>
      <c r="U306" s="6">
        <v>2570</v>
      </c>
      <c r="V306" s="6">
        <v>1318</v>
      </c>
      <c r="W306" s="6">
        <v>1493</v>
      </c>
      <c r="X306" s="6">
        <v>2003</v>
      </c>
      <c r="Y306" s="6">
        <v>2498</v>
      </c>
      <c r="Z306" s="6">
        <v>2656</v>
      </c>
      <c r="AA306" s="6">
        <v>1285</v>
      </c>
      <c r="AB306" s="6">
        <v>2541</v>
      </c>
      <c r="AC306" s="6">
        <v>1435</v>
      </c>
      <c r="AD306" s="6">
        <v>2594</v>
      </c>
      <c r="AE306" s="6">
        <v>1537</v>
      </c>
      <c r="AF306" s="6">
        <v>1505</v>
      </c>
      <c r="AG306" s="6">
        <v>1913</v>
      </c>
      <c r="AH306" s="6">
        <v>4047</v>
      </c>
      <c r="AI306" s="6">
        <v>1812</v>
      </c>
      <c r="AJ306" s="6">
        <v>1225</v>
      </c>
      <c r="AK306" s="6">
        <v>1762</v>
      </c>
      <c r="AL306" s="6">
        <v>1336</v>
      </c>
      <c r="AM306" s="6">
        <v>1164</v>
      </c>
      <c r="AN306" s="6">
        <v>1130</v>
      </c>
      <c r="AO306" s="6">
        <v>1964</v>
      </c>
      <c r="AP306" s="6">
        <v>2752</v>
      </c>
      <c r="AQ306" s="6">
        <v>1575</v>
      </c>
      <c r="AR306" s="6">
        <v>3207</v>
      </c>
    </row>
    <row r="307" spans="1:44">
      <c r="A307" s="4" t="s">
        <v>619</v>
      </c>
      <c r="B307" s="1" t="s">
        <v>620</v>
      </c>
      <c r="C307" s="1" t="s">
        <v>115</v>
      </c>
      <c r="D307" s="1" t="str">
        <f>HYPERLINK("http://eros.fiehnlab.ucdavis.edu:8080/binbase-compound/bin/show/408638?db=rtx5","408638")</f>
        <v>408638</v>
      </c>
      <c r="E307" s="1" t="s">
        <v>621</v>
      </c>
      <c r="F307" s="1" t="s">
        <v>0</v>
      </c>
      <c r="G307" s="1" t="s">
        <v>0</v>
      </c>
      <c r="H307" s="1"/>
      <c r="I307" s="6">
        <v>104094</v>
      </c>
      <c r="J307" s="6">
        <v>37829</v>
      </c>
      <c r="K307" s="6">
        <v>28925</v>
      </c>
      <c r="L307" s="6">
        <v>76647</v>
      </c>
      <c r="M307" s="6">
        <v>32949</v>
      </c>
      <c r="N307" s="6">
        <v>49939</v>
      </c>
      <c r="O307" s="6">
        <v>79012</v>
      </c>
      <c r="P307" s="6">
        <v>12760</v>
      </c>
      <c r="Q307" s="6">
        <v>92007</v>
      </c>
      <c r="R307" s="6">
        <v>106113</v>
      </c>
      <c r="S307" s="6">
        <v>35055</v>
      </c>
      <c r="T307" s="6">
        <v>27456</v>
      </c>
      <c r="U307" s="6">
        <v>109298</v>
      </c>
      <c r="V307" s="6">
        <v>40369</v>
      </c>
      <c r="W307" s="6">
        <v>85311</v>
      </c>
      <c r="X307" s="6">
        <v>85642</v>
      </c>
      <c r="Y307" s="6">
        <v>55915</v>
      </c>
      <c r="Z307" s="6">
        <v>82346</v>
      </c>
      <c r="AA307" s="6">
        <v>35730</v>
      </c>
      <c r="AB307" s="6">
        <v>144221</v>
      </c>
      <c r="AC307" s="6">
        <v>64397</v>
      </c>
      <c r="AD307" s="6">
        <v>85977</v>
      </c>
      <c r="AE307" s="6">
        <v>76258</v>
      </c>
      <c r="AF307" s="6">
        <v>76565</v>
      </c>
      <c r="AG307" s="6">
        <v>65656</v>
      </c>
      <c r="AH307" s="6">
        <v>90771</v>
      </c>
      <c r="AI307" s="6">
        <v>64435</v>
      </c>
      <c r="AJ307" s="6">
        <v>32345</v>
      </c>
      <c r="AK307" s="6">
        <v>65478</v>
      </c>
      <c r="AL307" s="6">
        <v>22177</v>
      </c>
      <c r="AM307" s="6">
        <v>46700</v>
      </c>
      <c r="AN307" s="6">
        <v>50798</v>
      </c>
      <c r="AO307" s="6">
        <v>81114</v>
      </c>
      <c r="AP307" s="6">
        <v>93671</v>
      </c>
      <c r="AQ307" s="6">
        <v>41638</v>
      </c>
      <c r="AR307" s="6">
        <v>94293</v>
      </c>
    </row>
    <row r="308" spans="1:44">
      <c r="A308" s="4" t="s">
        <v>911</v>
      </c>
      <c r="B308" s="1" t="s">
        <v>912</v>
      </c>
      <c r="C308" s="1" t="s">
        <v>445</v>
      </c>
      <c r="D308" s="1" t="str">
        <f>HYPERLINK("http://eros.fiehnlab.ucdavis.edu:8080/binbase-compound/bin/show/239332?db=rtx5","239332")</f>
        <v>239332</v>
      </c>
      <c r="E308" s="1" t="s">
        <v>913</v>
      </c>
      <c r="F308" s="1" t="s">
        <v>0</v>
      </c>
      <c r="G308" s="1" t="s">
        <v>0</v>
      </c>
      <c r="H308" s="1"/>
      <c r="I308" s="6">
        <v>4927</v>
      </c>
      <c r="J308" s="6">
        <v>2087</v>
      </c>
      <c r="K308" s="6">
        <v>493</v>
      </c>
      <c r="L308" s="6">
        <v>5761</v>
      </c>
      <c r="M308" s="6">
        <v>2697</v>
      </c>
      <c r="N308" s="6">
        <v>2981</v>
      </c>
      <c r="O308" s="6">
        <v>3725</v>
      </c>
      <c r="P308" s="6">
        <v>295</v>
      </c>
      <c r="Q308" s="6">
        <v>4003</v>
      </c>
      <c r="R308" s="6">
        <v>4220</v>
      </c>
      <c r="S308" s="6">
        <v>2036</v>
      </c>
      <c r="T308" s="6">
        <v>400</v>
      </c>
      <c r="U308" s="6">
        <v>4949</v>
      </c>
      <c r="V308" s="6">
        <v>1528</v>
      </c>
      <c r="W308" s="6">
        <v>2208</v>
      </c>
      <c r="X308" s="6">
        <v>4578</v>
      </c>
      <c r="Y308" s="6">
        <v>2655</v>
      </c>
      <c r="Z308" s="6">
        <v>1974</v>
      </c>
      <c r="AA308" s="6">
        <v>2060</v>
      </c>
      <c r="AB308" s="6">
        <v>7044</v>
      </c>
      <c r="AC308" s="6">
        <v>2092</v>
      </c>
      <c r="AD308" s="6">
        <v>3096</v>
      </c>
      <c r="AE308" s="6">
        <v>3366</v>
      </c>
      <c r="AF308" s="6">
        <v>2668</v>
      </c>
      <c r="AG308" s="6">
        <v>1924</v>
      </c>
      <c r="AH308" s="6">
        <v>4998</v>
      </c>
      <c r="AI308" s="6">
        <v>2229</v>
      </c>
      <c r="AJ308" s="6">
        <v>1290</v>
      </c>
      <c r="AK308" s="6">
        <v>2014</v>
      </c>
      <c r="AL308" s="6">
        <v>1655</v>
      </c>
      <c r="AM308" s="6">
        <v>2916</v>
      </c>
      <c r="AN308" s="6">
        <v>2484</v>
      </c>
      <c r="AO308" s="6">
        <v>3902</v>
      </c>
      <c r="AP308" s="6">
        <v>3480</v>
      </c>
      <c r="AQ308" s="6">
        <v>1558</v>
      </c>
      <c r="AR308" s="6">
        <v>2298</v>
      </c>
    </row>
    <row r="309" spans="1:44">
      <c r="A309" s="4" t="s">
        <v>1134</v>
      </c>
      <c r="B309" s="1" t="s">
        <v>1135</v>
      </c>
      <c r="C309" s="1" t="s">
        <v>867</v>
      </c>
      <c r="D309" s="1" t="str">
        <f>HYPERLINK("http://eros.fiehnlab.ucdavis.edu:8080/binbase-compound/bin/show/206309?db=rtx5","206309")</f>
        <v>206309</v>
      </c>
      <c r="E309" s="1" t="s">
        <v>1136</v>
      </c>
      <c r="F309" s="1" t="s">
        <v>0</v>
      </c>
      <c r="G309" s="1" t="s">
        <v>0</v>
      </c>
      <c r="H309" s="1"/>
      <c r="I309" s="6">
        <v>1156</v>
      </c>
      <c r="J309" s="6">
        <v>2516</v>
      </c>
      <c r="K309" s="6">
        <v>1277</v>
      </c>
      <c r="L309" s="6">
        <v>892</v>
      </c>
      <c r="M309" s="6">
        <v>1392</v>
      </c>
      <c r="N309" s="6">
        <v>1155</v>
      </c>
      <c r="O309" s="6">
        <v>1407</v>
      </c>
      <c r="P309" s="6">
        <v>1055</v>
      </c>
      <c r="Q309" s="6">
        <v>1078</v>
      </c>
      <c r="R309" s="6">
        <v>3088</v>
      </c>
      <c r="S309" s="6">
        <v>1491</v>
      </c>
      <c r="T309" s="6">
        <v>1188</v>
      </c>
      <c r="U309" s="6">
        <v>798</v>
      </c>
      <c r="V309" s="6">
        <v>657</v>
      </c>
      <c r="W309" s="6">
        <v>776</v>
      </c>
      <c r="X309" s="6">
        <v>876</v>
      </c>
      <c r="Y309" s="6">
        <v>1091</v>
      </c>
      <c r="Z309" s="6">
        <v>994</v>
      </c>
      <c r="AA309" s="6">
        <v>903</v>
      </c>
      <c r="AB309" s="6">
        <v>2261</v>
      </c>
      <c r="AC309" s="6">
        <v>1334</v>
      </c>
      <c r="AD309" s="6">
        <v>1485</v>
      </c>
      <c r="AE309" s="6">
        <v>882</v>
      </c>
      <c r="AF309" s="6">
        <v>1681</v>
      </c>
      <c r="AG309" s="6">
        <v>1079</v>
      </c>
      <c r="AH309" s="6">
        <v>1049</v>
      </c>
      <c r="AI309" s="6">
        <v>1392</v>
      </c>
      <c r="AJ309" s="6">
        <v>776</v>
      </c>
      <c r="AK309" s="6">
        <v>696</v>
      </c>
      <c r="AL309" s="6">
        <v>984</v>
      </c>
      <c r="AM309" s="6">
        <v>915</v>
      </c>
      <c r="AN309" s="6">
        <v>1075</v>
      </c>
      <c r="AO309" s="6">
        <v>944</v>
      </c>
      <c r="AP309" s="6">
        <v>970</v>
      </c>
      <c r="AQ309" s="6">
        <v>992</v>
      </c>
      <c r="AR309" s="6">
        <v>1303</v>
      </c>
    </row>
    <row r="310" spans="1:44">
      <c r="A310" s="4" t="s">
        <v>905</v>
      </c>
      <c r="B310" s="1" t="s">
        <v>906</v>
      </c>
      <c r="C310" s="1" t="s">
        <v>115</v>
      </c>
      <c r="D310" s="1" t="str">
        <f>HYPERLINK("http://eros.fiehnlab.ucdavis.edu:8080/binbase-compound/bin/show/241028?db=rtx5","241028")</f>
        <v>241028</v>
      </c>
      <c r="E310" s="1" t="s">
        <v>907</v>
      </c>
      <c r="F310" s="1" t="s">
        <v>0</v>
      </c>
      <c r="G310" s="1" t="s">
        <v>0</v>
      </c>
      <c r="H310" s="1"/>
      <c r="I310" s="6">
        <v>5041</v>
      </c>
      <c r="J310" s="6">
        <v>3087</v>
      </c>
      <c r="K310" s="6">
        <v>2444</v>
      </c>
      <c r="L310" s="6">
        <v>31761</v>
      </c>
      <c r="M310" s="6">
        <v>10990</v>
      </c>
      <c r="N310" s="6">
        <v>13561</v>
      </c>
      <c r="O310" s="6">
        <v>5409</v>
      </c>
      <c r="P310" s="6">
        <v>793</v>
      </c>
      <c r="Q310" s="6">
        <v>7248</v>
      </c>
      <c r="R310" s="6">
        <v>12629</v>
      </c>
      <c r="S310" s="6">
        <v>4088</v>
      </c>
      <c r="T310" s="6">
        <v>1718</v>
      </c>
      <c r="U310" s="6">
        <v>30303</v>
      </c>
      <c r="V310" s="6">
        <v>9038</v>
      </c>
      <c r="W310" s="6">
        <v>13399</v>
      </c>
      <c r="X310" s="6">
        <v>13505</v>
      </c>
      <c r="Y310" s="6">
        <v>12261</v>
      </c>
      <c r="Z310" s="6">
        <v>8430</v>
      </c>
      <c r="AA310" s="6">
        <v>3053</v>
      </c>
      <c r="AB310" s="6">
        <v>20437</v>
      </c>
      <c r="AC310" s="6">
        <v>5436</v>
      </c>
      <c r="AD310" s="6">
        <v>7019</v>
      </c>
      <c r="AE310" s="6">
        <v>19642</v>
      </c>
      <c r="AF310" s="6">
        <v>10507</v>
      </c>
      <c r="AG310" s="6">
        <v>9747</v>
      </c>
      <c r="AH310" s="6">
        <v>14189</v>
      </c>
      <c r="AI310" s="6">
        <v>8935</v>
      </c>
      <c r="AJ310" s="6">
        <v>2356</v>
      </c>
      <c r="AK310" s="6">
        <v>14673</v>
      </c>
      <c r="AL310" s="6">
        <v>1218</v>
      </c>
      <c r="AM310" s="6">
        <v>7075</v>
      </c>
      <c r="AN310" s="6">
        <v>10496</v>
      </c>
      <c r="AO310" s="6">
        <v>16778</v>
      </c>
      <c r="AP310" s="6">
        <v>9550</v>
      </c>
      <c r="AQ310" s="6">
        <v>4457</v>
      </c>
      <c r="AR310" s="6">
        <v>7550</v>
      </c>
    </row>
    <row r="311" spans="1:44">
      <c r="A311" s="4" t="s">
        <v>766</v>
      </c>
      <c r="B311" s="1" t="s">
        <v>767</v>
      </c>
      <c r="C311" s="1" t="s">
        <v>165</v>
      </c>
      <c r="D311" s="1" t="str">
        <f>HYPERLINK("http://eros.fiehnlab.ucdavis.edu:8080/binbase-compound/bin/show/300865?db=rtx5","300865")</f>
        <v>300865</v>
      </c>
      <c r="E311" s="1" t="s">
        <v>768</v>
      </c>
      <c r="F311" s="1" t="s">
        <v>0</v>
      </c>
      <c r="G311" s="1" t="s">
        <v>0</v>
      </c>
      <c r="H311" s="1"/>
      <c r="I311" s="6">
        <v>811</v>
      </c>
      <c r="J311" s="6">
        <v>637</v>
      </c>
      <c r="K311" s="6">
        <v>553</v>
      </c>
      <c r="L311" s="6">
        <v>486</v>
      </c>
      <c r="M311" s="6">
        <v>486</v>
      </c>
      <c r="N311" s="6">
        <v>419</v>
      </c>
      <c r="O311" s="6">
        <v>454</v>
      </c>
      <c r="P311" s="6">
        <v>398</v>
      </c>
      <c r="Q311" s="6">
        <v>534</v>
      </c>
      <c r="R311" s="6">
        <v>593</v>
      </c>
      <c r="S311" s="6">
        <v>510</v>
      </c>
      <c r="T311" s="6">
        <v>422</v>
      </c>
      <c r="U311" s="6">
        <v>534</v>
      </c>
      <c r="V311" s="6">
        <v>403</v>
      </c>
      <c r="W311" s="6">
        <v>420</v>
      </c>
      <c r="X311" s="6">
        <v>483</v>
      </c>
      <c r="Y311" s="6">
        <v>524</v>
      </c>
      <c r="Z311" s="6">
        <v>548</v>
      </c>
      <c r="AA311" s="6">
        <v>571</v>
      </c>
      <c r="AB311" s="6">
        <v>599</v>
      </c>
      <c r="AC311" s="6">
        <v>594</v>
      </c>
      <c r="AD311" s="6">
        <v>673</v>
      </c>
      <c r="AE311" s="6">
        <v>506</v>
      </c>
      <c r="AF311" s="6">
        <v>565</v>
      </c>
      <c r="AG311" s="6">
        <v>432</v>
      </c>
      <c r="AH311" s="6">
        <v>532</v>
      </c>
      <c r="AI311" s="6">
        <v>541</v>
      </c>
      <c r="AJ311" s="6">
        <v>336</v>
      </c>
      <c r="AK311" s="6">
        <v>610</v>
      </c>
      <c r="AL311" s="6">
        <v>459</v>
      </c>
      <c r="AM311" s="6">
        <v>468</v>
      </c>
      <c r="AN311" s="6">
        <v>436</v>
      </c>
      <c r="AO311" s="6">
        <v>567</v>
      </c>
      <c r="AP311" s="6">
        <v>626</v>
      </c>
      <c r="AQ311" s="6">
        <v>407</v>
      </c>
      <c r="AR311" s="6">
        <v>599</v>
      </c>
    </row>
    <row r="312" spans="1:44">
      <c r="A312" s="4" t="s">
        <v>723</v>
      </c>
      <c r="B312" s="1" t="s">
        <v>724</v>
      </c>
      <c r="C312" s="1" t="s">
        <v>603</v>
      </c>
      <c r="D312" s="1" t="str">
        <f>HYPERLINK("http://eros.fiehnlab.ucdavis.edu:8080/binbase-compound/bin/show/354038?db=rtx5","354038")</f>
        <v>354038</v>
      </c>
      <c r="E312" s="1" t="s">
        <v>725</v>
      </c>
      <c r="F312" s="1" t="s">
        <v>0</v>
      </c>
      <c r="G312" s="1" t="s">
        <v>0</v>
      </c>
      <c r="H312" s="1"/>
      <c r="I312" s="6">
        <v>2340</v>
      </c>
      <c r="J312" s="6">
        <v>1809</v>
      </c>
      <c r="K312" s="6">
        <v>1821</v>
      </c>
      <c r="L312" s="6">
        <v>2028</v>
      </c>
      <c r="M312" s="6">
        <v>1582</v>
      </c>
      <c r="N312" s="6">
        <v>1849</v>
      </c>
      <c r="O312" s="6">
        <v>1906</v>
      </c>
      <c r="P312" s="6">
        <v>1425</v>
      </c>
      <c r="Q312" s="6">
        <v>2204</v>
      </c>
      <c r="R312" s="6">
        <v>1726</v>
      </c>
      <c r="S312" s="6">
        <v>1514</v>
      </c>
      <c r="T312" s="6">
        <v>1786</v>
      </c>
      <c r="U312" s="6">
        <v>1850</v>
      </c>
      <c r="V312" s="6">
        <v>1578</v>
      </c>
      <c r="W312" s="6">
        <v>1946</v>
      </c>
      <c r="X312" s="6">
        <v>1958</v>
      </c>
      <c r="Y312" s="6">
        <v>1817</v>
      </c>
      <c r="Z312" s="6">
        <v>1881</v>
      </c>
      <c r="AA312" s="6">
        <v>1847</v>
      </c>
      <c r="AB312" s="6">
        <v>1549</v>
      </c>
      <c r="AC312" s="6">
        <v>1780</v>
      </c>
      <c r="AD312" s="6">
        <v>2410</v>
      </c>
      <c r="AE312" s="6">
        <v>1701</v>
      </c>
      <c r="AF312" s="6">
        <v>1963</v>
      </c>
      <c r="AG312" s="6">
        <v>1760</v>
      </c>
      <c r="AH312" s="6">
        <v>2178</v>
      </c>
      <c r="AI312" s="6">
        <v>1774</v>
      </c>
      <c r="AJ312" s="6">
        <v>1544</v>
      </c>
      <c r="AK312" s="6">
        <v>1766</v>
      </c>
      <c r="AL312" s="6">
        <v>1776</v>
      </c>
      <c r="AM312" s="6">
        <v>1762</v>
      </c>
      <c r="AN312" s="6">
        <v>1673</v>
      </c>
      <c r="AO312" s="6">
        <v>1992</v>
      </c>
      <c r="AP312" s="6">
        <v>2145</v>
      </c>
      <c r="AQ312" s="6">
        <v>1680</v>
      </c>
      <c r="AR312" s="6">
        <v>1967</v>
      </c>
    </row>
    <row r="313" spans="1:44">
      <c r="A313" s="4" t="s">
        <v>962</v>
      </c>
      <c r="B313" s="1" t="s">
        <v>963</v>
      </c>
      <c r="C313" s="1" t="s">
        <v>844</v>
      </c>
      <c r="D313" s="1" t="str">
        <f>HYPERLINK("http://eros.fiehnlab.ucdavis.edu:8080/binbase-compound/bin/show/234717?db=rtx5","234717")</f>
        <v>234717</v>
      </c>
      <c r="E313" s="1" t="s">
        <v>964</v>
      </c>
      <c r="F313" s="1" t="s">
        <v>0</v>
      </c>
      <c r="G313" s="1" t="s">
        <v>0</v>
      </c>
      <c r="H313" s="1"/>
      <c r="I313" s="6">
        <v>1913</v>
      </c>
      <c r="J313" s="6">
        <v>1353</v>
      </c>
      <c r="K313" s="6">
        <v>1557</v>
      </c>
      <c r="L313" s="6">
        <v>2108</v>
      </c>
      <c r="M313" s="6">
        <v>1164</v>
      </c>
      <c r="N313" s="6">
        <v>1872</v>
      </c>
      <c r="O313" s="6">
        <v>1787</v>
      </c>
      <c r="P313" s="6">
        <v>1067</v>
      </c>
      <c r="Q313" s="6">
        <v>1712</v>
      </c>
      <c r="R313" s="6">
        <v>1689</v>
      </c>
      <c r="S313" s="6">
        <v>1128</v>
      </c>
      <c r="T313" s="6">
        <v>1249</v>
      </c>
      <c r="U313" s="6">
        <v>1636</v>
      </c>
      <c r="V313" s="6">
        <v>766</v>
      </c>
      <c r="W313" s="6">
        <v>821</v>
      </c>
      <c r="X313" s="6">
        <v>1197</v>
      </c>
      <c r="Y313" s="6">
        <v>1513</v>
      </c>
      <c r="Z313" s="6">
        <v>1509</v>
      </c>
      <c r="AA313" s="6">
        <v>923</v>
      </c>
      <c r="AB313" s="6">
        <v>1839</v>
      </c>
      <c r="AC313" s="6">
        <v>1548</v>
      </c>
      <c r="AD313" s="6">
        <v>1612</v>
      </c>
      <c r="AE313" s="6">
        <v>1538</v>
      </c>
      <c r="AF313" s="6">
        <v>1834</v>
      </c>
      <c r="AG313" s="6">
        <v>1275</v>
      </c>
      <c r="AH313" s="6">
        <v>2117</v>
      </c>
      <c r="AI313" s="6">
        <v>1874</v>
      </c>
      <c r="AJ313" s="6">
        <v>1063</v>
      </c>
      <c r="AK313" s="6">
        <v>1049</v>
      </c>
      <c r="AL313" s="6">
        <v>989</v>
      </c>
      <c r="AM313" s="6">
        <v>1318</v>
      </c>
      <c r="AN313" s="6">
        <v>1363</v>
      </c>
      <c r="AO313" s="6">
        <v>996</v>
      </c>
      <c r="AP313" s="6">
        <v>1853</v>
      </c>
      <c r="AQ313" s="6">
        <v>1119</v>
      </c>
      <c r="AR313" s="6">
        <v>2199</v>
      </c>
    </row>
    <row r="314" spans="1:44">
      <c r="A314" s="4" t="s">
        <v>1174</v>
      </c>
      <c r="B314" s="1" t="s">
        <v>1175</v>
      </c>
      <c r="C314" s="1" t="s">
        <v>159</v>
      </c>
      <c r="D314" s="1" t="str">
        <f>HYPERLINK("http://eros.fiehnlab.ucdavis.edu:8080/binbase-compound/bin/show/200547?db=rtx5","200547")</f>
        <v>200547</v>
      </c>
      <c r="E314" s="1" t="s">
        <v>1176</v>
      </c>
      <c r="F314" s="1" t="s">
        <v>0</v>
      </c>
      <c r="G314" s="1" t="s">
        <v>0</v>
      </c>
      <c r="H314" s="1"/>
      <c r="I314" s="6">
        <v>3692</v>
      </c>
      <c r="J314" s="6">
        <v>1346</v>
      </c>
      <c r="K314" s="6">
        <v>2440</v>
      </c>
      <c r="L314" s="6">
        <v>7760</v>
      </c>
      <c r="M314" s="6">
        <v>5492</v>
      </c>
      <c r="N314" s="6">
        <v>7109</v>
      </c>
      <c r="O314" s="6">
        <v>3088</v>
      </c>
      <c r="P314" s="6">
        <v>1174</v>
      </c>
      <c r="Q314" s="6">
        <v>2054</v>
      </c>
      <c r="R314" s="6">
        <v>2605</v>
      </c>
      <c r="S314" s="6">
        <v>3994</v>
      </c>
      <c r="T314" s="6">
        <v>911</v>
      </c>
      <c r="U314" s="6">
        <v>4813</v>
      </c>
      <c r="V314" s="6">
        <v>3199</v>
      </c>
      <c r="W314" s="6">
        <v>4407</v>
      </c>
      <c r="X314" s="6">
        <v>4443</v>
      </c>
      <c r="Y314" s="6">
        <v>5927</v>
      </c>
      <c r="Z314" s="6">
        <v>4334</v>
      </c>
      <c r="AA314" s="6">
        <v>1236</v>
      </c>
      <c r="AB314" s="6">
        <v>6229</v>
      </c>
      <c r="AC314" s="6">
        <v>3381</v>
      </c>
      <c r="AD314" s="6">
        <v>3227</v>
      </c>
      <c r="AE314" s="6">
        <v>2386</v>
      </c>
      <c r="AF314" s="6">
        <v>5342</v>
      </c>
      <c r="AG314" s="6">
        <v>5675</v>
      </c>
      <c r="AH314" s="6">
        <v>10175</v>
      </c>
      <c r="AI314" s="6">
        <v>2465</v>
      </c>
      <c r="AJ314" s="6">
        <v>1837</v>
      </c>
      <c r="AK314" s="6">
        <v>3530</v>
      </c>
      <c r="AL314" s="6">
        <v>7963</v>
      </c>
      <c r="AM314" s="6">
        <v>2932</v>
      </c>
      <c r="AN314" s="6">
        <v>3705</v>
      </c>
      <c r="AO314" s="6">
        <v>4949</v>
      </c>
      <c r="AP314" s="6">
        <v>4696</v>
      </c>
      <c r="AQ314" s="6">
        <v>8345</v>
      </c>
      <c r="AR314" s="6">
        <v>6938</v>
      </c>
    </row>
    <row r="315" spans="1:44">
      <c r="A315" s="4" t="s">
        <v>893</v>
      </c>
      <c r="B315" s="1" t="s">
        <v>894</v>
      </c>
      <c r="C315" s="1" t="s">
        <v>165</v>
      </c>
      <c r="D315" s="1" t="str">
        <f>HYPERLINK("http://eros.fiehnlab.ucdavis.edu:8080/binbase-compound/bin/show/241043?db=rtx5","241043")</f>
        <v>241043</v>
      </c>
      <c r="E315" s="1" t="s">
        <v>895</v>
      </c>
      <c r="F315" s="1" t="s">
        <v>0</v>
      </c>
      <c r="G315" s="1" t="s">
        <v>0</v>
      </c>
      <c r="H315" s="1"/>
      <c r="I315" s="6">
        <v>6632</v>
      </c>
      <c r="J315" s="6">
        <v>1643</v>
      </c>
      <c r="K315" s="6">
        <v>1460</v>
      </c>
      <c r="L315" s="6">
        <v>12963</v>
      </c>
      <c r="M315" s="6">
        <v>8065</v>
      </c>
      <c r="N315" s="6">
        <v>9481</v>
      </c>
      <c r="O315" s="6">
        <v>5775</v>
      </c>
      <c r="P315" s="6">
        <v>2239</v>
      </c>
      <c r="Q315" s="6">
        <v>5641</v>
      </c>
      <c r="R315" s="6">
        <v>4725</v>
      </c>
      <c r="S315" s="6">
        <v>1300</v>
      </c>
      <c r="T315" s="6">
        <v>1044</v>
      </c>
      <c r="U315" s="6">
        <v>20029</v>
      </c>
      <c r="V315" s="6">
        <v>4049</v>
      </c>
      <c r="W315" s="6">
        <v>8436</v>
      </c>
      <c r="X315" s="6">
        <v>6189</v>
      </c>
      <c r="Y315" s="6">
        <v>5965</v>
      </c>
      <c r="Z315" s="6">
        <v>9311</v>
      </c>
      <c r="AA315" s="6">
        <v>3093</v>
      </c>
      <c r="AB315" s="6">
        <v>16496</v>
      </c>
      <c r="AC315" s="6">
        <v>2690</v>
      </c>
      <c r="AD315" s="6">
        <v>9776</v>
      </c>
      <c r="AE315" s="6">
        <v>10297</v>
      </c>
      <c r="AF315" s="6">
        <v>1107</v>
      </c>
      <c r="AG315" s="6">
        <v>4338</v>
      </c>
      <c r="AH315" s="6">
        <v>27902</v>
      </c>
      <c r="AI315" s="6">
        <v>1959</v>
      </c>
      <c r="AJ315" s="6">
        <v>3572</v>
      </c>
      <c r="AK315" s="6">
        <v>4408</v>
      </c>
      <c r="AL315" s="6">
        <v>968</v>
      </c>
      <c r="AM315" s="6">
        <v>4235</v>
      </c>
      <c r="AN315" s="6">
        <v>4243</v>
      </c>
      <c r="AO315" s="6">
        <v>13286</v>
      </c>
      <c r="AP315" s="6">
        <v>7768</v>
      </c>
      <c r="AQ315" s="6">
        <v>5970</v>
      </c>
      <c r="AR315" s="6">
        <v>6238</v>
      </c>
    </row>
    <row r="316" spans="1:44">
      <c r="A316" s="4" t="s">
        <v>751</v>
      </c>
      <c r="B316" s="1" t="s">
        <v>752</v>
      </c>
      <c r="C316" s="1" t="s">
        <v>753</v>
      </c>
      <c r="D316" s="1" t="str">
        <f>HYPERLINK("http://eros.fiehnlab.ucdavis.edu:8080/binbase-compound/bin/show/309642?db=rtx5","309642")</f>
        <v>309642</v>
      </c>
      <c r="E316" s="1" t="s">
        <v>754</v>
      </c>
      <c r="F316" s="1" t="s">
        <v>0</v>
      </c>
      <c r="G316" s="1" t="s">
        <v>0</v>
      </c>
      <c r="H316" s="1"/>
      <c r="I316" s="6">
        <v>1789</v>
      </c>
      <c r="J316" s="6">
        <v>1491</v>
      </c>
      <c r="K316" s="6">
        <v>1800</v>
      </c>
      <c r="L316" s="6">
        <v>1345</v>
      </c>
      <c r="M316" s="6">
        <v>1056</v>
      </c>
      <c r="N316" s="6">
        <v>1372</v>
      </c>
      <c r="O316" s="6">
        <v>1827</v>
      </c>
      <c r="P316" s="6">
        <v>1196</v>
      </c>
      <c r="Q316" s="6">
        <v>1618</v>
      </c>
      <c r="R316" s="6">
        <v>309</v>
      </c>
      <c r="S316" s="6">
        <v>1424</v>
      </c>
      <c r="T316" s="6">
        <v>1095</v>
      </c>
      <c r="U316" s="6">
        <v>1661</v>
      </c>
      <c r="V316" s="6">
        <v>773</v>
      </c>
      <c r="W316" s="6">
        <v>1531</v>
      </c>
      <c r="X316" s="6">
        <v>1344</v>
      </c>
      <c r="Y316" s="6">
        <v>1253</v>
      </c>
      <c r="Z316" s="6">
        <v>1301</v>
      </c>
      <c r="AA316" s="6">
        <v>1104</v>
      </c>
      <c r="AB316" s="6">
        <v>1076</v>
      </c>
      <c r="AC316" s="6">
        <v>1230</v>
      </c>
      <c r="AD316" s="6">
        <v>1247</v>
      </c>
      <c r="AE316" s="6">
        <v>1451</v>
      </c>
      <c r="AF316" s="6">
        <v>1559</v>
      </c>
      <c r="AG316" s="6">
        <v>1391</v>
      </c>
      <c r="AH316" s="6">
        <v>1692</v>
      </c>
      <c r="AI316" s="6">
        <v>1174</v>
      </c>
      <c r="AJ316" s="6">
        <v>1010</v>
      </c>
      <c r="AK316" s="6">
        <v>848</v>
      </c>
      <c r="AL316" s="6">
        <v>1234</v>
      </c>
      <c r="AM316" s="6">
        <v>895</v>
      </c>
      <c r="AN316" s="6">
        <v>878</v>
      </c>
      <c r="AO316" s="6">
        <v>1142</v>
      </c>
      <c r="AP316" s="6">
        <v>1467</v>
      </c>
      <c r="AQ316" s="6">
        <v>1286</v>
      </c>
      <c r="AR316" s="6">
        <v>1191</v>
      </c>
    </row>
    <row r="317" spans="1:44">
      <c r="A317" s="4" t="s">
        <v>1022</v>
      </c>
      <c r="B317" s="1" t="s">
        <v>1023</v>
      </c>
      <c r="C317" s="1" t="s">
        <v>1003</v>
      </c>
      <c r="D317" s="1" t="str">
        <f>HYPERLINK("http://eros.fiehnlab.ucdavis.edu:8080/binbase-compound/bin/show/224849?db=rtx5","224849")</f>
        <v>224849</v>
      </c>
      <c r="E317" s="1" t="s">
        <v>1024</v>
      </c>
      <c r="F317" s="1" t="s">
        <v>0</v>
      </c>
      <c r="G317" s="1" t="s">
        <v>0</v>
      </c>
      <c r="H317" s="1"/>
      <c r="I317" s="6">
        <v>344</v>
      </c>
      <c r="J317" s="6">
        <v>719</v>
      </c>
      <c r="K317" s="6">
        <v>282</v>
      </c>
      <c r="L317" s="6">
        <v>479</v>
      </c>
      <c r="M317" s="6">
        <v>397</v>
      </c>
      <c r="N317" s="6">
        <v>725</v>
      </c>
      <c r="O317" s="6">
        <v>462</v>
      </c>
      <c r="P317" s="6">
        <v>380</v>
      </c>
      <c r="Q317" s="6">
        <v>506</v>
      </c>
      <c r="R317" s="6">
        <v>589</v>
      </c>
      <c r="S317" s="6">
        <v>396</v>
      </c>
      <c r="T317" s="6">
        <v>172</v>
      </c>
      <c r="U317" s="6">
        <v>594</v>
      </c>
      <c r="V317" s="6">
        <v>130</v>
      </c>
      <c r="W317" s="6">
        <v>282</v>
      </c>
      <c r="X317" s="6">
        <v>626</v>
      </c>
      <c r="Y317" s="6">
        <v>433</v>
      </c>
      <c r="Z317" s="6">
        <v>703</v>
      </c>
      <c r="AA317" s="6">
        <v>119</v>
      </c>
      <c r="AB317" s="6">
        <v>811</v>
      </c>
      <c r="AC317" s="6">
        <v>443</v>
      </c>
      <c r="AD317" s="6">
        <v>406</v>
      </c>
      <c r="AE317" s="6">
        <v>394</v>
      </c>
      <c r="AF317" s="6">
        <v>580</v>
      </c>
      <c r="AG317" s="6">
        <v>179</v>
      </c>
      <c r="AH317" s="6">
        <v>487</v>
      </c>
      <c r="AI317" s="6">
        <v>307</v>
      </c>
      <c r="AJ317" s="6">
        <v>316</v>
      </c>
      <c r="AK317" s="6">
        <v>429</v>
      </c>
      <c r="AL317" s="6">
        <v>230</v>
      </c>
      <c r="AM317" s="6">
        <v>466</v>
      </c>
      <c r="AN317" s="6">
        <v>337</v>
      </c>
      <c r="AO317" s="6">
        <v>235</v>
      </c>
      <c r="AP317" s="6">
        <v>643</v>
      </c>
      <c r="AQ317" s="6">
        <v>205</v>
      </c>
      <c r="AR317" s="6">
        <v>380</v>
      </c>
    </row>
    <row r="318" spans="1:44">
      <c r="A318" s="4" t="s">
        <v>1116</v>
      </c>
      <c r="B318" s="1" t="s">
        <v>1117</v>
      </c>
      <c r="C318" s="1" t="s">
        <v>269</v>
      </c>
      <c r="D318" s="1" t="str">
        <f>HYPERLINK("http://eros.fiehnlab.ucdavis.edu:8080/binbase-compound/bin/show/212251?db=rtx5","212251")</f>
        <v>212251</v>
      </c>
      <c r="E318" s="1" t="s">
        <v>1118</v>
      </c>
      <c r="F318" s="1" t="s">
        <v>0</v>
      </c>
      <c r="G318" s="1" t="s">
        <v>0</v>
      </c>
      <c r="H318" s="1"/>
      <c r="I318" s="6">
        <v>1408</v>
      </c>
      <c r="J318" s="6">
        <v>1341</v>
      </c>
      <c r="K318" s="6">
        <v>950</v>
      </c>
      <c r="L318" s="6">
        <v>1475</v>
      </c>
      <c r="M318" s="6">
        <v>1856</v>
      </c>
      <c r="N318" s="6">
        <v>730</v>
      </c>
      <c r="O318" s="6">
        <v>1330</v>
      </c>
      <c r="P318" s="6">
        <v>470</v>
      </c>
      <c r="Q318" s="6">
        <v>1589</v>
      </c>
      <c r="R318" s="6">
        <v>1163</v>
      </c>
      <c r="S318" s="6">
        <v>814</v>
      </c>
      <c r="T318" s="6">
        <v>383</v>
      </c>
      <c r="U318" s="6">
        <v>1915</v>
      </c>
      <c r="V318" s="6">
        <v>1292</v>
      </c>
      <c r="W318" s="6">
        <v>1321</v>
      </c>
      <c r="X318" s="6">
        <v>1300</v>
      </c>
      <c r="Y318" s="6">
        <v>2126</v>
      </c>
      <c r="Z318" s="6">
        <v>1531</v>
      </c>
      <c r="AA318" s="6">
        <v>1404</v>
      </c>
      <c r="AB318" s="6">
        <v>1428</v>
      </c>
      <c r="AC318" s="6">
        <v>1019</v>
      </c>
      <c r="AD318" s="6">
        <v>2445</v>
      </c>
      <c r="AE318" s="6">
        <v>1133</v>
      </c>
      <c r="AF318" s="6">
        <v>881</v>
      </c>
      <c r="AG318" s="6">
        <v>1646</v>
      </c>
      <c r="AH318" s="6">
        <v>2431</v>
      </c>
      <c r="AI318" s="6">
        <v>1392</v>
      </c>
      <c r="AJ318" s="6">
        <v>1013</v>
      </c>
      <c r="AK318" s="6">
        <v>1425</v>
      </c>
      <c r="AL318" s="6">
        <v>323</v>
      </c>
      <c r="AM318" s="6">
        <v>1469</v>
      </c>
      <c r="AN318" s="6">
        <v>1123</v>
      </c>
      <c r="AO318" s="6">
        <v>1471</v>
      </c>
      <c r="AP318" s="6">
        <v>2581</v>
      </c>
      <c r="AQ318" s="6">
        <v>1363</v>
      </c>
      <c r="AR318" s="6">
        <v>1752</v>
      </c>
    </row>
    <row r="319" spans="1:44">
      <c r="A319" s="4" t="s">
        <v>667</v>
      </c>
      <c r="B319" s="1" t="s">
        <v>668</v>
      </c>
      <c r="C319" s="1" t="s">
        <v>332</v>
      </c>
      <c r="D319" s="1" t="str">
        <f>HYPERLINK("http://eros.fiehnlab.ucdavis.edu:8080/binbase-compound/bin/show/369638?db=rtx5","369638")</f>
        <v>369638</v>
      </c>
      <c r="E319" s="1" t="s">
        <v>669</v>
      </c>
      <c r="F319" s="1" t="s">
        <v>0</v>
      </c>
      <c r="G319" s="1" t="s">
        <v>0</v>
      </c>
      <c r="H319" s="1"/>
      <c r="I319" s="6">
        <v>4746</v>
      </c>
      <c r="J319" s="6">
        <v>4665</v>
      </c>
      <c r="K319" s="6">
        <v>2507</v>
      </c>
      <c r="L319" s="6">
        <v>3240</v>
      </c>
      <c r="M319" s="6">
        <v>4727</v>
      </c>
      <c r="N319" s="6">
        <v>4674</v>
      </c>
      <c r="O319" s="6">
        <v>4890</v>
      </c>
      <c r="P319" s="6">
        <v>2226</v>
      </c>
      <c r="Q319" s="6">
        <v>3258</v>
      </c>
      <c r="R319" s="6">
        <v>4038</v>
      </c>
      <c r="S319" s="6">
        <v>3767</v>
      </c>
      <c r="T319" s="6">
        <v>1122</v>
      </c>
      <c r="U319" s="6">
        <v>3752</v>
      </c>
      <c r="V319" s="6">
        <v>1629</v>
      </c>
      <c r="W319" s="6">
        <v>2215</v>
      </c>
      <c r="X319" s="6">
        <v>2975</v>
      </c>
      <c r="Y319" s="6">
        <v>4171</v>
      </c>
      <c r="Z319" s="6">
        <v>2719</v>
      </c>
      <c r="AA319" s="6">
        <v>2308</v>
      </c>
      <c r="AB319" s="6">
        <v>5631</v>
      </c>
      <c r="AC319" s="6">
        <v>2568</v>
      </c>
      <c r="AD319" s="6">
        <v>2903</v>
      </c>
      <c r="AE319" s="6">
        <v>2858</v>
      </c>
      <c r="AF319" s="6">
        <v>3218</v>
      </c>
      <c r="AG319" s="6">
        <v>3692</v>
      </c>
      <c r="AH319" s="6">
        <v>5074</v>
      </c>
      <c r="AI319" s="6">
        <v>3212</v>
      </c>
      <c r="AJ319" s="6">
        <v>1720</v>
      </c>
      <c r="AK319" s="6">
        <v>2241</v>
      </c>
      <c r="AL319" s="6">
        <v>1931</v>
      </c>
      <c r="AM319" s="6">
        <v>2461</v>
      </c>
      <c r="AN319" s="6">
        <v>2969</v>
      </c>
      <c r="AO319" s="6">
        <v>3266</v>
      </c>
      <c r="AP319" s="6">
        <v>2674</v>
      </c>
      <c r="AQ319" s="6">
        <v>2747</v>
      </c>
      <c r="AR319" s="6">
        <v>3607</v>
      </c>
    </row>
    <row r="320" spans="1:44">
      <c r="A320" s="4" t="s">
        <v>1141</v>
      </c>
      <c r="B320" s="1" t="s">
        <v>1142</v>
      </c>
      <c r="C320" s="1" t="s">
        <v>388</v>
      </c>
      <c r="D320" s="1" t="str">
        <f>HYPERLINK("http://eros.fiehnlab.ucdavis.edu:8080/binbase-compound/bin/show/205734?db=rtx5","205734")</f>
        <v>205734</v>
      </c>
      <c r="E320" s="1" t="s">
        <v>1143</v>
      </c>
      <c r="F320" s="1" t="s">
        <v>0</v>
      </c>
      <c r="G320" s="1" t="s">
        <v>0</v>
      </c>
      <c r="H320" s="1"/>
      <c r="I320" s="6">
        <v>1931</v>
      </c>
      <c r="J320" s="6">
        <v>303</v>
      </c>
      <c r="K320" s="6">
        <v>236</v>
      </c>
      <c r="L320" s="6">
        <v>9080</v>
      </c>
      <c r="M320" s="6">
        <v>204</v>
      </c>
      <c r="N320" s="6">
        <v>4790</v>
      </c>
      <c r="O320" s="6">
        <v>1109</v>
      </c>
      <c r="P320" s="6">
        <v>375</v>
      </c>
      <c r="Q320" s="6">
        <v>388</v>
      </c>
      <c r="R320" s="6">
        <v>1458</v>
      </c>
      <c r="S320" s="6">
        <v>555</v>
      </c>
      <c r="T320" s="6">
        <v>381</v>
      </c>
      <c r="U320" s="6">
        <v>6549</v>
      </c>
      <c r="V320" s="6">
        <v>869</v>
      </c>
      <c r="W320" s="6">
        <v>1653</v>
      </c>
      <c r="X320" s="6">
        <v>3936</v>
      </c>
      <c r="Y320" s="6">
        <v>284</v>
      </c>
      <c r="Z320" s="6">
        <v>2739</v>
      </c>
      <c r="AA320" s="6">
        <v>269</v>
      </c>
      <c r="AB320" s="6">
        <v>2721</v>
      </c>
      <c r="AC320" s="6">
        <v>537</v>
      </c>
      <c r="AD320" s="6">
        <v>3863</v>
      </c>
      <c r="AE320" s="6">
        <v>4882</v>
      </c>
      <c r="AF320" s="6">
        <v>800</v>
      </c>
      <c r="AG320" s="6">
        <v>1111</v>
      </c>
      <c r="AH320" s="6">
        <v>13134</v>
      </c>
      <c r="AI320" s="6">
        <v>1121</v>
      </c>
      <c r="AJ320" s="6">
        <v>106</v>
      </c>
      <c r="AK320" s="6">
        <v>2827</v>
      </c>
      <c r="AL320" s="6">
        <v>184</v>
      </c>
      <c r="AM320" s="6">
        <v>4187</v>
      </c>
      <c r="AN320" s="6">
        <v>787</v>
      </c>
      <c r="AO320" s="6">
        <v>3883</v>
      </c>
      <c r="AP320" s="6">
        <v>2763</v>
      </c>
      <c r="AQ320" s="6">
        <v>1476</v>
      </c>
      <c r="AR320" s="6">
        <v>4596</v>
      </c>
    </row>
    <row r="321" spans="1:44">
      <c r="A321" s="4" t="s">
        <v>720</v>
      </c>
      <c r="B321" s="1" t="s">
        <v>721</v>
      </c>
      <c r="C321" s="1" t="s">
        <v>115</v>
      </c>
      <c r="D321" s="1" t="str">
        <f>HYPERLINK("http://eros.fiehnlab.ucdavis.edu:8080/binbase-compound/bin/show/356925?db=rtx5","356925")</f>
        <v>356925</v>
      </c>
      <c r="E321" s="1" t="s">
        <v>722</v>
      </c>
      <c r="F321" s="1" t="s">
        <v>0</v>
      </c>
      <c r="G321" s="1" t="s">
        <v>0</v>
      </c>
      <c r="H321" s="1"/>
      <c r="I321" s="6">
        <v>2764</v>
      </c>
      <c r="J321" s="6">
        <v>1672</v>
      </c>
      <c r="K321" s="6">
        <v>2420</v>
      </c>
      <c r="L321" s="6">
        <v>3319</v>
      </c>
      <c r="M321" s="6">
        <v>1875</v>
      </c>
      <c r="N321" s="6">
        <v>1381</v>
      </c>
      <c r="O321" s="6">
        <v>6953</v>
      </c>
      <c r="P321" s="6">
        <v>2560</v>
      </c>
      <c r="Q321" s="6">
        <v>3462</v>
      </c>
      <c r="R321" s="6">
        <v>6329</v>
      </c>
      <c r="S321" s="6">
        <v>2875</v>
      </c>
      <c r="T321" s="6">
        <v>1066</v>
      </c>
      <c r="U321" s="6">
        <v>2862</v>
      </c>
      <c r="V321" s="6">
        <v>1460</v>
      </c>
      <c r="W321" s="6">
        <v>2055</v>
      </c>
      <c r="X321" s="6">
        <v>944</v>
      </c>
      <c r="Y321" s="6">
        <v>1119</v>
      </c>
      <c r="Z321" s="6">
        <v>2474</v>
      </c>
      <c r="AA321" s="6">
        <v>1699</v>
      </c>
      <c r="AB321" s="6">
        <v>4712</v>
      </c>
      <c r="AC321" s="6">
        <v>1248</v>
      </c>
      <c r="AD321" s="6">
        <v>2198</v>
      </c>
      <c r="AE321" s="6">
        <v>1266</v>
      </c>
      <c r="AF321" s="6">
        <v>2020</v>
      </c>
      <c r="AG321" s="6">
        <v>2180</v>
      </c>
      <c r="AH321" s="6">
        <v>3858</v>
      </c>
      <c r="AI321" s="6">
        <v>1868</v>
      </c>
      <c r="AJ321" s="6">
        <v>1755</v>
      </c>
      <c r="AK321" s="6">
        <v>1001</v>
      </c>
      <c r="AL321" s="6">
        <v>3781</v>
      </c>
      <c r="AM321" s="6">
        <v>864</v>
      </c>
      <c r="AN321" s="6">
        <v>1568</v>
      </c>
      <c r="AO321" s="6">
        <v>3972</v>
      </c>
      <c r="AP321" s="6">
        <v>4290</v>
      </c>
      <c r="AQ321" s="6">
        <v>1779</v>
      </c>
      <c r="AR321" s="6">
        <v>2956</v>
      </c>
    </row>
    <row r="322" spans="1:44">
      <c r="A322" s="4" t="s">
        <v>1150</v>
      </c>
      <c r="B322" s="1" t="s">
        <v>1151</v>
      </c>
      <c r="C322" s="1" t="s">
        <v>201</v>
      </c>
      <c r="D322" s="1" t="str">
        <f>HYPERLINK("http://eros.fiehnlab.ucdavis.edu:8080/binbase-compound/bin/show/202066?db=rtx5","202066")</f>
        <v>202066</v>
      </c>
      <c r="E322" s="1" t="s">
        <v>1152</v>
      </c>
      <c r="F322" s="1" t="s">
        <v>0</v>
      </c>
      <c r="G322" s="1" t="s">
        <v>0</v>
      </c>
      <c r="H322" s="1"/>
      <c r="I322" s="6">
        <v>4879</v>
      </c>
      <c r="J322" s="6">
        <v>7267</v>
      </c>
      <c r="K322" s="6">
        <v>8258</v>
      </c>
      <c r="L322" s="6">
        <v>4775</v>
      </c>
      <c r="M322" s="6">
        <v>11183</v>
      </c>
      <c r="N322" s="6">
        <v>5004</v>
      </c>
      <c r="O322" s="6">
        <v>7625</v>
      </c>
      <c r="P322" s="6">
        <v>4637</v>
      </c>
      <c r="Q322" s="6">
        <v>4899</v>
      </c>
      <c r="R322" s="6">
        <v>4657</v>
      </c>
      <c r="S322" s="6">
        <v>3999</v>
      </c>
      <c r="T322" s="6">
        <v>5718</v>
      </c>
      <c r="U322" s="6">
        <v>2909</v>
      </c>
      <c r="V322" s="6">
        <v>4763</v>
      </c>
      <c r="W322" s="6">
        <v>4794</v>
      </c>
      <c r="X322" s="6">
        <v>4111</v>
      </c>
      <c r="Y322" s="6">
        <v>6732</v>
      </c>
      <c r="Z322" s="6">
        <v>3923</v>
      </c>
      <c r="AA322" s="6">
        <v>8884</v>
      </c>
      <c r="AB322" s="6">
        <v>5614</v>
      </c>
      <c r="AC322" s="6">
        <v>15555</v>
      </c>
      <c r="AD322" s="6">
        <v>4279</v>
      </c>
      <c r="AE322" s="6">
        <v>6340</v>
      </c>
      <c r="AF322" s="6">
        <v>11159</v>
      </c>
      <c r="AG322" s="6">
        <v>7636</v>
      </c>
      <c r="AH322" s="6">
        <v>5157</v>
      </c>
      <c r="AI322" s="6">
        <v>6322</v>
      </c>
      <c r="AJ322" s="6">
        <v>4158</v>
      </c>
      <c r="AK322" s="6">
        <v>3952</v>
      </c>
      <c r="AL322" s="6">
        <v>1982</v>
      </c>
      <c r="AM322" s="6">
        <v>3477</v>
      </c>
      <c r="AN322" s="6">
        <v>6601</v>
      </c>
      <c r="AO322" s="6">
        <v>6363</v>
      </c>
      <c r="AP322" s="6">
        <v>4529</v>
      </c>
      <c r="AQ322" s="6">
        <v>11218</v>
      </c>
      <c r="AR322" s="6">
        <v>6181</v>
      </c>
    </row>
    <row r="323" spans="1:44">
      <c r="A323" s="4" t="s">
        <v>783</v>
      </c>
      <c r="B323" s="1" t="s">
        <v>784</v>
      </c>
      <c r="C323" s="1" t="s">
        <v>503</v>
      </c>
      <c r="D323" s="1" t="str">
        <f>HYPERLINK("http://eros.fiehnlab.ucdavis.edu:8080/binbase-compound/bin/show/294511?db=rtx5","294511")</f>
        <v>294511</v>
      </c>
      <c r="E323" s="1" t="s">
        <v>785</v>
      </c>
      <c r="F323" s="1" t="s">
        <v>0</v>
      </c>
      <c r="G323" s="1" t="s">
        <v>0</v>
      </c>
      <c r="H323" s="1"/>
      <c r="I323" s="6">
        <v>219</v>
      </c>
      <c r="J323" s="6">
        <v>116</v>
      </c>
      <c r="K323" s="6">
        <v>131</v>
      </c>
      <c r="L323" s="6">
        <v>93</v>
      </c>
      <c r="M323" s="6">
        <v>131</v>
      </c>
      <c r="N323" s="6">
        <v>228</v>
      </c>
      <c r="O323" s="6">
        <v>283</v>
      </c>
      <c r="P323" s="6">
        <v>236</v>
      </c>
      <c r="Q323" s="6">
        <v>334</v>
      </c>
      <c r="R323" s="6">
        <v>228</v>
      </c>
      <c r="S323" s="6">
        <v>156</v>
      </c>
      <c r="T323" s="6">
        <v>184</v>
      </c>
      <c r="U323" s="6">
        <v>266</v>
      </c>
      <c r="V323" s="6">
        <v>169</v>
      </c>
      <c r="W323" s="6">
        <v>154</v>
      </c>
      <c r="X323" s="6">
        <v>148</v>
      </c>
      <c r="Y323" s="6">
        <v>142</v>
      </c>
      <c r="Z323" s="6">
        <v>187</v>
      </c>
      <c r="AA323" s="6">
        <v>274</v>
      </c>
      <c r="AB323" s="6">
        <v>164</v>
      </c>
      <c r="AC323" s="6">
        <v>198</v>
      </c>
      <c r="AD323" s="6">
        <v>141</v>
      </c>
      <c r="AE323" s="6">
        <v>175</v>
      </c>
      <c r="AF323" s="6">
        <v>202</v>
      </c>
      <c r="AG323" s="6">
        <v>119</v>
      </c>
      <c r="AH323" s="6">
        <v>320</v>
      </c>
      <c r="AI323" s="6">
        <v>158</v>
      </c>
      <c r="AJ323" s="6">
        <v>102</v>
      </c>
      <c r="AK323" s="6">
        <v>252</v>
      </c>
      <c r="AL323" s="6">
        <v>113</v>
      </c>
      <c r="AM323" s="6">
        <v>240</v>
      </c>
      <c r="AN323" s="6">
        <v>149</v>
      </c>
      <c r="AO323" s="6">
        <v>273</v>
      </c>
      <c r="AP323" s="6">
        <v>238</v>
      </c>
      <c r="AQ323" s="6">
        <v>84</v>
      </c>
      <c r="AR323" s="6">
        <v>208</v>
      </c>
    </row>
    <row r="324" spans="1:44">
      <c r="A324" s="4" t="s">
        <v>714</v>
      </c>
      <c r="B324" s="1" t="s">
        <v>715</v>
      </c>
      <c r="C324" s="1" t="s">
        <v>150</v>
      </c>
      <c r="D324" s="1" t="str">
        <f>HYPERLINK("http://eros.fiehnlab.ucdavis.edu:8080/binbase-compound/bin/show/357010?db=rtx5","357010")</f>
        <v>357010</v>
      </c>
      <c r="E324" s="1" t="s">
        <v>716</v>
      </c>
      <c r="F324" s="1" t="s">
        <v>0</v>
      </c>
      <c r="G324" s="1" t="s">
        <v>0</v>
      </c>
      <c r="H324" s="1"/>
      <c r="I324" s="6">
        <v>1180</v>
      </c>
      <c r="J324" s="6">
        <v>826</v>
      </c>
      <c r="K324" s="6">
        <v>524</v>
      </c>
      <c r="L324" s="6">
        <v>1007</v>
      </c>
      <c r="M324" s="6">
        <v>851</v>
      </c>
      <c r="N324" s="6">
        <v>958</v>
      </c>
      <c r="O324" s="6">
        <v>597</v>
      </c>
      <c r="P324" s="6">
        <v>648</v>
      </c>
      <c r="Q324" s="6">
        <v>1075</v>
      </c>
      <c r="R324" s="6">
        <v>684</v>
      </c>
      <c r="S324" s="6">
        <v>791</v>
      </c>
      <c r="T324" s="6">
        <v>630</v>
      </c>
      <c r="U324" s="6">
        <v>1205</v>
      </c>
      <c r="V324" s="6">
        <v>588</v>
      </c>
      <c r="W324" s="6">
        <v>1016</v>
      </c>
      <c r="X324" s="6">
        <v>775</v>
      </c>
      <c r="Y324" s="6">
        <v>1037</v>
      </c>
      <c r="Z324" s="6">
        <v>694</v>
      </c>
      <c r="AA324" s="6">
        <v>545</v>
      </c>
      <c r="AB324" s="6">
        <v>1196</v>
      </c>
      <c r="AC324" s="6">
        <v>905</v>
      </c>
      <c r="AD324" s="6">
        <v>1019</v>
      </c>
      <c r="AE324" s="6">
        <v>1098</v>
      </c>
      <c r="AF324" s="6">
        <v>856</v>
      </c>
      <c r="AG324" s="6">
        <v>1067</v>
      </c>
      <c r="AH324" s="6">
        <v>1240</v>
      </c>
      <c r="AI324" s="6">
        <v>1003</v>
      </c>
      <c r="AJ324" s="6">
        <v>997</v>
      </c>
      <c r="AK324" s="6">
        <v>813</v>
      </c>
      <c r="AL324" s="6">
        <v>913</v>
      </c>
      <c r="AM324" s="6">
        <v>651</v>
      </c>
      <c r="AN324" s="6">
        <v>983</v>
      </c>
      <c r="AO324" s="6">
        <v>1112</v>
      </c>
      <c r="AP324" s="6">
        <v>1170</v>
      </c>
      <c r="AQ324" s="6">
        <v>944</v>
      </c>
      <c r="AR324" s="6">
        <v>1171</v>
      </c>
    </row>
    <row r="325" spans="1:44">
      <c r="A325" s="4" t="s">
        <v>548</v>
      </c>
      <c r="B325" s="1" t="s">
        <v>549</v>
      </c>
      <c r="C325" s="1" t="s">
        <v>418</v>
      </c>
      <c r="D325" s="1" t="str">
        <f>HYPERLINK("http://eros.fiehnlab.ucdavis.edu:8080/binbase-compound/bin/show/409349?db=rtx5","409349")</f>
        <v>409349</v>
      </c>
      <c r="E325" s="1" t="s">
        <v>550</v>
      </c>
      <c r="F325" s="1" t="s">
        <v>0</v>
      </c>
      <c r="G325" s="1" t="s">
        <v>0</v>
      </c>
      <c r="H325" s="1"/>
      <c r="I325" s="6">
        <v>1032</v>
      </c>
      <c r="J325" s="6">
        <v>388</v>
      </c>
      <c r="K325" s="6">
        <v>487</v>
      </c>
      <c r="L325" s="6">
        <v>719</v>
      </c>
      <c r="M325" s="6">
        <v>543</v>
      </c>
      <c r="N325" s="6">
        <v>1066</v>
      </c>
      <c r="O325" s="6">
        <v>712</v>
      </c>
      <c r="P325" s="6">
        <v>599</v>
      </c>
      <c r="Q325" s="6">
        <v>679</v>
      </c>
      <c r="R325" s="6">
        <v>679</v>
      </c>
      <c r="S325" s="6">
        <v>402</v>
      </c>
      <c r="T325" s="6">
        <v>474</v>
      </c>
      <c r="U325" s="6">
        <v>792</v>
      </c>
      <c r="V325" s="6">
        <v>462</v>
      </c>
      <c r="W325" s="6">
        <v>336</v>
      </c>
      <c r="X325" s="6">
        <v>906</v>
      </c>
      <c r="Y325" s="6">
        <v>535</v>
      </c>
      <c r="Z325" s="6">
        <v>964</v>
      </c>
      <c r="AA325" s="6">
        <v>468</v>
      </c>
      <c r="AB325" s="6">
        <v>610</v>
      </c>
      <c r="AC325" s="6">
        <v>576</v>
      </c>
      <c r="AD325" s="6">
        <v>922</v>
      </c>
      <c r="AE325" s="6">
        <v>868</v>
      </c>
      <c r="AF325" s="6">
        <v>737</v>
      </c>
      <c r="AG325" s="6">
        <v>579</v>
      </c>
      <c r="AH325" s="6">
        <v>1026</v>
      </c>
      <c r="AI325" s="6">
        <v>816</v>
      </c>
      <c r="AJ325" s="6">
        <v>642</v>
      </c>
      <c r="AK325" s="6">
        <v>442</v>
      </c>
      <c r="AL325" s="6">
        <v>637</v>
      </c>
      <c r="AM325" s="6">
        <v>374</v>
      </c>
      <c r="AN325" s="6">
        <v>837</v>
      </c>
      <c r="AO325" s="6">
        <v>583</v>
      </c>
      <c r="AP325" s="6">
        <v>991</v>
      </c>
      <c r="AQ325" s="6">
        <v>578</v>
      </c>
      <c r="AR325" s="6">
        <v>970</v>
      </c>
    </row>
    <row r="326" spans="1:44">
      <c r="A326" s="4" t="s">
        <v>605</v>
      </c>
      <c r="B326" s="1" t="s">
        <v>606</v>
      </c>
      <c r="C326" s="1" t="s">
        <v>518</v>
      </c>
      <c r="D326" s="1" t="str">
        <f>HYPERLINK("http://eros.fiehnlab.ucdavis.edu:8080/binbase-compound/bin/show/408790?db=rtx5","408790")</f>
        <v>408790</v>
      </c>
      <c r="E326" s="1" t="s">
        <v>607</v>
      </c>
      <c r="F326" s="1" t="s">
        <v>0</v>
      </c>
      <c r="G326" s="1" t="s">
        <v>0</v>
      </c>
      <c r="H326" s="1"/>
      <c r="I326" s="6">
        <v>6408</v>
      </c>
      <c r="J326" s="6">
        <v>272</v>
      </c>
      <c r="K326" s="6">
        <v>331</v>
      </c>
      <c r="L326" s="6">
        <v>8744</v>
      </c>
      <c r="M326" s="6">
        <v>3468</v>
      </c>
      <c r="N326" s="6">
        <v>8099</v>
      </c>
      <c r="O326" s="6">
        <v>2152</v>
      </c>
      <c r="P326" s="6">
        <v>582</v>
      </c>
      <c r="Q326" s="6">
        <v>4961</v>
      </c>
      <c r="R326" s="6">
        <v>3386</v>
      </c>
      <c r="S326" s="6">
        <v>557</v>
      </c>
      <c r="T326" s="6">
        <v>308</v>
      </c>
      <c r="U326" s="6">
        <v>11545</v>
      </c>
      <c r="V326" s="6">
        <v>799</v>
      </c>
      <c r="W326" s="6">
        <v>2548</v>
      </c>
      <c r="X326" s="6">
        <v>5226</v>
      </c>
      <c r="Y326" s="6">
        <v>6067</v>
      </c>
      <c r="Z326" s="6">
        <v>4519</v>
      </c>
      <c r="AA326" s="6">
        <v>548</v>
      </c>
      <c r="AB326" s="6">
        <v>10795</v>
      </c>
      <c r="AC326" s="6">
        <v>553</v>
      </c>
      <c r="AD326" s="6">
        <v>4439</v>
      </c>
      <c r="AE326" s="6">
        <v>6468</v>
      </c>
      <c r="AF326" s="6">
        <v>1310</v>
      </c>
      <c r="AG326" s="6">
        <v>1105</v>
      </c>
      <c r="AH326" s="6">
        <v>10979</v>
      </c>
      <c r="AI326" s="6">
        <v>2239</v>
      </c>
      <c r="AJ326" s="6">
        <v>665</v>
      </c>
      <c r="AK326" s="6">
        <v>3394</v>
      </c>
      <c r="AL326" s="6">
        <v>554</v>
      </c>
      <c r="AM326" s="6">
        <v>3954</v>
      </c>
      <c r="AN326" s="6">
        <v>971</v>
      </c>
      <c r="AO326" s="6">
        <v>5980</v>
      </c>
      <c r="AP326" s="6">
        <v>7309</v>
      </c>
      <c r="AQ326" s="6">
        <v>2292</v>
      </c>
      <c r="AR326" s="6">
        <v>5566</v>
      </c>
    </row>
    <row r="327" spans="1:44">
      <c r="A327" s="4" t="s">
        <v>852</v>
      </c>
      <c r="B327" s="1" t="s">
        <v>853</v>
      </c>
      <c r="C327" s="1" t="s">
        <v>114</v>
      </c>
      <c r="D327" s="1" t="str">
        <f>HYPERLINK("http://eros.fiehnlab.ucdavis.edu:8080/binbase-compound/bin/show/241668?db=rtx5","241668")</f>
        <v>241668</v>
      </c>
      <c r="E327" s="1" t="s">
        <v>854</v>
      </c>
      <c r="F327" s="1" t="s">
        <v>0</v>
      </c>
      <c r="G327" s="1" t="s">
        <v>0</v>
      </c>
      <c r="H327" s="1"/>
      <c r="I327" s="6">
        <v>11520</v>
      </c>
      <c r="J327" s="6">
        <v>863</v>
      </c>
      <c r="K327" s="6">
        <v>541</v>
      </c>
      <c r="L327" s="6">
        <v>14270</v>
      </c>
      <c r="M327" s="6">
        <v>6204</v>
      </c>
      <c r="N327" s="6">
        <v>14859</v>
      </c>
      <c r="O327" s="6">
        <v>3931</v>
      </c>
      <c r="P327" s="6">
        <v>968</v>
      </c>
      <c r="Q327" s="6">
        <v>9426</v>
      </c>
      <c r="R327" s="6">
        <v>6274</v>
      </c>
      <c r="S327" s="6">
        <v>1111</v>
      </c>
      <c r="T327" s="6">
        <v>597</v>
      </c>
      <c r="U327" s="6">
        <v>21987</v>
      </c>
      <c r="V327" s="6">
        <v>1595</v>
      </c>
      <c r="W327" s="6">
        <v>5519</v>
      </c>
      <c r="X327" s="6">
        <v>8940</v>
      </c>
      <c r="Y327" s="6">
        <v>11619</v>
      </c>
      <c r="Z327" s="6">
        <v>8013</v>
      </c>
      <c r="AA327" s="6">
        <v>1108</v>
      </c>
      <c r="AB327" s="6">
        <v>20083</v>
      </c>
      <c r="AC327" s="6">
        <v>1065</v>
      </c>
      <c r="AD327" s="6">
        <v>8243</v>
      </c>
      <c r="AE327" s="6">
        <v>11627</v>
      </c>
      <c r="AF327" s="6">
        <v>2293</v>
      </c>
      <c r="AG327" s="6">
        <v>1644</v>
      </c>
      <c r="AH327" s="6">
        <v>20775</v>
      </c>
      <c r="AI327" s="6">
        <v>3910</v>
      </c>
      <c r="AJ327" s="6">
        <v>1543</v>
      </c>
      <c r="AK327" s="6">
        <v>5533</v>
      </c>
      <c r="AL327" s="6">
        <v>830</v>
      </c>
      <c r="AM327" s="6">
        <v>7047</v>
      </c>
      <c r="AN327" s="6">
        <v>1818</v>
      </c>
      <c r="AO327" s="6">
        <v>10518</v>
      </c>
      <c r="AP327" s="6">
        <v>12620</v>
      </c>
      <c r="AQ327" s="6">
        <v>4211</v>
      </c>
      <c r="AR327" s="6">
        <v>10172</v>
      </c>
    </row>
    <row r="328" spans="1:44">
      <c r="A328" s="4" t="s">
        <v>1100</v>
      </c>
      <c r="B328" s="1" t="s">
        <v>1101</v>
      </c>
      <c r="C328" s="1" t="s">
        <v>150</v>
      </c>
      <c r="D328" s="1" t="str">
        <f>HYPERLINK("http://eros.fiehnlab.ucdavis.edu:8080/binbase-compound/bin/show/213253?db=rtx5","213253")</f>
        <v>213253</v>
      </c>
      <c r="E328" s="1" t="s">
        <v>1102</v>
      </c>
      <c r="F328" s="1" t="s">
        <v>0</v>
      </c>
      <c r="G328" s="1" t="s">
        <v>0</v>
      </c>
      <c r="H328" s="1"/>
      <c r="I328" s="6">
        <v>625214</v>
      </c>
      <c r="J328" s="6">
        <v>106801</v>
      </c>
      <c r="K328" s="6">
        <v>68664</v>
      </c>
      <c r="L328" s="6">
        <v>640281</v>
      </c>
      <c r="M328" s="6">
        <v>273926</v>
      </c>
      <c r="N328" s="6">
        <v>589254</v>
      </c>
      <c r="O328" s="6">
        <v>366603</v>
      </c>
      <c r="P328" s="6">
        <v>52672</v>
      </c>
      <c r="Q328" s="6">
        <v>410213</v>
      </c>
      <c r="R328" s="6">
        <v>337248</v>
      </c>
      <c r="S328" s="6">
        <v>76673</v>
      </c>
      <c r="T328" s="6">
        <v>37610</v>
      </c>
      <c r="U328" s="6">
        <v>728305</v>
      </c>
      <c r="V328" s="6">
        <v>51744</v>
      </c>
      <c r="W328" s="6">
        <v>161981</v>
      </c>
      <c r="X328" s="6">
        <v>370698</v>
      </c>
      <c r="Y328" s="6">
        <v>416480</v>
      </c>
      <c r="Z328" s="6">
        <v>358306</v>
      </c>
      <c r="AA328" s="6">
        <v>53560</v>
      </c>
      <c r="AB328" s="6">
        <v>1396137</v>
      </c>
      <c r="AC328" s="6">
        <v>92923</v>
      </c>
      <c r="AD328" s="6">
        <v>399383</v>
      </c>
      <c r="AE328" s="6">
        <v>393820</v>
      </c>
      <c r="AF328" s="6">
        <v>146609</v>
      </c>
      <c r="AG328" s="6">
        <v>87015</v>
      </c>
      <c r="AH328" s="6">
        <v>829982</v>
      </c>
      <c r="AI328" s="6">
        <v>250299</v>
      </c>
      <c r="AJ328" s="6">
        <v>53797</v>
      </c>
      <c r="AK328" s="6">
        <v>205021</v>
      </c>
      <c r="AL328" s="6">
        <v>43158</v>
      </c>
      <c r="AM328" s="6">
        <v>266815</v>
      </c>
      <c r="AN328" s="6">
        <v>106972</v>
      </c>
      <c r="AO328" s="6">
        <v>449765</v>
      </c>
      <c r="AP328" s="6">
        <v>612573</v>
      </c>
      <c r="AQ328" s="6">
        <v>151726</v>
      </c>
      <c r="AR328" s="6">
        <v>402120</v>
      </c>
    </row>
    <row r="329" spans="1:44">
      <c r="A329" s="4" t="s">
        <v>763</v>
      </c>
      <c r="B329" s="1" t="s">
        <v>764</v>
      </c>
      <c r="C329" s="1" t="s">
        <v>115</v>
      </c>
      <c r="D329" s="1" t="str">
        <f>HYPERLINK("http://eros.fiehnlab.ucdavis.edu:8080/binbase-compound/bin/show/302344?db=rtx5","302344")</f>
        <v>302344</v>
      </c>
      <c r="E329" s="1" t="s">
        <v>765</v>
      </c>
      <c r="F329" s="1" t="s">
        <v>0</v>
      </c>
      <c r="G329" s="1" t="s">
        <v>0</v>
      </c>
      <c r="H329" s="1"/>
      <c r="I329" s="6">
        <v>7317</v>
      </c>
      <c r="J329" s="6">
        <v>2433</v>
      </c>
      <c r="K329" s="6">
        <v>1711</v>
      </c>
      <c r="L329" s="6">
        <v>6979</v>
      </c>
      <c r="M329" s="6">
        <v>2461</v>
      </c>
      <c r="N329" s="6">
        <v>3636</v>
      </c>
      <c r="O329" s="6">
        <v>7996</v>
      </c>
      <c r="P329" s="6">
        <v>1312</v>
      </c>
      <c r="Q329" s="6">
        <v>6830</v>
      </c>
      <c r="R329" s="6">
        <v>7652</v>
      </c>
      <c r="S329" s="6">
        <v>4870</v>
      </c>
      <c r="T329" s="6">
        <v>2456</v>
      </c>
      <c r="U329" s="6">
        <v>13834</v>
      </c>
      <c r="V329" s="6">
        <v>4628</v>
      </c>
      <c r="W329" s="6">
        <v>9207</v>
      </c>
      <c r="X329" s="6">
        <v>17984</v>
      </c>
      <c r="Y329" s="6">
        <v>5563</v>
      </c>
      <c r="Z329" s="6">
        <v>8014</v>
      </c>
      <c r="AA329" s="6">
        <v>7453</v>
      </c>
      <c r="AB329" s="6">
        <v>15088</v>
      </c>
      <c r="AC329" s="6">
        <v>5496</v>
      </c>
      <c r="AD329" s="6">
        <v>9447</v>
      </c>
      <c r="AE329" s="6">
        <v>9560</v>
      </c>
      <c r="AF329" s="6">
        <v>4987</v>
      </c>
      <c r="AG329" s="6">
        <v>6859</v>
      </c>
      <c r="AH329" s="6">
        <v>10545</v>
      </c>
      <c r="AI329" s="6">
        <v>6084</v>
      </c>
      <c r="AJ329" s="6">
        <v>5104</v>
      </c>
      <c r="AK329" s="6">
        <v>6557</v>
      </c>
      <c r="AL329" s="6">
        <v>2138</v>
      </c>
      <c r="AM329" s="6">
        <v>5082</v>
      </c>
      <c r="AN329" s="6">
        <v>4554</v>
      </c>
      <c r="AO329" s="6">
        <v>4355</v>
      </c>
      <c r="AP329" s="6">
        <v>9209</v>
      </c>
      <c r="AQ329" s="6">
        <v>5424</v>
      </c>
      <c r="AR329" s="6">
        <v>5854</v>
      </c>
    </row>
    <row r="330" spans="1:44">
      <c r="A330" s="4" t="s">
        <v>848</v>
      </c>
      <c r="B330" s="1" t="s">
        <v>849</v>
      </c>
      <c r="C330" s="1" t="s">
        <v>850</v>
      </c>
      <c r="D330" s="1" t="str">
        <f>HYPERLINK("http://eros.fiehnlab.ucdavis.edu:8080/binbase-compound/bin/show/242417?db=rtx5","242417")</f>
        <v>242417</v>
      </c>
      <c r="E330" s="1" t="s">
        <v>851</v>
      </c>
      <c r="F330" s="1" t="s">
        <v>0</v>
      </c>
      <c r="G330" s="1" t="s">
        <v>0</v>
      </c>
      <c r="H330" s="1"/>
      <c r="I330" s="6">
        <v>1451</v>
      </c>
      <c r="J330" s="6">
        <v>678</v>
      </c>
      <c r="K330" s="6">
        <v>555</v>
      </c>
      <c r="L330" s="6">
        <v>1349</v>
      </c>
      <c r="M330" s="6">
        <v>791</v>
      </c>
      <c r="N330" s="6">
        <v>873</v>
      </c>
      <c r="O330" s="6">
        <v>938</v>
      </c>
      <c r="P330" s="6">
        <v>329</v>
      </c>
      <c r="Q330" s="6">
        <v>1133</v>
      </c>
      <c r="R330" s="6">
        <v>1032</v>
      </c>
      <c r="S330" s="6">
        <v>489</v>
      </c>
      <c r="T330" s="6">
        <v>435</v>
      </c>
      <c r="U330" s="6">
        <v>1124</v>
      </c>
      <c r="V330" s="6">
        <v>613</v>
      </c>
      <c r="W330" s="6">
        <v>1009</v>
      </c>
      <c r="X330" s="6">
        <v>637</v>
      </c>
      <c r="Y330" s="6">
        <v>851</v>
      </c>
      <c r="Z330" s="6">
        <v>1071</v>
      </c>
      <c r="AA330" s="6">
        <v>763</v>
      </c>
      <c r="AB330" s="6">
        <v>1806</v>
      </c>
      <c r="AC330" s="6">
        <v>550</v>
      </c>
      <c r="AD330" s="6">
        <v>1411</v>
      </c>
      <c r="AE330" s="6">
        <v>404</v>
      </c>
      <c r="AF330" s="6">
        <v>905</v>
      </c>
      <c r="AG330" s="6">
        <v>463</v>
      </c>
      <c r="AH330" s="6">
        <v>1300</v>
      </c>
      <c r="AI330" s="6">
        <v>908</v>
      </c>
      <c r="AJ330" s="6">
        <v>616</v>
      </c>
      <c r="AK330" s="6">
        <v>646</v>
      </c>
      <c r="AL330" s="6">
        <v>462</v>
      </c>
      <c r="AM330" s="6">
        <v>938</v>
      </c>
      <c r="AN330" s="6">
        <v>738</v>
      </c>
      <c r="AO330" s="6">
        <v>1068</v>
      </c>
      <c r="AP330" s="6">
        <v>1747</v>
      </c>
      <c r="AQ330" s="6">
        <v>551</v>
      </c>
      <c r="AR330" s="6">
        <v>1111</v>
      </c>
    </row>
    <row r="331" spans="1:44">
      <c r="A331" s="4" t="s">
        <v>1056</v>
      </c>
      <c r="B331" s="1" t="s">
        <v>1057</v>
      </c>
      <c r="C331" s="1" t="s">
        <v>656</v>
      </c>
      <c r="D331" s="1" t="str">
        <f>HYPERLINK("http://eros.fiehnlab.ucdavis.edu:8080/binbase-compound/bin/show/218787?db=rtx5","218787")</f>
        <v>218787</v>
      </c>
      <c r="E331" s="1" t="s">
        <v>1058</v>
      </c>
      <c r="F331" s="1" t="s">
        <v>0</v>
      </c>
      <c r="G331" s="1" t="s">
        <v>0</v>
      </c>
      <c r="H331" s="1"/>
      <c r="I331" s="6">
        <v>608</v>
      </c>
      <c r="J331" s="6">
        <v>507</v>
      </c>
      <c r="K331" s="6">
        <v>1272</v>
      </c>
      <c r="L331" s="6">
        <v>1250</v>
      </c>
      <c r="M331" s="6">
        <v>322</v>
      </c>
      <c r="N331" s="6">
        <v>256</v>
      </c>
      <c r="O331" s="6">
        <v>539</v>
      </c>
      <c r="P331" s="6">
        <v>741</v>
      </c>
      <c r="Q331" s="6">
        <v>324</v>
      </c>
      <c r="R331" s="6">
        <v>568</v>
      </c>
      <c r="S331" s="6">
        <v>357</v>
      </c>
      <c r="T331" s="6">
        <v>792</v>
      </c>
      <c r="U331" s="6">
        <v>975</v>
      </c>
      <c r="V331" s="6">
        <v>516</v>
      </c>
      <c r="W331" s="6">
        <v>933</v>
      </c>
      <c r="X331" s="6">
        <v>442</v>
      </c>
      <c r="Y331" s="6">
        <v>379</v>
      </c>
      <c r="Z331" s="6">
        <v>920</v>
      </c>
      <c r="AA331" s="6">
        <v>715</v>
      </c>
      <c r="AB331" s="6">
        <v>535</v>
      </c>
      <c r="AC331" s="6">
        <v>1141</v>
      </c>
      <c r="AD331" s="6">
        <v>457</v>
      </c>
      <c r="AE331" s="6">
        <v>1001</v>
      </c>
      <c r="AF331" s="6">
        <v>552</v>
      </c>
      <c r="AG331" s="6">
        <v>1143</v>
      </c>
      <c r="AH331" s="6">
        <v>1270</v>
      </c>
      <c r="AI331" s="6">
        <v>438</v>
      </c>
      <c r="AJ331" s="6">
        <v>795</v>
      </c>
      <c r="AK331" s="6">
        <v>721</v>
      </c>
      <c r="AL331" s="6">
        <v>256</v>
      </c>
      <c r="AM331" s="6">
        <v>1050</v>
      </c>
      <c r="AN331" s="6">
        <v>847</v>
      </c>
      <c r="AO331" s="6">
        <v>1075</v>
      </c>
      <c r="AP331" s="6">
        <v>1200</v>
      </c>
      <c r="AQ331" s="6">
        <v>318</v>
      </c>
      <c r="AR331" s="6">
        <v>1230</v>
      </c>
    </row>
    <row r="332" spans="1:44">
      <c r="A332" s="4" t="s">
        <v>973</v>
      </c>
      <c r="B332" s="1" t="s">
        <v>974</v>
      </c>
      <c r="C332" s="1" t="s">
        <v>511</v>
      </c>
      <c r="D332" s="1" t="str">
        <f>HYPERLINK("http://eros.fiehnlab.ucdavis.edu:8080/binbase-compound/bin/show/233108?db=rtx5","233108")</f>
        <v>233108</v>
      </c>
      <c r="E332" s="1" t="s">
        <v>975</v>
      </c>
      <c r="F332" s="1" t="s">
        <v>0</v>
      </c>
      <c r="G332" s="1" t="s">
        <v>0</v>
      </c>
      <c r="H332" s="1"/>
      <c r="I332" s="6">
        <v>1099</v>
      </c>
      <c r="J332" s="6">
        <v>291</v>
      </c>
      <c r="K332" s="6">
        <v>294</v>
      </c>
      <c r="L332" s="6">
        <v>203</v>
      </c>
      <c r="M332" s="6">
        <v>651</v>
      </c>
      <c r="N332" s="6">
        <v>558</v>
      </c>
      <c r="O332" s="6">
        <v>476</v>
      </c>
      <c r="P332" s="6">
        <v>124</v>
      </c>
      <c r="Q332" s="6">
        <v>875</v>
      </c>
      <c r="R332" s="6">
        <v>644</v>
      </c>
      <c r="S332" s="6">
        <v>322</v>
      </c>
      <c r="T332" s="6">
        <v>72</v>
      </c>
      <c r="U332" s="6">
        <v>309</v>
      </c>
      <c r="V332" s="6">
        <v>308</v>
      </c>
      <c r="W332" s="6">
        <v>112</v>
      </c>
      <c r="X332" s="6">
        <v>976</v>
      </c>
      <c r="Y332" s="6">
        <v>258</v>
      </c>
      <c r="Z332" s="6">
        <v>842</v>
      </c>
      <c r="AA332" s="6">
        <v>326</v>
      </c>
      <c r="AB332" s="6">
        <v>526</v>
      </c>
      <c r="AC332" s="6">
        <v>360</v>
      </c>
      <c r="AD332" s="6">
        <v>988</v>
      </c>
      <c r="AE332" s="6">
        <v>1172</v>
      </c>
      <c r="AF332" s="6">
        <v>400</v>
      </c>
      <c r="AG332" s="6">
        <v>377</v>
      </c>
      <c r="AH332" s="6">
        <v>295</v>
      </c>
      <c r="AI332" s="6">
        <v>127</v>
      </c>
      <c r="AJ332" s="6">
        <v>316</v>
      </c>
      <c r="AK332" s="6">
        <v>101</v>
      </c>
      <c r="AL332" s="6">
        <v>140</v>
      </c>
      <c r="AM332" s="6">
        <v>298</v>
      </c>
      <c r="AN332" s="6">
        <v>350</v>
      </c>
      <c r="AO332" s="6">
        <v>333</v>
      </c>
      <c r="AP332" s="6">
        <v>317</v>
      </c>
      <c r="AQ332" s="6">
        <v>97</v>
      </c>
      <c r="AR332" s="6">
        <v>390</v>
      </c>
    </row>
    <row r="333" spans="1:44">
      <c r="A333" s="4" t="s">
        <v>949</v>
      </c>
      <c r="B333" s="1" t="s">
        <v>950</v>
      </c>
      <c r="C333" s="1" t="s">
        <v>259</v>
      </c>
      <c r="D333" s="1" t="str">
        <f>HYPERLINK("http://eros.fiehnlab.ucdavis.edu:8080/binbase-compound/bin/show/236810?db=rtx5","236810")</f>
        <v>236810</v>
      </c>
      <c r="E333" s="1" t="s">
        <v>951</v>
      </c>
      <c r="F333" s="1" t="s">
        <v>0</v>
      </c>
      <c r="G333" s="1" t="s">
        <v>0</v>
      </c>
      <c r="H333" s="1"/>
      <c r="I333" s="6">
        <v>833</v>
      </c>
      <c r="J333" s="6">
        <v>209</v>
      </c>
      <c r="K333" s="6">
        <v>271</v>
      </c>
      <c r="L333" s="6">
        <v>1841</v>
      </c>
      <c r="M333" s="6">
        <v>342</v>
      </c>
      <c r="N333" s="6">
        <v>705</v>
      </c>
      <c r="O333" s="6">
        <v>555</v>
      </c>
      <c r="P333" s="6">
        <v>301</v>
      </c>
      <c r="Q333" s="6">
        <v>1457</v>
      </c>
      <c r="R333" s="6">
        <v>968</v>
      </c>
      <c r="S333" s="6">
        <v>390</v>
      </c>
      <c r="T333" s="6">
        <v>322</v>
      </c>
      <c r="U333" s="6">
        <v>2253</v>
      </c>
      <c r="V333" s="6">
        <v>696</v>
      </c>
      <c r="W333" s="6">
        <v>258</v>
      </c>
      <c r="X333" s="6">
        <v>1028</v>
      </c>
      <c r="Y333" s="6">
        <v>765</v>
      </c>
      <c r="Z333" s="6">
        <v>450</v>
      </c>
      <c r="AA333" s="6">
        <v>363</v>
      </c>
      <c r="AB333" s="6">
        <v>728</v>
      </c>
      <c r="AC333" s="6">
        <v>440</v>
      </c>
      <c r="AD333" s="6">
        <v>672</v>
      </c>
      <c r="AE333" s="6">
        <v>442</v>
      </c>
      <c r="AF333" s="6">
        <v>384</v>
      </c>
      <c r="AG333" s="6">
        <v>378</v>
      </c>
      <c r="AH333" s="6">
        <v>2542</v>
      </c>
      <c r="AI333" s="6">
        <v>608</v>
      </c>
      <c r="AJ333" s="6">
        <v>492</v>
      </c>
      <c r="AK333" s="6">
        <v>325</v>
      </c>
      <c r="AL333" s="6">
        <v>257</v>
      </c>
      <c r="AM333" s="6">
        <v>524</v>
      </c>
      <c r="AN333" s="6">
        <v>512</v>
      </c>
      <c r="AO333" s="6">
        <v>636</v>
      </c>
      <c r="AP333" s="6">
        <v>1167</v>
      </c>
      <c r="AQ333" s="6">
        <v>604</v>
      </c>
      <c r="AR333" s="6">
        <v>1110</v>
      </c>
    </row>
    <row r="334" spans="1:44">
      <c r="A334" s="4" t="s">
        <v>632</v>
      </c>
      <c r="B334" s="1" t="s">
        <v>633</v>
      </c>
      <c r="C334" s="1" t="s">
        <v>193</v>
      </c>
      <c r="D334" s="1" t="str">
        <f>HYPERLINK("http://eros.fiehnlab.ucdavis.edu:8080/binbase-compound/bin/show/408504?db=rtx5","408504")</f>
        <v>408504</v>
      </c>
      <c r="E334" s="1" t="s">
        <v>634</v>
      </c>
      <c r="F334" s="1" t="s">
        <v>0</v>
      </c>
      <c r="G334" s="1" t="s">
        <v>0</v>
      </c>
      <c r="H334" s="1"/>
      <c r="I334" s="6">
        <v>13036</v>
      </c>
      <c r="J334" s="6">
        <v>682</v>
      </c>
      <c r="K334" s="6">
        <v>270</v>
      </c>
      <c r="L334" s="6">
        <v>14787</v>
      </c>
      <c r="M334" s="6">
        <v>7492</v>
      </c>
      <c r="N334" s="6">
        <v>17780</v>
      </c>
      <c r="O334" s="6">
        <v>2667</v>
      </c>
      <c r="P334" s="6">
        <v>709</v>
      </c>
      <c r="Q334" s="6">
        <v>10838</v>
      </c>
      <c r="R334" s="6">
        <v>6050</v>
      </c>
      <c r="S334" s="6">
        <v>878</v>
      </c>
      <c r="T334" s="6">
        <v>464</v>
      </c>
      <c r="U334" s="6">
        <v>25328</v>
      </c>
      <c r="V334" s="6">
        <v>2310</v>
      </c>
      <c r="W334" s="6">
        <v>6854</v>
      </c>
      <c r="X334" s="6">
        <v>8699</v>
      </c>
      <c r="Y334" s="6">
        <v>12456</v>
      </c>
      <c r="Z334" s="6">
        <v>10482</v>
      </c>
      <c r="AA334" s="6">
        <v>845</v>
      </c>
      <c r="AB334" s="6">
        <v>18473</v>
      </c>
      <c r="AC334" s="6">
        <v>553</v>
      </c>
      <c r="AD334" s="6">
        <v>9217</v>
      </c>
      <c r="AE334" s="6">
        <v>11206</v>
      </c>
      <c r="AF334" s="6">
        <v>1796</v>
      </c>
      <c r="AG334" s="6">
        <v>1522</v>
      </c>
      <c r="AH334" s="6">
        <v>22793</v>
      </c>
      <c r="AI334" s="6">
        <v>4731</v>
      </c>
      <c r="AJ334" s="6">
        <v>1499</v>
      </c>
      <c r="AK334" s="6">
        <v>7314</v>
      </c>
      <c r="AL334" s="6">
        <v>595</v>
      </c>
      <c r="AM334" s="6">
        <v>7768</v>
      </c>
      <c r="AN334" s="6">
        <v>1679</v>
      </c>
      <c r="AO334" s="6">
        <v>11465</v>
      </c>
      <c r="AP334" s="6">
        <v>13870</v>
      </c>
      <c r="AQ334" s="6">
        <v>5746</v>
      </c>
      <c r="AR334" s="6">
        <v>12044</v>
      </c>
    </row>
    <row r="335" spans="1:44">
      <c r="A335" s="4" t="s">
        <v>959</v>
      </c>
      <c r="B335" s="1" t="s">
        <v>960</v>
      </c>
      <c r="C335" s="1" t="s">
        <v>795</v>
      </c>
      <c r="D335" s="1" t="str">
        <f>HYPERLINK("http://eros.fiehnlab.ucdavis.edu:8080/binbase-compound/bin/show/235327?db=rtx5","235327")</f>
        <v>235327</v>
      </c>
      <c r="E335" s="1" t="s">
        <v>961</v>
      </c>
      <c r="F335" s="1" t="s">
        <v>0</v>
      </c>
      <c r="G335" s="1" t="s">
        <v>0</v>
      </c>
      <c r="H335" s="1"/>
      <c r="I335" s="6">
        <v>698</v>
      </c>
      <c r="J335" s="6">
        <v>3060</v>
      </c>
      <c r="K335" s="6">
        <v>5802</v>
      </c>
      <c r="L335" s="6">
        <v>5732</v>
      </c>
      <c r="M335" s="6">
        <v>5500</v>
      </c>
      <c r="N335" s="6">
        <v>5684</v>
      </c>
      <c r="O335" s="6">
        <v>7270</v>
      </c>
      <c r="P335" s="6">
        <v>4968</v>
      </c>
      <c r="Q335" s="6">
        <v>5818</v>
      </c>
      <c r="R335" s="6">
        <v>5717</v>
      </c>
      <c r="S335" s="6">
        <v>5320</v>
      </c>
      <c r="T335" s="6">
        <v>4823</v>
      </c>
      <c r="U335" s="6">
        <v>5357</v>
      </c>
      <c r="V335" s="6">
        <v>3731</v>
      </c>
      <c r="W335" s="6">
        <v>3328</v>
      </c>
      <c r="X335" s="6">
        <v>6780</v>
      </c>
      <c r="Y335" s="6">
        <v>2261</v>
      </c>
      <c r="Z335" s="6">
        <v>7824</v>
      </c>
      <c r="AA335" s="6">
        <v>4474</v>
      </c>
      <c r="AB335" s="6">
        <v>2498</v>
      </c>
      <c r="AC335" s="6">
        <v>1440</v>
      </c>
      <c r="AD335" s="6">
        <v>6661</v>
      </c>
      <c r="AE335" s="6">
        <v>5802</v>
      </c>
      <c r="AF335" s="6">
        <v>1366</v>
      </c>
      <c r="AG335" s="6">
        <v>5404</v>
      </c>
      <c r="AH335" s="6">
        <v>6828</v>
      </c>
      <c r="AI335" s="6">
        <v>1804</v>
      </c>
      <c r="AJ335" s="6">
        <v>4218</v>
      </c>
      <c r="AK335" s="6">
        <v>5059</v>
      </c>
      <c r="AL335" s="6">
        <v>5166</v>
      </c>
      <c r="AM335" s="6">
        <v>5790</v>
      </c>
      <c r="AN335" s="6">
        <v>8042</v>
      </c>
      <c r="AO335" s="6">
        <v>5757</v>
      </c>
      <c r="AP335" s="6">
        <v>6274</v>
      </c>
      <c r="AQ335" s="6">
        <v>3891</v>
      </c>
      <c r="AR335" s="6">
        <v>965</v>
      </c>
    </row>
  </sheetData>
  <sortState columnSort="1" ref="I1:AR335">
    <sortCondition ref="I3:AR3"/>
    <sortCondition ref="I2:AR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335"/>
  <sheetViews>
    <sheetView tabSelected="1" zoomScale="75" zoomScaleNormal="75" workbookViewId="0">
      <pane xSplit="8" ySplit="4" topLeftCell="I5" activePane="bottomRight" state="frozen"/>
      <selection pane="topRight" activeCell="L1" sqref="L1"/>
      <selection pane="bottomLeft" activeCell="A7" sqref="A7"/>
      <selection pane="bottomRight"/>
    </sheetView>
  </sheetViews>
  <sheetFormatPr defaultRowHeight="12.75"/>
  <cols>
    <col min="1" max="1" width="24.42578125" style="2" customWidth="1"/>
    <col min="2" max="16384" width="9.140625" style="2"/>
  </cols>
  <sheetData>
    <row r="1" spans="1:81">
      <c r="A1" s="5"/>
      <c r="B1" s="5"/>
      <c r="C1" s="5"/>
      <c r="D1" s="5"/>
      <c r="E1" s="5"/>
      <c r="F1" s="5"/>
      <c r="G1" s="5"/>
      <c r="H1" s="8" t="s">
        <v>1192</v>
      </c>
      <c r="I1" s="3" t="s">
        <v>9</v>
      </c>
      <c r="J1" s="3" t="s">
        <v>11</v>
      </c>
      <c r="K1" s="3" t="s">
        <v>5</v>
      </c>
      <c r="L1" s="3" t="s">
        <v>1</v>
      </c>
      <c r="M1" s="3" t="s">
        <v>7</v>
      </c>
      <c r="N1" s="3" t="s">
        <v>3</v>
      </c>
      <c r="O1" s="3" t="s">
        <v>19</v>
      </c>
      <c r="P1" s="3" t="s">
        <v>13</v>
      </c>
      <c r="Q1" s="3" t="s">
        <v>17</v>
      </c>
      <c r="R1" s="3" t="s">
        <v>21</v>
      </c>
      <c r="S1" s="3" t="s">
        <v>23</v>
      </c>
      <c r="T1" s="3" t="s">
        <v>15</v>
      </c>
      <c r="U1" s="3" t="s">
        <v>31</v>
      </c>
      <c r="V1" s="3" t="s">
        <v>25</v>
      </c>
      <c r="W1" s="3" t="s">
        <v>27</v>
      </c>
      <c r="X1" s="3" t="s">
        <v>29</v>
      </c>
      <c r="Y1" s="3" t="s">
        <v>35</v>
      </c>
      <c r="Z1" s="3" t="s">
        <v>33</v>
      </c>
      <c r="AA1" s="3" t="s">
        <v>39</v>
      </c>
      <c r="AB1" s="3" t="s">
        <v>43</v>
      </c>
      <c r="AC1" s="3" t="s">
        <v>45</v>
      </c>
      <c r="AD1" s="3" t="s">
        <v>41</v>
      </c>
      <c r="AE1" s="3" t="s">
        <v>37</v>
      </c>
      <c r="AF1" s="3" t="s">
        <v>47</v>
      </c>
      <c r="AG1" s="3" t="s">
        <v>57</v>
      </c>
      <c r="AH1" s="3" t="s">
        <v>55</v>
      </c>
      <c r="AI1" s="3" t="s">
        <v>59</v>
      </c>
      <c r="AJ1" s="3" t="s">
        <v>51</v>
      </c>
      <c r="AK1" s="3" t="s">
        <v>49</v>
      </c>
      <c r="AL1" s="3" t="s">
        <v>53</v>
      </c>
      <c r="AM1" s="3" t="s">
        <v>63</v>
      </c>
      <c r="AN1" s="3" t="s">
        <v>65</v>
      </c>
      <c r="AO1" s="3" t="s">
        <v>71</v>
      </c>
      <c r="AP1" s="3" t="s">
        <v>69</v>
      </c>
      <c r="AQ1" s="3" t="s">
        <v>61</v>
      </c>
      <c r="AR1" s="3" t="s">
        <v>67</v>
      </c>
    </row>
    <row r="2" spans="1:81">
      <c r="A2" s="5"/>
      <c r="B2" s="5"/>
      <c r="C2" s="5"/>
      <c r="D2" s="5"/>
      <c r="E2" s="5"/>
      <c r="F2" s="5"/>
      <c r="G2" s="5"/>
      <c r="H2" s="8" t="s">
        <v>1191</v>
      </c>
      <c r="I2" s="3" t="s">
        <v>10</v>
      </c>
      <c r="J2" s="3" t="s">
        <v>12</v>
      </c>
      <c r="K2" s="3" t="s">
        <v>6</v>
      </c>
      <c r="L2" s="3" t="s">
        <v>2</v>
      </c>
      <c r="M2" s="3" t="s">
        <v>8</v>
      </c>
      <c r="N2" s="3" t="s">
        <v>4</v>
      </c>
      <c r="O2" s="3" t="s">
        <v>20</v>
      </c>
      <c r="P2" s="3" t="s">
        <v>14</v>
      </c>
      <c r="Q2" s="3" t="s">
        <v>18</v>
      </c>
      <c r="R2" s="3" t="s">
        <v>22</v>
      </c>
      <c r="S2" s="3" t="s">
        <v>24</v>
      </c>
      <c r="T2" s="3" t="s">
        <v>16</v>
      </c>
      <c r="U2" s="3" t="s">
        <v>32</v>
      </c>
      <c r="V2" s="3" t="s">
        <v>26</v>
      </c>
      <c r="W2" s="3" t="s">
        <v>28</v>
      </c>
      <c r="X2" s="3" t="s">
        <v>30</v>
      </c>
      <c r="Y2" s="3" t="s">
        <v>36</v>
      </c>
      <c r="Z2" s="3" t="s">
        <v>34</v>
      </c>
      <c r="AA2" s="3" t="s">
        <v>40</v>
      </c>
      <c r="AB2" s="3" t="s">
        <v>44</v>
      </c>
      <c r="AC2" s="3" t="s">
        <v>46</v>
      </c>
      <c r="AD2" s="3" t="s">
        <v>42</v>
      </c>
      <c r="AE2" s="3" t="s">
        <v>38</v>
      </c>
      <c r="AF2" s="3" t="s">
        <v>48</v>
      </c>
      <c r="AG2" s="3" t="s">
        <v>58</v>
      </c>
      <c r="AH2" s="3" t="s">
        <v>56</v>
      </c>
      <c r="AI2" s="3" t="s">
        <v>60</v>
      </c>
      <c r="AJ2" s="3" t="s">
        <v>52</v>
      </c>
      <c r="AK2" s="3" t="s">
        <v>50</v>
      </c>
      <c r="AL2" s="3" t="s">
        <v>54</v>
      </c>
      <c r="AM2" s="3" t="s">
        <v>64</v>
      </c>
      <c r="AN2" s="3" t="s">
        <v>66</v>
      </c>
      <c r="AO2" s="3" t="s">
        <v>72</v>
      </c>
      <c r="AP2" s="3" t="s">
        <v>70</v>
      </c>
      <c r="AQ2" s="3" t="s">
        <v>62</v>
      </c>
      <c r="AR2" s="3" t="s">
        <v>68</v>
      </c>
    </row>
    <row r="3" spans="1:81">
      <c r="A3" s="6"/>
      <c r="B3" s="7"/>
      <c r="C3" s="7"/>
      <c r="D3" s="7"/>
      <c r="E3" s="7"/>
      <c r="F3" s="7"/>
      <c r="G3" s="7"/>
      <c r="H3" s="6" t="s">
        <v>1190</v>
      </c>
      <c r="I3" s="4" t="s">
        <v>78</v>
      </c>
      <c r="J3" s="4" t="s">
        <v>78</v>
      </c>
      <c r="K3" s="4" t="s">
        <v>78</v>
      </c>
      <c r="L3" s="4" t="s">
        <v>78</v>
      </c>
      <c r="M3" s="4" t="s">
        <v>78</v>
      </c>
      <c r="N3" s="4" t="s">
        <v>78</v>
      </c>
      <c r="O3" s="4" t="s">
        <v>77</v>
      </c>
      <c r="P3" s="4" t="s">
        <v>77</v>
      </c>
      <c r="Q3" s="4" t="s">
        <v>77</v>
      </c>
      <c r="R3" s="4" t="s">
        <v>77</v>
      </c>
      <c r="S3" s="4" t="s">
        <v>77</v>
      </c>
      <c r="T3" s="4" t="s">
        <v>77</v>
      </c>
      <c r="U3" s="4" t="s">
        <v>76</v>
      </c>
      <c r="V3" s="4" t="s">
        <v>76</v>
      </c>
      <c r="W3" s="4" t="s">
        <v>76</v>
      </c>
      <c r="X3" s="4" t="s">
        <v>76</v>
      </c>
      <c r="Y3" s="4" t="s">
        <v>76</v>
      </c>
      <c r="Z3" s="4" t="s">
        <v>76</v>
      </c>
      <c r="AA3" s="4" t="s">
        <v>75</v>
      </c>
      <c r="AB3" s="4" t="s">
        <v>75</v>
      </c>
      <c r="AC3" s="4" t="s">
        <v>75</v>
      </c>
      <c r="AD3" s="4" t="s">
        <v>75</v>
      </c>
      <c r="AE3" s="4" t="s">
        <v>75</v>
      </c>
      <c r="AF3" s="4" t="s">
        <v>75</v>
      </c>
      <c r="AG3" s="4" t="s">
        <v>74</v>
      </c>
      <c r="AH3" s="4" t="s">
        <v>74</v>
      </c>
      <c r="AI3" s="4" t="s">
        <v>74</v>
      </c>
      <c r="AJ3" s="4" t="s">
        <v>74</v>
      </c>
      <c r="AK3" s="4" t="s">
        <v>74</v>
      </c>
      <c r="AL3" s="4" t="s">
        <v>74</v>
      </c>
      <c r="AM3" s="4" t="s">
        <v>73</v>
      </c>
      <c r="AN3" s="4" t="s">
        <v>73</v>
      </c>
      <c r="AO3" s="4" t="s">
        <v>73</v>
      </c>
      <c r="AP3" s="4" t="s">
        <v>73</v>
      </c>
      <c r="AQ3" s="4" t="s">
        <v>73</v>
      </c>
      <c r="AR3" s="4" t="s">
        <v>73</v>
      </c>
    </row>
    <row r="4" spans="1:81">
      <c r="A4" s="6" t="s">
        <v>1193</v>
      </c>
      <c r="B4" s="6" t="s">
        <v>1194</v>
      </c>
      <c r="C4" s="6" t="s">
        <v>1195</v>
      </c>
      <c r="D4" s="6" t="s">
        <v>1196</v>
      </c>
      <c r="E4" s="6" t="s">
        <v>1197</v>
      </c>
      <c r="F4" s="6" t="s">
        <v>1198</v>
      </c>
      <c r="G4" s="6" t="s">
        <v>1199</v>
      </c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81">
      <c r="A5" s="4" t="s">
        <v>80</v>
      </c>
      <c r="B5" s="1" t="s">
        <v>81</v>
      </c>
      <c r="C5" s="1" t="s">
        <v>82</v>
      </c>
      <c r="D5" s="1" t="str">
        <f>HYPERLINK("http://eros.fiehnlab.ucdavis.edu:8080/binbase-compound/bin/show/237801?db=rtx5","237801")</f>
        <v>237801</v>
      </c>
      <c r="E5" s="1" t="s">
        <v>83</v>
      </c>
      <c r="F5" s="1" t="str">
        <f>HYPERLINK("http://www.genome.ad.jp/dbget-bin/www_bget?compound+C01762","C01762")</f>
        <v>C01762</v>
      </c>
      <c r="G5" s="1" t="str">
        <f>HYPERLINK("http://pubchem.ncbi.nlm.nih.gov/summary/summary.cgi?cid=64959","64959")</f>
        <v>64959</v>
      </c>
      <c r="H5" s="1"/>
      <c r="I5" s="10">
        <v>148</v>
      </c>
      <c r="J5" s="10">
        <v>423</v>
      </c>
      <c r="K5" s="10">
        <v>434</v>
      </c>
      <c r="L5" s="10">
        <v>101</v>
      </c>
      <c r="M5" s="10">
        <v>184</v>
      </c>
      <c r="N5" s="10">
        <v>158</v>
      </c>
      <c r="O5" s="10">
        <v>218</v>
      </c>
      <c r="P5" s="10">
        <v>667</v>
      </c>
      <c r="Q5" s="10">
        <v>239</v>
      </c>
      <c r="R5" s="10">
        <v>283</v>
      </c>
      <c r="S5" s="10">
        <v>740</v>
      </c>
      <c r="T5" s="10">
        <v>468</v>
      </c>
      <c r="U5" s="10">
        <v>240</v>
      </c>
      <c r="V5" s="10">
        <v>298</v>
      </c>
      <c r="W5" s="10">
        <v>191</v>
      </c>
      <c r="X5" s="10">
        <v>105</v>
      </c>
      <c r="Y5" s="10">
        <v>152</v>
      </c>
      <c r="Z5" s="10">
        <v>214</v>
      </c>
      <c r="AA5" s="10">
        <v>515</v>
      </c>
      <c r="AB5" s="10">
        <v>459</v>
      </c>
      <c r="AC5" s="10">
        <v>262</v>
      </c>
      <c r="AD5" s="10">
        <v>201</v>
      </c>
      <c r="AE5" s="10">
        <v>137</v>
      </c>
      <c r="AF5" s="10">
        <v>243</v>
      </c>
      <c r="AG5" s="10">
        <v>419</v>
      </c>
      <c r="AH5" s="10">
        <v>197</v>
      </c>
      <c r="AI5" s="10">
        <v>246</v>
      </c>
      <c r="AJ5" s="10">
        <v>403</v>
      </c>
      <c r="AK5" s="10">
        <v>187</v>
      </c>
      <c r="AL5" s="10">
        <v>493</v>
      </c>
      <c r="AM5" s="10">
        <v>159</v>
      </c>
      <c r="AN5" s="10">
        <v>453</v>
      </c>
      <c r="AO5" s="10">
        <v>251</v>
      </c>
      <c r="AP5" s="10">
        <v>233</v>
      </c>
      <c r="AQ5" s="10">
        <v>224</v>
      </c>
      <c r="AR5" s="10">
        <v>158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pans="1:81">
      <c r="A6" s="4" t="s">
        <v>84</v>
      </c>
      <c r="B6" s="1" t="s">
        <v>85</v>
      </c>
      <c r="C6" s="1" t="s">
        <v>86</v>
      </c>
      <c r="D6" s="1" t="str">
        <f>HYPERLINK("http://eros.fiehnlab.ucdavis.edu:8080/binbase-compound/bin/show/203224?db=rtx5","203224")</f>
        <v>203224</v>
      </c>
      <c r="E6" s="1" t="s">
        <v>87</v>
      </c>
      <c r="F6" s="1" t="str">
        <f>HYPERLINK("http://www.genome.ad.jp/dbget-bin/www_bget?compound+C00385","C00385")</f>
        <v>C00385</v>
      </c>
      <c r="G6" s="1" t="str">
        <f>HYPERLINK("http://pubchem.ncbi.nlm.nih.gov/summary/summary.cgi?cid=1188","1188")</f>
        <v>1188</v>
      </c>
      <c r="H6" s="1"/>
      <c r="I6" s="10">
        <v>1445</v>
      </c>
      <c r="J6" s="10">
        <v>7033</v>
      </c>
      <c r="K6" s="10">
        <v>6886</v>
      </c>
      <c r="L6" s="10">
        <v>981</v>
      </c>
      <c r="M6" s="10">
        <v>7272</v>
      </c>
      <c r="N6" s="10">
        <v>4513</v>
      </c>
      <c r="O6" s="10">
        <v>5827</v>
      </c>
      <c r="P6" s="10">
        <v>6032</v>
      </c>
      <c r="Q6" s="10">
        <v>1432</v>
      </c>
      <c r="R6" s="10">
        <v>3564</v>
      </c>
      <c r="S6" s="10">
        <v>12161</v>
      </c>
      <c r="T6" s="10">
        <v>3048</v>
      </c>
      <c r="U6" s="10">
        <v>4436</v>
      </c>
      <c r="V6" s="10">
        <v>6832</v>
      </c>
      <c r="W6" s="10">
        <v>5643</v>
      </c>
      <c r="X6" s="10">
        <v>2576</v>
      </c>
      <c r="Y6" s="10">
        <v>5197</v>
      </c>
      <c r="Z6" s="10">
        <v>3742</v>
      </c>
      <c r="AA6" s="10">
        <v>6090</v>
      </c>
      <c r="AB6" s="10">
        <v>2681</v>
      </c>
      <c r="AC6" s="10">
        <v>6133</v>
      </c>
      <c r="AD6" s="10">
        <v>3761</v>
      </c>
      <c r="AE6" s="10">
        <v>2364</v>
      </c>
      <c r="AF6" s="10">
        <v>3078</v>
      </c>
      <c r="AG6" s="10">
        <v>8010</v>
      </c>
      <c r="AH6" s="10">
        <v>3828</v>
      </c>
      <c r="AI6" s="10">
        <v>3206</v>
      </c>
      <c r="AJ6" s="10">
        <v>7909</v>
      </c>
      <c r="AK6" s="10">
        <v>3087</v>
      </c>
      <c r="AL6" s="10">
        <v>12804</v>
      </c>
      <c r="AM6" s="10">
        <v>4563</v>
      </c>
      <c r="AN6" s="10">
        <v>7764</v>
      </c>
      <c r="AO6" s="10">
        <v>3655</v>
      </c>
      <c r="AP6" s="10">
        <v>4271</v>
      </c>
      <c r="AQ6" s="10">
        <v>9300</v>
      </c>
      <c r="AR6" s="10">
        <v>3639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1:81">
      <c r="A7" s="4" t="s">
        <v>89</v>
      </c>
      <c r="B7" s="1" t="s">
        <v>90</v>
      </c>
      <c r="C7" s="1" t="s">
        <v>91</v>
      </c>
      <c r="D7" s="1" t="str">
        <f>HYPERLINK("http://eros.fiehnlab.ucdavis.edu:8080/binbase-compound/bin/show/199605?db=rtx5","199605")</f>
        <v>199605</v>
      </c>
      <c r="E7" s="1" t="s">
        <v>92</v>
      </c>
      <c r="F7" s="1" t="str">
        <f>HYPERLINK("http://www.genome.ad.jp/dbget-bin/www_bget?compound+C00183","C00183")</f>
        <v>C00183</v>
      </c>
      <c r="G7" s="1" t="str">
        <f>HYPERLINK("http://pubchem.ncbi.nlm.nih.gov/summary/summary.cgi?cid=6287","6287")</f>
        <v>6287</v>
      </c>
      <c r="H7" s="1"/>
      <c r="I7" s="10">
        <v>616221</v>
      </c>
      <c r="J7" s="10">
        <v>277967</v>
      </c>
      <c r="K7" s="10">
        <v>237696</v>
      </c>
      <c r="L7" s="10">
        <v>694134</v>
      </c>
      <c r="M7" s="10">
        <v>660051</v>
      </c>
      <c r="N7" s="10">
        <v>668263</v>
      </c>
      <c r="O7" s="10">
        <v>475633</v>
      </c>
      <c r="P7" s="10">
        <v>377295</v>
      </c>
      <c r="Q7" s="10">
        <v>640551</v>
      </c>
      <c r="R7" s="10">
        <v>538624</v>
      </c>
      <c r="S7" s="10">
        <v>398712</v>
      </c>
      <c r="T7" s="10">
        <v>294165</v>
      </c>
      <c r="U7" s="10">
        <v>669824</v>
      </c>
      <c r="V7" s="10">
        <v>539082</v>
      </c>
      <c r="W7" s="10">
        <v>640943</v>
      </c>
      <c r="X7" s="10">
        <v>702191</v>
      </c>
      <c r="Y7" s="10">
        <v>726346</v>
      </c>
      <c r="Z7" s="10">
        <v>593240</v>
      </c>
      <c r="AA7" s="10">
        <v>426521</v>
      </c>
      <c r="AB7" s="10">
        <v>457222</v>
      </c>
      <c r="AC7" s="10">
        <v>211695</v>
      </c>
      <c r="AD7" s="10">
        <v>585641</v>
      </c>
      <c r="AE7" s="10">
        <v>628862</v>
      </c>
      <c r="AF7" s="10">
        <v>370141</v>
      </c>
      <c r="AG7" s="10">
        <v>413151</v>
      </c>
      <c r="AH7" s="10">
        <v>658507</v>
      </c>
      <c r="AI7" s="10">
        <v>496492</v>
      </c>
      <c r="AJ7" s="10">
        <v>495077</v>
      </c>
      <c r="AK7" s="10">
        <v>646999</v>
      </c>
      <c r="AL7" s="10">
        <v>491004</v>
      </c>
      <c r="AM7" s="10">
        <v>636327</v>
      </c>
      <c r="AN7" s="10">
        <v>481140</v>
      </c>
      <c r="AO7" s="10">
        <v>645526</v>
      </c>
      <c r="AP7" s="10">
        <v>646443</v>
      </c>
      <c r="AQ7" s="10">
        <v>602507</v>
      </c>
      <c r="AR7" s="10">
        <v>656709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>
      <c r="A8" s="4" t="s">
        <v>93</v>
      </c>
      <c r="B8" s="1" t="s">
        <v>94</v>
      </c>
      <c r="C8" s="1" t="s">
        <v>95</v>
      </c>
      <c r="D8" s="1" t="str">
        <f>HYPERLINK("http://eros.fiehnlab.ucdavis.edu:8080/binbase-compound/bin/show/270802?db=rtx5","270802")</f>
        <v>270802</v>
      </c>
      <c r="E8" s="1" t="s">
        <v>96</v>
      </c>
      <c r="F8" s="1" t="str">
        <f>HYPERLINK("http://www.genome.ad.jp/dbget-bin/www_bget?compound+C00105 ","C00105 ")</f>
        <v xml:space="preserve">C00105 </v>
      </c>
      <c r="G8" s="1" t="str">
        <f>HYPERLINK("http://pubchem.ncbi.nlm.nih.gov/summary/summary.cgi?cid=6030","6030")</f>
        <v>6030</v>
      </c>
      <c r="H8" s="1"/>
      <c r="I8" s="10">
        <v>2088</v>
      </c>
      <c r="J8" s="10">
        <v>3239</v>
      </c>
      <c r="K8" s="10">
        <v>1794</v>
      </c>
      <c r="L8" s="10">
        <v>1911</v>
      </c>
      <c r="M8" s="10">
        <v>2224</v>
      </c>
      <c r="N8" s="10">
        <v>1278</v>
      </c>
      <c r="O8" s="10">
        <v>2782</v>
      </c>
      <c r="P8" s="10">
        <v>5300</v>
      </c>
      <c r="Q8" s="10">
        <v>2652</v>
      </c>
      <c r="R8" s="10">
        <v>1320</v>
      </c>
      <c r="S8" s="10">
        <v>3334</v>
      </c>
      <c r="T8" s="10">
        <v>1079</v>
      </c>
      <c r="U8" s="10">
        <v>3633</v>
      </c>
      <c r="V8" s="10">
        <v>8363</v>
      </c>
      <c r="W8" s="10">
        <v>5384</v>
      </c>
      <c r="X8" s="10">
        <v>3022</v>
      </c>
      <c r="Y8" s="10">
        <v>2304</v>
      </c>
      <c r="Z8" s="10">
        <v>3544</v>
      </c>
      <c r="AA8" s="10">
        <v>5019</v>
      </c>
      <c r="AB8" s="10">
        <v>740</v>
      </c>
      <c r="AC8" s="10">
        <v>1974</v>
      </c>
      <c r="AD8" s="10">
        <v>2036</v>
      </c>
      <c r="AE8" s="10">
        <v>2300</v>
      </c>
      <c r="AF8" s="10">
        <v>1829</v>
      </c>
      <c r="AG8" s="10">
        <v>9161</v>
      </c>
      <c r="AH8" s="10">
        <v>5397</v>
      </c>
      <c r="AI8" s="10">
        <v>5322</v>
      </c>
      <c r="AJ8" s="10">
        <v>14185</v>
      </c>
      <c r="AK8" s="10">
        <v>8610</v>
      </c>
      <c r="AL8" s="10">
        <v>4685</v>
      </c>
      <c r="AM8" s="10">
        <v>3249</v>
      </c>
      <c r="AN8" s="10">
        <v>2518</v>
      </c>
      <c r="AO8" s="10">
        <v>2741</v>
      </c>
      <c r="AP8" s="10">
        <v>1582</v>
      </c>
      <c r="AQ8" s="10">
        <v>2449</v>
      </c>
      <c r="AR8" s="10">
        <v>3280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81">
      <c r="A9" s="4" t="s">
        <v>97</v>
      </c>
      <c r="B9" s="1" t="s">
        <v>98</v>
      </c>
      <c r="C9" s="1" t="s">
        <v>99</v>
      </c>
      <c r="D9" s="1" t="str">
        <f>HYPERLINK("http://eros.fiehnlab.ucdavis.edu:8080/binbase-compound/bin/show/213127?db=rtx5","213127")</f>
        <v>213127</v>
      </c>
      <c r="E9" s="1" t="s">
        <v>100</v>
      </c>
      <c r="F9" s="1" t="str">
        <f>HYPERLINK("http://www.genome.ad.jp/dbget-bin/www_bget?compound+C00299","C00299")</f>
        <v>C00299</v>
      </c>
      <c r="G9" s="1" t="str">
        <f>HYPERLINK("http://pubchem.ncbi.nlm.nih.gov/summary/summary.cgi?cid=6029","6029")</f>
        <v>6029</v>
      </c>
      <c r="H9" s="1"/>
      <c r="I9" s="10">
        <v>285</v>
      </c>
      <c r="J9" s="10">
        <v>445</v>
      </c>
      <c r="K9" s="10">
        <v>405</v>
      </c>
      <c r="L9" s="10">
        <v>456</v>
      </c>
      <c r="M9" s="10">
        <v>335</v>
      </c>
      <c r="N9" s="10">
        <v>416</v>
      </c>
      <c r="O9" s="10">
        <v>400</v>
      </c>
      <c r="P9" s="10">
        <v>54</v>
      </c>
      <c r="Q9" s="10">
        <v>617</v>
      </c>
      <c r="R9" s="10">
        <v>289</v>
      </c>
      <c r="S9" s="10">
        <v>533</v>
      </c>
      <c r="T9" s="10">
        <v>604</v>
      </c>
      <c r="U9" s="10">
        <v>969</v>
      </c>
      <c r="V9" s="10">
        <v>1397</v>
      </c>
      <c r="W9" s="10">
        <v>1223</v>
      </c>
      <c r="X9" s="10">
        <v>746</v>
      </c>
      <c r="Y9" s="10">
        <v>796</v>
      </c>
      <c r="Z9" s="10">
        <v>754</v>
      </c>
      <c r="AA9" s="10">
        <v>410</v>
      </c>
      <c r="AB9" s="10">
        <v>369</v>
      </c>
      <c r="AC9" s="10">
        <v>413</v>
      </c>
      <c r="AD9" s="10">
        <v>684</v>
      </c>
      <c r="AE9" s="10">
        <v>704</v>
      </c>
      <c r="AF9" s="10">
        <v>110</v>
      </c>
      <c r="AG9" s="10">
        <v>860</v>
      </c>
      <c r="AH9" s="10">
        <v>969</v>
      </c>
      <c r="AI9" s="10">
        <v>514</v>
      </c>
      <c r="AJ9" s="10">
        <v>657</v>
      </c>
      <c r="AK9" s="10">
        <v>736</v>
      </c>
      <c r="AL9" s="10">
        <v>497</v>
      </c>
      <c r="AM9" s="10">
        <v>507</v>
      </c>
      <c r="AN9" s="10">
        <v>652</v>
      </c>
      <c r="AO9" s="10">
        <v>860</v>
      </c>
      <c r="AP9" s="10">
        <v>518</v>
      </c>
      <c r="AQ9" s="10">
        <v>697</v>
      </c>
      <c r="AR9" s="10">
        <v>310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>
      <c r="A10" s="4" t="s">
        <v>103</v>
      </c>
      <c r="B10" s="1" t="s">
        <v>104</v>
      </c>
      <c r="C10" s="1" t="s">
        <v>105</v>
      </c>
      <c r="D10" s="1" t="str">
        <f>HYPERLINK("http://eros.fiehnlab.ucdavis.edu:8080/binbase-compound/bin/show/199600?db=rtx5","199600")</f>
        <v>199600</v>
      </c>
      <c r="E10" s="1" t="s">
        <v>106</v>
      </c>
      <c r="F10" s="1" t="str">
        <f>HYPERLINK("http://www.genome.ad.jp/dbget-bin/www_bget?compound+C00106","C00106")</f>
        <v>C00106</v>
      </c>
      <c r="G10" s="1" t="str">
        <f>HYPERLINK("http://pubchem.ncbi.nlm.nih.gov/summary/summary.cgi?cid=1174","1174")</f>
        <v>1174</v>
      </c>
      <c r="H10" s="1"/>
      <c r="I10" s="10">
        <v>78840</v>
      </c>
      <c r="J10" s="10">
        <v>231295</v>
      </c>
      <c r="K10" s="10">
        <v>188941</v>
      </c>
      <c r="L10" s="10">
        <v>78633</v>
      </c>
      <c r="M10" s="10">
        <v>130514</v>
      </c>
      <c r="N10" s="10">
        <v>77570</v>
      </c>
      <c r="O10" s="10">
        <v>185520</v>
      </c>
      <c r="P10" s="10">
        <v>205336</v>
      </c>
      <c r="Q10" s="10">
        <v>75394</v>
      </c>
      <c r="R10" s="10">
        <v>83790</v>
      </c>
      <c r="S10" s="10">
        <v>261772</v>
      </c>
      <c r="T10" s="10">
        <v>132930</v>
      </c>
      <c r="U10" s="10">
        <v>69863</v>
      </c>
      <c r="V10" s="10">
        <v>172571</v>
      </c>
      <c r="W10" s="10">
        <v>92833</v>
      </c>
      <c r="X10" s="10">
        <v>101134</v>
      </c>
      <c r="Y10" s="10">
        <v>69408</v>
      </c>
      <c r="Z10" s="10">
        <v>72123</v>
      </c>
      <c r="AA10" s="10">
        <v>185043</v>
      </c>
      <c r="AB10" s="10">
        <v>134823</v>
      </c>
      <c r="AC10" s="10">
        <v>231390</v>
      </c>
      <c r="AD10" s="10">
        <v>94287</v>
      </c>
      <c r="AE10" s="10">
        <v>100530</v>
      </c>
      <c r="AF10" s="10">
        <v>147640</v>
      </c>
      <c r="AG10" s="10">
        <v>208270</v>
      </c>
      <c r="AH10" s="10">
        <v>85564</v>
      </c>
      <c r="AI10" s="10">
        <v>79527</v>
      </c>
      <c r="AJ10" s="10">
        <v>142289</v>
      </c>
      <c r="AK10" s="10">
        <v>72176</v>
      </c>
      <c r="AL10" s="10">
        <v>193613</v>
      </c>
      <c r="AM10" s="10">
        <v>86498</v>
      </c>
      <c r="AN10" s="10">
        <v>147513</v>
      </c>
      <c r="AO10" s="10">
        <v>84344</v>
      </c>
      <c r="AP10" s="10">
        <v>98875</v>
      </c>
      <c r="AQ10" s="10">
        <v>102355</v>
      </c>
      <c r="AR10" s="10">
        <v>86751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81">
      <c r="A11" s="4" t="s">
        <v>107</v>
      </c>
      <c r="B11" s="1" t="s">
        <v>108</v>
      </c>
      <c r="C11" s="1" t="s">
        <v>109</v>
      </c>
      <c r="D11" s="1" t="str">
        <f>HYPERLINK("http://eros.fiehnlab.ucdavis.edu:8080/binbase-compound/bin/show/227600?db=rtx5","227600")</f>
        <v>227600</v>
      </c>
      <c r="E11" s="1" t="s">
        <v>110</v>
      </c>
      <c r="F11" s="1" t="str">
        <f>HYPERLINK("http://www.genome.ad.jp/dbget-bin/www_bget?compound+C00043","C00043")</f>
        <v>C00043</v>
      </c>
      <c r="G11" s="1" t="str">
        <f>HYPERLINK("http://pubchem.ncbi.nlm.nih.gov/summary/summary.cgi?cid=445675","445675")</f>
        <v>445675</v>
      </c>
      <c r="H11" s="1"/>
      <c r="I11" s="10">
        <v>464</v>
      </c>
      <c r="J11" s="10">
        <v>569</v>
      </c>
      <c r="K11" s="10">
        <v>650</v>
      </c>
      <c r="L11" s="10">
        <v>352</v>
      </c>
      <c r="M11" s="10">
        <v>433</v>
      </c>
      <c r="N11" s="10">
        <v>354</v>
      </c>
      <c r="O11" s="10">
        <v>702</v>
      </c>
      <c r="P11" s="10">
        <v>794</v>
      </c>
      <c r="Q11" s="10">
        <v>797</v>
      </c>
      <c r="R11" s="10">
        <v>341</v>
      </c>
      <c r="S11" s="10">
        <v>230</v>
      </c>
      <c r="T11" s="10">
        <v>737</v>
      </c>
      <c r="U11" s="10">
        <v>553</v>
      </c>
      <c r="V11" s="10">
        <v>940</v>
      </c>
      <c r="W11" s="10">
        <v>1046</v>
      </c>
      <c r="X11" s="10">
        <v>616</v>
      </c>
      <c r="Y11" s="10">
        <v>471</v>
      </c>
      <c r="Z11" s="10">
        <v>708</v>
      </c>
      <c r="AA11" s="10">
        <v>692</v>
      </c>
      <c r="AB11" s="10">
        <v>352</v>
      </c>
      <c r="AC11" s="10">
        <v>660</v>
      </c>
      <c r="AD11" s="10">
        <v>496</v>
      </c>
      <c r="AE11" s="10">
        <v>481</v>
      </c>
      <c r="AF11" s="10">
        <v>425</v>
      </c>
      <c r="AG11" s="10">
        <v>1302</v>
      </c>
      <c r="AH11" s="10">
        <v>744</v>
      </c>
      <c r="AI11" s="10">
        <v>921</v>
      </c>
      <c r="AJ11" s="10">
        <v>880</v>
      </c>
      <c r="AK11" s="10">
        <v>868</v>
      </c>
      <c r="AL11" s="10">
        <v>713</v>
      </c>
      <c r="AM11" s="10">
        <v>278</v>
      </c>
      <c r="AN11" s="10">
        <v>927</v>
      </c>
      <c r="AO11" s="10">
        <v>606</v>
      </c>
      <c r="AP11" s="10">
        <v>501</v>
      </c>
      <c r="AQ11" s="10">
        <v>549</v>
      </c>
      <c r="AR11" s="10">
        <v>681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81">
      <c r="A12" s="4" t="s">
        <v>1200</v>
      </c>
      <c r="B12" s="1" t="s">
        <v>111</v>
      </c>
      <c r="C12" s="1" t="s">
        <v>112</v>
      </c>
      <c r="D12" s="1" t="str">
        <f>HYPERLINK("http://eros.fiehnlab.ucdavis.edu:8080/binbase-compound/bin/show/381469?db=rtx5","381469")</f>
        <v>381469</v>
      </c>
      <c r="E12" s="1" t="s">
        <v>113</v>
      </c>
      <c r="F12" s="1" t="s">
        <v>0</v>
      </c>
      <c r="G12" s="1" t="s">
        <v>0</v>
      </c>
      <c r="H12" s="1"/>
      <c r="I12" s="10">
        <v>132061</v>
      </c>
      <c r="J12" s="10">
        <v>78992</v>
      </c>
      <c r="K12" s="10">
        <v>65998</v>
      </c>
      <c r="L12" s="10">
        <v>169564</v>
      </c>
      <c r="M12" s="10">
        <v>130116</v>
      </c>
      <c r="N12" s="10">
        <v>143183</v>
      </c>
      <c r="O12" s="10">
        <v>103900</v>
      </c>
      <c r="P12" s="10">
        <v>78192</v>
      </c>
      <c r="Q12" s="10">
        <v>128926</v>
      </c>
      <c r="R12" s="10">
        <v>118536</v>
      </c>
      <c r="S12" s="10">
        <v>97851</v>
      </c>
      <c r="T12" s="10">
        <v>61565</v>
      </c>
      <c r="U12" s="10">
        <v>181927</v>
      </c>
      <c r="V12" s="10">
        <v>98463</v>
      </c>
      <c r="W12" s="10">
        <v>125662</v>
      </c>
      <c r="X12" s="10">
        <v>148620</v>
      </c>
      <c r="Y12" s="10">
        <v>159673</v>
      </c>
      <c r="Z12" s="10">
        <v>125982</v>
      </c>
      <c r="AA12" s="10">
        <v>99772</v>
      </c>
      <c r="AB12" s="10">
        <v>172949</v>
      </c>
      <c r="AC12" s="10">
        <v>66247</v>
      </c>
      <c r="AD12" s="10">
        <v>126357</v>
      </c>
      <c r="AE12" s="10">
        <v>140197</v>
      </c>
      <c r="AF12" s="10">
        <v>72229</v>
      </c>
      <c r="AG12" s="10">
        <v>78643</v>
      </c>
      <c r="AH12" s="10">
        <v>161806</v>
      </c>
      <c r="AI12" s="10">
        <v>103182</v>
      </c>
      <c r="AJ12" s="10">
        <v>89378</v>
      </c>
      <c r="AK12" s="10">
        <v>119956</v>
      </c>
      <c r="AL12" s="10">
        <v>88407</v>
      </c>
      <c r="AM12" s="10">
        <v>133510</v>
      </c>
      <c r="AN12" s="10">
        <v>95001</v>
      </c>
      <c r="AO12" s="10">
        <v>135561</v>
      </c>
      <c r="AP12" s="10">
        <v>162973</v>
      </c>
      <c r="AQ12" s="10">
        <v>114077</v>
      </c>
      <c r="AR12" s="10">
        <v>134739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81">
      <c r="A13" s="4" t="s">
        <v>116</v>
      </c>
      <c r="B13" s="1" t="s">
        <v>117</v>
      </c>
      <c r="C13" s="1" t="s">
        <v>118</v>
      </c>
      <c r="D13" s="1" t="str">
        <f>HYPERLINK("http://eros.fiehnlab.ucdavis.edu:8080/binbase-compound/bin/show/321686?db=rtx5","321686")</f>
        <v>321686</v>
      </c>
      <c r="E13" s="1" t="s">
        <v>119</v>
      </c>
      <c r="F13" s="1" t="str">
        <f>HYPERLINK("http://www.genome.ad.jp/dbget-bin/www_bget?compound+C00078","C00078")</f>
        <v>C00078</v>
      </c>
      <c r="G13" s="1" t="str">
        <f>HYPERLINK("http://pubchem.ncbi.nlm.nih.gov/summary/summary.cgi?cid=6305","6305")</f>
        <v>6305</v>
      </c>
      <c r="H13" s="1"/>
      <c r="I13" s="10">
        <v>2288</v>
      </c>
      <c r="J13" s="10">
        <v>5942</v>
      </c>
      <c r="K13" s="10">
        <v>3528</v>
      </c>
      <c r="L13" s="10">
        <v>2568</v>
      </c>
      <c r="M13" s="10">
        <v>7754</v>
      </c>
      <c r="N13" s="10">
        <v>4124</v>
      </c>
      <c r="O13" s="10">
        <v>6389</v>
      </c>
      <c r="P13" s="10">
        <v>4705</v>
      </c>
      <c r="Q13" s="10">
        <v>3106</v>
      </c>
      <c r="R13" s="10">
        <v>5819</v>
      </c>
      <c r="S13" s="10">
        <v>3374</v>
      </c>
      <c r="T13" s="10">
        <v>4372</v>
      </c>
      <c r="U13" s="10">
        <v>4562</v>
      </c>
      <c r="V13" s="10">
        <v>2450</v>
      </c>
      <c r="W13" s="10">
        <v>1695</v>
      </c>
      <c r="X13" s="10">
        <v>3754</v>
      </c>
      <c r="Y13" s="10">
        <v>2770</v>
      </c>
      <c r="Z13" s="10">
        <v>1962</v>
      </c>
      <c r="AA13" s="10">
        <v>5198</v>
      </c>
      <c r="AB13" s="10">
        <v>3244</v>
      </c>
      <c r="AC13" s="10">
        <v>3950</v>
      </c>
      <c r="AD13" s="10">
        <v>5261</v>
      </c>
      <c r="AE13" s="10">
        <v>3520</v>
      </c>
      <c r="AF13" s="10">
        <v>2955</v>
      </c>
      <c r="AG13" s="10">
        <v>1641</v>
      </c>
      <c r="AH13" s="10">
        <v>4904</v>
      </c>
      <c r="AI13" s="10">
        <v>3283</v>
      </c>
      <c r="AJ13" s="10">
        <v>3217</v>
      </c>
      <c r="AK13" s="10">
        <v>2018</v>
      </c>
      <c r="AL13" s="10">
        <v>3029</v>
      </c>
      <c r="AM13" s="10">
        <v>4263</v>
      </c>
      <c r="AN13" s="10">
        <v>1957</v>
      </c>
      <c r="AO13" s="10">
        <v>3262</v>
      </c>
      <c r="AP13" s="10">
        <v>5597</v>
      </c>
      <c r="AQ13" s="10">
        <v>2920</v>
      </c>
      <c r="AR13" s="10">
        <v>1858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81">
      <c r="A14" s="4" t="s">
        <v>121</v>
      </c>
      <c r="B14" s="1" t="s">
        <v>122</v>
      </c>
      <c r="C14" s="1" t="s">
        <v>123</v>
      </c>
      <c r="D14" s="1" t="str">
        <f>HYPERLINK("http://eros.fiehnlab.ucdavis.edu:8080/binbase-compound/bin/show/236696?db=rtx5","236696")</f>
        <v>236696</v>
      </c>
      <c r="E14" s="1" t="s">
        <v>124</v>
      </c>
      <c r="F14" s="1" t="str">
        <f>HYPERLINK("http://www.genome.ad.jp/dbget-bin/www_bget?compound+C00178","C00178")</f>
        <v>C00178</v>
      </c>
      <c r="G14" s="1" t="str">
        <f>HYPERLINK("http://pubchem.ncbi.nlm.nih.gov/summary/summary.cgi?cid=1135","1135")</f>
        <v>1135</v>
      </c>
      <c r="H14" s="1"/>
      <c r="I14" s="10">
        <v>8272</v>
      </c>
      <c r="J14" s="10">
        <v>19790</v>
      </c>
      <c r="K14" s="10">
        <v>9505</v>
      </c>
      <c r="L14" s="10">
        <v>3879</v>
      </c>
      <c r="M14" s="10">
        <v>7849</v>
      </c>
      <c r="N14" s="10">
        <v>5643</v>
      </c>
      <c r="O14" s="10">
        <v>18837</v>
      </c>
      <c r="P14" s="10">
        <v>25018</v>
      </c>
      <c r="Q14" s="10">
        <v>8131</v>
      </c>
      <c r="R14" s="10">
        <v>8336</v>
      </c>
      <c r="S14" s="10">
        <v>24639</v>
      </c>
      <c r="T14" s="10">
        <v>10135</v>
      </c>
      <c r="U14" s="10">
        <v>7820</v>
      </c>
      <c r="V14" s="10">
        <v>16679</v>
      </c>
      <c r="W14" s="10">
        <v>5171</v>
      </c>
      <c r="X14" s="10">
        <v>5080</v>
      </c>
      <c r="Y14" s="10">
        <v>5275</v>
      </c>
      <c r="Z14" s="10">
        <v>7329</v>
      </c>
      <c r="AA14" s="10">
        <v>24323</v>
      </c>
      <c r="AB14" s="10">
        <v>5898</v>
      </c>
      <c r="AC14" s="10">
        <v>12697</v>
      </c>
      <c r="AD14" s="10">
        <v>5519</v>
      </c>
      <c r="AE14" s="10">
        <v>3839</v>
      </c>
      <c r="AF14" s="10">
        <v>11335</v>
      </c>
      <c r="AG14" s="10">
        <v>20886</v>
      </c>
      <c r="AH14" s="10">
        <v>8081</v>
      </c>
      <c r="AI14" s="10">
        <v>7862</v>
      </c>
      <c r="AJ14" s="10">
        <v>12727</v>
      </c>
      <c r="AK14" s="10">
        <v>6864</v>
      </c>
      <c r="AL14" s="10">
        <v>7278</v>
      </c>
      <c r="AM14" s="10">
        <v>2901</v>
      </c>
      <c r="AN14" s="10">
        <v>17936</v>
      </c>
      <c r="AO14" s="10">
        <v>5275</v>
      </c>
      <c r="AP14" s="10">
        <v>6531</v>
      </c>
      <c r="AQ14" s="10">
        <v>4073</v>
      </c>
      <c r="AR14" s="10">
        <v>6767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81">
      <c r="A15" s="4" t="s">
        <v>126</v>
      </c>
      <c r="B15" s="1" t="s">
        <v>127</v>
      </c>
      <c r="C15" s="1" t="s">
        <v>128</v>
      </c>
      <c r="D15" s="1" t="str">
        <f>HYPERLINK("http://eros.fiehnlab.ucdavis.edu:8080/binbase-compound/bin/show/321912?db=rtx5","321912")</f>
        <v>321912</v>
      </c>
      <c r="E15" s="1" t="s">
        <v>129</v>
      </c>
      <c r="F15" s="1" t="str">
        <f>HYPERLINK("http://www.genome.ad.jp/dbget-bin/www_bget?compound+C00188","C00188")</f>
        <v>C00188</v>
      </c>
      <c r="G15" s="1" t="str">
        <f>HYPERLINK("http://pubchem.ncbi.nlm.nih.gov/summary/summary.cgi?cid=6288","6288")</f>
        <v>6288</v>
      </c>
      <c r="H15" s="1"/>
      <c r="I15" s="10">
        <v>919</v>
      </c>
      <c r="J15" s="10">
        <v>1555</v>
      </c>
      <c r="K15" s="10">
        <v>681</v>
      </c>
      <c r="L15" s="10">
        <v>1531</v>
      </c>
      <c r="M15" s="10">
        <v>3347</v>
      </c>
      <c r="N15" s="10">
        <v>1342</v>
      </c>
      <c r="O15" s="10">
        <v>2868</v>
      </c>
      <c r="P15" s="10">
        <v>2397</v>
      </c>
      <c r="Q15" s="10">
        <v>1924</v>
      </c>
      <c r="R15" s="10">
        <v>2747</v>
      </c>
      <c r="S15" s="10">
        <v>1900</v>
      </c>
      <c r="T15" s="10">
        <v>2404</v>
      </c>
      <c r="U15" s="10">
        <v>2322</v>
      </c>
      <c r="V15" s="10">
        <v>1946</v>
      </c>
      <c r="W15" s="10">
        <v>975</v>
      </c>
      <c r="X15" s="10">
        <v>971</v>
      </c>
      <c r="Y15" s="10">
        <v>461</v>
      </c>
      <c r="Z15" s="10">
        <v>1098</v>
      </c>
      <c r="AA15" s="10">
        <v>3651</v>
      </c>
      <c r="AB15" s="10">
        <v>599</v>
      </c>
      <c r="AC15" s="10">
        <v>1616</v>
      </c>
      <c r="AD15" s="10">
        <v>2528</v>
      </c>
      <c r="AE15" s="10">
        <v>706</v>
      </c>
      <c r="AF15" s="10">
        <v>1987</v>
      </c>
      <c r="AG15" s="10">
        <v>1332</v>
      </c>
      <c r="AH15" s="10">
        <v>2487</v>
      </c>
      <c r="AI15" s="10">
        <v>1729</v>
      </c>
      <c r="AJ15" s="10">
        <v>2223</v>
      </c>
      <c r="AK15" s="10">
        <v>1017</v>
      </c>
      <c r="AL15" s="10">
        <v>1855</v>
      </c>
      <c r="AM15" s="10">
        <v>1149</v>
      </c>
      <c r="AN15" s="10">
        <v>1297</v>
      </c>
      <c r="AO15" s="10">
        <v>1192</v>
      </c>
      <c r="AP15" s="10">
        <v>2489</v>
      </c>
      <c r="AQ15" s="10">
        <v>1276</v>
      </c>
      <c r="AR15" s="10">
        <v>812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81">
      <c r="A16" s="4" t="s">
        <v>1201</v>
      </c>
      <c r="B16" s="1" t="s">
        <v>130</v>
      </c>
      <c r="C16" s="1" t="s">
        <v>131</v>
      </c>
      <c r="D16" s="1" t="str">
        <f>HYPERLINK("http://eros.fiehnlab.ucdavis.edu:8080/binbase-compound/bin/show/199262?db=rtx5","199262")</f>
        <v>199262</v>
      </c>
      <c r="E16" s="1" t="s">
        <v>132</v>
      </c>
      <c r="F16" s="1" t="str">
        <f>HYPERLINK("http://www.genome.ad.jp/dbget-bin/www_bget?compound+C01620","C01620")</f>
        <v>C01620</v>
      </c>
      <c r="G16" s="1" t="str">
        <f>HYPERLINK("http://pubchem.ncbi.nlm.nih.gov/summary/summary.cgi?cid=439535","439535")</f>
        <v>439535</v>
      </c>
      <c r="H16" s="1"/>
      <c r="I16" s="10">
        <v>814</v>
      </c>
      <c r="J16" s="10">
        <v>663</v>
      </c>
      <c r="K16" s="10">
        <v>599</v>
      </c>
      <c r="L16" s="10">
        <v>428</v>
      </c>
      <c r="M16" s="10">
        <v>529</v>
      </c>
      <c r="N16" s="10">
        <v>525</v>
      </c>
      <c r="O16" s="10">
        <v>901</v>
      </c>
      <c r="P16" s="10">
        <v>1419</v>
      </c>
      <c r="Q16" s="10">
        <v>499</v>
      </c>
      <c r="R16" s="10">
        <v>343</v>
      </c>
      <c r="S16" s="10">
        <v>941</v>
      </c>
      <c r="T16" s="10">
        <v>863</v>
      </c>
      <c r="U16" s="10">
        <v>376</v>
      </c>
      <c r="V16" s="10">
        <v>469</v>
      </c>
      <c r="W16" s="10">
        <v>476</v>
      </c>
      <c r="X16" s="10">
        <v>698</v>
      </c>
      <c r="Y16" s="10">
        <v>427</v>
      </c>
      <c r="Z16" s="10">
        <v>484</v>
      </c>
      <c r="AA16" s="10">
        <v>1530</v>
      </c>
      <c r="AB16" s="10">
        <v>568</v>
      </c>
      <c r="AC16" s="10">
        <v>612</v>
      </c>
      <c r="AD16" s="10">
        <v>442</v>
      </c>
      <c r="AE16" s="10">
        <v>514</v>
      </c>
      <c r="AF16" s="10">
        <v>549</v>
      </c>
      <c r="AG16" s="10">
        <v>1263</v>
      </c>
      <c r="AH16" s="10">
        <v>408</v>
      </c>
      <c r="AI16" s="10">
        <v>738</v>
      </c>
      <c r="AJ16" s="10">
        <v>558</v>
      </c>
      <c r="AK16" s="10">
        <v>515</v>
      </c>
      <c r="AL16" s="10">
        <v>933</v>
      </c>
      <c r="AM16" s="10">
        <v>427</v>
      </c>
      <c r="AN16" s="10">
        <v>392</v>
      </c>
      <c r="AO16" s="10">
        <v>411</v>
      </c>
      <c r="AP16" s="10">
        <v>353</v>
      </c>
      <c r="AQ16" s="10">
        <v>514</v>
      </c>
      <c r="AR16" s="10">
        <v>503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>
      <c r="A17" s="4" t="s">
        <v>135</v>
      </c>
      <c r="B17" s="1" t="s">
        <v>136</v>
      </c>
      <c r="C17" s="1" t="s">
        <v>137</v>
      </c>
      <c r="D17" s="1" t="str">
        <f>HYPERLINK("http://eros.fiehnlab.ucdavis.edu:8080/binbase-compound/bin/show/202121?db=rtx5","202121")</f>
        <v>202121</v>
      </c>
      <c r="E17" s="1" t="s">
        <v>138</v>
      </c>
      <c r="F17" s="1" t="str">
        <f>HYPERLINK("http://www.genome.ad.jp/dbget-bin/www_bget?compound+C00089","C00089")</f>
        <v>C00089</v>
      </c>
      <c r="G17" s="1" t="str">
        <f>HYPERLINK("http://pubchem.ncbi.nlm.nih.gov/summary/summary.cgi?cid=5988","5988")</f>
        <v>5988</v>
      </c>
      <c r="H17" s="1"/>
      <c r="I17" s="10">
        <v>291</v>
      </c>
      <c r="J17" s="10">
        <v>415</v>
      </c>
      <c r="K17" s="10">
        <v>594</v>
      </c>
      <c r="L17" s="10">
        <v>1083</v>
      </c>
      <c r="M17" s="10">
        <v>215</v>
      </c>
      <c r="N17" s="10">
        <v>463</v>
      </c>
      <c r="O17" s="10">
        <v>193</v>
      </c>
      <c r="P17" s="10">
        <v>410</v>
      </c>
      <c r="Q17" s="10">
        <v>1332</v>
      </c>
      <c r="R17" s="10">
        <v>613</v>
      </c>
      <c r="S17" s="10">
        <v>328</v>
      </c>
      <c r="T17" s="10">
        <v>471</v>
      </c>
      <c r="U17" s="10">
        <v>469</v>
      </c>
      <c r="V17" s="10">
        <v>2226</v>
      </c>
      <c r="W17" s="10">
        <v>197</v>
      </c>
      <c r="X17" s="10">
        <v>317</v>
      </c>
      <c r="Y17" s="10">
        <v>2391</v>
      </c>
      <c r="Z17" s="10">
        <v>553</v>
      </c>
      <c r="AA17" s="10">
        <v>567</v>
      </c>
      <c r="AB17" s="10">
        <v>206</v>
      </c>
      <c r="AC17" s="10">
        <v>170</v>
      </c>
      <c r="AD17" s="10">
        <v>348</v>
      </c>
      <c r="AE17" s="10">
        <v>264</v>
      </c>
      <c r="AF17" s="10">
        <v>318</v>
      </c>
      <c r="AG17" s="10">
        <v>253</v>
      </c>
      <c r="AH17" s="10">
        <v>522</v>
      </c>
      <c r="AI17" s="10">
        <v>313</v>
      </c>
      <c r="AJ17" s="10">
        <v>3817</v>
      </c>
      <c r="AK17" s="10">
        <v>623</v>
      </c>
      <c r="AL17" s="10">
        <v>1632</v>
      </c>
      <c r="AM17" s="10">
        <v>212</v>
      </c>
      <c r="AN17" s="10">
        <v>1713</v>
      </c>
      <c r="AO17" s="10">
        <v>282</v>
      </c>
      <c r="AP17" s="10">
        <v>662</v>
      </c>
      <c r="AQ17" s="10">
        <v>3484</v>
      </c>
      <c r="AR17" s="10">
        <v>227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>
      <c r="A18" s="4" t="s">
        <v>139</v>
      </c>
      <c r="B18" s="1" t="s">
        <v>140</v>
      </c>
      <c r="C18" s="1" t="s">
        <v>141</v>
      </c>
      <c r="D18" s="1" t="str">
        <f>HYPERLINK("http://eros.fiehnlab.ucdavis.edu:8080/binbase-compound/bin/show/199210?db=rtx5","199210")</f>
        <v>199210</v>
      </c>
      <c r="E18" s="1" t="s">
        <v>142</v>
      </c>
      <c r="F18" s="1" t="str">
        <f>HYPERLINK("http://www.genome.ad.jp/dbget-bin/www_bget?compound+C00042","C00042")</f>
        <v>C00042</v>
      </c>
      <c r="G18" s="1" t="str">
        <f>HYPERLINK("http://pubchem.ncbi.nlm.nih.gov/summary/summary.cgi?cid=1110","1110")</f>
        <v>1110</v>
      </c>
      <c r="H18" s="1"/>
      <c r="I18" s="10">
        <v>12568</v>
      </c>
      <c r="J18" s="10">
        <v>35307</v>
      </c>
      <c r="K18" s="10">
        <v>15188</v>
      </c>
      <c r="L18" s="10">
        <v>6783</v>
      </c>
      <c r="M18" s="10">
        <v>24375</v>
      </c>
      <c r="N18" s="10">
        <v>31393</v>
      </c>
      <c r="O18" s="10">
        <v>12401</v>
      </c>
      <c r="P18" s="10">
        <v>23561</v>
      </c>
      <c r="Q18" s="10">
        <v>39784</v>
      </c>
      <c r="R18" s="10">
        <v>62922</v>
      </c>
      <c r="S18" s="10">
        <v>43984</v>
      </c>
      <c r="T18" s="10">
        <v>14630</v>
      </c>
      <c r="U18" s="10">
        <v>50418</v>
      </c>
      <c r="V18" s="10">
        <v>25079</v>
      </c>
      <c r="W18" s="10">
        <v>15714</v>
      </c>
      <c r="X18" s="10">
        <v>20086</v>
      </c>
      <c r="Y18" s="10">
        <v>16571</v>
      </c>
      <c r="Z18" s="10">
        <v>21597</v>
      </c>
      <c r="AA18" s="10">
        <v>36240</v>
      </c>
      <c r="AB18" s="10">
        <v>63558</v>
      </c>
      <c r="AC18" s="10">
        <v>21673</v>
      </c>
      <c r="AD18" s="10">
        <v>22109</v>
      </c>
      <c r="AE18" s="10">
        <v>52325</v>
      </c>
      <c r="AF18" s="10">
        <v>35345</v>
      </c>
      <c r="AG18" s="10">
        <v>28310</v>
      </c>
      <c r="AH18" s="10">
        <v>17129</v>
      </c>
      <c r="AI18" s="10">
        <v>13250</v>
      </c>
      <c r="AJ18" s="10">
        <v>23152</v>
      </c>
      <c r="AK18" s="10">
        <v>29437</v>
      </c>
      <c r="AL18" s="10">
        <v>22426</v>
      </c>
      <c r="AM18" s="10">
        <v>25176</v>
      </c>
      <c r="AN18" s="10">
        <v>21541</v>
      </c>
      <c r="AO18" s="10">
        <v>34191</v>
      </c>
      <c r="AP18" s="10">
        <v>16202</v>
      </c>
      <c r="AQ18" s="10">
        <v>25022</v>
      </c>
      <c r="AR18" s="10">
        <v>10784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>
      <c r="A19" s="4" t="s">
        <v>143</v>
      </c>
      <c r="B19" s="1" t="s">
        <v>144</v>
      </c>
      <c r="C19" s="1" t="s">
        <v>128</v>
      </c>
      <c r="D19" s="1" t="str">
        <f>HYPERLINK("http://eros.fiehnlab.ucdavis.edu:8080/binbase-compound/bin/show/199195?db=rtx5","199195")</f>
        <v>199195</v>
      </c>
      <c r="E19" s="1" t="s">
        <v>145</v>
      </c>
      <c r="F19" s="1" t="str">
        <f>HYPERLINK("http://www.genome.ad.jp/dbget-bin/www_bget?compound+C01530","C01530")</f>
        <v>C01530</v>
      </c>
      <c r="G19" s="1" t="str">
        <f>HYPERLINK("http://pubchem.ncbi.nlm.nih.gov/summary/summary.cgi?cid=5281","5281")</f>
        <v>5281</v>
      </c>
      <c r="H19" s="1"/>
      <c r="I19" s="10">
        <v>93325</v>
      </c>
      <c r="J19" s="10">
        <v>220148</v>
      </c>
      <c r="K19" s="10">
        <v>289077</v>
      </c>
      <c r="L19" s="10">
        <v>64783</v>
      </c>
      <c r="M19" s="10">
        <v>81853</v>
      </c>
      <c r="N19" s="10">
        <v>119730</v>
      </c>
      <c r="O19" s="10">
        <v>151053</v>
      </c>
      <c r="P19" s="10">
        <v>435734</v>
      </c>
      <c r="Q19" s="10">
        <v>153587</v>
      </c>
      <c r="R19" s="10">
        <v>167451</v>
      </c>
      <c r="S19" s="10">
        <v>236934</v>
      </c>
      <c r="T19" s="10">
        <v>275239</v>
      </c>
      <c r="U19" s="10">
        <v>66016</v>
      </c>
      <c r="V19" s="10">
        <v>120495</v>
      </c>
      <c r="W19" s="10">
        <v>116179</v>
      </c>
      <c r="X19" s="10">
        <v>152026</v>
      </c>
      <c r="Y19" s="10">
        <v>67639</v>
      </c>
      <c r="Z19" s="10">
        <v>109988</v>
      </c>
      <c r="AA19" s="10">
        <v>158501</v>
      </c>
      <c r="AB19" s="10">
        <v>71673</v>
      </c>
      <c r="AC19" s="10">
        <v>144633</v>
      </c>
      <c r="AD19" s="10">
        <v>79274</v>
      </c>
      <c r="AE19" s="10">
        <v>99296</v>
      </c>
      <c r="AF19" s="10">
        <v>100244</v>
      </c>
      <c r="AG19" s="10">
        <v>138985</v>
      </c>
      <c r="AH19" s="10">
        <v>82324</v>
      </c>
      <c r="AI19" s="10">
        <v>114538</v>
      </c>
      <c r="AJ19" s="10">
        <v>255348</v>
      </c>
      <c r="AK19" s="10">
        <v>165171</v>
      </c>
      <c r="AL19" s="10">
        <v>327869</v>
      </c>
      <c r="AM19" s="10">
        <v>91113</v>
      </c>
      <c r="AN19" s="10">
        <v>133507</v>
      </c>
      <c r="AO19" s="10">
        <v>79089</v>
      </c>
      <c r="AP19" s="10">
        <v>73238</v>
      </c>
      <c r="AQ19" s="10">
        <v>103031</v>
      </c>
      <c r="AR19" s="10">
        <v>84726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>
      <c r="A20" s="4" t="s">
        <v>1202</v>
      </c>
      <c r="B20" s="1" t="s">
        <v>146</v>
      </c>
      <c r="C20" s="1" t="s">
        <v>91</v>
      </c>
      <c r="D20" s="1" t="str">
        <f>HYPERLINK("http://eros.fiehnlab.ucdavis.edu:8080/binbase-compound/bin/show/226186?db=rtx5","226186")</f>
        <v>226186</v>
      </c>
      <c r="E20" s="1" t="s">
        <v>147</v>
      </c>
      <c r="F20" s="1" t="str">
        <f>HYPERLINK("http://www.genome.ad.jp/dbget-bin/www_bget?compound+C00750","C00750")</f>
        <v>C00750</v>
      </c>
      <c r="G20" s="1" t="str">
        <f>HYPERLINK("http://pubchem.ncbi.nlm.nih.gov/summary/summary.cgi?cid=1103","1103")</f>
        <v>1103</v>
      </c>
      <c r="H20" s="1"/>
      <c r="I20" s="10">
        <v>679</v>
      </c>
      <c r="J20" s="10">
        <v>838</v>
      </c>
      <c r="K20" s="10">
        <v>1236</v>
      </c>
      <c r="L20" s="10">
        <v>2913</v>
      </c>
      <c r="M20" s="10">
        <v>872</v>
      </c>
      <c r="N20" s="10">
        <v>1178</v>
      </c>
      <c r="O20" s="10">
        <v>438</v>
      </c>
      <c r="P20" s="10">
        <v>1733</v>
      </c>
      <c r="Q20" s="10">
        <v>765</v>
      </c>
      <c r="R20" s="10">
        <v>2148</v>
      </c>
      <c r="S20" s="10">
        <v>939</v>
      </c>
      <c r="T20" s="10">
        <v>1096</v>
      </c>
      <c r="U20" s="10">
        <v>2843</v>
      </c>
      <c r="V20" s="10">
        <v>806</v>
      </c>
      <c r="W20" s="10">
        <v>1273</v>
      </c>
      <c r="X20" s="10">
        <v>988</v>
      </c>
      <c r="Y20" s="10">
        <v>1125</v>
      </c>
      <c r="Z20" s="10">
        <v>1763</v>
      </c>
      <c r="AA20" s="10">
        <v>939</v>
      </c>
      <c r="AB20" s="10">
        <v>3236</v>
      </c>
      <c r="AC20" s="10">
        <v>891</v>
      </c>
      <c r="AD20" s="10">
        <v>2164</v>
      </c>
      <c r="AE20" s="10">
        <v>1166</v>
      </c>
      <c r="AF20" s="10">
        <v>536</v>
      </c>
      <c r="AG20" s="10">
        <v>776</v>
      </c>
      <c r="AH20" s="10">
        <v>3019</v>
      </c>
      <c r="AI20" s="10">
        <v>1159</v>
      </c>
      <c r="AJ20" s="10">
        <v>954</v>
      </c>
      <c r="AK20" s="10">
        <v>1128</v>
      </c>
      <c r="AL20" s="10">
        <v>975</v>
      </c>
      <c r="AM20" s="10">
        <v>2825</v>
      </c>
      <c r="AN20" s="10">
        <v>1035</v>
      </c>
      <c r="AO20" s="10">
        <v>1847</v>
      </c>
      <c r="AP20" s="10">
        <v>6108</v>
      </c>
      <c r="AQ20" s="10">
        <v>720</v>
      </c>
      <c r="AR20" s="10">
        <v>1782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>
      <c r="A21" s="4" t="s">
        <v>1203</v>
      </c>
      <c r="B21" s="1" t="s">
        <v>148</v>
      </c>
      <c r="C21" s="1" t="s">
        <v>91</v>
      </c>
      <c r="D21" s="1" t="str">
        <f>HYPERLINK("http://eros.fiehnlab.ucdavis.edu:8080/binbase-compound/bin/show/200990?db=rtx5","200990")</f>
        <v>200990</v>
      </c>
      <c r="E21" s="1" t="s">
        <v>149</v>
      </c>
      <c r="F21" s="1" t="str">
        <f>HYPERLINK("http://www.genome.ad.jp/dbget-bin/www_bget?compound+C00315","C00315")</f>
        <v>C00315</v>
      </c>
      <c r="G21" s="1" t="str">
        <f>HYPERLINK("http://pubchem.ncbi.nlm.nih.gov/summary/summary.cgi?cid=1102","1102")</f>
        <v>1102</v>
      </c>
      <c r="H21" s="1"/>
      <c r="I21" s="10">
        <v>42117</v>
      </c>
      <c r="J21" s="10">
        <v>5695</v>
      </c>
      <c r="K21" s="10">
        <v>14652</v>
      </c>
      <c r="L21" s="10">
        <v>97331</v>
      </c>
      <c r="M21" s="10">
        <v>7476</v>
      </c>
      <c r="N21" s="10">
        <v>21243</v>
      </c>
      <c r="O21" s="10">
        <v>8871</v>
      </c>
      <c r="P21" s="10">
        <v>5445</v>
      </c>
      <c r="Q21" s="10">
        <v>43631</v>
      </c>
      <c r="R21" s="10">
        <v>57327</v>
      </c>
      <c r="S21" s="10">
        <v>7866</v>
      </c>
      <c r="T21" s="10">
        <v>11168</v>
      </c>
      <c r="U21" s="10">
        <v>48478</v>
      </c>
      <c r="V21" s="10">
        <v>33590</v>
      </c>
      <c r="W21" s="10">
        <v>20427</v>
      </c>
      <c r="X21" s="10">
        <v>37071</v>
      </c>
      <c r="Y21" s="10">
        <v>10175</v>
      </c>
      <c r="Z21" s="10">
        <v>41750</v>
      </c>
      <c r="AA21" s="10">
        <v>9915</v>
      </c>
      <c r="AB21" s="10">
        <v>78839</v>
      </c>
      <c r="AC21" s="10">
        <v>22000</v>
      </c>
      <c r="AD21" s="10">
        <v>69195</v>
      </c>
      <c r="AE21" s="10">
        <v>27483</v>
      </c>
      <c r="AF21" s="10">
        <v>16224</v>
      </c>
      <c r="AG21" s="10">
        <v>20681</v>
      </c>
      <c r="AH21" s="10">
        <v>37277</v>
      </c>
      <c r="AI21" s="10">
        <v>46724</v>
      </c>
      <c r="AJ21" s="10">
        <v>18641</v>
      </c>
      <c r="AK21" s="10">
        <v>23378</v>
      </c>
      <c r="AL21" s="10">
        <v>7317</v>
      </c>
      <c r="AM21" s="10">
        <v>53509</v>
      </c>
      <c r="AN21" s="10">
        <v>60751</v>
      </c>
      <c r="AO21" s="10">
        <v>44018</v>
      </c>
      <c r="AP21" s="10">
        <v>118675</v>
      </c>
      <c r="AQ21" s="10">
        <v>17556</v>
      </c>
      <c r="AR21" s="10">
        <v>29118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>
      <c r="A22" s="4" t="s">
        <v>151</v>
      </c>
      <c r="B22" s="1" t="s">
        <v>152</v>
      </c>
      <c r="C22" s="1" t="s">
        <v>153</v>
      </c>
      <c r="D22" s="1" t="str">
        <f>HYPERLINK("http://eros.fiehnlab.ucdavis.edu:8080/binbase-compound/bin/show/213152?db=rtx5","213152")</f>
        <v>213152</v>
      </c>
      <c r="E22" s="1" t="s">
        <v>154</v>
      </c>
      <c r="F22" s="1" t="str">
        <f>HYPERLINK("http://www.genome.ad.jp/dbget-bin/www_bget?compound+C08250","C08250")</f>
        <v>C08250</v>
      </c>
      <c r="G22" s="1" t="str">
        <f>HYPERLINK("http://pubchem.ncbi.nlm.nih.gov/summary/summary.cgi?cid=441432","441432")</f>
        <v>441432</v>
      </c>
      <c r="H22" s="1"/>
      <c r="I22" s="10">
        <v>91</v>
      </c>
      <c r="J22" s="10">
        <v>487</v>
      </c>
      <c r="K22" s="10">
        <v>459</v>
      </c>
      <c r="L22" s="10">
        <v>82</v>
      </c>
      <c r="M22" s="10">
        <v>108</v>
      </c>
      <c r="N22" s="10">
        <v>99</v>
      </c>
      <c r="O22" s="10">
        <v>196</v>
      </c>
      <c r="P22" s="10">
        <v>637</v>
      </c>
      <c r="Q22" s="10">
        <v>119</v>
      </c>
      <c r="R22" s="10">
        <v>200</v>
      </c>
      <c r="S22" s="10">
        <v>677</v>
      </c>
      <c r="T22" s="10">
        <v>521</v>
      </c>
      <c r="U22" s="10">
        <v>93</v>
      </c>
      <c r="V22" s="10">
        <v>247</v>
      </c>
      <c r="W22" s="10">
        <v>141</v>
      </c>
      <c r="X22" s="10">
        <v>107</v>
      </c>
      <c r="Y22" s="10">
        <v>131</v>
      </c>
      <c r="Z22" s="10">
        <v>126</v>
      </c>
      <c r="AA22" s="10">
        <v>84</v>
      </c>
      <c r="AB22" s="10">
        <v>117</v>
      </c>
      <c r="AC22" s="10">
        <v>243</v>
      </c>
      <c r="AD22" s="10">
        <v>128</v>
      </c>
      <c r="AE22" s="10">
        <v>167</v>
      </c>
      <c r="AF22" s="10">
        <v>130</v>
      </c>
      <c r="AG22" s="10">
        <v>284</v>
      </c>
      <c r="AH22" s="10">
        <v>78</v>
      </c>
      <c r="AI22" s="10">
        <v>141</v>
      </c>
      <c r="AJ22" s="10">
        <v>246</v>
      </c>
      <c r="AK22" s="10">
        <v>132</v>
      </c>
      <c r="AL22" s="10">
        <v>362</v>
      </c>
      <c r="AM22" s="10">
        <v>108</v>
      </c>
      <c r="AN22" s="10">
        <v>234</v>
      </c>
      <c r="AO22" s="10">
        <v>89</v>
      </c>
      <c r="AP22" s="10">
        <v>107</v>
      </c>
      <c r="AQ22" s="10">
        <v>144</v>
      </c>
      <c r="AR22" s="10">
        <v>103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pans="1:81">
      <c r="A23" s="4" t="s">
        <v>157</v>
      </c>
      <c r="B23" s="1" t="s">
        <v>158</v>
      </c>
      <c r="C23" s="1" t="s">
        <v>159</v>
      </c>
      <c r="D23" s="1" t="str">
        <f>HYPERLINK("http://eros.fiehnlab.ucdavis.edu:8080/binbase-compound/bin/show/227962?db=rtx5","227962")</f>
        <v>227962</v>
      </c>
      <c r="E23" s="1" t="s">
        <v>160</v>
      </c>
      <c r="F23" s="1" t="str">
        <f>HYPERLINK("http://www.genome.ad.jp/dbget-bin/www_bget?compound+C00065","C00065")</f>
        <v>C00065</v>
      </c>
      <c r="G23" s="1" t="str">
        <f>HYPERLINK("http://pubchem.ncbi.nlm.nih.gov/summary/summary.cgi?cid=5951","5951")</f>
        <v>5951</v>
      </c>
      <c r="H23" s="1"/>
      <c r="I23" s="10">
        <v>2725</v>
      </c>
      <c r="J23" s="10">
        <v>11170</v>
      </c>
      <c r="K23" s="10">
        <v>8778</v>
      </c>
      <c r="L23" s="10">
        <v>4352</v>
      </c>
      <c r="M23" s="10">
        <v>12737</v>
      </c>
      <c r="N23" s="10">
        <v>3119</v>
      </c>
      <c r="O23" s="10">
        <v>9745</v>
      </c>
      <c r="P23" s="10">
        <v>6270</v>
      </c>
      <c r="Q23" s="10">
        <v>5632</v>
      </c>
      <c r="R23" s="10">
        <v>7535</v>
      </c>
      <c r="S23" s="10">
        <v>7693</v>
      </c>
      <c r="T23" s="10">
        <v>5976</v>
      </c>
      <c r="U23" s="10">
        <v>6370</v>
      </c>
      <c r="V23" s="10">
        <v>4847</v>
      </c>
      <c r="W23" s="10">
        <v>5770</v>
      </c>
      <c r="X23" s="10">
        <v>5708</v>
      </c>
      <c r="Y23" s="10">
        <v>1876</v>
      </c>
      <c r="Z23" s="10">
        <v>4572</v>
      </c>
      <c r="AA23" s="10">
        <v>11445</v>
      </c>
      <c r="AB23" s="10">
        <v>1984</v>
      </c>
      <c r="AC23" s="10">
        <v>9807</v>
      </c>
      <c r="AD23" s="10">
        <v>8347</v>
      </c>
      <c r="AE23" s="10">
        <v>2460</v>
      </c>
      <c r="AF23" s="10">
        <v>4782</v>
      </c>
      <c r="AG23" s="10">
        <v>3419</v>
      </c>
      <c r="AH23" s="10">
        <v>8100</v>
      </c>
      <c r="AI23" s="10">
        <v>6777</v>
      </c>
      <c r="AJ23" s="10">
        <v>3475</v>
      </c>
      <c r="AK23" s="10">
        <v>4896</v>
      </c>
      <c r="AL23" s="10">
        <v>7792</v>
      </c>
      <c r="AM23" s="10">
        <v>3611</v>
      </c>
      <c r="AN23" s="10">
        <v>2579</v>
      </c>
      <c r="AO23" s="10">
        <v>3534</v>
      </c>
      <c r="AP23" s="10">
        <v>4920</v>
      </c>
      <c r="AQ23" s="10">
        <v>3239</v>
      </c>
      <c r="AR23" s="10">
        <v>3767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>
      <c r="A24" s="4" t="s">
        <v>161</v>
      </c>
      <c r="B24" s="1" t="s">
        <v>162</v>
      </c>
      <c r="C24" s="1" t="s">
        <v>163</v>
      </c>
      <c r="D24" s="1" t="str">
        <f>HYPERLINK("http://eros.fiehnlab.ucdavis.edu:8080/binbase-compound/bin/show/228532?db=rtx5","228532")</f>
        <v>228532</v>
      </c>
      <c r="E24" s="1" t="s">
        <v>164</v>
      </c>
      <c r="F24" s="1" t="str">
        <f>HYPERLINK("http://www.genome.ad.jp/dbget-bin/www_bget?compound+C06202","C06202")</f>
        <v>C06202</v>
      </c>
      <c r="G24" s="1" t="str">
        <f>HYPERLINK("http://pubchem.ncbi.nlm.nih.gov/summary/summary.cgi?cid=6998","6998")</f>
        <v>6998</v>
      </c>
      <c r="H24" s="1"/>
      <c r="I24" s="10">
        <v>994</v>
      </c>
      <c r="J24" s="10">
        <v>1602</v>
      </c>
      <c r="K24" s="10">
        <v>1889</v>
      </c>
      <c r="L24" s="10">
        <v>874</v>
      </c>
      <c r="M24" s="10">
        <v>755</v>
      </c>
      <c r="N24" s="10">
        <v>632</v>
      </c>
      <c r="O24" s="10">
        <v>1128</v>
      </c>
      <c r="P24" s="10">
        <v>1810</v>
      </c>
      <c r="Q24" s="10">
        <v>1249</v>
      </c>
      <c r="R24" s="10">
        <v>689</v>
      </c>
      <c r="S24" s="10">
        <v>1152</v>
      </c>
      <c r="T24" s="10">
        <v>2284</v>
      </c>
      <c r="U24" s="10">
        <v>484</v>
      </c>
      <c r="V24" s="10">
        <v>747</v>
      </c>
      <c r="W24" s="10">
        <v>831</v>
      </c>
      <c r="X24" s="10">
        <v>729</v>
      </c>
      <c r="Y24" s="10">
        <v>511</v>
      </c>
      <c r="Z24" s="10">
        <v>531</v>
      </c>
      <c r="AA24" s="10">
        <v>1620</v>
      </c>
      <c r="AB24" s="10">
        <v>1153</v>
      </c>
      <c r="AC24" s="10">
        <v>1849</v>
      </c>
      <c r="AD24" s="10">
        <v>1062</v>
      </c>
      <c r="AE24" s="10">
        <v>1172</v>
      </c>
      <c r="AF24" s="10">
        <v>1352</v>
      </c>
      <c r="AG24" s="10">
        <v>847</v>
      </c>
      <c r="AH24" s="10">
        <v>589</v>
      </c>
      <c r="AI24" s="10">
        <v>1109</v>
      </c>
      <c r="AJ24" s="10">
        <v>1033</v>
      </c>
      <c r="AK24" s="10">
        <v>512</v>
      </c>
      <c r="AL24" s="10">
        <v>1021</v>
      </c>
      <c r="AM24" s="10">
        <v>711</v>
      </c>
      <c r="AN24" s="10">
        <v>1331</v>
      </c>
      <c r="AO24" s="10">
        <v>774</v>
      </c>
      <c r="AP24" s="10">
        <v>458</v>
      </c>
      <c r="AQ24" s="10">
        <v>504</v>
      </c>
      <c r="AR24" s="10">
        <v>669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>
      <c r="A25" s="4" t="s">
        <v>166</v>
      </c>
      <c r="B25" s="1" t="s">
        <v>167</v>
      </c>
      <c r="C25" s="1" t="s">
        <v>168</v>
      </c>
      <c r="D25" s="1" t="str">
        <f>HYPERLINK("http://eros.fiehnlab.ucdavis.edu:8080/binbase-compound/bin/show/199940?db=rtx5","199940")</f>
        <v>199940</v>
      </c>
      <c r="E25" s="1" t="s">
        <v>169</v>
      </c>
      <c r="F25" s="1" t="str">
        <f>HYPERLINK("http://www.genome.ad.jp/dbget-bin/www_bget?compound+C00199","C00199")</f>
        <v>C00199</v>
      </c>
      <c r="G25" s="1" t="str">
        <f>HYPERLINK("http://pubchem.ncbi.nlm.nih.gov/summary/summary.cgi?cid=439184","439184")</f>
        <v>439184</v>
      </c>
      <c r="H25" s="1"/>
      <c r="I25" s="10">
        <v>312</v>
      </c>
      <c r="J25" s="10">
        <v>1063</v>
      </c>
      <c r="K25" s="10">
        <v>808</v>
      </c>
      <c r="L25" s="10">
        <v>355</v>
      </c>
      <c r="M25" s="10">
        <v>531</v>
      </c>
      <c r="N25" s="10">
        <v>379</v>
      </c>
      <c r="O25" s="10">
        <v>607</v>
      </c>
      <c r="P25" s="10">
        <v>1012</v>
      </c>
      <c r="Q25" s="10">
        <v>528</v>
      </c>
      <c r="R25" s="10">
        <v>424</v>
      </c>
      <c r="S25" s="10">
        <v>806</v>
      </c>
      <c r="T25" s="10">
        <v>936</v>
      </c>
      <c r="U25" s="10">
        <v>192</v>
      </c>
      <c r="V25" s="10">
        <v>490</v>
      </c>
      <c r="W25" s="10">
        <v>288</v>
      </c>
      <c r="X25" s="10">
        <v>675</v>
      </c>
      <c r="Y25" s="10">
        <v>388</v>
      </c>
      <c r="Z25" s="10">
        <v>231</v>
      </c>
      <c r="AA25" s="10">
        <v>1088</v>
      </c>
      <c r="AB25" s="10">
        <v>273</v>
      </c>
      <c r="AC25" s="10">
        <v>1268</v>
      </c>
      <c r="AD25" s="10">
        <v>290</v>
      </c>
      <c r="AE25" s="10">
        <v>275</v>
      </c>
      <c r="AF25" s="10">
        <v>933</v>
      </c>
      <c r="AG25" s="10">
        <v>618</v>
      </c>
      <c r="AH25" s="10">
        <v>258</v>
      </c>
      <c r="AI25" s="10">
        <v>599</v>
      </c>
      <c r="AJ25" s="10">
        <v>632</v>
      </c>
      <c r="AK25" s="10">
        <v>305</v>
      </c>
      <c r="AL25" s="10">
        <v>461</v>
      </c>
      <c r="AM25" s="10">
        <v>358</v>
      </c>
      <c r="AN25" s="10">
        <v>758</v>
      </c>
      <c r="AO25" s="10">
        <v>197</v>
      </c>
      <c r="AP25" s="10">
        <v>248</v>
      </c>
      <c r="AQ25" s="10">
        <v>357</v>
      </c>
      <c r="AR25" s="10">
        <v>321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1:81">
      <c r="A26" s="4" t="s">
        <v>170</v>
      </c>
      <c r="B26" s="1" t="s">
        <v>171</v>
      </c>
      <c r="C26" s="1" t="s">
        <v>134</v>
      </c>
      <c r="D26" s="1" t="str">
        <f>HYPERLINK("http://eros.fiehnlab.ucdavis.edu:8080/binbase-compound/bin/show/205473?db=rtx5","205473")</f>
        <v>205473</v>
      </c>
      <c r="E26" s="1" t="s">
        <v>172</v>
      </c>
      <c r="F26" s="1" t="str">
        <f>HYPERLINK("http://www.genome.ad.jp/dbget-bin/www_bget?compound+C00121","C00121")</f>
        <v>C00121</v>
      </c>
      <c r="G26" s="1" t="str">
        <f>HYPERLINK("http://pubchem.ncbi.nlm.nih.gov/summary/summary.cgi?cid=5779","5779")</f>
        <v>5779</v>
      </c>
      <c r="H26" s="1"/>
      <c r="I26" s="10">
        <v>19196</v>
      </c>
      <c r="J26" s="10">
        <v>69063</v>
      </c>
      <c r="K26" s="10">
        <v>54232</v>
      </c>
      <c r="L26" s="10">
        <v>18675</v>
      </c>
      <c r="M26" s="10">
        <v>82946</v>
      </c>
      <c r="N26" s="10">
        <v>44189</v>
      </c>
      <c r="O26" s="10">
        <v>70586</v>
      </c>
      <c r="P26" s="10">
        <v>62784</v>
      </c>
      <c r="Q26" s="10">
        <v>35090</v>
      </c>
      <c r="R26" s="10">
        <v>53653</v>
      </c>
      <c r="S26" s="10">
        <v>97797</v>
      </c>
      <c r="T26" s="10">
        <v>63653</v>
      </c>
      <c r="U26" s="10">
        <v>13462</v>
      </c>
      <c r="V26" s="10">
        <v>18187</v>
      </c>
      <c r="W26" s="10">
        <v>13150</v>
      </c>
      <c r="X26" s="10">
        <v>51446</v>
      </c>
      <c r="Y26" s="10">
        <v>20435</v>
      </c>
      <c r="Z26" s="10">
        <v>13239</v>
      </c>
      <c r="AA26" s="10">
        <v>95348</v>
      </c>
      <c r="AB26" s="10">
        <v>42951</v>
      </c>
      <c r="AC26" s="10">
        <v>121706</v>
      </c>
      <c r="AD26" s="10">
        <v>24897</v>
      </c>
      <c r="AE26" s="10">
        <v>42915</v>
      </c>
      <c r="AF26" s="10">
        <v>81512</v>
      </c>
      <c r="AG26" s="10">
        <v>39936</v>
      </c>
      <c r="AH26" s="10">
        <v>17747</v>
      </c>
      <c r="AI26" s="10">
        <v>19210</v>
      </c>
      <c r="AJ26" s="10">
        <v>22677</v>
      </c>
      <c r="AK26" s="10">
        <v>13272</v>
      </c>
      <c r="AL26" s="10">
        <v>14939</v>
      </c>
      <c r="AM26" s="10">
        <v>17322</v>
      </c>
      <c r="AN26" s="10">
        <v>21552</v>
      </c>
      <c r="AO26" s="10">
        <v>9930</v>
      </c>
      <c r="AP26" s="10">
        <v>25475</v>
      </c>
      <c r="AQ26" s="10">
        <v>25533</v>
      </c>
      <c r="AR26" s="10">
        <v>19684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>
      <c r="A27" s="4" t="s">
        <v>173</v>
      </c>
      <c r="B27" s="1" t="s">
        <v>174</v>
      </c>
      <c r="C27" s="1" t="s">
        <v>115</v>
      </c>
      <c r="D27" s="1" t="str">
        <f>HYPERLINK("http://eros.fiehnlab.ucdavis.edu:8080/binbase-compound/bin/show/241869?db=rtx5","241869")</f>
        <v>241869</v>
      </c>
      <c r="E27" s="1" t="s">
        <v>175</v>
      </c>
      <c r="F27" s="1" t="str">
        <f>HYPERLINK("http://www.genome.ad.jp/dbget-bin/www_bget?compound+C00022","C00022")</f>
        <v>C00022</v>
      </c>
      <c r="G27" s="1" t="str">
        <f>HYPERLINK("http://pubchem.ncbi.nlm.nih.gov/summary/summary.cgi?cid=1060","1060")</f>
        <v>1060</v>
      </c>
      <c r="H27" s="1"/>
      <c r="I27" s="10">
        <v>408</v>
      </c>
      <c r="J27" s="10">
        <v>1058</v>
      </c>
      <c r="K27" s="10">
        <v>1551</v>
      </c>
      <c r="L27" s="10">
        <v>1657</v>
      </c>
      <c r="M27" s="10">
        <v>773</v>
      </c>
      <c r="N27" s="10">
        <v>310</v>
      </c>
      <c r="O27" s="10">
        <v>716</v>
      </c>
      <c r="P27" s="10">
        <v>1741</v>
      </c>
      <c r="Q27" s="10">
        <v>532</v>
      </c>
      <c r="R27" s="10">
        <v>4936</v>
      </c>
      <c r="S27" s="10">
        <v>1359</v>
      </c>
      <c r="T27" s="10">
        <v>820</v>
      </c>
      <c r="U27" s="10">
        <v>2358</v>
      </c>
      <c r="V27" s="10">
        <v>2440</v>
      </c>
      <c r="W27" s="10">
        <v>1355</v>
      </c>
      <c r="X27" s="10">
        <v>428</v>
      </c>
      <c r="Y27" s="10">
        <v>1357</v>
      </c>
      <c r="Z27" s="10">
        <v>2411</v>
      </c>
      <c r="AA27" s="10">
        <v>1177</v>
      </c>
      <c r="AB27" s="10">
        <v>2663</v>
      </c>
      <c r="AC27" s="10">
        <v>977</v>
      </c>
      <c r="AD27" s="10">
        <v>2139</v>
      </c>
      <c r="AE27" s="10">
        <v>387</v>
      </c>
      <c r="AF27" s="10">
        <v>586</v>
      </c>
      <c r="AG27" s="10">
        <v>1204</v>
      </c>
      <c r="AH27" s="10">
        <v>693</v>
      </c>
      <c r="AI27" s="10">
        <v>755</v>
      </c>
      <c r="AJ27" s="10">
        <v>1330</v>
      </c>
      <c r="AK27" s="10">
        <v>607</v>
      </c>
      <c r="AL27" s="10">
        <v>1085</v>
      </c>
      <c r="AM27" s="10">
        <v>2215</v>
      </c>
      <c r="AN27" s="10">
        <v>3430</v>
      </c>
      <c r="AO27" s="10">
        <v>2105</v>
      </c>
      <c r="AP27" s="10">
        <v>2373</v>
      </c>
      <c r="AQ27" s="10">
        <v>894</v>
      </c>
      <c r="AR27" s="10">
        <v>2450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>
      <c r="A28" s="4" t="s">
        <v>176</v>
      </c>
      <c r="B28" s="1" t="s">
        <v>177</v>
      </c>
      <c r="C28" s="1" t="s">
        <v>178</v>
      </c>
      <c r="D28" s="1" t="str">
        <f>HYPERLINK("http://eros.fiehnlab.ucdavis.edu:8080/binbase-compound/bin/show/284585?db=rtx5","284585")</f>
        <v>284585</v>
      </c>
      <c r="E28" s="1" t="s">
        <v>179</v>
      </c>
      <c r="F28" s="1" t="str">
        <f>HYPERLINK("http://www.genome.ad.jp/dbget-bin/www_bget?compound+C0013","C0013")</f>
        <v>C0013</v>
      </c>
      <c r="G28" s="1" t="str">
        <f>HYPERLINK("http://pubchem.ncbi.nlm.nih.gov/summary/summary.cgi?cid=1023","1023")</f>
        <v>1023</v>
      </c>
      <c r="H28" s="1"/>
      <c r="I28" s="10">
        <v>64915</v>
      </c>
      <c r="J28" s="10">
        <v>292722</v>
      </c>
      <c r="K28" s="10">
        <v>243793</v>
      </c>
      <c r="L28" s="10">
        <v>20776</v>
      </c>
      <c r="M28" s="10">
        <v>93245</v>
      </c>
      <c r="N28" s="10">
        <v>25398</v>
      </c>
      <c r="O28" s="10">
        <v>127497</v>
      </c>
      <c r="P28" s="10">
        <v>123240</v>
      </c>
      <c r="Q28" s="10">
        <v>77023</v>
      </c>
      <c r="R28" s="10">
        <v>66722</v>
      </c>
      <c r="S28" s="10">
        <v>190445</v>
      </c>
      <c r="T28" s="10">
        <v>100018</v>
      </c>
      <c r="U28" s="10">
        <v>41320</v>
      </c>
      <c r="V28" s="10">
        <v>147993</v>
      </c>
      <c r="W28" s="10">
        <v>103493</v>
      </c>
      <c r="X28" s="10">
        <v>47203</v>
      </c>
      <c r="Y28" s="10">
        <v>63863</v>
      </c>
      <c r="Z28" s="10">
        <v>78028</v>
      </c>
      <c r="AA28" s="10">
        <v>197052</v>
      </c>
      <c r="AB28" s="10">
        <v>21138</v>
      </c>
      <c r="AC28" s="10">
        <v>219351</v>
      </c>
      <c r="AD28" s="10">
        <v>85656</v>
      </c>
      <c r="AE28" s="10">
        <v>38474</v>
      </c>
      <c r="AF28" s="10">
        <v>139703</v>
      </c>
      <c r="AG28" s="10">
        <v>326036</v>
      </c>
      <c r="AH28" s="10">
        <v>83079</v>
      </c>
      <c r="AI28" s="10">
        <v>193585</v>
      </c>
      <c r="AJ28" s="10">
        <v>161356</v>
      </c>
      <c r="AK28" s="10">
        <v>75238</v>
      </c>
      <c r="AL28" s="10">
        <v>127461</v>
      </c>
      <c r="AM28" s="10">
        <v>78244</v>
      </c>
      <c r="AN28" s="10">
        <v>187874</v>
      </c>
      <c r="AO28" s="10">
        <v>103476</v>
      </c>
      <c r="AP28" s="10">
        <v>40429</v>
      </c>
      <c r="AQ28" s="10">
        <v>72660</v>
      </c>
      <c r="AR28" s="10">
        <v>66786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1:81">
      <c r="A29" s="4" t="s">
        <v>180</v>
      </c>
      <c r="B29" s="1" t="s">
        <v>181</v>
      </c>
      <c r="C29" s="1" t="s">
        <v>115</v>
      </c>
      <c r="D29" s="1" t="str">
        <f>HYPERLINK("http://eros.fiehnlab.ucdavis.edu:8080/binbase-compound/bin/show/206261?db=rtx5","206261")</f>
        <v>206261</v>
      </c>
      <c r="E29" s="1" t="s">
        <v>182</v>
      </c>
      <c r="F29" s="1" t="str">
        <f>HYPERLINK("http://www.genome.ad.jp/dbget-bin/www_bget?compound+C00134","C00134")</f>
        <v>C00134</v>
      </c>
      <c r="G29" s="1" t="str">
        <f>HYPERLINK("http://pubchem.ncbi.nlm.nih.gov/summary/summary.cgi?cid=1045","1045")</f>
        <v>1045</v>
      </c>
      <c r="H29" s="1"/>
      <c r="I29" s="10">
        <v>1030807</v>
      </c>
      <c r="J29" s="10">
        <v>1499230</v>
      </c>
      <c r="K29" s="10">
        <v>1903151</v>
      </c>
      <c r="L29" s="10">
        <v>1278529</v>
      </c>
      <c r="M29" s="10">
        <v>863725</v>
      </c>
      <c r="N29" s="10">
        <v>916979</v>
      </c>
      <c r="O29" s="10">
        <v>607619</v>
      </c>
      <c r="P29" s="10">
        <v>278958</v>
      </c>
      <c r="Q29" s="10">
        <v>716824</v>
      </c>
      <c r="R29" s="10">
        <v>624039</v>
      </c>
      <c r="S29" s="10">
        <v>318164</v>
      </c>
      <c r="T29" s="10">
        <v>859589</v>
      </c>
      <c r="U29" s="10">
        <v>629179</v>
      </c>
      <c r="V29" s="10">
        <v>1096358</v>
      </c>
      <c r="W29" s="10">
        <v>1104399</v>
      </c>
      <c r="X29" s="10">
        <v>786107</v>
      </c>
      <c r="Y29" s="10">
        <v>960846</v>
      </c>
      <c r="Z29" s="10">
        <v>1583518</v>
      </c>
      <c r="AA29" s="10">
        <v>765949</v>
      </c>
      <c r="AB29" s="10">
        <v>950599</v>
      </c>
      <c r="AC29" s="10">
        <v>1562589</v>
      </c>
      <c r="AD29" s="10">
        <v>1459289</v>
      </c>
      <c r="AE29" s="10">
        <v>1033595</v>
      </c>
      <c r="AF29" s="10">
        <v>1267250</v>
      </c>
      <c r="AG29" s="10">
        <v>1053309</v>
      </c>
      <c r="AH29" s="10">
        <v>945035</v>
      </c>
      <c r="AI29" s="10">
        <v>1576745</v>
      </c>
      <c r="AJ29" s="10">
        <v>1621133</v>
      </c>
      <c r="AK29" s="10">
        <v>1347736</v>
      </c>
      <c r="AL29" s="10">
        <v>678381</v>
      </c>
      <c r="AM29" s="10">
        <v>994776</v>
      </c>
      <c r="AN29" s="10">
        <v>1709718</v>
      </c>
      <c r="AO29" s="10">
        <v>1165663</v>
      </c>
      <c r="AP29" s="10">
        <v>1274471</v>
      </c>
      <c r="AQ29" s="10">
        <v>1244884</v>
      </c>
      <c r="AR29" s="10">
        <v>1368440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1:81">
      <c r="A30" s="4" t="s">
        <v>183</v>
      </c>
      <c r="B30" s="1" t="s">
        <v>184</v>
      </c>
      <c r="C30" s="1" t="s">
        <v>185</v>
      </c>
      <c r="D30" s="1" t="str">
        <f>HYPERLINK("http://eros.fiehnlab.ucdavis.edu:8080/binbase-compound/bin/show/213381?db=rtx5","213381")</f>
        <v>213381</v>
      </c>
      <c r="E30" s="1" t="s">
        <v>186</v>
      </c>
      <c r="F30" s="1" t="str">
        <f>HYPERLINK("http://www.genome.ad.jp/dbget-bin/www_bget?compound+C02067","C02067")</f>
        <v>C02067</v>
      </c>
      <c r="G30" s="1" t="str">
        <f>HYPERLINK("http://pubchem.ncbi.nlm.nih.gov/summary/summary.cgi?cid=15047","15047")</f>
        <v>15047</v>
      </c>
      <c r="H30" s="1"/>
      <c r="I30" s="10">
        <v>2227</v>
      </c>
      <c r="J30" s="10">
        <v>3366</v>
      </c>
      <c r="K30" s="10">
        <v>2756</v>
      </c>
      <c r="L30" s="10">
        <v>2645</v>
      </c>
      <c r="M30" s="10">
        <v>5702</v>
      </c>
      <c r="N30" s="10">
        <v>2118</v>
      </c>
      <c r="O30" s="10">
        <v>5176</v>
      </c>
      <c r="P30" s="10">
        <v>6404</v>
      </c>
      <c r="Q30" s="10">
        <v>5532</v>
      </c>
      <c r="R30" s="10">
        <v>3988</v>
      </c>
      <c r="S30" s="10">
        <v>9855</v>
      </c>
      <c r="T30" s="10">
        <v>2460</v>
      </c>
      <c r="U30" s="10">
        <v>3096</v>
      </c>
      <c r="V30" s="10">
        <v>4113</v>
      </c>
      <c r="W30" s="10">
        <v>3649</v>
      </c>
      <c r="X30" s="10">
        <v>4819</v>
      </c>
      <c r="Y30" s="10">
        <v>3642</v>
      </c>
      <c r="Z30" s="10">
        <v>3832</v>
      </c>
      <c r="AA30" s="10">
        <v>5417</v>
      </c>
      <c r="AB30" s="10">
        <v>5690</v>
      </c>
      <c r="AC30" s="10">
        <v>4536</v>
      </c>
      <c r="AD30" s="10">
        <v>4381</v>
      </c>
      <c r="AE30" s="10">
        <v>4114</v>
      </c>
      <c r="AF30" s="10">
        <v>3657</v>
      </c>
      <c r="AG30" s="10">
        <v>3567</v>
      </c>
      <c r="AH30" s="10">
        <v>2969</v>
      </c>
      <c r="AI30" s="10">
        <v>2772</v>
      </c>
      <c r="AJ30" s="10">
        <v>3817</v>
      </c>
      <c r="AK30" s="10">
        <v>3794</v>
      </c>
      <c r="AL30" s="10">
        <v>4444</v>
      </c>
      <c r="AM30" s="10">
        <v>3049</v>
      </c>
      <c r="AN30" s="10">
        <v>3514</v>
      </c>
      <c r="AO30" s="10">
        <v>3060</v>
      </c>
      <c r="AP30" s="10">
        <v>4812</v>
      </c>
      <c r="AQ30" s="10">
        <v>4592</v>
      </c>
      <c r="AR30" s="10">
        <v>3876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1:81">
      <c r="A31" s="4" t="s">
        <v>187</v>
      </c>
      <c r="B31" s="1" t="s">
        <v>188</v>
      </c>
      <c r="C31" s="1" t="s">
        <v>189</v>
      </c>
      <c r="D31" s="1" t="str">
        <f>HYPERLINK("http://eros.fiehnlab.ucdavis.edu:8080/binbase-compound/bin/show/272666?db=rtx5","272666")</f>
        <v>272666</v>
      </c>
      <c r="E31" s="1" t="s">
        <v>190</v>
      </c>
      <c r="F31" s="1" t="str">
        <f>HYPERLINK("http://www.genome.ad.jp/dbget-bin/www_bget?compound+C02457","C02457")</f>
        <v>C02457</v>
      </c>
      <c r="G31" s="1" t="str">
        <f>HYPERLINK("http://pubchem.ncbi.nlm.nih.gov/summary/summary.cgi?cid=10442","10442")</f>
        <v>10442</v>
      </c>
      <c r="H31" s="1"/>
      <c r="I31" s="10">
        <v>599</v>
      </c>
      <c r="J31" s="10">
        <v>2594</v>
      </c>
      <c r="K31" s="10">
        <v>2315</v>
      </c>
      <c r="L31" s="10">
        <v>383</v>
      </c>
      <c r="M31" s="10">
        <v>613</v>
      </c>
      <c r="N31" s="10">
        <v>495</v>
      </c>
      <c r="O31" s="10">
        <v>1164</v>
      </c>
      <c r="P31" s="10">
        <v>2765</v>
      </c>
      <c r="Q31" s="10">
        <v>767</v>
      </c>
      <c r="R31" s="10">
        <v>742</v>
      </c>
      <c r="S31" s="10">
        <v>2531</v>
      </c>
      <c r="T31" s="10">
        <v>2267</v>
      </c>
      <c r="U31" s="10">
        <v>412</v>
      </c>
      <c r="V31" s="10">
        <v>823</v>
      </c>
      <c r="W31" s="10">
        <v>627</v>
      </c>
      <c r="X31" s="10">
        <v>619</v>
      </c>
      <c r="Y31" s="10">
        <v>387</v>
      </c>
      <c r="Z31" s="10">
        <v>558</v>
      </c>
      <c r="AA31" s="10">
        <v>1921</v>
      </c>
      <c r="AB31" s="10">
        <v>437</v>
      </c>
      <c r="AC31" s="10">
        <v>1525</v>
      </c>
      <c r="AD31" s="10">
        <v>612</v>
      </c>
      <c r="AE31" s="10">
        <v>472</v>
      </c>
      <c r="AF31" s="10">
        <v>918</v>
      </c>
      <c r="AG31" s="10">
        <v>1178</v>
      </c>
      <c r="AH31" s="10">
        <v>418</v>
      </c>
      <c r="AI31" s="10">
        <v>1044</v>
      </c>
      <c r="AJ31" s="10">
        <v>1512</v>
      </c>
      <c r="AK31" s="10">
        <v>610</v>
      </c>
      <c r="AL31" s="10">
        <v>1986</v>
      </c>
      <c r="AM31" s="10">
        <v>667</v>
      </c>
      <c r="AN31" s="10">
        <v>1331</v>
      </c>
      <c r="AO31" s="10">
        <v>637</v>
      </c>
      <c r="AP31" s="10">
        <v>481</v>
      </c>
      <c r="AQ31" s="10">
        <v>503</v>
      </c>
      <c r="AR31" s="10">
        <v>533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1:81">
      <c r="A32" s="4" t="s">
        <v>191</v>
      </c>
      <c r="B32" s="1" t="s">
        <v>192</v>
      </c>
      <c r="C32" s="1" t="s">
        <v>193</v>
      </c>
      <c r="D32" s="1" t="str">
        <f>HYPERLINK("http://eros.fiehnlab.ucdavis.edu:8080/binbase-compound/bin/show/199611?db=rtx5","199611")</f>
        <v>199611</v>
      </c>
      <c r="E32" s="1" t="s">
        <v>194</v>
      </c>
      <c r="F32" s="1" t="str">
        <f>HYPERLINK("http://www.genome.ad.jp/dbget-bin/www_bget?compound+C00148","C00148")</f>
        <v>C00148</v>
      </c>
      <c r="G32" s="1" t="str">
        <f>HYPERLINK("http://pubchem.ncbi.nlm.nih.gov/summary/summary.cgi?cid=145742","145742")</f>
        <v>145742</v>
      </c>
      <c r="H32" s="1"/>
      <c r="I32" s="10">
        <v>197504</v>
      </c>
      <c r="J32" s="10">
        <v>95619</v>
      </c>
      <c r="K32" s="10">
        <v>64450</v>
      </c>
      <c r="L32" s="10">
        <v>242443</v>
      </c>
      <c r="M32" s="10">
        <v>274460</v>
      </c>
      <c r="N32" s="10">
        <v>247185</v>
      </c>
      <c r="O32" s="10">
        <v>35514</v>
      </c>
      <c r="P32" s="10">
        <v>18580</v>
      </c>
      <c r="Q32" s="10">
        <v>171846</v>
      </c>
      <c r="R32" s="10">
        <v>121238</v>
      </c>
      <c r="S32" s="10">
        <v>74180</v>
      </c>
      <c r="T32" s="10">
        <v>27176</v>
      </c>
      <c r="U32" s="10">
        <v>234280</v>
      </c>
      <c r="V32" s="10">
        <v>203596</v>
      </c>
      <c r="W32" s="10">
        <v>219625</v>
      </c>
      <c r="X32" s="10">
        <v>163142</v>
      </c>
      <c r="Y32" s="10">
        <v>238726</v>
      </c>
      <c r="Z32" s="10">
        <v>209516</v>
      </c>
      <c r="AA32" s="10">
        <v>108282</v>
      </c>
      <c r="AB32" s="10">
        <v>77400</v>
      </c>
      <c r="AC32" s="10">
        <v>33231</v>
      </c>
      <c r="AD32" s="10">
        <v>179876</v>
      </c>
      <c r="AE32" s="10">
        <v>165656</v>
      </c>
      <c r="AF32" s="10">
        <v>61747</v>
      </c>
      <c r="AG32" s="10">
        <v>162431</v>
      </c>
      <c r="AH32" s="10">
        <v>245480</v>
      </c>
      <c r="AI32" s="10">
        <v>127132</v>
      </c>
      <c r="AJ32" s="10">
        <v>188780</v>
      </c>
      <c r="AK32" s="10">
        <v>219769</v>
      </c>
      <c r="AL32" s="10">
        <v>136683</v>
      </c>
      <c r="AM32" s="10">
        <v>166518</v>
      </c>
      <c r="AN32" s="10">
        <v>116437</v>
      </c>
      <c r="AO32" s="10">
        <v>175437</v>
      </c>
      <c r="AP32" s="10">
        <v>221316</v>
      </c>
      <c r="AQ32" s="10">
        <v>209670</v>
      </c>
      <c r="AR32" s="10">
        <v>238239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1:81">
      <c r="A33" s="4" t="s">
        <v>195</v>
      </c>
      <c r="B33" s="1" t="s">
        <v>197</v>
      </c>
      <c r="C33" s="1" t="s">
        <v>196</v>
      </c>
      <c r="D33" s="1" t="str">
        <f>HYPERLINK("http://eros.fiehnlab.ucdavis.edu:8080/binbase-compound/bin/show/218342?db=rtx5","218342")</f>
        <v>218342</v>
      </c>
      <c r="E33" s="1" t="s">
        <v>198</v>
      </c>
      <c r="F33" s="1" t="str">
        <f>HYPERLINK("http://www.genome.ad.jp/dbget-bin/www_bget?compound+C00009","C00009")</f>
        <v>C00009</v>
      </c>
      <c r="G33" s="1" t="str">
        <f>HYPERLINK("http://pubchem.ncbi.nlm.nih.gov/summary/summary.cgi?cid=1004","1004")</f>
        <v>1004</v>
      </c>
      <c r="H33" s="1"/>
      <c r="I33" s="10">
        <v>209422</v>
      </c>
      <c r="J33" s="10">
        <v>793805</v>
      </c>
      <c r="K33" s="10">
        <v>529039</v>
      </c>
      <c r="L33" s="10">
        <v>116169</v>
      </c>
      <c r="M33" s="10">
        <v>197517</v>
      </c>
      <c r="N33" s="10">
        <v>105691</v>
      </c>
      <c r="O33" s="10">
        <v>397383</v>
      </c>
      <c r="P33" s="10">
        <v>1080838</v>
      </c>
      <c r="Q33" s="10">
        <v>176068</v>
      </c>
      <c r="R33" s="10">
        <v>646473</v>
      </c>
      <c r="S33" s="10">
        <v>496955</v>
      </c>
      <c r="T33" s="10">
        <v>619214</v>
      </c>
      <c r="U33" s="10">
        <v>151309</v>
      </c>
      <c r="V33" s="10">
        <v>709176</v>
      </c>
      <c r="W33" s="10">
        <v>209956</v>
      </c>
      <c r="X33" s="10">
        <v>93302</v>
      </c>
      <c r="Y33" s="10">
        <v>152350</v>
      </c>
      <c r="Z33" s="10">
        <v>159003</v>
      </c>
      <c r="AA33" s="10">
        <v>650408</v>
      </c>
      <c r="AB33" s="10">
        <v>167639</v>
      </c>
      <c r="AC33" s="10">
        <v>540587</v>
      </c>
      <c r="AD33" s="10">
        <v>165934</v>
      </c>
      <c r="AE33" s="10">
        <v>139855</v>
      </c>
      <c r="AF33" s="10">
        <v>268195</v>
      </c>
      <c r="AG33" s="10">
        <v>323436</v>
      </c>
      <c r="AH33" s="10">
        <v>102442</v>
      </c>
      <c r="AI33" s="10">
        <v>133270</v>
      </c>
      <c r="AJ33" s="10">
        <v>369208</v>
      </c>
      <c r="AK33" s="10">
        <v>155468</v>
      </c>
      <c r="AL33" s="10">
        <v>666993</v>
      </c>
      <c r="AM33" s="10">
        <v>208087</v>
      </c>
      <c r="AN33" s="10">
        <v>306298</v>
      </c>
      <c r="AO33" s="10">
        <v>153139</v>
      </c>
      <c r="AP33" s="10">
        <v>197753</v>
      </c>
      <c r="AQ33" s="10">
        <v>217615</v>
      </c>
      <c r="AR33" s="10">
        <v>142657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1:81">
      <c r="A34" s="4" t="s">
        <v>199</v>
      </c>
      <c r="B34" s="1" t="s">
        <v>200</v>
      </c>
      <c r="C34" s="1" t="s">
        <v>201</v>
      </c>
      <c r="D34" s="1" t="str">
        <f>HYPERLINK("http://eros.fiehnlab.ucdavis.edu:8080/binbase-compound/bin/show/199628?db=rtx5","199628")</f>
        <v>199628</v>
      </c>
      <c r="E34" s="1" t="s">
        <v>202</v>
      </c>
      <c r="F34" s="1" t="str">
        <f>HYPERLINK("http://www.genome.ad.jp/dbget-bin/www_bget?compound+C00346","C00346")</f>
        <v>C00346</v>
      </c>
      <c r="G34" s="1" t="str">
        <f>HYPERLINK("http://pubchem.ncbi.nlm.nih.gov/summary/summary.cgi?cid=1015","1015")</f>
        <v>1015</v>
      </c>
      <c r="H34" s="1"/>
      <c r="I34" s="10">
        <v>3989</v>
      </c>
      <c r="J34" s="10">
        <v>18967</v>
      </c>
      <c r="K34" s="10">
        <v>13604</v>
      </c>
      <c r="L34" s="10">
        <v>1430</v>
      </c>
      <c r="M34" s="10">
        <v>8914</v>
      </c>
      <c r="N34" s="10">
        <v>976</v>
      </c>
      <c r="O34" s="10">
        <v>6228</v>
      </c>
      <c r="P34" s="10">
        <v>15984</v>
      </c>
      <c r="Q34" s="10">
        <v>3818</v>
      </c>
      <c r="R34" s="10">
        <v>597</v>
      </c>
      <c r="S34" s="10">
        <v>11439</v>
      </c>
      <c r="T34" s="10">
        <v>7533</v>
      </c>
      <c r="U34" s="10">
        <v>1106</v>
      </c>
      <c r="V34" s="10">
        <v>5061</v>
      </c>
      <c r="W34" s="10">
        <v>4175</v>
      </c>
      <c r="X34" s="10">
        <v>5040</v>
      </c>
      <c r="Y34" s="10">
        <v>4421</v>
      </c>
      <c r="Z34" s="10">
        <v>3716</v>
      </c>
      <c r="AA34" s="10">
        <v>17261</v>
      </c>
      <c r="AB34" s="10">
        <v>4436</v>
      </c>
      <c r="AC34" s="10">
        <v>12356</v>
      </c>
      <c r="AD34" s="10">
        <v>5134</v>
      </c>
      <c r="AE34" s="10">
        <v>5381</v>
      </c>
      <c r="AF34" s="10">
        <v>10287</v>
      </c>
      <c r="AG34" s="10">
        <v>17983</v>
      </c>
      <c r="AH34" s="10">
        <v>3031</v>
      </c>
      <c r="AI34" s="10">
        <v>8584</v>
      </c>
      <c r="AJ34" s="10">
        <v>10914</v>
      </c>
      <c r="AK34" s="10">
        <v>3248</v>
      </c>
      <c r="AL34" s="10">
        <v>13336</v>
      </c>
      <c r="AM34" s="10">
        <v>3693</v>
      </c>
      <c r="AN34" s="10">
        <v>6615</v>
      </c>
      <c r="AO34" s="10">
        <v>4286</v>
      </c>
      <c r="AP34" s="10">
        <v>2818</v>
      </c>
      <c r="AQ34" s="10">
        <v>6329</v>
      </c>
      <c r="AR34" s="10">
        <v>4678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1:81">
      <c r="A35" s="4" t="s">
        <v>204</v>
      </c>
      <c r="B35" s="1" t="s">
        <v>205</v>
      </c>
      <c r="C35" s="1" t="s">
        <v>115</v>
      </c>
      <c r="D35" s="1" t="str">
        <f>HYPERLINK("http://eros.fiehnlab.ucdavis.edu:8080/binbase-compound/bin/show/272665?db=rtx5","272665")</f>
        <v>272665</v>
      </c>
      <c r="E35" s="1" t="s">
        <v>206</v>
      </c>
      <c r="F35" s="1" t="str">
        <f>HYPERLINK("http://www.genome.ad.jp/dbget-bin/www_bget?compound+C05332","C05332")</f>
        <v>C05332</v>
      </c>
      <c r="G35" s="1" t="str">
        <f>HYPERLINK("http://pubchem.ncbi.nlm.nih.gov/summary/summary.cgi?cid=1001","1001")</f>
        <v>1001</v>
      </c>
      <c r="H35" s="1"/>
      <c r="I35" s="10">
        <v>5445</v>
      </c>
      <c r="J35" s="10">
        <v>3286</v>
      </c>
      <c r="K35" s="10">
        <v>568</v>
      </c>
      <c r="L35" s="10">
        <v>3153</v>
      </c>
      <c r="M35" s="10">
        <v>1981</v>
      </c>
      <c r="N35" s="10">
        <v>4071</v>
      </c>
      <c r="O35" s="10">
        <v>2454</v>
      </c>
      <c r="P35" s="10">
        <v>1937</v>
      </c>
      <c r="Q35" s="10">
        <v>4137</v>
      </c>
      <c r="R35" s="10">
        <v>2086</v>
      </c>
      <c r="S35" s="10">
        <v>671</v>
      </c>
      <c r="T35" s="10">
        <v>521</v>
      </c>
      <c r="U35" s="10">
        <v>456</v>
      </c>
      <c r="V35" s="10">
        <v>529</v>
      </c>
      <c r="W35" s="10">
        <v>732</v>
      </c>
      <c r="X35" s="10">
        <v>1372</v>
      </c>
      <c r="Y35" s="10">
        <v>2293</v>
      </c>
      <c r="Z35" s="10">
        <v>1382</v>
      </c>
      <c r="AA35" s="10">
        <v>743</v>
      </c>
      <c r="AB35" s="10">
        <v>558</v>
      </c>
      <c r="AC35" s="10">
        <v>512</v>
      </c>
      <c r="AD35" s="10">
        <v>1439</v>
      </c>
      <c r="AE35" s="10">
        <v>396</v>
      </c>
      <c r="AF35" s="10">
        <v>449</v>
      </c>
      <c r="AG35" s="10">
        <v>1659</v>
      </c>
      <c r="AH35" s="10">
        <v>4365</v>
      </c>
      <c r="AI35" s="10">
        <v>1613</v>
      </c>
      <c r="AJ35" s="10">
        <v>1527</v>
      </c>
      <c r="AK35" s="10">
        <v>470</v>
      </c>
      <c r="AL35" s="10">
        <v>802</v>
      </c>
      <c r="AM35" s="10">
        <v>867</v>
      </c>
      <c r="AN35" s="10">
        <v>2386</v>
      </c>
      <c r="AO35" s="10">
        <v>1378</v>
      </c>
      <c r="AP35" s="10">
        <v>1728</v>
      </c>
      <c r="AQ35" s="10">
        <v>504</v>
      </c>
      <c r="AR35" s="10">
        <v>2126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spans="1:81">
      <c r="A36" s="4" t="s">
        <v>207</v>
      </c>
      <c r="B36" s="1" t="s">
        <v>208</v>
      </c>
      <c r="C36" s="1" t="s">
        <v>112</v>
      </c>
      <c r="D36" s="1" t="str">
        <f>HYPERLINK("http://eros.fiehnlab.ucdavis.edu:8080/binbase-compound/bin/show/217642?db=rtx5","217642")</f>
        <v>217642</v>
      </c>
      <c r="E36" s="1" t="s">
        <v>209</v>
      </c>
      <c r="F36" s="1" t="str">
        <f>HYPERLINK("http://www.genome.ad.jp/dbget-bin/www_bget?compound+C00079","C00079")</f>
        <v>C00079</v>
      </c>
      <c r="G36" s="1" t="str">
        <f>HYPERLINK("http://pubchem.ncbi.nlm.nih.gov/summary/summary.cgi?cid=6140","6140")</f>
        <v>6140</v>
      </c>
      <c r="H36" s="1"/>
      <c r="I36" s="10">
        <v>366982</v>
      </c>
      <c r="J36" s="10">
        <v>165867</v>
      </c>
      <c r="K36" s="10">
        <v>123800</v>
      </c>
      <c r="L36" s="10">
        <v>434660</v>
      </c>
      <c r="M36" s="10">
        <v>308847</v>
      </c>
      <c r="N36" s="10">
        <v>384882</v>
      </c>
      <c r="O36" s="10">
        <v>142144</v>
      </c>
      <c r="P36" s="10">
        <v>170666</v>
      </c>
      <c r="Q36" s="10">
        <v>334167</v>
      </c>
      <c r="R36" s="10">
        <v>203418</v>
      </c>
      <c r="S36" s="10">
        <v>194764</v>
      </c>
      <c r="T36" s="10">
        <v>128123</v>
      </c>
      <c r="U36" s="10">
        <v>461571</v>
      </c>
      <c r="V36" s="10">
        <v>192270</v>
      </c>
      <c r="W36" s="10">
        <v>286588</v>
      </c>
      <c r="X36" s="10">
        <v>371961</v>
      </c>
      <c r="Y36" s="10">
        <v>385052</v>
      </c>
      <c r="Z36" s="10">
        <v>310326</v>
      </c>
      <c r="AA36" s="10">
        <v>178394</v>
      </c>
      <c r="AB36" s="10">
        <v>475282</v>
      </c>
      <c r="AC36" s="10">
        <v>115123</v>
      </c>
      <c r="AD36" s="10">
        <v>317288</v>
      </c>
      <c r="AE36" s="10">
        <v>364153</v>
      </c>
      <c r="AF36" s="10">
        <v>177884</v>
      </c>
      <c r="AG36" s="10">
        <v>153262</v>
      </c>
      <c r="AH36" s="10">
        <v>425756</v>
      </c>
      <c r="AI36" s="10">
        <v>245578</v>
      </c>
      <c r="AJ36" s="10">
        <v>177932</v>
      </c>
      <c r="AK36" s="10">
        <v>293370</v>
      </c>
      <c r="AL36" s="10">
        <v>192329</v>
      </c>
      <c r="AM36" s="10">
        <v>334571</v>
      </c>
      <c r="AN36" s="10">
        <v>201327</v>
      </c>
      <c r="AO36" s="10">
        <v>353632</v>
      </c>
      <c r="AP36" s="10">
        <v>398204</v>
      </c>
      <c r="AQ36" s="10">
        <v>253692</v>
      </c>
      <c r="AR36" s="10">
        <v>340687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1:81">
      <c r="A37" s="4" t="s">
        <v>210</v>
      </c>
      <c r="B37" s="1" t="s">
        <v>211</v>
      </c>
      <c r="C37" s="1" t="s">
        <v>128</v>
      </c>
      <c r="D37" s="1" t="str">
        <f>HYPERLINK("http://eros.fiehnlab.ucdavis.edu:8080/binbase-compound/bin/show/201810?db=rtx5","201810")</f>
        <v>201810</v>
      </c>
      <c r="E37" s="1" t="s">
        <v>212</v>
      </c>
      <c r="F37" s="1" t="str">
        <f>HYPERLINK("http://www.genome.ad.jp/dbget-bin/www_bget?compound+C01601","C01601")</f>
        <v>C01601</v>
      </c>
      <c r="G37" s="1" t="str">
        <f>HYPERLINK("http://pubchem.ncbi.nlm.nih.gov/summary/summary.cgi?cid=8158","8158")</f>
        <v>8158</v>
      </c>
      <c r="H37" s="1"/>
      <c r="I37" s="10">
        <v>10477</v>
      </c>
      <c r="J37" s="10">
        <v>41294</v>
      </c>
      <c r="K37" s="10">
        <v>43945</v>
      </c>
      <c r="L37" s="10">
        <v>8147</v>
      </c>
      <c r="M37" s="10">
        <v>19429</v>
      </c>
      <c r="N37" s="10">
        <v>8055</v>
      </c>
      <c r="O37" s="10">
        <v>18372</v>
      </c>
      <c r="P37" s="10">
        <v>39066</v>
      </c>
      <c r="Q37" s="10">
        <v>12058</v>
      </c>
      <c r="R37" s="10">
        <v>21826</v>
      </c>
      <c r="S37" s="10">
        <v>50401</v>
      </c>
      <c r="T37" s="10">
        <v>26834</v>
      </c>
      <c r="U37" s="10">
        <v>8573</v>
      </c>
      <c r="V37" s="10">
        <v>30487</v>
      </c>
      <c r="W37" s="10">
        <v>13948</v>
      </c>
      <c r="X37" s="10">
        <v>11501</v>
      </c>
      <c r="Y37" s="10">
        <v>10133</v>
      </c>
      <c r="Z37" s="10">
        <v>9572</v>
      </c>
      <c r="AA37" s="10">
        <v>42140</v>
      </c>
      <c r="AB37" s="10">
        <v>9336</v>
      </c>
      <c r="AC37" s="10">
        <v>14702</v>
      </c>
      <c r="AD37" s="10">
        <v>18114</v>
      </c>
      <c r="AE37" s="10">
        <v>7774</v>
      </c>
      <c r="AF37" s="10">
        <v>44412</v>
      </c>
      <c r="AG37" s="10">
        <v>32017</v>
      </c>
      <c r="AH37" s="10">
        <v>10992</v>
      </c>
      <c r="AI37" s="10">
        <v>19777</v>
      </c>
      <c r="AJ37" s="10">
        <v>21120</v>
      </c>
      <c r="AK37" s="10">
        <v>7455</v>
      </c>
      <c r="AL37" s="10">
        <v>32982</v>
      </c>
      <c r="AM37" s="10">
        <v>12422</v>
      </c>
      <c r="AN37" s="10">
        <v>16503</v>
      </c>
      <c r="AO37" s="10">
        <v>19077</v>
      </c>
      <c r="AP37" s="10">
        <v>7022</v>
      </c>
      <c r="AQ37" s="10">
        <v>16860</v>
      </c>
      <c r="AR37" s="10">
        <v>13222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1:81">
      <c r="A38" s="4" t="s">
        <v>213</v>
      </c>
      <c r="B38" s="1" t="s">
        <v>214</v>
      </c>
      <c r="C38" s="1" t="s">
        <v>79</v>
      </c>
      <c r="D38" s="1" t="str">
        <f>HYPERLINK("http://eros.fiehnlab.ucdavis.edu:8080/binbase-compound/bin/show/205158?db=rtx5","205158")</f>
        <v>205158</v>
      </c>
      <c r="E38" s="1" t="s">
        <v>215</v>
      </c>
      <c r="F38" s="1" t="str">
        <f>HYPERLINK("http://www.genome.ad.jp/dbget-bin/www_bget?compound+C00864","C00864")</f>
        <v>C00864</v>
      </c>
      <c r="G38" s="1" t="str">
        <f>HYPERLINK("http://pubchem.ncbi.nlm.nih.gov/summary/summary.cgi?cid=6613","6613")</f>
        <v>6613</v>
      </c>
      <c r="H38" s="1"/>
      <c r="I38" s="10">
        <v>4174</v>
      </c>
      <c r="J38" s="10">
        <v>7906</v>
      </c>
      <c r="K38" s="10">
        <v>6481</v>
      </c>
      <c r="L38" s="10">
        <v>4396</v>
      </c>
      <c r="M38" s="10">
        <v>4175</v>
      </c>
      <c r="N38" s="10">
        <v>2860</v>
      </c>
      <c r="O38" s="10">
        <v>7495</v>
      </c>
      <c r="P38" s="10">
        <v>13295</v>
      </c>
      <c r="Q38" s="10">
        <v>3561</v>
      </c>
      <c r="R38" s="10">
        <v>4672</v>
      </c>
      <c r="S38" s="10">
        <v>13218</v>
      </c>
      <c r="T38" s="10">
        <v>7367</v>
      </c>
      <c r="U38" s="10">
        <v>4363</v>
      </c>
      <c r="V38" s="10">
        <v>9462</v>
      </c>
      <c r="W38" s="10">
        <v>7401</v>
      </c>
      <c r="X38" s="10">
        <v>8718</v>
      </c>
      <c r="Y38" s="10">
        <v>4323</v>
      </c>
      <c r="Z38" s="10">
        <v>4673</v>
      </c>
      <c r="AA38" s="10">
        <v>15514</v>
      </c>
      <c r="AB38" s="10">
        <v>4420</v>
      </c>
      <c r="AC38" s="10">
        <v>10703</v>
      </c>
      <c r="AD38" s="10">
        <v>5928</v>
      </c>
      <c r="AE38" s="10">
        <v>4673</v>
      </c>
      <c r="AF38" s="10">
        <v>12922</v>
      </c>
      <c r="AG38" s="10">
        <v>14297</v>
      </c>
      <c r="AH38" s="10">
        <v>4719</v>
      </c>
      <c r="AI38" s="10">
        <v>5519</v>
      </c>
      <c r="AJ38" s="10">
        <v>7152</v>
      </c>
      <c r="AK38" s="10">
        <v>5822</v>
      </c>
      <c r="AL38" s="10">
        <v>8526</v>
      </c>
      <c r="AM38" s="10">
        <v>4675</v>
      </c>
      <c r="AN38" s="10">
        <v>8057</v>
      </c>
      <c r="AO38" s="10">
        <v>4998</v>
      </c>
      <c r="AP38" s="10">
        <v>5703</v>
      </c>
      <c r="AQ38" s="10">
        <v>5116</v>
      </c>
      <c r="AR38" s="10">
        <v>5236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1:81">
      <c r="A39" s="4" t="s">
        <v>216</v>
      </c>
      <c r="B39" s="1" t="s">
        <v>217</v>
      </c>
      <c r="C39" s="1" t="s">
        <v>218</v>
      </c>
      <c r="D39" s="1" t="str">
        <f>HYPERLINK("http://eros.fiehnlab.ucdavis.edu:8080/binbase-compound/bin/show/203265?db=rtx5","203265")</f>
        <v>203265</v>
      </c>
      <c r="E39" s="1" t="s">
        <v>219</v>
      </c>
      <c r="F39" s="1" t="str">
        <f>HYPERLINK("http://www.genome.ad.jp/dbget-bin/www_bget?compound+C08362","C08362")</f>
        <v>C08362</v>
      </c>
      <c r="G39" s="1" t="str">
        <f>HYPERLINK("http://pubchem.ncbi.nlm.nih.gov/summary/summary.cgi?cid=445638","445638")</f>
        <v>445638</v>
      </c>
      <c r="H39" s="1"/>
      <c r="I39" s="10">
        <v>844</v>
      </c>
      <c r="J39" s="10">
        <v>3939</v>
      </c>
      <c r="K39" s="10">
        <v>5508</v>
      </c>
      <c r="L39" s="10">
        <v>695</v>
      </c>
      <c r="M39" s="10">
        <v>1732</v>
      </c>
      <c r="N39" s="10">
        <v>652</v>
      </c>
      <c r="O39" s="10">
        <v>3126</v>
      </c>
      <c r="P39" s="10">
        <v>6255</v>
      </c>
      <c r="Q39" s="10">
        <v>1069</v>
      </c>
      <c r="R39" s="10">
        <v>1750</v>
      </c>
      <c r="S39" s="10">
        <v>2266</v>
      </c>
      <c r="T39" s="10">
        <v>13362</v>
      </c>
      <c r="U39" s="10">
        <v>399</v>
      </c>
      <c r="V39" s="10">
        <v>1230</v>
      </c>
      <c r="W39" s="10">
        <v>897</v>
      </c>
      <c r="X39" s="10">
        <v>1570</v>
      </c>
      <c r="Y39" s="10">
        <v>836</v>
      </c>
      <c r="Z39" s="10">
        <v>668</v>
      </c>
      <c r="AA39" s="10">
        <v>2488</v>
      </c>
      <c r="AB39" s="10">
        <v>1180</v>
      </c>
      <c r="AC39" s="10">
        <v>3035</v>
      </c>
      <c r="AD39" s="10">
        <v>1259</v>
      </c>
      <c r="AE39" s="10">
        <v>936</v>
      </c>
      <c r="AF39" s="10">
        <v>2681</v>
      </c>
      <c r="AG39" s="10">
        <v>1443</v>
      </c>
      <c r="AH39" s="10">
        <v>611</v>
      </c>
      <c r="AI39" s="10">
        <v>1201</v>
      </c>
      <c r="AJ39" s="10">
        <v>2804</v>
      </c>
      <c r="AK39" s="10">
        <v>927</v>
      </c>
      <c r="AL39" s="10">
        <v>5441</v>
      </c>
      <c r="AM39" s="10">
        <v>807</v>
      </c>
      <c r="AN39" s="10">
        <v>1204</v>
      </c>
      <c r="AO39" s="10">
        <v>885</v>
      </c>
      <c r="AP39" s="10">
        <v>1110</v>
      </c>
      <c r="AQ39" s="10">
        <v>1615</v>
      </c>
      <c r="AR39" s="10">
        <v>1161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1:81">
      <c r="A40" s="4" t="s">
        <v>220</v>
      </c>
      <c r="B40" s="1" t="s">
        <v>221</v>
      </c>
      <c r="C40" s="1" t="s">
        <v>222</v>
      </c>
      <c r="D40" s="1" t="str">
        <f>HYPERLINK("http://eros.fiehnlab.ucdavis.edu:8080/binbase-compound/bin/show/227993?db=rtx5","227993")</f>
        <v>227993</v>
      </c>
      <c r="E40" s="1" t="s">
        <v>223</v>
      </c>
      <c r="F40" s="1" t="str">
        <f>HYPERLINK("http://www.genome.ad.jp/dbget-bin/www_bget?compound+C00249","C00249")</f>
        <v>C00249</v>
      </c>
      <c r="G40" s="1" t="str">
        <f>HYPERLINK("http://pubchem.ncbi.nlm.nih.gov/summary/summary.cgi?cid=985","985")</f>
        <v>985</v>
      </c>
      <c r="H40" s="1"/>
      <c r="I40" s="10">
        <v>7637</v>
      </c>
      <c r="J40" s="10">
        <v>20099</v>
      </c>
      <c r="K40" s="10">
        <v>22639</v>
      </c>
      <c r="L40" s="10">
        <v>6634</v>
      </c>
      <c r="M40" s="10">
        <v>7922</v>
      </c>
      <c r="N40" s="10">
        <v>8550</v>
      </c>
      <c r="O40" s="10">
        <v>177</v>
      </c>
      <c r="P40" s="10">
        <v>34437</v>
      </c>
      <c r="Q40" s="10">
        <v>11113</v>
      </c>
      <c r="R40" s="10">
        <v>174</v>
      </c>
      <c r="S40" s="10">
        <v>18893</v>
      </c>
      <c r="T40" s="10">
        <v>31362</v>
      </c>
      <c r="U40" s="10">
        <v>5474</v>
      </c>
      <c r="V40" s="10">
        <v>10097</v>
      </c>
      <c r="W40" s="10">
        <v>10013</v>
      </c>
      <c r="X40" s="10">
        <v>13981</v>
      </c>
      <c r="Y40" s="10">
        <v>5968</v>
      </c>
      <c r="Z40" s="10">
        <v>8415</v>
      </c>
      <c r="AA40" s="10">
        <v>15351</v>
      </c>
      <c r="AB40" s="10">
        <v>6641</v>
      </c>
      <c r="AC40" s="10">
        <v>14699</v>
      </c>
      <c r="AD40" s="10">
        <v>8081</v>
      </c>
      <c r="AE40" s="10">
        <v>8663</v>
      </c>
      <c r="AF40" s="10">
        <v>11485</v>
      </c>
      <c r="AG40" s="10">
        <v>11551</v>
      </c>
      <c r="AH40" s="10">
        <v>6514</v>
      </c>
      <c r="AI40" s="10">
        <v>10522</v>
      </c>
      <c r="AJ40" s="10">
        <v>20341</v>
      </c>
      <c r="AK40" s="10">
        <v>10904</v>
      </c>
      <c r="AL40" s="10">
        <v>26370</v>
      </c>
      <c r="AM40" s="10">
        <v>9297</v>
      </c>
      <c r="AN40" s="10">
        <v>12132</v>
      </c>
      <c r="AO40" s="10">
        <v>6500</v>
      </c>
      <c r="AP40" s="10">
        <v>7312</v>
      </c>
      <c r="AQ40" s="10">
        <v>9663</v>
      </c>
      <c r="AR40" s="10">
        <v>7427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1:81">
      <c r="A41" s="4" t="s">
        <v>224</v>
      </c>
      <c r="B41" s="1" t="s">
        <v>225</v>
      </c>
      <c r="C41" s="1" t="s">
        <v>165</v>
      </c>
      <c r="D41" s="1" t="str">
        <f>HYPERLINK("http://eros.fiehnlab.ucdavis.edu:8080/binbase-compound/bin/show/199593?db=rtx5","199593")</f>
        <v>199593</v>
      </c>
      <c r="E41" s="1" t="s">
        <v>226</v>
      </c>
      <c r="F41" s="1" t="str">
        <f>HYPERLINK("http://www.genome.ad.jp/dbget-bin/www_bget?compound+C01879","C01879")</f>
        <v>C01879</v>
      </c>
      <c r="G41" s="1" t="str">
        <f>HYPERLINK("http://pubchem.ncbi.nlm.nih.gov/summary/summary.cgi?cid=7405","7405")</f>
        <v>7405</v>
      </c>
      <c r="H41" s="1"/>
      <c r="I41" s="10">
        <v>680939</v>
      </c>
      <c r="J41" s="10">
        <v>427518</v>
      </c>
      <c r="K41" s="10">
        <v>270693</v>
      </c>
      <c r="L41" s="10">
        <v>727414</v>
      </c>
      <c r="M41" s="10">
        <v>640021</v>
      </c>
      <c r="N41" s="10">
        <v>704033</v>
      </c>
      <c r="O41" s="10">
        <v>512478</v>
      </c>
      <c r="P41" s="10">
        <v>380508</v>
      </c>
      <c r="Q41" s="10">
        <v>642396</v>
      </c>
      <c r="R41" s="10">
        <v>546406</v>
      </c>
      <c r="S41" s="10">
        <v>459421</v>
      </c>
      <c r="T41" s="10">
        <v>237812</v>
      </c>
      <c r="U41" s="10">
        <v>818228</v>
      </c>
      <c r="V41" s="10">
        <v>418823</v>
      </c>
      <c r="W41" s="10">
        <v>562608</v>
      </c>
      <c r="X41" s="10">
        <v>650690</v>
      </c>
      <c r="Y41" s="10">
        <v>707847</v>
      </c>
      <c r="Z41" s="10">
        <v>577171</v>
      </c>
      <c r="AA41" s="10">
        <v>380540</v>
      </c>
      <c r="AB41" s="10">
        <v>854006</v>
      </c>
      <c r="AC41" s="10">
        <v>245438</v>
      </c>
      <c r="AD41" s="10">
        <v>615222</v>
      </c>
      <c r="AE41" s="10">
        <v>661148</v>
      </c>
      <c r="AF41" s="10">
        <v>344140</v>
      </c>
      <c r="AG41" s="10">
        <v>328271</v>
      </c>
      <c r="AH41" s="10">
        <v>779026</v>
      </c>
      <c r="AI41" s="10">
        <v>502519</v>
      </c>
      <c r="AJ41" s="10">
        <v>379729</v>
      </c>
      <c r="AK41" s="10">
        <v>551540</v>
      </c>
      <c r="AL41" s="10">
        <v>351101</v>
      </c>
      <c r="AM41" s="10">
        <v>622027</v>
      </c>
      <c r="AN41" s="10">
        <v>409402</v>
      </c>
      <c r="AO41" s="10">
        <v>662788</v>
      </c>
      <c r="AP41" s="10">
        <v>719440</v>
      </c>
      <c r="AQ41" s="10">
        <v>456543</v>
      </c>
      <c r="AR41" s="10">
        <v>625456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81">
      <c r="A42" s="4" t="s">
        <v>228</v>
      </c>
      <c r="B42" s="1" t="s">
        <v>229</v>
      </c>
      <c r="C42" s="1" t="s">
        <v>230</v>
      </c>
      <c r="D42" s="1" t="str">
        <f>HYPERLINK("http://eros.fiehnlab.ucdavis.edu:8080/binbase-compound/bin/show/219029?db=rtx5","219029")</f>
        <v>219029</v>
      </c>
      <c r="E42" s="1" t="s">
        <v>231</v>
      </c>
      <c r="F42" s="1" t="str">
        <f>HYPERLINK("http://www.genome.ad.jp/dbget-bin/www_bget?compound+C00295","C00295")</f>
        <v>C00295</v>
      </c>
      <c r="G42" s="1" t="str">
        <f>HYPERLINK("http://pubchem.ncbi.nlm.nih.gov/summary/summary.cgi?cid=967","967")</f>
        <v>967</v>
      </c>
      <c r="H42" s="1"/>
      <c r="I42" s="10">
        <v>513</v>
      </c>
      <c r="J42" s="10">
        <v>455</v>
      </c>
      <c r="K42" s="10">
        <v>364</v>
      </c>
      <c r="L42" s="10">
        <v>670</v>
      </c>
      <c r="M42" s="10">
        <v>466</v>
      </c>
      <c r="N42" s="10">
        <v>813</v>
      </c>
      <c r="O42" s="10">
        <v>607</v>
      </c>
      <c r="P42" s="10">
        <v>901</v>
      </c>
      <c r="Q42" s="10">
        <v>459</v>
      </c>
      <c r="R42" s="10">
        <v>659</v>
      </c>
      <c r="S42" s="10">
        <v>1270</v>
      </c>
      <c r="T42" s="10">
        <v>422</v>
      </c>
      <c r="U42" s="10">
        <v>1025</v>
      </c>
      <c r="V42" s="10">
        <v>973</v>
      </c>
      <c r="W42" s="10">
        <v>749</v>
      </c>
      <c r="X42" s="10">
        <v>611</v>
      </c>
      <c r="Y42" s="10">
        <v>678</v>
      </c>
      <c r="Z42" s="10">
        <v>535</v>
      </c>
      <c r="AA42" s="10">
        <v>670</v>
      </c>
      <c r="AB42" s="10">
        <v>926</v>
      </c>
      <c r="AC42" s="10">
        <v>1282</v>
      </c>
      <c r="AD42" s="10">
        <v>450</v>
      </c>
      <c r="AE42" s="10">
        <v>840</v>
      </c>
      <c r="AF42" s="10">
        <v>545</v>
      </c>
      <c r="AG42" s="10">
        <v>381</v>
      </c>
      <c r="AH42" s="10">
        <v>755</v>
      </c>
      <c r="AI42" s="10">
        <v>478</v>
      </c>
      <c r="AJ42" s="10">
        <v>502</v>
      </c>
      <c r="AK42" s="10">
        <v>526</v>
      </c>
      <c r="AL42" s="10">
        <v>458</v>
      </c>
      <c r="AM42" s="10">
        <v>468</v>
      </c>
      <c r="AN42" s="10">
        <v>400</v>
      </c>
      <c r="AO42" s="10">
        <v>631</v>
      </c>
      <c r="AP42" s="10">
        <v>574</v>
      </c>
      <c r="AQ42" s="10">
        <v>346</v>
      </c>
      <c r="AR42" s="10">
        <v>532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1:81">
      <c r="A43" s="4" t="s">
        <v>232</v>
      </c>
      <c r="B43" s="1" t="s">
        <v>233</v>
      </c>
      <c r="C43" s="1" t="s">
        <v>193</v>
      </c>
      <c r="D43" s="1" t="str">
        <f>HYPERLINK("http://eros.fiehnlab.ucdavis.edu:8080/binbase-compound/bin/show/202829?db=rtx5","202829")</f>
        <v>202829</v>
      </c>
      <c r="E43" s="1" t="s">
        <v>234</v>
      </c>
      <c r="F43" s="1" t="str">
        <f>HYPERLINK("http://www.genome.ad.jp/dbget-bin/www_bget?compound+C00077","C00077")</f>
        <v>C00077</v>
      </c>
      <c r="G43" s="1" t="str">
        <f>HYPERLINK("http://pubchem.ncbi.nlm.nih.gov/summary/summary.cgi?cid=6262","6262")</f>
        <v>6262</v>
      </c>
      <c r="H43" s="1"/>
      <c r="I43" s="10">
        <v>23060</v>
      </c>
      <c r="J43" s="10">
        <v>20987</v>
      </c>
      <c r="K43" s="10">
        <v>19617</v>
      </c>
      <c r="L43" s="10">
        <v>51665</v>
      </c>
      <c r="M43" s="10">
        <v>39058</v>
      </c>
      <c r="N43" s="10">
        <v>40546</v>
      </c>
      <c r="O43" s="10">
        <v>3529</v>
      </c>
      <c r="P43" s="10">
        <v>6074</v>
      </c>
      <c r="Q43" s="10">
        <v>27767</v>
      </c>
      <c r="R43" s="10">
        <v>3954</v>
      </c>
      <c r="S43" s="10">
        <v>10382</v>
      </c>
      <c r="T43" s="10">
        <v>8289</v>
      </c>
      <c r="U43" s="10">
        <v>40620</v>
      </c>
      <c r="V43" s="10">
        <v>26508</v>
      </c>
      <c r="W43" s="10">
        <v>37287</v>
      </c>
      <c r="X43" s="10">
        <v>27184</v>
      </c>
      <c r="Y43" s="10">
        <v>50780</v>
      </c>
      <c r="Z43" s="10">
        <v>24278</v>
      </c>
      <c r="AA43" s="10">
        <v>24021</v>
      </c>
      <c r="AB43" s="10">
        <v>26234</v>
      </c>
      <c r="AC43" s="10">
        <v>14707</v>
      </c>
      <c r="AD43" s="10">
        <v>28526</v>
      </c>
      <c r="AE43" s="10">
        <v>48898</v>
      </c>
      <c r="AF43" s="10">
        <v>11919</v>
      </c>
      <c r="AG43" s="10">
        <v>15964</v>
      </c>
      <c r="AH43" s="10">
        <v>34073</v>
      </c>
      <c r="AI43" s="10">
        <v>18064</v>
      </c>
      <c r="AJ43" s="10">
        <v>35037</v>
      </c>
      <c r="AK43" s="10">
        <v>30488</v>
      </c>
      <c r="AL43" s="10">
        <v>20596</v>
      </c>
      <c r="AM43" s="10">
        <v>44002</v>
      </c>
      <c r="AN43" s="10">
        <v>14474</v>
      </c>
      <c r="AO43" s="10">
        <v>29167</v>
      </c>
      <c r="AP43" s="10">
        <v>36500</v>
      </c>
      <c r="AQ43" s="10">
        <v>33040</v>
      </c>
      <c r="AR43" s="10">
        <v>28915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1:81">
      <c r="A44" s="4" t="s">
        <v>235</v>
      </c>
      <c r="B44" s="1" t="s">
        <v>236</v>
      </c>
      <c r="C44" s="1" t="s">
        <v>237</v>
      </c>
      <c r="D44" s="1" t="str">
        <f>HYPERLINK("http://eros.fiehnlab.ucdavis.edu:8080/binbase-compound/bin/show/215488?db=rtx5","215488")</f>
        <v>215488</v>
      </c>
      <c r="E44" s="1" t="s">
        <v>238</v>
      </c>
      <c r="F44" s="1" t="str">
        <f>HYPERLINK("http://www.genome.ad.jp/dbget-bin/www_bget?compound+C00712","C00712")</f>
        <v>C00712</v>
      </c>
      <c r="G44" s="1" t="str">
        <f>HYPERLINK("http://pubchem.ncbi.nlm.nih.gov/summary/summary.cgi?cid=445639","445639")</f>
        <v>445639</v>
      </c>
      <c r="H44" s="1"/>
      <c r="I44" s="10">
        <v>258</v>
      </c>
      <c r="J44" s="10">
        <v>406</v>
      </c>
      <c r="K44" s="10">
        <v>462</v>
      </c>
      <c r="L44" s="10">
        <v>186</v>
      </c>
      <c r="M44" s="10">
        <v>284</v>
      </c>
      <c r="N44" s="10">
        <v>196</v>
      </c>
      <c r="O44" s="10">
        <v>254</v>
      </c>
      <c r="P44" s="10">
        <v>606</v>
      </c>
      <c r="Q44" s="10">
        <v>427</v>
      </c>
      <c r="R44" s="10">
        <v>337</v>
      </c>
      <c r="S44" s="10">
        <v>576</v>
      </c>
      <c r="T44" s="10">
        <v>760</v>
      </c>
      <c r="U44" s="10">
        <v>179</v>
      </c>
      <c r="V44" s="10">
        <v>564</v>
      </c>
      <c r="W44" s="10">
        <v>335</v>
      </c>
      <c r="X44" s="10">
        <v>287</v>
      </c>
      <c r="Y44" s="10">
        <v>267</v>
      </c>
      <c r="Z44" s="10">
        <v>258</v>
      </c>
      <c r="AA44" s="10">
        <v>339</v>
      </c>
      <c r="AB44" s="10">
        <v>212</v>
      </c>
      <c r="AC44" s="10">
        <v>805</v>
      </c>
      <c r="AD44" s="10">
        <v>252</v>
      </c>
      <c r="AE44" s="10">
        <v>239</v>
      </c>
      <c r="AF44" s="10">
        <v>283</v>
      </c>
      <c r="AG44" s="10">
        <v>281</v>
      </c>
      <c r="AH44" s="10">
        <v>182</v>
      </c>
      <c r="AI44" s="10">
        <v>269</v>
      </c>
      <c r="AJ44" s="10">
        <v>472</v>
      </c>
      <c r="AK44" s="10">
        <v>282</v>
      </c>
      <c r="AL44" s="10">
        <v>578</v>
      </c>
      <c r="AM44" s="10">
        <v>312</v>
      </c>
      <c r="AN44" s="10">
        <v>255</v>
      </c>
      <c r="AO44" s="10">
        <v>246</v>
      </c>
      <c r="AP44" s="10">
        <v>220</v>
      </c>
      <c r="AQ44" s="10">
        <v>310</v>
      </c>
      <c r="AR44" s="10">
        <v>242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81">
      <c r="A45" s="4" t="s">
        <v>239</v>
      </c>
      <c r="B45" s="1" t="s">
        <v>240</v>
      </c>
      <c r="C45" s="1" t="s">
        <v>241</v>
      </c>
      <c r="D45" s="1" t="str">
        <f>HYPERLINK("http://eros.fiehnlab.ucdavis.edu:8080/binbase-compound/bin/show/205663?db=rtx5","205663")</f>
        <v>205663</v>
      </c>
      <c r="E45" s="1" t="s">
        <v>242</v>
      </c>
      <c r="F45" s="1" t="str">
        <f>HYPERLINK("http://www.genome.ad.jp/dbget-bin/www_bget?compound+C02721","C02721")</f>
        <v>C02721</v>
      </c>
      <c r="G45" s="1" t="str">
        <f>HYPERLINK("http://pubchem.ncbi.nlm.nih.gov/summary/summary.cgi?cid=5288725","5288725")</f>
        <v>5288725</v>
      </c>
      <c r="H45" s="1"/>
      <c r="I45" s="10">
        <v>17348</v>
      </c>
      <c r="J45" s="10">
        <v>15826</v>
      </c>
      <c r="K45" s="10">
        <v>16229</v>
      </c>
      <c r="L45" s="10">
        <v>16681</v>
      </c>
      <c r="M45" s="10">
        <v>20777</v>
      </c>
      <c r="N45" s="10">
        <v>15285</v>
      </c>
      <c r="O45" s="10">
        <v>17964</v>
      </c>
      <c r="P45" s="10">
        <v>17947</v>
      </c>
      <c r="Q45" s="10">
        <v>19313</v>
      </c>
      <c r="R45" s="10">
        <v>17176</v>
      </c>
      <c r="S45" s="10">
        <v>26441</v>
      </c>
      <c r="T45" s="10">
        <v>15002</v>
      </c>
      <c r="U45" s="10">
        <v>14774</v>
      </c>
      <c r="V45" s="10">
        <v>22061</v>
      </c>
      <c r="W45" s="10">
        <v>18384</v>
      </c>
      <c r="X45" s="10">
        <v>23272</v>
      </c>
      <c r="Y45" s="10">
        <v>19601</v>
      </c>
      <c r="Z45" s="10">
        <v>16038</v>
      </c>
      <c r="AA45" s="10">
        <v>23368</v>
      </c>
      <c r="AB45" s="10">
        <v>7673</v>
      </c>
      <c r="AC45" s="10">
        <v>10776</v>
      </c>
      <c r="AD45" s="10">
        <v>16336</v>
      </c>
      <c r="AE45" s="10">
        <v>15512</v>
      </c>
      <c r="AF45" s="10">
        <v>14717</v>
      </c>
      <c r="AG45" s="10">
        <v>23322</v>
      </c>
      <c r="AH45" s="10">
        <v>18047</v>
      </c>
      <c r="AI45" s="10">
        <v>12729</v>
      </c>
      <c r="AJ45" s="10">
        <v>20287</v>
      </c>
      <c r="AK45" s="10">
        <v>18527</v>
      </c>
      <c r="AL45" s="10">
        <v>22504</v>
      </c>
      <c r="AM45" s="10">
        <v>13628</v>
      </c>
      <c r="AN45" s="10">
        <v>19761</v>
      </c>
      <c r="AO45" s="10">
        <v>16118</v>
      </c>
      <c r="AP45" s="10">
        <v>17374</v>
      </c>
      <c r="AQ45" s="10">
        <v>20467</v>
      </c>
      <c r="AR45" s="10">
        <v>17619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1:81">
      <c r="A46" s="4" t="s">
        <v>243</v>
      </c>
      <c r="B46" s="1" t="s">
        <v>244</v>
      </c>
      <c r="C46" s="1" t="s">
        <v>114</v>
      </c>
      <c r="D46" s="1" t="str">
        <f>HYPERLINK("http://eros.fiehnlab.ucdavis.edu:8080/binbase-compound/bin/show/296490?db=rtx5","296490")</f>
        <v>296490</v>
      </c>
      <c r="E46" s="1" t="s">
        <v>245</v>
      </c>
      <c r="F46" s="1" t="str">
        <f>HYPERLINK("http://www.genome.ad.jp/dbget-bin/www_bget?compound+C00153","C00153")</f>
        <v>C00153</v>
      </c>
      <c r="G46" s="1" t="str">
        <f>HYPERLINK("http://pubchem.ncbi.nlm.nih.gov/summary/summary.cgi?cid=936","936")</f>
        <v>936</v>
      </c>
      <c r="H46" s="1"/>
      <c r="I46" s="10">
        <v>3703</v>
      </c>
      <c r="J46" s="10">
        <v>17347</v>
      </c>
      <c r="K46" s="10">
        <v>13965</v>
      </c>
      <c r="L46" s="10">
        <v>3499</v>
      </c>
      <c r="M46" s="10">
        <v>6068</v>
      </c>
      <c r="N46" s="10">
        <v>2309</v>
      </c>
      <c r="O46" s="10">
        <v>4988</v>
      </c>
      <c r="P46" s="10">
        <v>9779</v>
      </c>
      <c r="Q46" s="10">
        <v>5514</v>
      </c>
      <c r="R46" s="10">
        <v>5388</v>
      </c>
      <c r="S46" s="10">
        <v>17793</v>
      </c>
      <c r="T46" s="10">
        <v>5278</v>
      </c>
      <c r="U46" s="10">
        <v>4260</v>
      </c>
      <c r="V46" s="10">
        <v>29438</v>
      </c>
      <c r="W46" s="10">
        <v>12105</v>
      </c>
      <c r="X46" s="10">
        <v>5294</v>
      </c>
      <c r="Y46" s="10">
        <v>4798</v>
      </c>
      <c r="Z46" s="10">
        <v>6704</v>
      </c>
      <c r="AA46" s="10">
        <v>11586</v>
      </c>
      <c r="AB46" s="10">
        <v>3505</v>
      </c>
      <c r="AC46" s="10">
        <v>16457</v>
      </c>
      <c r="AD46" s="10">
        <v>6328</v>
      </c>
      <c r="AE46" s="10">
        <v>4219</v>
      </c>
      <c r="AF46" s="10">
        <v>9946</v>
      </c>
      <c r="AG46" s="10">
        <v>15324</v>
      </c>
      <c r="AH46" s="10">
        <v>5250</v>
      </c>
      <c r="AI46" s="10">
        <v>10429</v>
      </c>
      <c r="AJ46" s="10">
        <v>20001</v>
      </c>
      <c r="AK46" s="10">
        <v>10156</v>
      </c>
      <c r="AL46" s="10">
        <v>18383</v>
      </c>
      <c r="AM46" s="10">
        <v>7629</v>
      </c>
      <c r="AN46" s="10">
        <v>16871</v>
      </c>
      <c r="AO46" s="10">
        <v>6403</v>
      </c>
      <c r="AP46" s="10">
        <v>5264</v>
      </c>
      <c r="AQ46" s="10">
        <v>7559</v>
      </c>
      <c r="AR46" s="10">
        <v>6647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1:81">
      <c r="A47" s="4" t="s">
        <v>247</v>
      </c>
      <c r="B47" s="1" t="s">
        <v>248</v>
      </c>
      <c r="C47" s="1" t="s">
        <v>246</v>
      </c>
      <c r="D47" s="1" t="str">
        <f>HYPERLINK("http://eros.fiehnlab.ucdavis.edu:8080/binbase-compound/bin/show/212819?db=rtx5","212819")</f>
        <v>212819</v>
      </c>
      <c r="E47" s="1" t="s">
        <v>249</v>
      </c>
      <c r="F47" s="1" t="str">
        <f>HYPERLINK("http://www.genome.ad.jp/dbget-bin/www_bget?compound+C00624","C00624")</f>
        <v>C00624</v>
      </c>
      <c r="G47" s="1" t="str">
        <f>HYPERLINK("http://pubchem.ncbi.nlm.nih.gov/summary/summary.cgi?cid=70914","70914")</f>
        <v>70914</v>
      </c>
      <c r="H47" s="1"/>
      <c r="I47" s="10">
        <v>943</v>
      </c>
      <c r="J47" s="10">
        <v>4703</v>
      </c>
      <c r="K47" s="10">
        <v>4021</v>
      </c>
      <c r="L47" s="10">
        <v>923</v>
      </c>
      <c r="M47" s="10">
        <v>790</v>
      </c>
      <c r="N47" s="10">
        <v>986</v>
      </c>
      <c r="O47" s="10">
        <v>1677</v>
      </c>
      <c r="P47" s="10">
        <v>4464</v>
      </c>
      <c r="Q47" s="10">
        <v>1734</v>
      </c>
      <c r="R47" s="10">
        <v>1623</v>
      </c>
      <c r="S47" s="10">
        <v>4474</v>
      </c>
      <c r="T47" s="10">
        <v>2095</v>
      </c>
      <c r="U47" s="10">
        <v>1008</v>
      </c>
      <c r="V47" s="10">
        <v>1998</v>
      </c>
      <c r="W47" s="10">
        <v>1640</v>
      </c>
      <c r="X47" s="10">
        <v>1194</v>
      </c>
      <c r="Y47" s="10">
        <v>1087</v>
      </c>
      <c r="Z47" s="10">
        <v>878</v>
      </c>
      <c r="AA47" s="10">
        <v>4438</v>
      </c>
      <c r="AB47" s="10">
        <v>1497</v>
      </c>
      <c r="AC47" s="10">
        <v>3861</v>
      </c>
      <c r="AD47" s="10">
        <v>1212</v>
      </c>
      <c r="AE47" s="10">
        <v>992</v>
      </c>
      <c r="AF47" s="10">
        <v>1895</v>
      </c>
      <c r="AG47" s="10">
        <v>6910</v>
      </c>
      <c r="AH47" s="10">
        <v>2168</v>
      </c>
      <c r="AI47" s="10">
        <v>4058</v>
      </c>
      <c r="AJ47" s="10">
        <v>6918</v>
      </c>
      <c r="AK47" s="10">
        <v>2794</v>
      </c>
      <c r="AL47" s="10">
        <v>8268</v>
      </c>
      <c r="AM47" s="10">
        <v>1172</v>
      </c>
      <c r="AN47" s="10">
        <v>2191</v>
      </c>
      <c r="AO47" s="10">
        <v>1121</v>
      </c>
      <c r="AP47" s="10">
        <v>1090</v>
      </c>
      <c r="AQ47" s="10">
        <v>1508</v>
      </c>
      <c r="AR47" s="10">
        <v>1347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1:81">
      <c r="A48" s="4" t="s">
        <v>1204</v>
      </c>
      <c r="B48" s="1" t="s">
        <v>250</v>
      </c>
      <c r="C48" s="1" t="s">
        <v>125</v>
      </c>
      <c r="D48" s="1" t="str">
        <f>HYPERLINK("http://eros.fiehnlab.ucdavis.edu:8080/binbase-compound/bin/show/205676?db=rtx5","205676")</f>
        <v>205676</v>
      </c>
      <c r="E48" s="1" t="s">
        <v>251</v>
      </c>
      <c r="F48" s="1" t="str">
        <f>HYPERLINK("http://www.genome.ad.jp/dbget-bin/www_bget?compound+C00645","C00645")</f>
        <v>C00645</v>
      </c>
      <c r="G48" s="1" t="str">
        <f>HYPERLINK("http://pubchem.ncbi.nlm.nih.gov/summary/summary.cgi?cid=65150","65150")</f>
        <v>65150</v>
      </c>
      <c r="H48" s="1"/>
      <c r="I48" s="10">
        <v>201</v>
      </c>
      <c r="J48" s="10">
        <v>851</v>
      </c>
      <c r="K48" s="10">
        <v>705</v>
      </c>
      <c r="L48" s="10">
        <v>294</v>
      </c>
      <c r="M48" s="10">
        <v>328</v>
      </c>
      <c r="N48" s="10">
        <v>372</v>
      </c>
      <c r="O48" s="10">
        <v>392</v>
      </c>
      <c r="P48" s="10">
        <v>1047</v>
      </c>
      <c r="Q48" s="10">
        <v>428</v>
      </c>
      <c r="R48" s="10">
        <v>531</v>
      </c>
      <c r="S48" s="10">
        <v>1019</v>
      </c>
      <c r="T48" s="10">
        <v>561</v>
      </c>
      <c r="U48" s="10">
        <v>244</v>
      </c>
      <c r="V48" s="10">
        <v>593</v>
      </c>
      <c r="W48" s="10">
        <v>216</v>
      </c>
      <c r="X48" s="10">
        <v>502</v>
      </c>
      <c r="Y48" s="10">
        <v>179</v>
      </c>
      <c r="Z48" s="10">
        <v>349</v>
      </c>
      <c r="AA48" s="10">
        <v>882</v>
      </c>
      <c r="AB48" s="10">
        <v>387</v>
      </c>
      <c r="AC48" s="10">
        <v>804</v>
      </c>
      <c r="AD48" s="10">
        <v>318</v>
      </c>
      <c r="AE48" s="10">
        <v>410</v>
      </c>
      <c r="AF48" s="10">
        <v>385</v>
      </c>
      <c r="AG48" s="10">
        <v>927</v>
      </c>
      <c r="AH48" s="10">
        <v>372</v>
      </c>
      <c r="AI48" s="10">
        <v>377</v>
      </c>
      <c r="AJ48" s="10">
        <v>534</v>
      </c>
      <c r="AK48" s="10">
        <v>149</v>
      </c>
      <c r="AL48" s="10">
        <v>681</v>
      </c>
      <c r="AM48" s="10">
        <v>344</v>
      </c>
      <c r="AN48" s="10">
        <v>533</v>
      </c>
      <c r="AO48" s="10">
        <v>177</v>
      </c>
      <c r="AP48" s="10">
        <v>301</v>
      </c>
      <c r="AQ48" s="10">
        <v>124</v>
      </c>
      <c r="AR48" s="10">
        <v>370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1:81">
      <c r="A49" s="4" t="s">
        <v>252</v>
      </c>
      <c r="B49" s="1" t="s">
        <v>253</v>
      </c>
      <c r="C49" s="1" t="s">
        <v>254</v>
      </c>
      <c r="D49" s="1" t="str">
        <f>HYPERLINK("http://eros.fiehnlab.ucdavis.edu:8080/binbase-compound/bin/show/199929?db=rtx5","199929")</f>
        <v>199929</v>
      </c>
      <c r="E49" s="1" t="s">
        <v>255</v>
      </c>
      <c r="F49" s="1" t="str">
        <f>HYPERLINK("http://www.genome.ad.jp/dbget-bin/www_bget?compound+C06424","C06424")</f>
        <v>C06424</v>
      </c>
      <c r="G49" s="1" t="str">
        <f>HYPERLINK("http://pubchem.ncbi.nlm.nih.gov/summary/summary.cgi?cid=11005","11005")</f>
        <v>11005</v>
      </c>
      <c r="H49" s="1"/>
      <c r="I49" s="10">
        <v>958</v>
      </c>
      <c r="J49" s="10">
        <v>3412</v>
      </c>
      <c r="K49" s="10">
        <v>3329</v>
      </c>
      <c r="L49" s="10">
        <v>897</v>
      </c>
      <c r="M49" s="10">
        <v>1291</v>
      </c>
      <c r="N49" s="10">
        <v>987</v>
      </c>
      <c r="O49" s="10">
        <v>1962</v>
      </c>
      <c r="P49" s="10">
        <v>3421</v>
      </c>
      <c r="Q49" s="10">
        <v>1058</v>
      </c>
      <c r="R49" s="10">
        <v>1459</v>
      </c>
      <c r="S49" s="10">
        <v>2804</v>
      </c>
      <c r="T49" s="10">
        <v>3353</v>
      </c>
      <c r="U49" s="10">
        <v>676</v>
      </c>
      <c r="V49" s="10">
        <v>1290</v>
      </c>
      <c r="W49" s="10">
        <v>1263</v>
      </c>
      <c r="X49" s="10">
        <v>1362</v>
      </c>
      <c r="Y49" s="10">
        <v>970</v>
      </c>
      <c r="Z49" s="10">
        <v>1088</v>
      </c>
      <c r="AA49" s="10">
        <v>2357</v>
      </c>
      <c r="AB49" s="10">
        <v>954</v>
      </c>
      <c r="AC49" s="10">
        <v>2611</v>
      </c>
      <c r="AD49" s="10">
        <v>1145</v>
      </c>
      <c r="AE49" s="10">
        <v>1221</v>
      </c>
      <c r="AF49" s="10">
        <v>2428</v>
      </c>
      <c r="AG49" s="10">
        <v>1874</v>
      </c>
      <c r="AH49" s="10">
        <v>634</v>
      </c>
      <c r="AI49" s="10">
        <v>1638</v>
      </c>
      <c r="AJ49" s="10">
        <v>2663</v>
      </c>
      <c r="AK49" s="10">
        <v>929</v>
      </c>
      <c r="AL49" s="10">
        <v>3299</v>
      </c>
      <c r="AM49" s="10">
        <v>1004</v>
      </c>
      <c r="AN49" s="10">
        <v>1645</v>
      </c>
      <c r="AO49" s="10">
        <v>878</v>
      </c>
      <c r="AP49" s="10">
        <v>1007</v>
      </c>
      <c r="AQ49" s="10">
        <v>1321</v>
      </c>
      <c r="AR49" s="10">
        <v>865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1:81">
      <c r="A50" s="4" t="s">
        <v>256</v>
      </c>
      <c r="B50" s="1" t="s">
        <v>257</v>
      </c>
      <c r="C50" s="1" t="s">
        <v>141</v>
      </c>
      <c r="D50" s="1" t="str">
        <f>HYPERLINK("http://eros.fiehnlab.ucdavis.edu:8080/binbase-compound/bin/show/296075?db=rtx5","296075")</f>
        <v>296075</v>
      </c>
      <c r="E50" s="1" t="s">
        <v>258</v>
      </c>
      <c r="F50" s="1" t="str">
        <f>HYPERLINK("http://www.genome.ad.jp/dbget-bin/www_bget?compound+C00418","C00418")</f>
        <v>C00418</v>
      </c>
      <c r="G50" s="1" t="str">
        <f>HYPERLINK("http://pubchem.ncbi.nlm.nih.gov/summary/summary.cgi?cid=439230","439230")</f>
        <v>439230</v>
      </c>
      <c r="H50" s="1"/>
      <c r="I50" s="10">
        <v>300</v>
      </c>
      <c r="J50" s="10">
        <v>406</v>
      </c>
      <c r="K50" s="10">
        <v>382</v>
      </c>
      <c r="L50" s="10">
        <v>297</v>
      </c>
      <c r="M50" s="10">
        <v>359</v>
      </c>
      <c r="N50" s="10">
        <v>273</v>
      </c>
      <c r="O50" s="10">
        <v>354</v>
      </c>
      <c r="P50" s="10">
        <v>556</v>
      </c>
      <c r="Q50" s="10">
        <v>263</v>
      </c>
      <c r="R50" s="10">
        <v>320</v>
      </c>
      <c r="S50" s="10">
        <v>420</v>
      </c>
      <c r="T50" s="10">
        <v>525</v>
      </c>
      <c r="U50" s="10">
        <v>303</v>
      </c>
      <c r="V50" s="10">
        <v>393</v>
      </c>
      <c r="W50" s="10">
        <v>379</v>
      </c>
      <c r="X50" s="10">
        <v>359</v>
      </c>
      <c r="Y50" s="10">
        <v>281</v>
      </c>
      <c r="Z50" s="10">
        <v>277</v>
      </c>
      <c r="AA50" s="10">
        <v>502</v>
      </c>
      <c r="AB50" s="10">
        <v>344</v>
      </c>
      <c r="AC50" s="10">
        <v>236</v>
      </c>
      <c r="AD50" s="10">
        <v>363</v>
      </c>
      <c r="AE50" s="10">
        <v>228</v>
      </c>
      <c r="AF50" s="10">
        <v>319</v>
      </c>
      <c r="AG50" s="10">
        <v>364</v>
      </c>
      <c r="AH50" s="10">
        <v>405</v>
      </c>
      <c r="AI50" s="10">
        <v>313</v>
      </c>
      <c r="AJ50" s="10">
        <v>411</v>
      </c>
      <c r="AK50" s="10">
        <v>385</v>
      </c>
      <c r="AL50" s="10">
        <v>482</v>
      </c>
      <c r="AM50" s="10">
        <v>405</v>
      </c>
      <c r="AN50" s="10">
        <v>323</v>
      </c>
      <c r="AO50" s="10">
        <v>288</v>
      </c>
      <c r="AP50" s="10">
        <v>256</v>
      </c>
      <c r="AQ50" s="10">
        <v>317</v>
      </c>
      <c r="AR50" s="10">
        <v>278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1:81">
      <c r="A51" s="4" t="s">
        <v>262</v>
      </c>
      <c r="B51" s="1" t="s">
        <v>260</v>
      </c>
      <c r="C51" s="1" t="s">
        <v>259</v>
      </c>
      <c r="D51" s="1" t="str">
        <f>HYPERLINK("http://eros.fiehnlab.ucdavis.edu:8080/binbase-compound/bin/show/218901?db=rtx5","218901")</f>
        <v>218901</v>
      </c>
      <c r="E51" s="1" t="s">
        <v>261</v>
      </c>
      <c r="F51" s="1" t="str">
        <f>HYPERLINK("http://www.genome.ad.jp/dbget-bin/www_bget?compound+C02989","C02989")</f>
        <v>C02989</v>
      </c>
      <c r="G51" s="1" t="str">
        <f>HYPERLINK("http://pubchem.ncbi.nlm.nih.gov/summary/summary.cgi?cid=158980","158980")</f>
        <v>158980</v>
      </c>
      <c r="H51" s="1"/>
      <c r="I51" s="10">
        <v>72889</v>
      </c>
      <c r="J51" s="10">
        <v>64746</v>
      </c>
      <c r="K51" s="10">
        <v>50402</v>
      </c>
      <c r="L51" s="10">
        <v>4617</v>
      </c>
      <c r="M51" s="10">
        <v>64854</v>
      </c>
      <c r="N51" s="10">
        <v>63339</v>
      </c>
      <c r="O51" s="10">
        <v>82400</v>
      </c>
      <c r="P51" s="10">
        <v>42156</v>
      </c>
      <c r="Q51" s="10">
        <v>75348</v>
      </c>
      <c r="R51" s="10">
        <v>5957</v>
      </c>
      <c r="S51" s="10">
        <v>75844</v>
      </c>
      <c r="T51" s="10">
        <v>43326</v>
      </c>
      <c r="U51" s="10">
        <v>6936</v>
      </c>
      <c r="V51" s="10">
        <v>14121</v>
      </c>
      <c r="W51" s="10">
        <v>13351</v>
      </c>
      <c r="X51" s="10">
        <v>113934</v>
      </c>
      <c r="Y51" s="10">
        <v>8714</v>
      </c>
      <c r="Z51" s="10">
        <v>6442</v>
      </c>
      <c r="AA51" s="10">
        <v>76532</v>
      </c>
      <c r="AB51" s="10">
        <v>9148</v>
      </c>
      <c r="AC51" s="10">
        <v>48718</v>
      </c>
      <c r="AD51" s="10">
        <v>6798</v>
      </c>
      <c r="AE51" s="10">
        <v>71124</v>
      </c>
      <c r="AF51" s="10">
        <v>59396</v>
      </c>
      <c r="AG51" s="10">
        <v>60973</v>
      </c>
      <c r="AH51" s="10">
        <v>18725</v>
      </c>
      <c r="AI51" s="10">
        <v>75948</v>
      </c>
      <c r="AJ51" s="10">
        <v>50238</v>
      </c>
      <c r="AK51" s="10">
        <v>66199</v>
      </c>
      <c r="AL51" s="10">
        <v>80580</v>
      </c>
      <c r="AM51" s="10">
        <v>9263</v>
      </c>
      <c r="AN51" s="10">
        <v>4306</v>
      </c>
      <c r="AO51" s="10">
        <v>11472</v>
      </c>
      <c r="AP51" s="10">
        <v>5514</v>
      </c>
      <c r="AQ51" s="10">
        <v>72669</v>
      </c>
      <c r="AR51" s="10">
        <v>7311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1:81">
      <c r="A52" s="4" t="s">
        <v>263</v>
      </c>
      <c r="B52" s="1" t="s">
        <v>264</v>
      </c>
      <c r="C52" s="1" t="s">
        <v>265</v>
      </c>
      <c r="D52" s="1" t="str">
        <f>HYPERLINK("http://eros.fiehnlab.ucdavis.edu:8080/binbase-compound/bin/show/243699?db=rtx5","243699")</f>
        <v>243699</v>
      </c>
      <c r="E52" s="1" t="s">
        <v>266</v>
      </c>
      <c r="F52" s="1" t="str">
        <f>HYPERLINK("http://www.genome.ad.jp/dbget-bin/www_bget?compound+C00073","C00073")</f>
        <v>C00073</v>
      </c>
      <c r="G52" s="1" t="str">
        <f>HYPERLINK("http://pubchem.ncbi.nlm.nih.gov/summary/summary.cgi?cid=6137","6137")</f>
        <v>6137</v>
      </c>
      <c r="H52" s="1"/>
      <c r="I52" s="10">
        <v>44227</v>
      </c>
      <c r="J52" s="10">
        <v>4520</v>
      </c>
      <c r="K52" s="10">
        <v>1231</v>
      </c>
      <c r="L52" s="10">
        <v>138348</v>
      </c>
      <c r="M52" s="10">
        <v>62774</v>
      </c>
      <c r="N52" s="10">
        <v>69639</v>
      </c>
      <c r="O52" s="10">
        <v>401</v>
      </c>
      <c r="P52" s="10">
        <v>1983</v>
      </c>
      <c r="Q52" s="10">
        <v>50559</v>
      </c>
      <c r="R52" s="10">
        <v>277</v>
      </c>
      <c r="S52" s="10">
        <v>1048</v>
      </c>
      <c r="T52" s="10">
        <v>3602</v>
      </c>
      <c r="U52" s="10">
        <v>129924</v>
      </c>
      <c r="V52" s="10">
        <v>64301</v>
      </c>
      <c r="W52" s="10">
        <v>100593</v>
      </c>
      <c r="X52" s="10">
        <v>40454</v>
      </c>
      <c r="Y52" s="10">
        <v>108016</v>
      </c>
      <c r="Z52" s="10">
        <v>93026</v>
      </c>
      <c r="AA52" s="10">
        <v>3437</v>
      </c>
      <c r="AB52" s="10">
        <v>88993</v>
      </c>
      <c r="AC52" s="10">
        <v>2483</v>
      </c>
      <c r="AD52" s="10">
        <v>80642</v>
      </c>
      <c r="AE52" s="10">
        <v>59574</v>
      </c>
      <c r="AF52" s="10">
        <v>13115</v>
      </c>
      <c r="AG52" s="10">
        <v>11842</v>
      </c>
      <c r="AH52" s="10">
        <v>124846</v>
      </c>
      <c r="AI52" s="10">
        <v>26156</v>
      </c>
      <c r="AJ52" s="10">
        <v>29792</v>
      </c>
      <c r="AK52" s="10">
        <v>56056</v>
      </c>
      <c r="AL52" s="10">
        <v>3494</v>
      </c>
      <c r="AM52" s="10">
        <v>82613</v>
      </c>
      <c r="AN52" s="10">
        <v>53179</v>
      </c>
      <c r="AO52" s="10">
        <v>88447</v>
      </c>
      <c r="AP52" s="10">
        <v>113095</v>
      </c>
      <c r="AQ52" s="10">
        <v>39776</v>
      </c>
      <c r="AR52" s="10">
        <v>96347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1:81">
      <c r="A53" s="4" t="s">
        <v>267</v>
      </c>
      <c r="B53" s="1" t="s">
        <v>268</v>
      </c>
      <c r="C53" s="1" t="s">
        <v>269</v>
      </c>
      <c r="D53" s="1" t="str">
        <f>HYPERLINK("http://eros.fiehnlab.ucdavis.edu:8080/binbase-compound/bin/show/227823?db=rtx5","227823")</f>
        <v>227823</v>
      </c>
      <c r="E53" s="1" t="s">
        <v>270</v>
      </c>
      <c r="F53" s="1" t="str">
        <f>HYPERLINK("http://www.genome.ad.jp/dbget-bin/www_bget?compound+C00275","C00275")</f>
        <v>C00275</v>
      </c>
      <c r="G53" s="1" t="str">
        <f>HYPERLINK("http://pubchem.ncbi.nlm.nih.gov/summary/summary.cgi?cid=65127","65127")</f>
        <v>65127</v>
      </c>
      <c r="H53" s="1"/>
      <c r="I53" s="10">
        <v>102</v>
      </c>
      <c r="J53" s="10">
        <v>564</v>
      </c>
      <c r="K53" s="10">
        <v>839</v>
      </c>
      <c r="L53" s="10">
        <v>120</v>
      </c>
      <c r="M53" s="10">
        <v>568</v>
      </c>
      <c r="N53" s="10">
        <v>131</v>
      </c>
      <c r="O53" s="10">
        <v>288</v>
      </c>
      <c r="P53" s="10">
        <v>522</v>
      </c>
      <c r="Q53" s="10">
        <v>97</v>
      </c>
      <c r="R53" s="10">
        <v>133</v>
      </c>
      <c r="S53" s="10">
        <v>607</v>
      </c>
      <c r="T53" s="10">
        <v>704</v>
      </c>
      <c r="U53" s="10">
        <v>155</v>
      </c>
      <c r="V53" s="10">
        <v>272</v>
      </c>
      <c r="W53" s="10">
        <v>259</v>
      </c>
      <c r="X53" s="10">
        <v>153</v>
      </c>
      <c r="Y53" s="10">
        <v>244</v>
      </c>
      <c r="Z53" s="10">
        <v>174</v>
      </c>
      <c r="AA53" s="10">
        <v>458</v>
      </c>
      <c r="AB53" s="10">
        <v>85</v>
      </c>
      <c r="AC53" s="10">
        <v>509</v>
      </c>
      <c r="AD53" s="10">
        <v>158</v>
      </c>
      <c r="AE53" s="10">
        <v>186</v>
      </c>
      <c r="AF53" s="10">
        <v>265</v>
      </c>
      <c r="AG53" s="10">
        <v>472</v>
      </c>
      <c r="AH53" s="10">
        <v>105</v>
      </c>
      <c r="AI53" s="10">
        <v>149</v>
      </c>
      <c r="AJ53" s="10">
        <v>371</v>
      </c>
      <c r="AK53" s="10">
        <v>123</v>
      </c>
      <c r="AL53" s="10">
        <v>557</v>
      </c>
      <c r="AM53" s="10">
        <v>268</v>
      </c>
      <c r="AN53" s="10">
        <v>398</v>
      </c>
      <c r="AO53" s="10">
        <v>195</v>
      </c>
      <c r="AP53" s="10">
        <v>179</v>
      </c>
      <c r="AQ53" s="10">
        <v>403</v>
      </c>
      <c r="AR53" s="10">
        <v>200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1:81">
      <c r="A54" s="4" t="s">
        <v>271</v>
      </c>
      <c r="B54" s="1" t="s">
        <v>272</v>
      </c>
      <c r="C54" s="1" t="s">
        <v>159</v>
      </c>
      <c r="D54" s="1" t="str">
        <f>HYPERLINK("http://eros.fiehnlab.ucdavis.edu:8080/binbase-compound/bin/show/203245?db=rtx5","203245")</f>
        <v>203245</v>
      </c>
      <c r="E54" s="1" t="s">
        <v>273</v>
      </c>
      <c r="F54" s="1" t="str">
        <f>HYPERLINK("http://www.genome.ad.jp/dbget-bin/www_bget?compound+C01835","C01835")</f>
        <v>C01835</v>
      </c>
      <c r="G54" s="1" t="str">
        <f>HYPERLINK("http://pubchem.ncbi.nlm.nih.gov/summary/summary.cgi?cid=92146","92146")</f>
        <v>92146</v>
      </c>
      <c r="H54" s="1"/>
      <c r="I54" s="10">
        <v>145</v>
      </c>
      <c r="J54" s="10">
        <v>1590</v>
      </c>
      <c r="K54" s="10">
        <v>952</v>
      </c>
      <c r="L54" s="10">
        <v>99</v>
      </c>
      <c r="M54" s="10">
        <v>852</v>
      </c>
      <c r="N54" s="10">
        <v>328</v>
      </c>
      <c r="O54" s="10">
        <v>774</v>
      </c>
      <c r="P54" s="10">
        <v>4165</v>
      </c>
      <c r="Q54" s="10">
        <v>492</v>
      </c>
      <c r="R54" s="10">
        <v>704</v>
      </c>
      <c r="S54" s="10">
        <v>2286</v>
      </c>
      <c r="T54" s="10">
        <v>1325</v>
      </c>
      <c r="U54" s="10">
        <v>279</v>
      </c>
      <c r="V54" s="10">
        <v>473</v>
      </c>
      <c r="W54" s="10">
        <v>219</v>
      </c>
      <c r="X54" s="10">
        <v>242</v>
      </c>
      <c r="Y54" s="10">
        <v>314</v>
      </c>
      <c r="Z54" s="10">
        <v>300</v>
      </c>
      <c r="AA54" s="10">
        <v>1443</v>
      </c>
      <c r="AB54" s="10">
        <v>504</v>
      </c>
      <c r="AC54" s="10">
        <v>1182</v>
      </c>
      <c r="AD54" s="10">
        <v>404</v>
      </c>
      <c r="AE54" s="10">
        <v>418</v>
      </c>
      <c r="AF54" s="10">
        <v>1172</v>
      </c>
      <c r="AG54" s="10">
        <v>696</v>
      </c>
      <c r="AH54" s="10">
        <v>244</v>
      </c>
      <c r="AI54" s="10">
        <v>483</v>
      </c>
      <c r="AJ54" s="10">
        <v>519</v>
      </c>
      <c r="AK54" s="10">
        <v>170</v>
      </c>
      <c r="AL54" s="10">
        <v>511</v>
      </c>
      <c r="AM54" s="10">
        <v>194</v>
      </c>
      <c r="AN54" s="10">
        <v>526</v>
      </c>
      <c r="AO54" s="10">
        <v>262</v>
      </c>
      <c r="AP54" s="10">
        <v>286</v>
      </c>
      <c r="AQ54" s="10">
        <v>268</v>
      </c>
      <c r="AR54" s="10">
        <v>265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pans="1:81">
      <c r="A55" s="4" t="s">
        <v>1205</v>
      </c>
      <c r="B55" s="1" t="s">
        <v>274</v>
      </c>
      <c r="C55" s="1" t="s">
        <v>275</v>
      </c>
      <c r="D55" s="1" t="str">
        <f>HYPERLINK("http://eros.fiehnlab.ucdavis.edu:8080/binbase-compound/bin/show/218711?db=rtx5","218711")</f>
        <v>218711</v>
      </c>
      <c r="E55" s="1" t="s">
        <v>276</v>
      </c>
      <c r="F55" s="1" t="str">
        <f>HYPERLINK("http://www.genome.ad.jp/dbget-bin/www_bget?compound+C01971","C01971")</f>
        <v>C01971</v>
      </c>
      <c r="G55" s="1" t="str">
        <f>HYPERLINK("http://pubchem.ncbi.nlm.nih.gov/summary/summary.cgi?cid=6255","6255")</f>
        <v>6255</v>
      </c>
      <c r="H55" s="1"/>
      <c r="I55" s="10">
        <v>130</v>
      </c>
      <c r="J55" s="10">
        <v>5596</v>
      </c>
      <c r="K55" s="10">
        <v>5521</v>
      </c>
      <c r="L55" s="10">
        <v>323</v>
      </c>
      <c r="M55" s="10">
        <v>2815</v>
      </c>
      <c r="N55" s="10">
        <v>1264</v>
      </c>
      <c r="O55" s="10">
        <v>1589</v>
      </c>
      <c r="P55" s="10">
        <v>8690</v>
      </c>
      <c r="Q55" s="10">
        <v>880</v>
      </c>
      <c r="R55" s="10">
        <v>1941</v>
      </c>
      <c r="S55" s="10">
        <v>7941</v>
      </c>
      <c r="T55" s="10">
        <v>2885</v>
      </c>
      <c r="U55" s="10">
        <v>1090</v>
      </c>
      <c r="V55" s="10">
        <v>1541</v>
      </c>
      <c r="W55" s="10">
        <v>1096</v>
      </c>
      <c r="X55" s="10">
        <v>961</v>
      </c>
      <c r="Y55" s="10">
        <v>760</v>
      </c>
      <c r="Z55" s="10">
        <v>663</v>
      </c>
      <c r="AA55" s="10">
        <v>3141</v>
      </c>
      <c r="AB55" s="10">
        <v>1693</v>
      </c>
      <c r="AC55" s="10">
        <v>5780</v>
      </c>
      <c r="AD55" s="10">
        <v>1266</v>
      </c>
      <c r="AE55" s="10">
        <v>2007</v>
      </c>
      <c r="AF55" s="10">
        <v>3299</v>
      </c>
      <c r="AG55" s="10">
        <v>1452</v>
      </c>
      <c r="AH55" s="10">
        <v>652</v>
      </c>
      <c r="AI55" s="10">
        <v>926</v>
      </c>
      <c r="AJ55" s="10">
        <v>696</v>
      </c>
      <c r="AK55" s="10">
        <v>517</v>
      </c>
      <c r="AL55" s="10">
        <v>486</v>
      </c>
      <c r="AM55" s="10">
        <v>568</v>
      </c>
      <c r="AN55" s="10">
        <v>723</v>
      </c>
      <c r="AO55" s="10">
        <v>588</v>
      </c>
      <c r="AP55" s="10">
        <v>713</v>
      </c>
      <c r="AQ55" s="10">
        <v>907</v>
      </c>
      <c r="AR55" s="10">
        <v>703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pans="1:81">
      <c r="A56" s="4" t="s">
        <v>277</v>
      </c>
      <c r="B56" s="1" t="s">
        <v>278</v>
      </c>
      <c r="C56" s="1" t="s">
        <v>279</v>
      </c>
      <c r="D56" s="1" t="str">
        <f>HYPERLINK("http://eros.fiehnlab.ucdavis.edu:8080/binbase-compound/bin/show/247180?db=rtx5","247180")</f>
        <v>247180</v>
      </c>
      <c r="E56" s="1" t="s">
        <v>280</v>
      </c>
      <c r="F56" s="1" t="str">
        <f>HYPERLINK("http://www.genome.ad.jp/dbget-bin/www_bget?compound+C00149","C00149")</f>
        <v>C00149</v>
      </c>
      <c r="G56" s="1" t="str">
        <f>HYPERLINK("http://pubchem.ncbi.nlm.nih.gov/summary/summary.cgi?cid=222656","222656")</f>
        <v>222656</v>
      </c>
      <c r="H56" s="1"/>
      <c r="I56" s="10">
        <v>1695</v>
      </c>
      <c r="J56" s="10">
        <v>99573</v>
      </c>
      <c r="K56" s="10">
        <v>38721</v>
      </c>
      <c r="L56" s="10">
        <v>736</v>
      </c>
      <c r="M56" s="10">
        <v>93016</v>
      </c>
      <c r="N56" s="10">
        <v>17025</v>
      </c>
      <c r="O56" s="10">
        <v>338</v>
      </c>
      <c r="P56" s="10">
        <v>34782</v>
      </c>
      <c r="Q56" s="10">
        <v>3475</v>
      </c>
      <c r="R56" s="10">
        <v>22057</v>
      </c>
      <c r="S56" s="10">
        <v>34609</v>
      </c>
      <c r="T56" s="10">
        <v>8260</v>
      </c>
      <c r="U56" s="10">
        <v>19769</v>
      </c>
      <c r="V56" s="10">
        <v>38540</v>
      </c>
      <c r="W56" s="10">
        <v>25670</v>
      </c>
      <c r="X56" s="10">
        <v>4010</v>
      </c>
      <c r="Y56" s="10">
        <v>45778</v>
      </c>
      <c r="Z56" s="10">
        <v>33083</v>
      </c>
      <c r="AA56" s="10">
        <v>16046</v>
      </c>
      <c r="AB56" s="10">
        <v>6972</v>
      </c>
      <c r="AC56" s="10">
        <v>16957</v>
      </c>
      <c r="AD56" s="10">
        <v>25911</v>
      </c>
      <c r="AE56" s="10">
        <v>5573</v>
      </c>
      <c r="AF56" s="10">
        <v>10651</v>
      </c>
      <c r="AG56" s="10">
        <v>48094</v>
      </c>
      <c r="AH56" s="10">
        <v>21321</v>
      </c>
      <c r="AI56" s="10">
        <v>10021</v>
      </c>
      <c r="AJ56" s="10">
        <v>40180</v>
      </c>
      <c r="AK56" s="10">
        <v>35245</v>
      </c>
      <c r="AL56" s="10">
        <v>14099</v>
      </c>
      <c r="AM56" s="10">
        <v>16929</v>
      </c>
      <c r="AN56" s="10">
        <v>25168</v>
      </c>
      <c r="AO56" s="10">
        <v>21147</v>
      </c>
      <c r="AP56" s="10">
        <v>21757</v>
      </c>
      <c r="AQ56" s="10">
        <v>36056</v>
      </c>
      <c r="AR56" s="10">
        <v>21141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pans="1:81">
      <c r="A57" s="4" t="s">
        <v>281</v>
      </c>
      <c r="B57" s="1" t="s">
        <v>282</v>
      </c>
      <c r="C57" s="1" t="s">
        <v>283</v>
      </c>
      <c r="D57" s="1" t="str">
        <f>HYPERLINK("http://eros.fiehnlab.ucdavis.edu:8080/binbase-compound/bin/show/200907?db=rtx5","200907")</f>
        <v>200907</v>
      </c>
      <c r="E57" s="1" t="s">
        <v>284</v>
      </c>
      <c r="F57" s="1" t="str">
        <f>HYPERLINK("http://www.genome.ad.jp/dbget-bin/www_bget?compound+C07272","C07272")</f>
        <v>C07272</v>
      </c>
      <c r="G57" s="1" t="str">
        <f>HYPERLINK("http://pubchem.ncbi.nlm.nih.gov/summary/summary.cgi?cid=10935","10935")</f>
        <v>10935</v>
      </c>
      <c r="H57" s="1"/>
      <c r="I57" s="10">
        <v>10016</v>
      </c>
      <c r="J57" s="10">
        <v>4258</v>
      </c>
      <c r="K57" s="10">
        <v>4968</v>
      </c>
      <c r="L57" s="10">
        <v>11728</v>
      </c>
      <c r="M57" s="10">
        <v>8298</v>
      </c>
      <c r="N57" s="10">
        <v>14537</v>
      </c>
      <c r="O57" s="10">
        <v>5671</v>
      </c>
      <c r="P57" s="10">
        <v>11217</v>
      </c>
      <c r="Q57" s="10">
        <v>12378</v>
      </c>
      <c r="R57" s="10">
        <v>5690</v>
      </c>
      <c r="S57" s="10">
        <v>6492</v>
      </c>
      <c r="T57" s="10">
        <v>3416</v>
      </c>
      <c r="U57" s="10">
        <v>16926</v>
      </c>
      <c r="V57" s="10">
        <v>6966</v>
      </c>
      <c r="W57" s="10">
        <v>8159</v>
      </c>
      <c r="X57" s="10">
        <v>13156</v>
      </c>
      <c r="Y57" s="10">
        <v>10902</v>
      </c>
      <c r="Z57" s="10">
        <v>6593</v>
      </c>
      <c r="AA57" s="10">
        <v>6706</v>
      </c>
      <c r="AB57" s="10">
        <v>13538</v>
      </c>
      <c r="AC57" s="10">
        <v>6481</v>
      </c>
      <c r="AD57" s="10">
        <v>6572</v>
      </c>
      <c r="AE57" s="10">
        <v>14849</v>
      </c>
      <c r="AF57" s="10">
        <v>4667</v>
      </c>
      <c r="AG57" s="10">
        <v>5714</v>
      </c>
      <c r="AH57" s="10">
        <v>17844</v>
      </c>
      <c r="AI57" s="10">
        <v>7262</v>
      </c>
      <c r="AJ57" s="10">
        <v>8295</v>
      </c>
      <c r="AK57" s="10">
        <v>11869</v>
      </c>
      <c r="AL57" s="10">
        <v>7058</v>
      </c>
      <c r="AM57" s="10">
        <v>10754</v>
      </c>
      <c r="AN57" s="10">
        <v>5757</v>
      </c>
      <c r="AO57" s="10">
        <v>11716</v>
      </c>
      <c r="AP57" s="10">
        <v>10651</v>
      </c>
      <c r="AQ57" s="10">
        <v>9005</v>
      </c>
      <c r="AR57" s="10">
        <v>7497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pans="1:81">
      <c r="A58" s="4" t="s">
        <v>1206</v>
      </c>
      <c r="B58" s="1" t="s">
        <v>285</v>
      </c>
      <c r="C58" s="1" t="s">
        <v>185</v>
      </c>
      <c r="D58" s="1" t="str">
        <f>HYPERLINK("http://eros.fiehnlab.ucdavis.edu:8080/binbase-compound/bin/show/323629?db=rtx5","323629")</f>
        <v>323629</v>
      </c>
      <c r="E58" s="1" t="s">
        <v>286</v>
      </c>
      <c r="F58" s="1" t="str">
        <f>HYPERLINK("http://www.genome.ad.jp/dbget-bin/www_bget?compound+n/a","n/a")</f>
        <v>n/a</v>
      </c>
      <c r="G58" s="1" t="str">
        <f>HYPERLINK("http://pubchem.ncbi.nlm.nih.gov/summary/summary.cgi?cid=65550","65550")</f>
        <v>65550</v>
      </c>
      <c r="H58" s="1"/>
      <c r="I58" s="10">
        <v>95169</v>
      </c>
      <c r="J58" s="10">
        <v>19545</v>
      </c>
      <c r="K58" s="10">
        <v>22872</v>
      </c>
      <c r="L58" s="10">
        <v>92579</v>
      </c>
      <c r="M58" s="10">
        <v>113874</v>
      </c>
      <c r="N58" s="10">
        <v>110772</v>
      </c>
      <c r="O58" s="10">
        <v>97250</v>
      </c>
      <c r="P58" s="10">
        <v>50286</v>
      </c>
      <c r="Q58" s="10">
        <v>58812</v>
      </c>
      <c r="R58" s="10">
        <v>76324</v>
      </c>
      <c r="S58" s="10">
        <v>64437</v>
      </c>
      <c r="T58" s="10">
        <v>35721</v>
      </c>
      <c r="U58" s="10">
        <v>55769</v>
      </c>
      <c r="V58" s="10">
        <v>48131</v>
      </c>
      <c r="W58" s="10">
        <v>58821</v>
      </c>
      <c r="X58" s="10">
        <v>99905</v>
      </c>
      <c r="Y58" s="10">
        <v>56190</v>
      </c>
      <c r="Z58" s="10">
        <v>57160</v>
      </c>
      <c r="AA58" s="10">
        <v>46035</v>
      </c>
      <c r="AB58" s="10">
        <v>13401</v>
      </c>
      <c r="AC58" s="10">
        <v>44381</v>
      </c>
      <c r="AD58" s="10">
        <v>60487</v>
      </c>
      <c r="AE58" s="10">
        <v>55418</v>
      </c>
      <c r="AF58" s="10">
        <v>89459</v>
      </c>
      <c r="AG58" s="10">
        <v>72602</v>
      </c>
      <c r="AH58" s="10">
        <v>220177</v>
      </c>
      <c r="AI58" s="10">
        <v>79266</v>
      </c>
      <c r="AJ58" s="10">
        <v>44902</v>
      </c>
      <c r="AK58" s="10">
        <v>55097</v>
      </c>
      <c r="AL58" s="10">
        <v>95270</v>
      </c>
      <c r="AM58" s="10">
        <v>108241</v>
      </c>
      <c r="AN58" s="10">
        <v>44522</v>
      </c>
      <c r="AO58" s="10">
        <v>96486</v>
      </c>
      <c r="AP58" s="10">
        <v>53776</v>
      </c>
      <c r="AQ58" s="10">
        <v>96197</v>
      </c>
      <c r="AR58" s="10">
        <v>87988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pans="1:81">
      <c r="A59" s="4" t="s">
        <v>287</v>
      </c>
      <c r="B59" s="1" t="s">
        <v>288</v>
      </c>
      <c r="C59" s="1" t="s">
        <v>165</v>
      </c>
      <c r="D59" s="1" t="str">
        <f>HYPERLINK("http://eros.fiehnlab.ucdavis.edu:8080/binbase-compound/bin/show/200530?db=rtx5","200530")</f>
        <v>200530</v>
      </c>
      <c r="E59" s="1" t="s">
        <v>289</v>
      </c>
      <c r="F59" s="1" t="str">
        <f>HYPERLINK("http://www.genome.ad.jp/dbget-bin/www_bget?compound+C00047","C00047")</f>
        <v>C00047</v>
      </c>
      <c r="G59" s="1" t="str">
        <f>HYPERLINK("http://pubchem.ncbi.nlm.nih.gov/summary/summary.cgi?cid=5962","5962")</f>
        <v>5962</v>
      </c>
      <c r="H59" s="1"/>
      <c r="I59" s="10">
        <v>457119</v>
      </c>
      <c r="J59" s="10">
        <v>72763</v>
      </c>
      <c r="K59" s="10">
        <v>40964</v>
      </c>
      <c r="L59" s="10">
        <v>561690</v>
      </c>
      <c r="M59" s="10">
        <v>239906</v>
      </c>
      <c r="N59" s="10">
        <v>405057</v>
      </c>
      <c r="O59" s="10">
        <v>289496</v>
      </c>
      <c r="P59" s="10">
        <v>115199</v>
      </c>
      <c r="Q59" s="10">
        <v>452852</v>
      </c>
      <c r="R59" s="10">
        <v>318068</v>
      </c>
      <c r="S59" s="10">
        <v>95888</v>
      </c>
      <c r="T59" s="10">
        <v>143275</v>
      </c>
      <c r="U59" s="10">
        <v>559537</v>
      </c>
      <c r="V59" s="10">
        <v>217577</v>
      </c>
      <c r="W59" s="10">
        <v>379557</v>
      </c>
      <c r="X59" s="10">
        <v>478243</v>
      </c>
      <c r="Y59" s="10">
        <v>376133</v>
      </c>
      <c r="Z59" s="10">
        <v>383946</v>
      </c>
      <c r="AA59" s="10">
        <v>203793</v>
      </c>
      <c r="AB59" s="10">
        <v>319258</v>
      </c>
      <c r="AC59" s="10">
        <v>149690</v>
      </c>
      <c r="AD59" s="10">
        <v>429599</v>
      </c>
      <c r="AE59" s="10">
        <v>450105</v>
      </c>
      <c r="AF59" s="10">
        <v>189619</v>
      </c>
      <c r="AG59" s="10">
        <v>202186</v>
      </c>
      <c r="AH59" s="10">
        <v>552848</v>
      </c>
      <c r="AI59" s="10">
        <v>313640</v>
      </c>
      <c r="AJ59" s="10">
        <v>190135</v>
      </c>
      <c r="AK59" s="10">
        <v>355179</v>
      </c>
      <c r="AL59" s="10">
        <v>78051</v>
      </c>
      <c r="AM59" s="10">
        <v>477845</v>
      </c>
      <c r="AN59" s="10">
        <v>225687</v>
      </c>
      <c r="AO59" s="10">
        <v>420934</v>
      </c>
      <c r="AP59" s="10">
        <v>573738</v>
      </c>
      <c r="AQ59" s="10">
        <v>248221</v>
      </c>
      <c r="AR59" s="10">
        <v>425286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pans="1:81">
      <c r="A60" s="4" t="s">
        <v>290</v>
      </c>
      <c r="B60" s="1" t="s">
        <v>291</v>
      </c>
      <c r="C60" s="1" t="s">
        <v>159</v>
      </c>
      <c r="D60" s="1" t="str">
        <f>HYPERLINK("http://eros.fiehnlab.ucdavis.edu:8080/binbase-compound/bin/show/199201?db=rtx5","199201")</f>
        <v>199201</v>
      </c>
      <c r="E60" s="1" t="s">
        <v>292</v>
      </c>
      <c r="F60" s="1" t="str">
        <f>HYPERLINK("http://www.genome.ad.jp/dbget-bin/www_bget?compound+n/a","n/a")</f>
        <v>n/a</v>
      </c>
      <c r="G60" s="1" t="str">
        <f>HYPERLINK("http://pubchem.ncbi.nlm.nih.gov/summary/summary.cgi?cid=2724705","2724705")</f>
        <v>2724705</v>
      </c>
      <c r="H60" s="1"/>
      <c r="I60" s="10">
        <v>1112</v>
      </c>
      <c r="J60" s="10">
        <v>1372</v>
      </c>
      <c r="K60" s="10">
        <v>1350</v>
      </c>
      <c r="L60" s="10">
        <v>1192</v>
      </c>
      <c r="M60" s="10">
        <v>1032</v>
      </c>
      <c r="N60" s="10">
        <v>855</v>
      </c>
      <c r="O60" s="10">
        <v>1323</v>
      </c>
      <c r="P60" s="10">
        <v>1726</v>
      </c>
      <c r="Q60" s="10">
        <v>1141</v>
      </c>
      <c r="R60" s="10">
        <v>897</v>
      </c>
      <c r="S60" s="10">
        <v>1275</v>
      </c>
      <c r="T60" s="10">
        <v>1381</v>
      </c>
      <c r="U60" s="10">
        <v>1443</v>
      </c>
      <c r="V60" s="10">
        <v>2228</v>
      </c>
      <c r="W60" s="10">
        <v>1321</v>
      </c>
      <c r="X60" s="10">
        <v>937</v>
      </c>
      <c r="Y60" s="10">
        <v>1123</v>
      </c>
      <c r="Z60" s="10">
        <v>986</v>
      </c>
      <c r="AA60" s="10">
        <v>1546</v>
      </c>
      <c r="AB60" s="10">
        <v>1038</v>
      </c>
      <c r="AC60" s="10">
        <v>1184</v>
      </c>
      <c r="AD60" s="10">
        <v>1087</v>
      </c>
      <c r="AE60" s="10">
        <v>1260</v>
      </c>
      <c r="AF60" s="10">
        <v>1019</v>
      </c>
      <c r="AG60" s="10">
        <v>1616</v>
      </c>
      <c r="AH60" s="10">
        <v>1210</v>
      </c>
      <c r="AI60" s="10">
        <v>1111</v>
      </c>
      <c r="AJ60" s="10">
        <v>1409</v>
      </c>
      <c r="AK60" s="10">
        <v>1080</v>
      </c>
      <c r="AL60" s="10">
        <v>1174</v>
      </c>
      <c r="AM60" s="10">
        <v>1050</v>
      </c>
      <c r="AN60" s="10">
        <v>1267</v>
      </c>
      <c r="AO60" s="10">
        <v>1086</v>
      </c>
      <c r="AP60" s="10">
        <v>676</v>
      </c>
      <c r="AQ60" s="10">
        <v>1236</v>
      </c>
      <c r="AR60" s="10">
        <v>1037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pans="1:81">
      <c r="A61" s="4" t="s">
        <v>293</v>
      </c>
      <c r="B61" s="1" t="s">
        <v>294</v>
      </c>
      <c r="C61" s="1" t="s">
        <v>246</v>
      </c>
      <c r="D61" s="1" t="str">
        <f>HYPERLINK("http://eros.fiehnlab.ucdavis.edu:8080/binbase-compound/bin/show/232325?db=rtx5","232325")</f>
        <v>232325</v>
      </c>
      <c r="E61" s="1" t="s">
        <v>295</v>
      </c>
      <c r="F61" s="1" t="str">
        <f>HYPERLINK("http://www.genome.ad.jp/dbget-bin/www_bget?compound+C00123","C00123")</f>
        <v>C00123</v>
      </c>
      <c r="G61" s="1" t="str">
        <f>HYPERLINK("http://pubchem.ncbi.nlm.nih.gov/summary/summary.cgi?cid=6106","6106")</f>
        <v>6106</v>
      </c>
      <c r="H61" s="1"/>
      <c r="I61" s="10">
        <v>520971</v>
      </c>
      <c r="J61" s="10">
        <v>179569</v>
      </c>
      <c r="K61" s="10">
        <v>254346</v>
      </c>
      <c r="L61" s="10">
        <v>622954</v>
      </c>
      <c r="M61" s="10">
        <v>618067</v>
      </c>
      <c r="N61" s="10">
        <v>691178</v>
      </c>
      <c r="O61" s="10">
        <v>369596</v>
      </c>
      <c r="P61" s="10">
        <v>512369</v>
      </c>
      <c r="Q61" s="10">
        <v>590787</v>
      </c>
      <c r="R61" s="10">
        <v>467508</v>
      </c>
      <c r="S61" s="10">
        <v>672211</v>
      </c>
      <c r="T61" s="10">
        <v>255320</v>
      </c>
      <c r="U61" s="10">
        <v>654392</v>
      </c>
      <c r="V61" s="10">
        <v>621037</v>
      </c>
      <c r="W61" s="10">
        <v>552464</v>
      </c>
      <c r="X61" s="10">
        <v>475052</v>
      </c>
      <c r="Y61" s="10">
        <v>656274</v>
      </c>
      <c r="Z61" s="10">
        <v>501047</v>
      </c>
      <c r="AA61" s="10">
        <v>362289</v>
      </c>
      <c r="AB61" s="10">
        <v>356817</v>
      </c>
      <c r="AC61" s="10">
        <v>157332</v>
      </c>
      <c r="AD61" s="10">
        <v>487492</v>
      </c>
      <c r="AE61" s="10">
        <v>588725</v>
      </c>
      <c r="AF61" s="10">
        <v>289010</v>
      </c>
      <c r="AG61" s="10">
        <v>283714</v>
      </c>
      <c r="AH61" s="10">
        <v>630813</v>
      </c>
      <c r="AI61" s="10">
        <v>418837</v>
      </c>
      <c r="AJ61" s="10">
        <v>382279</v>
      </c>
      <c r="AK61" s="10">
        <v>575658</v>
      </c>
      <c r="AL61" s="10">
        <v>831291</v>
      </c>
      <c r="AM61" s="10">
        <v>575279</v>
      </c>
      <c r="AN61" s="10">
        <v>372107</v>
      </c>
      <c r="AO61" s="10">
        <v>593252</v>
      </c>
      <c r="AP61" s="10">
        <v>5655</v>
      </c>
      <c r="AQ61" s="10">
        <v>830891</v>
      </c>
      <c r="AR61" s="10">
        <v>551688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pans="1:81">
      <c r="A62" s="4" t="s">
        <v>296</v>
      </c>
      <c r="B62" s="1" t="s">
        <v>297</v>
      </c>
      <c r="C62" s="1" t="s">
        <v>120</v>
      </c>
      <c r="D62" s="1" t="str">
        <f>HYPERLINK("http://eros.fiehnlab.ucdavis.edu:8080/binbase-compound/bin/show/199591?db=rtx5","199591")</f>
        <v>199591</v>
      </c>
      <c r="E62" s="1" t="s">
        <v>298</v>
      </c>
      <c r="F62" s="1" t="str">
        <f>HYPERLINK("http://www.genome.ad.jp/dbget-bin/www_bget?compound+C00186","C00186")</f>
        <v>C00186</v>
      </c>
      <c r="G62" s="1" t="str">
        <f>HYPERLINK("http://pubchem.ncbi.nlm.nih.gov/summary/summary.cgi?cid=612","612")</f>
        <v>612</v>
      </c>
      <c r="H62" s="1"/>
      <c r="I62" s="10">
        <v>2818</v>
      </c>
      <c r="J62" s="10">
        <v>7755</v>
      </c>
      <c r="K62" s="10">
        <v>9198</v>
      </c>
      <c r="L62" s="10">
        <v>1516</v>
      </c>
      <c r="M62" s="10">
        <v>2864</v>
      </c>
      <c r="N62" s="10">
        <v>3357</v>
      </c>
      <c r="O62" s="10">
        <v>4271</v>
      </c>
      <c r="P62" s="10">
        <v>9204</v>
      </c>
      <c r="Q62" s="10">
        <v>3615</v>
      </c>
      <c r="R62" s="10">
        <v>4410</v>
      </c>
      <c r="S62" s="10">
        <v>11983</v>
      </c>
      <c r="T62" s="10">
        <v>11005</v>
      </c>
      <c r="U62" s="10">
        <v>1992</v>
      </c>
      <c r="V62" s="10">
        <v>5131</v>
      </c>
      <c r="W62" s="10">
        <v>2523</v>
      </c>
      <c r="X62" s="10">
        <v>3772</v>
      </c>
      <c r="Y62" s="10">
        <v>2451</v>
      </c>
      <c r="Z62" s="10">
        <v>3306</v>
      </c>
      <c r="AA62" s="10">
        <v>8740</v>
      </c>
      <c r="AB62" s="10">
        <v>1580</v>
      </c>
      <c r="AC62" s="10">
        <v>4925</v>
      </c>
      <c r="AD62" s="10">
        <v>3003</v>
      </c>
      <c r="AE62" s="10">
        <v>2582</v>
      </c>
      <c r="AF62" s="10">
        <v>5690</v>
      </c>
      <c r="AG62" s="10">
        <v>4443</v>
      </c>
      <c r="AH62" s="10">
        <v>4014</v>
      </c>
      <c r="AI62" s="10">
        <v>4062</v>
      </c>
      <c r="AJ62" s="10">
        <v>6898</v>
      </c>
      <c r="AK62" s="10">
        <v>4479</v>
      </c>
      <c r="AL62" s="10">
        <v>11463</v>
      </c>
      <c r="AM62" s="10">
        <v>2715</v>
      </c>
      <c r="AN62" s="10">
        <v>4374</v>
      </c>
      <c r="AO62" s="10">
        <v>2976</v>
      </c>
      <c r="AP62" s="10">
        <v>2726</v>
      </c>
      <c r="AQ62" s="10">
        <v>3859</v>
      </c>
      <c r="AR62" s="10">
        <v>2174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pans="1:81">
      <c r="A63" s="4" t="s">
        <v>299</v>
      </c>
      <c r="B63" s="1" t="s">
        <v>300</v>
      </c>
      <c r="C63" s="1" t="s">
        <v>131</v>
      </c>
      <c r="D63" s="1" t="str">
        <f>HYPERLINK("http://eros.fiehnlab.ucdavis.edu:8080/binbase-compound/bin/show/200467?db=rtx5","200467")</f>
        <v>200467</v>
      </c>
      <c r="E63" s="1" t="s">
        <v>301</v>
      </c>
      <c r="F63" s="1" t="str">
        <f>HYPERLINK("http://www.genome.ad.jp/dbget-bin/www_bget?compound+n/a","n/a")</f>
        <v>n/a</v>
      </c>
      <c r="G63" s="1" t="str">
        <f>HYPERLINK("http://pubchem.ncbi.nlm.nih.gov/summary/summary.cgi?cid=151152","151152")</f>
        <v>151152</v>
      </c>
      <c r="H63" s="1"/>
      <c r="I63" s="10">
        <v>6304</v>
      </c>
      <c r="J63" s="10">
        <v>7179</v>
      </c>
      <c r="K63" s="10">
        <v>5681</v>
      </c>
      <c r="L63" s="10">
        <v>1798</v>
      </c>
      <c r="M63" s="10">
        <v>1929</v>
      </c>
      <c r="N63" s="10">
        <v>3754</v>
      </c>
      <c r="O63" s="10">
        <v>16299</v>
      </c>
      <c r="P63" s="10">
        <v>53864</v>
      </c>
      <c r="Q63" s="10">
        <v>2377</v>
      </c>
      <c r="R63" s="10">
        <v>1391</v>
      </c>
      <c r="S63" s="10">
        <v>25526</v>
      </c>
      <c r="T63" s="10">
        <v>16300</v>
      </c>
      <c r="U63" s="10">
        <v>1858</v>
      </c>
      <c r="V63" s="10">
        <v>992</v>
      </c>
      <c r="W63" s="10">
        <v>1225</v>
      </c>
      <c r="X63" s="10">
        <v>7551</v>
      </c>
      <c r="Y63" s="10">
        <v>1527</v>
      </c>
      <c r="Z63" s="10">
        <v>1248</v>
      </c>
      <c r="AA63" s="10">
        <v>36101</v>
      </c>
      <c r="AB63" s="10">
        <v>2380</v>
      </c>
      <c r="AC63" s="10">
        <v>8657</v>
      </c>
      <c r="AD63" s="10">
        <v>1267</v>
      </c>
      <c r="AE63" s="10">
        <v>4636</v>
      </c>
      <c r="AF63" s="10">
        <v>4257</v>
      </c>
      <c r="AG63" s="10">
        <v>18349</v>
      </c>
      <c r="AH63" s="10">
        <v>1975</v>
      </c>
      <c r="AI63" s="10">
        <v>7683</v>
      </c>
      <c r="AJ63" s="10">
        <v>2083</v>
      </c>
      <c r="AK63" s="10">
        <v>3926</v>
      </c>
      <c r="AL63" s="10">
        <v>7165</v>
      </c>
      <c r="AM63" s="10">
        <v>1622</v>
      </c>
      <c r="AN63" s="10">
        <v>950</v>
      </c>
      <c r="AO63" s="10">
        <v>1568</v>
      </c>
      <c r="AP63" s="10">
        <v>1764</v>
      </c>
      <c r="AQ63" s="10">
        <v>8027</v>
      </c>
      <c r="AR63" s="10">
        <v>1487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pans="1:81">
      <c r="A64" s="4" t="s">
        <v>302</v>
      </c>
      <c r="B64" s="1" t="s">
        <v>303</v>
      </c>
      <c r="C64" s="1" t="s">
        <v>304</v>
      </c>
      <c r="D64" s="1" t="str">
        <f>HYPERLINK("http://eros.fiehnlab.ucdavis.edu:8080/binbase-compound/bin/show/206136?db=rtx5","206136")</f>
        <v>206136</v>
      </c>
      <c r="E64" s="1" t="s">
        <v>305</v>
      </c>
      <c r="F64" s="1" t="str">
        <f>HYPERLINK("http://www.genome.ad.jp/dbget-bin/www_bget?compound+C07446","C07446")</f>
        <v>C07446</v>
      </c>
      <c r="G64" s="1" t="str">
        <f>HYPERLINK("http://pubchem.ncbi.nlm.nih.gov/summary/summary.cgi?cid=5922","5922")</f>
        <v>5922</v>
      </c>
      <c r="H64" s="1"/>
      <c r="I64" s="10">
        <v>10244</v>
      </c>
      <c r="J64" s="10">
        <v>9565</v>
      </c>
      <c r="K64" s="10">
        <v>8437</v>
      </c>
      <c r="L64" s="10">
        <v>10095</v>
      </c>
      <c r="M64" s="10">
        <v>17136</v>
      </c>
      <c r="N64" s="10">
        <v>10033</v>
      </c>
      <c r="O64" s="10">
        <v>12141</v>
      </c>
      <c r="P64" s="10">
        <v>12521</v>
      </c>
      <c r="Q64" s="10">
        <v>11406</v>
      </c>
      <c r="R64" s="10">
        <v>13334</v>
      </c>
      <c r="S64" s="10">
        <v>21769</v>
      </c>
      <c r="T64" s="10">
        <v>10720</v>
      </c>
      <c r="U64" s="10">
        <v>9045</v>
      </c>
      <c r="V64" s="10">
        <v>7952</v>
      </c>
      <c r="W64" s="10">
        <v>6423</v>
      </c>
      <c r="X64" s="10">
        <v>9828</v>
      </c>
      <c r="Y64" s="10">
        <v>8144</v>
      </c>
      <c r="Z64" s="10">
        <v>6803</v>
      </c>
      <c r="AA64" s="10">
        <v>14443</v>
      </c>
      <c r="AB64" s="10">
        <v>18527</v>
      </c>
      <c r="AC64" s="10">
        <v>14176</v>
      </c>
      <c r="AD64" s="10">
        <v>8300</v>
      </c>
      <c r="AE64" s="10">
        <v>10784</v>
      </c>
      <c r="AF64" s="10">
        <v>14855</v>
      </c>
      <c r="AG64" s="10">
        <v>6094</v>
      </c>
      <c r="AH64" s="10">
        <v>8940</v>
      </c>
      <c r="AI64" s="10">
        <v>5726</v>
      </c>
      <c r="AJ64" s="10">
        <v>4712</v>
      </c>
      <c r="AK64" s="10">
        <v>5681</v>
      </c>
      <c r="AL64" s="10">
        <v>6242</v>
      </c>
      <c r="AM64" s="10">
        <v>7196</v>
      </c>
      <c r="AN64" s="10">
        <v>7275</v>
      </c>
      <c r="AO64" s="10">
        <v>8014</v>
      </c>
      <c r="AP64" s="10">
        <v>9997</v>
      </c>
      <c r="AQ64" s="10">
        <v>8211</v>
      </c>
      <c r="AR64" s="10">
        <v>7273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pans="1:81">
      <c r="A65" s="4" t="s">
        <v>306</v>
      </c>
      <c r="B65" s="1" t="s">
        <v>307</v>
      </c>
      <c r="C65" s="1" t="s">
        <v>246</v>
      </c>
      <c r="D65" s="1" t="str">
        <f>HYPERLINK("http://eros.fiehnlab.ucdavis.edu:8080/binbase-compound/bin/show/214141?db=rtx5","214141")</f>
        <v>214141</v>
      </c>
      <c r="E65" s="1" t="s">
        <v>308</v>
      </c>
      <c r="F65" s="1" t="str">
        <f>HYPERLINK("http://www.genome.ad.jp/dbget-bin/www_bget?compound+C00407","C00407")</f>
        <v>C00407</v>
      </c>
      <c r="G65" s="1" t="str">
        <f>HYPERLINK("http://pubchem.ncbi.nlm.nih.gov/summary/summary.cgi?cid=6306","6306")</f>
        <v>6306</v>
      </c>
      <c r="H65" s="1"/>
      <c r="I65" s="10">
        <v>657148</v>
      </c>
      <c r="J65" s="10">
        <v>282040</v>
      </c>
      <c r="K65" s="10">
        <v>213694</v>
      </c>
      <c r="L65" s="10">
        <v>692175</v>
      </c>
      <c r="M65" s="10">
        <v>533585</v>
      </c>
      <c r="N65" s="10">
        <v>628932</v>
      </c>
      <c r="O65" s="10">
        <v>492976</v>
      </c>
      <c r="P65" s="10">
        <v>264688</v>
      </c>
      <c r="Q65" s="10">
        <v>609799</v>
      </c>
      <c r="R65" s="10">
        <v>529352</v>
      </c>
      <c r="S65" s="10">
        <v>309475</v>
      </c>
      <c r="T65" s="10">
        <v>227916</v>
      </c>
      <c r="U65" s="10">
        <v>664801</v>
      </c>
      <c r="V65" s="10">
        <v>371343</v>
      </c>
      <c r="W65" s="10">
        <v>520203</v>
      </c>
      <c r="X65" s="10">
        <v>670518</v>
      </c>
      <c r="Y65" s="10">
        <v>633383</v>
      </c>
      <c r="Z65" s="10">
        <v>527974</v>
      </c>
      <c r="AA65" s="10">
        <v>309211</v>
      </c>
      <c r="AB65" s="10">
        <v>659276</v>
      </c>
      <c r="AC65" s="10">
        <v>211415</v>
      </c>
      <c r="AD65" s="10">
        <v>598909</v>
      </c>
      <c r="AE65" s="10">
        <v>571399</v>
      </c>
      <c r="AF65" s="10">
        <v>326499</v>
      </c>
      <c r="AG65" s="10">
        <v>319085</v>
      </c>
      <c r="AH65" s="10">
        <v>718267</v>
      </c>
      <c r="AI65" s="10">
        <v>469462</v>
      </c>
      <c r="AJ65" s="10">
        <v>309752</v>
      </c>
      <c r="AK65" s="10">
        <v>488112</v>
      </c>
      <c r="AL65" s="10">
        <v>373197</v>
      </c>
      <c r="AM65" s="10">
        <v>517838</v>
      </c>
      <c r="AN65" s="10">
        <v>356364</v>
      </c>
      <c r="AO65" s="10">
        <v>557059</v>
      </c>
      <c r="AP65" s="10">
        <v>658874</v>
      </c>
      <c r="AQ65" s="10">
        <v>471690</v>
      </c>
      <c r="AR65" s="10">
        <v>580864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pans="1:81">
      <c r="A66" s="4" t="s">
        <v>309</v>
      </c>
      <c r="B66" s="1" t="s">
        <v>310</v>
      </c>
      <c r="C66" s="1" t="s">
        <v>91</v>
      </c>
      <c r="D66" s="1" t="str">
        <f>HYPERLINK("http://eros.fiehnlab.ucdavis.edu:8080/binbase-compound/bin/show/300118?db=rtx5","300118")</f>
        <v>300118</v>
      </c>
      <c r="E66" s="1" t="s">
        <v>311</v>
      </c>
      <c r="F66" s="1" t="str">
        <f>HYPERLINK("http://www.genome.ad.jp/dbget-bin/www_bget?compound+n/a","n/a")</f>
        <v>n/a</v>
      </c>
      <c r="G66" s="1" t="str">
        <f>HYPERLINK("http://pubchem.ncbi.nlm.nih.gov/summary/summary.cgi?cid=68410","68410")</f>
        <v>68410</v>
      </c>
      <c r="H66" s="1"/>
      <c r="I66" s="10">
        <v>370</v>
      </c>
      <c r="J66" s="10">
        <v>997</v>
      </c>
      <c r="K66" s="10">
        <v>844</v>
      </c>
      <c r="L66" s="10">
        <v>244</v>
      </c>
      <c r="M66" s="10">
        <v>283</v>
      </c>
      <c r="N66" s="10">
        <v>117</v>
      </c>
      <c r="O66" s="10">
        <v>853</v>
      </c>
      <c r="P66" s="10">
        <v>2144</v>
      </c>
      <c r="Q66" s="10">
        <v>496</v>
      </c>
      <c r="R66" s="10">
        <v>624</v>
      </c>
      <c r="S66" s="10">
        <v>1742</v>
      </c>
      <c r="T66" s="10">
        <v>1434</v>
      </c>
      <c r="U66" s="10">
        <v>330</v>
      </c>
      <c r="V66" s="10">
        <v>755</v>
      </c>
      <c r="W66" s="10">
        <v>313</v>
      </c>
      <c r="X66" s="10">
        <v>233</v>
      </c>
      <c r="Y66" s="10">
        <v>588</v>
      </c>
      <c r="Z66" s="10">
        <v>269</v>
      </c>
      <c r="AA66" s="10">
        <v>667</v>
      </c>
      <c r="AB66" s="10">
        <v>285</v>
      </c>
      <c r="AC66" s="10">
        <v>1057</v>
      </c>
      <c r="AD66" s="10">
        <v>405</v>
      </c>
      <c r="AE66" s="10">
        <v>266</v>
      </c>
      <c r="AF66" s="10">
        <v>475</v>
      </c>
      <c r="AG66" s="10">
        <v>662</v>
      </c>
      <c r="AH66" s="10">
        <v>321</v>
      </c>
      <c r="AI66" s="10">
        <v>798</v>
      </c>
      <c r="AJ66" s="10">
        <v>880</v>
      </c>
      <c r="AK66" s="10">
        <v>502</v>
      </c>
      <c r="AL66" s="10">
        <v>1319</v>
      </c>
      <c r="AM66" s="10">
        <v>331</v>
      </c>
      <c r="AN66" s="10">
        <v>1171</v>
      </c>
      <c r="AO66" s="10">
        <v>465</v>
      </c>
      <c r="AP66" s="10">
        <v>258</v>
      </c>
      <c r="AQ66" s="10">
        <v>574</v>
      </c>
      <c r="AR66" s="10">
        <v>250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pans="1:81">
      <c r="A67" s="4" t="s">
        <v>312</v>
      </c>
      <c r="B67" s="1" t="s">
        <v>313</v>
      </c>
      <c r="C67" s="1" t="s">
        <v>314</v>
      </c>
      <c r="D67" s="1" t="str">
        <f>HYPERLINK("http://eros.fiehnlab.ucdavis.edu:8080/binbase-compound/bin/show/228005?db=rtx5","228005")</f>
        <v>228005</v>
      </c>
      <c r="E67" s="1" t="s">
        <v>315</v>
      </c>
      <c r="F67" s="1" t="str">
        <f>HYPERLINK("http://www.genome.ad.jp/dbget-bin/www_bget?compound+C00137","C00137")</f>
        <v>C00137</v>
      </c>
      <c r="G67" s="1" t="str">
        <f>HYPERLINK("http://pubchem.ncbi.nlm.nih.gov/summary/summary.cgi?cid=892","892")</f>
        <v>892</v>
      </c>
      <c r="H67" s="1"/>
      <c r="I67" s="10">
        <v>6427</v>
      </c>
      <c r="J67" s="10">
        <v>2601</v>
      </c>
      <c r="K67" s="10">
        <v>480</v>
      </c>
      <c r="L67" s="10">
        <v>8046</v>
      </c>
      <c r="M67" s="10">
        <v>5649</v>
      </c>
      <c r="N67" s="10">
        <v>7718</v>
      </c>
      <c r="O67" s="10">
        <v>5030</v>
      </c>
      <c r="P67" s="10">
        <v>4119</v>
      </c>
      <c r="Q67" s="10">
        <v>7074</v>
      </c>
      <c r="R67" s="10">
        <v>147</v>
      </c>
      <c r="S67" s="10">
        <v>3740</v>
      </c>
      <c r="T67" s="10">
        <v>601</v>
      </c>
      <c r="U67" s="10">
        <v>9549</v>
      </c>
      <c r="V67" s="10">
        <v>469</v>
      </c>
      <c r="W67" s="10">
        <v>5560</v>
      </c>
      <c r="X67" s="10">
        <v>7086</v>
      </c>
      <c r="Y67" s="10">
        <v>7632</v>
      </c>
      <c r="Z67" s="10">
        <v>6116</v>
      </c>
      <c r="AA67" s="10">
        <v>3811</v>
      </c>
      <c r="AB67" s="10">
        <v>8619</v>
      </c>
      <c r="AC67" s="10">
        <v>2000</v>
      </c>
      <c r="AD67" s="10">
        <v>6058</v>
      </c>
      <c r="AE67" s="10">
        <v>7606</v>
      </c>
      <c r="AF67" s="10">
        <v>576</v>
      </c>
      <c r="AG67" s="10">
        <v>2569</v>
      </c>
      <c r="AH67" s="10">
        <v>8845</v>
      </c>
      <c r="AI67" s="10">
        <v>4702</v>
      </c>
      <c r="AJ67" s="10">
        <v>3711</v>
      </c>
      <c r="AK67" s="10">
        <v>5687</v>
      </c>
      <c r="AL67" s="10">
        <v>3160</v>
      </c>
      <c r="AM67" s="10">
        <v>6687</v>
      </c>
      <c r="AN67" s="10">
        <v>572</v>
      </c>
      <c r="AO67" s="10">
        <v>6545</v>
      </c>
      <c r="AP67" s="10">
        <v>7493</v>
      </c>
      <c r="AQ67" s="10">
        <v>5538</v>
      </c>
      <c r="AR67" s="10">
        <v>6709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pans="1:81">
      <c r="A68" s="4" t="s">
        <v>316</v>
      </c>
      <c r="B68" s="1" t="s">
        <v>317</v>
      </c>
      <c r="C68" s="1" t="s">
        <v>318</v>
      </c>
      <c r="D68" s="1" t="str">
        <f>HYPERLINK("http://eros.fiehnlab.ucdavis.edu:8080/binbase-compound/bin/show/203304?db=rtx5","203304")</f>
        <v>203304</v>
      </c>
      <c r="E68" s="1" t="s">
        <v>319</v>
      </c>
      <c r="F68" s="1" t="str">
        <f>HYPERLINK("http://www.genome.ad.jp/dbget-bin/www_bget?compound+n/a","n/a")</f>
        <v>n/a</v>
      </c>
      <c r="G68" s="1" t="str">
        <f>HYPERLINK("http://pubchem.ncbi.nlm.nih.gov/summary/summary.cgi?cid=892","892")</f>
        <v>892</v>
      </c>
      <c r="H68" s="1"/>
      <c r="I68" s="10">
        <v>1036</v>
      </c>
      <c r="J68" s="10">
        <v>626</v>
      </c>
      <c r="K68" s="10">
        <v>733</v>
      </c>
      <c r="L68" s="10">
        <v>1115</v>
      </c>
      <c r="M68" s="10">
        <v>794</v>
      </c>
      <c r="N68" s="10">
        <v>1284</v>
      </c>
      <c r="O68" s="10">
        <v>784</v>
      </c>
      <c r="P68" s="10">
        <v>1442</v>
      </c>
      <c r="Q68" s="10">
        <v>956</v>
      </c>
      <c r="R68" s="10">
        <v>916</v>
      </c>
      <c r="S68" s="10">
        <v>590</v>
      </c>
      <c r="T68" s="10">
        <v>697</v>
      </c>
      <c r="U68" s="10">
        <v>1432</v>
      </c>
      <c r="V68" s="10">
        <v>839</v>
      </c>
      <c r="W68" s="10">
        <v>824</v>
      </c>
      <c r="X68" s="10">
        <v>989</v>
      </c>
      <c r="Y68" s="10">
        <v>1319</v>
      </c>
      <c r="Z68" s="10">
        <v>876</v>
      </c>
      <c r="AA68" s="10">
        <v>1015</v>
      </c>
      <c r="AB68" s="10">
        <v>1212</v>
      </c>
      <c r="AC68" s="10">
        <v>370</v>
      </c>
      <c r="AD68" s="10">
        <v>989</v>
      </c>
      <c r="AE68" s="10">
        <v>1164</v>
      </c>
      <c r="AF68" s="10">
        <v>1042</v>
      </c>
      <c r="AG68" s="10">
        <v>346</v>
      </c>
      <c r="AH68" s="10">
        <v>1263</v>
      </c>
      <c r="AI68" s="10">
        <v>851</v>
      </c>
      <c r="AJ68" s="10">
        <v>873</v>
      </c>
      <c r="AK68" s="10">
        <v>802</v>
      </c>
      <c r="AL68" s="10">
        <v>912</v>
      </c>
      <c r="AM68" s="10">
        <v>944</v>
      </c>
      <c r="AN68" s="10">
        <v>773</v>
      </c>
      <c r="AO68" s="10">
        <v>911</v>
      </c>
      <c r="AP68" s="10">
        <v>1149</v>
      </c>
      <c r="AQ68" s="10">
        <v>1047</v>
      </c>
      <c r="AR68" s="10">
        <v>938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pans="1:81">
      <c r="A69" s="4" t="s">
        <v>320</v>
      </c>
      <c r="B69" s="1" t="s">
        <v>321</v>
      </c>
      <c r="C69" s="1" t="s">
        <v>185</v>
      </c>
      <c r="D69" s="1" t="str">
        <f>HYPERLINK("http://eros.fiehnlab.ucdavis.edu:8080/binbase-compound/bin/show/199606?db=rtx5","199606")</f>
        <v>199606</v>
      </c>
      <c r="E69" s="1" t="s">
        <v>322</v>
      </c>
      <c r="F69" s="1" t="str">
        <f>HYPERLINK("http://www.genome.ad.jp/dbget-bin/www_bget?compound+C00294","C00294")</f>
        <v>C00294</v>
      </c>
      <c r="G69" s="1" t="str">
        <f>HYPERLINK("http://pubchem.ncbi.nlm.nih.gov/summary/summary.cgi?cid=6021","6021")</f>
        <v>6021</v>
      </c>
      <c r="H69" s="1"/>
      <c r="I69" s="10">
        <v>390</v>
      </c>
      <c r="J69" s="10">
        <v>4412</v>
      </c>
      <c r="K69" s="10">
        <v>2485</v>
      </c>
      <c r="L69" s="10">
        <v>447</v>
      </c>
      <c r="M69" s="10">
        <v>3483</v>
      </c>
      <c r="N69" s="10">
        <v>616</v>
      </c>
      <c r="O69" s="10">
        <v>642</v>
      </c>
      <c r="P69" s="10">
        <v>5070</v>
      </c>
      <c r="Q69" s="10">
        <v>639</v>
      </c>
      <c r="R69" s="10">
        <v>2202</v>
      </c>
      <c r="S69" s="10">
        <v>8729</v>
      </c>
      <c r="T69" s="10">
        <v>1547</v>
      </c>
      <c r="U69" s="10">
        <v>4543</v>
      </c>
      <c r="V69" s="10">
        <v>13218</v>
      </c>
      <c r="W69" s="10">
        <v>12494</v>
      </c>
      <c r="X69" s="10">
        <v>342</v>
      </c>
      <c r="Y69" s="10">
        <v>8040</v>
      </c>
      <c r="Z69" s="10">
        <v>4745</v>
      </c>
      <c r="AA69" s="10">
        <v>694</v>
      </c>
      <c r="AB69" s="10">
        <v>1466</v>
      </c>
      <c r="AC69" s="10">
        <v>2550</v>
      </c>
      <c r="AD69" s="10">
        <v>4078</v>
      </c>
      <c r="AE69" s="10">
        <v>313</v>
      </c>
      <c r="AF69" s="10">
        <v>480</v>
      </c>
      <c r="AG69" s="10">
        <v>18934</v>
      </c>
      <c r="AH69" s="10">
        <v>5570</v>
      </c>
      <c r="AI69" s="10">
        <v>2370</v>
      </c>
      <c r="AJ69" s="10">
        <v>9188</v>
      </c>
      <c r="AK69" s="10">
        <v>5253</v>
      </c>
      <c r="AL69" s="10">
        <v>2071</v>
      </c>
      <c r="AM69" s="10">
        <v>4617</v>
      </c>
      <c r="AN69" s="10">
        <v>11592</v>
      </c>
      <c r="AO69" s="10">
        <v>4325</v>
      </c>
      <c r="AP69" s="10">
        <v>4908</v>
      </c>
      <c r="AQ69" s="10">
        <v>6382</v>
      </c>
      <c r="AR69" s="10">
        <v>4793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pans="1:81">
      <c r="A70" s="4" t="s">
        <v>323</v>
      </c>
      <c r="B70" s="1" t="s">
        <v>324</v>
      </c>
      <c r="C70" s="1" t="s">
        <v>325</v>
      </c>
      <c r="D70" s="1" t="str">
        <f>HYPERLINK("http://eros.fiehnlab.ucdavis.edu:8080/binbase-compound/bin/show/199598?db=rtx5","199598")</f>
        <v>199598</v>
      </c>
      <c r="E70" s="1" t="s">
        <v>326</v>
      </c>
      <c r="F70" s="1" t="str">
        <f>HYPERLINK("http://www.genome.ad.jp/dbget-bin/www_bget?compound+C00262","C00262")</f>
        <v>C00262</v>
      </c>
      <c r="G70" s="1" t="str">
        <f>HYPERLINK("http://pubchem.ncbi.nlm.nih.gov/summary/summary.cgi?cid=790","790")</f>
        <v>790</v>
      </c>
      <c r="H70" s="1"/>
      <c r="I70" s="10">
        <v>2197</v>
      </c>
      <c r="J70" s="10">
        <v>55589</v>
      </c>
      <c r="K70" s="10">
        <v>51349</v>
      </c>
      <c r="L70" s="10">
        <v>1704</v>
      </c>
      <c r="M70" s="10">
        <v>68739</v>
      </c>
      <c r="N70" s="10">
        <v>10830</v>
      </c>
      <c r="O70" s="10">
        <v>8665</v>
      </c>
      <c r="P70" s="10">
        <v>47502</v>
      </c>
      <c r="Q70" s="10">
        <v>2905</v>
      </c>
      <c r="R70" s="10">
        <v>14659</v>
      </c>
      <c r="S70" s="10">
        <v>111210</v>
      </c>
      <c r="T70" s="10">
        <v>18149</v>
      </c>
      <c r="U70" s="10">
        <v>10510</v>
      </c>
      <c r="V70" s="10">
        <v>54762</v>
      </c>
      <c r="W70" s="10">
        <v>21051</v>
      </c>
      <c r="X70" s="10">
        <v>4202</v>
      </c>
      <c r="Y70" s="10">
        <v>20156</v>
      </c>
      <c r="Z70" s="10">
        <v>17527</v>
      </c>
      <c r="AA70" s="10">
        <v>16171</v>
      </c>
      <c r="AB70" s="10">
        <v>6448</v>
      </c>
      <c r="AC70" s="10">
        <v>29168</v>
      </c>
      <c r="AD70" s="10">
        <v>25127</v>
      </c>
      <c r="AE70" s="10">
        <v>5967</v>
      </c>
      <c r="AF70" s="10">
        <v>9438</v>
      </c>
      <c r="AG70" s="10">
        <v>67575</v>
      </c>
      <c r="AH70" s="10">
        <v>13545</v>
      </c>
      <c r="AI70" s="10">
        <v>11305</v>
      </c>
      <c r="AJ70" s="10">
        <v>42243</v>
      </c>
      <c r="AK70" s="10">
        <v>16230</v>
      </c>
      <c r="AL70" s="10">
        <v>55642</v>
      </c>
      <c r="AM70" s="10">
        <v>15732</v>
      </c>
      <c r="AN70" s="10">
        <v>40237</v>
      </c>
      <c r="AO70" s="10">
        <v>12098</v>
      </c>
      <c r="AP70" s="10">
        <v>25790</v>
      </c>
      <c r="AQ70" s="10">
        <v>26470</v>
      </c>
      <c r="AR70" s="10">
        <v>23372</v>
      </c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pans="1:81">
      <c r="A71" s="4" t="s">
        <v>327</v>
      </c>
      <c r="B71" s="1" t="s">
        <v>328</v>
      </c>
      <c r="C71" s="1" t="s">
        <v>88</v>
      </c>
      <c r="D71" s="1" t="str">
        <f>HYPERLINK("http://eros.fiehnlab.ucdavis.edu:8080/binbase-compound/bin/show/336352?db=rtx5","336352")</f>
        <v>336352</v>
      </c>
      <c r="E71" s="1" t="s">
        <v>329</v>
      </c>
      <c r="F71" s="1" t="str">
        <f>HYPERLINK("http://www.genome.ad.jp/dbget-bin/www_bget?compound+C00192","C00192")</f>
        <v>C00192</v>
      </c>
      <c r="G71" s="1" t="str">
        <f>HYPERLINK("http://pubchem.ncbi.nlm.nih.gov/summary/summary.cgi?cid=787","787")</f>
        <v>787</v>
      </c>
      <c r="H71" s="1"/>
      <c r="I71" s="10">
        <v>6430</v>
      </c>
      <c r="J71" s="10">
        <v>15893</v>
      </c>
      <c r="K71" s="10">
        <v>5288</v>
      </c>
      <c r="L71" s="10">
        <v>2454</v>
      </c>
      <c r="M71" s="10">
        <v>13670</v>
      </c>
      <c r="N71" s="10">
        <v>4364</v>
      </c>
      <c r="O71" s="10">
        <v>2593</v>
      </c>
      <c r="P71" s="10">
        <v>13453</v>
      </c>
      <c r="Q71" s="10">
        <v>6902</v>
      </c>
      <c r="R71" s="10">
        <v>14672</v>
      </c>
      <c r="S71" s="10">
        <v>8715</v>
      </c>
      <c r="T71" s="10">
        <v>5415</v>
      </c>
      <c r="U71" s="10">
        <v>2084</v>
      </c>
      <c r="V71" s="10">
        <v>6783</v>
      </c>
      <c r="W71" s="10">
        <v>4270</v>
      </c>
      <c r="X71" s="10">
        <v>1003</v>
      </c>
      <c r="Y71" s="10">
        <v>7003</v>
      </c>
      <c r="Z71" s="10">
        <v>6369</v>
      </c>
      <c r="AA71" s="10">
        <v>5057</v>
      </c>
      <c r="AB71" s="10">
        <v>8886</v>
      </c>
      <c r="AC71" s="10">
        <v>2149</v>
      </c>
      <c r="AD71" s="10">
        <v>9105</v>
      </c>
      <c r="AE71" s="10">
        <v>1874</v>
      </c>
      <c r="AF71" s="10">
        <v>3740</v>
      </c>
      <c r="AG71" s="10">
        <v>12575</v>
      </c>
      <c r="AH71" s="10">
        <v>4847</v>
      </c>
      <c r="AI71" s="10">
        <v>5554</v>
      </c>
      <c r="AJ71" s="10">
        <v>12348</v>
      </c>
      <c r="AK71" s="10">
        <v>3628</v>
      </c>
      <c r="AL71" s="10">
        <v>33315</v>
      </c>
      <c r="AM71" s="10">
        <v>6665</v>
      </c>
      <c r="AN71" s="10">
        <v>22825</v>
      </c>
      <c r="AO71" s="10">
        <v>6208</v>
      </c>
      <c r="AP71" s="10">
        <v>4806</v>
      </c>
      <c r="AQ71" s="10">
        <v>5759</v>
      </c>
      <c r="AR71" s="10">
        <v>5176</v>
      </c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pans="1:81">
      <c r="A72" s="4" t="s">
        <v>330</v>
      </c>
      <c r="B72" s="1" t="s">
        <v>331</v>
      </c>
      <c r="C72" s="1" t="s">
        <v>332</v>
      </c>
      <c r="D72" s="1" t="str">
        <f>HYPERLINK("http://eros.fiehnlab.ucdavis.edu:8080/binbase-compound/bin/show/203241?db=rtx5","203241")</f>
        <v>203241</v>
      </c>
      <c r="E72" s="1" t="s">
        <v>333</v>
      </c>
      <c r="F72" s="1" t="str">
        <f>HYPERLINK("http://www.genome.ad.jp/dbget-bin/www_bget?compound+n/a","n/a")</f>
        <v>n/a</v>
      </c>
      <c r="G72" s="1" t="str">
        <f>HYPERLINK("http://pubchem.ncbi.nlm.nih.gov/summary/summary.cgi?cid=18931500","18931500")</f>
        <v>18931500</v>
      </c>
      <c r="H72" s="1"/>
      <c r="I72" s="10">
        <v>493</v>
      </c>
      <c r="J72" s="10">
        <v>665</v>
      </c>
      <c r="K72" s="10">
        <v>449</v>
      </c>
      <c r="L72" s="10">
        <v>288</v>
      </c>
      <c r="M72" s="10">
        <v>833</v>
      </c>
      <c r="N72" s="10">
        <v>417</v>
      </c>
      <c r="O72" s="10">
        <v>289</v>
      </c>
      <c r="P72" s="10">
        <v>679</v>
      </c>
      <c r="Q72" s="10">
        <v>526</v>
      </c>
      <c r="R72" s="10">
        <v>997</v>
      </c>
      <c r="S72" s="10">
        <v>792</v>
      </c>
      <c r="T72" s="10">
        <v>541</v>
      </c>
      <c r="U72" s="10">
        <v>313</v>
      </c>
      <c r="V72" s="10">
        <v>512</v>
      </c>
      <c r="W72" s="10">
        <v>486</v>
      </c>
      <c r="X72" s="10">
        <v>164</v>
      </c>
      <c r="Y72" s="10">
        <v>629</v>
      </c>
      <c r="Z72" s="10">
        <v>548</v>
      </c>
      <c r="AA72" s="10">
        <v>456</v>
      </c>
      <c r="AB72" s="10">
        <v>312</v>
      </c>
      <c r="AC72" s="10">
        <v>326</v>
      </c>
      <c r="AD72" s="10">
        <v>744</v>
      </c>
      <c r="AE72" s="10">
        <v>219</v>
      </c>
      <c r="AF72" s="10">
        <v>319</v>
      </c>
      <c r="AG72" s="10">
        <v>766</v>
      </c>
      <c r="AH72" s="10">
        <v>499</v>
      </c>
      <c r="AI72" s="10">
        <v>413</v>
      </c>
      <c r="AJ72" s="10">
        <v>787</v>
      </c>
      <c r="AK72" s="10">
        <v>312</v>
      </c>
      <c r="AL72" s="10">
        <v>1720</v>
      </c>
      <c r="AM72" s="10">
        <v>387</v>
      </c>
      <c r="AN72" s="10">
        <v>782</v>
      </c>
      <c r="AO72" s="10">
        <v>616</v>
      </c>
      <c r="AP72" s="10">
        <v>372</v>
      </c>
      <c r="AQ72" s="10">
        <v>379</v>
      </c>
      <c r="AR72" s="10">
        <v>548</v>
      </c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pans="1:81">
      <c r="A73" s="4" t="s">
        <v>334</v>
      </c>
      <c r="B73" s="1" t="s">
        <v>335</v>
      </c>
      <c r="C73" s="1" t="s">
        <v>112</v>
      </c>
      <c r="D73" s="1" t="str">
        <f>HYPERLINK("http://eros.fiehnlab.ucdavis.edu:8080/binbase-compound/bin/show/228149?db=rtx5","228149")</f>
        <v>228149</v>
      </c>
      <c r="E73" s="1" t="s">
        <v>336</v>
      </c>
      <c r="F73" s="1" t="str">
        <f>HYPERLINK("http://www.genome.ad.jp/dbget-bin/www_bget?compound+C00263","C00263")</f>
        <v>C00263</v>
      </c>
      <c r="G73" s="1" t="str">
        <f>HYPERLINK("http://pubchem.ncbi.nlm.nih.gov/summary/summary.cgi?cid=12647","12647")</f>
        <v>12647</v>
      </c>
      <c r="H73" s="1"/>
      <c r="I73" s="10">
        <v>2754</v>
      </c>
      <c r="J73" s="10">
        <v>4028</v>
      </c>
      <c r="K73" s="10">
        <v>1987</v>
      </c>
      <c r="L73" s="10">
        <v>3374</v>
      </c>
      <c r="M73" s="10">
        <v>3422</v>
      </c>
      <c r="N73" s="10">
        <v>1873</v>
      </c>
      <c r="O73" s="10">
        <v>1193</v>
      </c>
      <c r="P73" s="10">
        <v>1131</v>
      </c>
      <c r="Q73" s="10">
        <v>727</v>
      </c>
      <c r="R73" s="10">
        <v>109</v>
      </c>
      <c r="S73" s="10">
        <v>2560</v>
      </c>
      <c r="T73" s="10">
        <v>757</v>
      </c>
      <c r="U73" s="10">
        <v>1300</v>
      </c>
      <c r="V73" s="10">
        <v>2642</v>
      </c>
      <c r="W73" s="10">
        <v>2160</v>
      </c>
      <c r="X73" s="10">
        <v>951</v>
      </c>
      <c r="Y73" s="10">
        <v>1636</v>
      </c>
      <c r="Z73" s="10">
        <v>1888</v>
      </c>
      <c r="AA73" s="10">
        <v>827</v>
      </c>
      <c r="AB73" s="10">
        <v>804</v>
      </c>
      <c r="AC73" s="10">
        <v>1098</v>
      </c>
      <c r="AD73" s="10">
        <v>1825</v>
      </c>
      <c r="AE73" s="10">
        <v>525</v>
      </c>
      <c r="AF73" s="10">
        <v>829</v>
      </c>
      <c r="AG73" s="10">
        <v>1129</v>
      </c>
      <c r="AH73" s="10">
        <v>2025</v>
      </c>
      <c r="AI73" s="10">
        <v>2858</v>
      </c>
      <c r="AJ73" s="10">
        <v>1675</v>
      </c>
      <c r="AK73" s="10">
        <v>2408</v>
      </c>
      <c r="AL73" s="10">
        <v>1940</v>
      </c>
      <c r="AM73" s="10">
        <v>1300</v>
      </c>
      <c r="AN73" s="10">
        <v>1412</v>
      </c>
      <c r="AO73" s="10">
        <v>1628</v>
      </c>
      <c r="AP73" s="10">
        <v>2021</v>
      </c>
      <c r="AQ73" s="10">
        <v>1746</v>
      </c>
      <c r="AR73" s="10">
        <v>1728</v>
      </c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pans="1:81">
      <c r="A74" s="4" t="s">
        <v>337</v>
      </c>
      <c r="B74" s="1" t="s">
        <v>338</v>
      </c>
      <c r="C74" s="1" t="s">
        <v>259</v>
      </c>
      <c r="D74" s="1" t="str">
        <f>HYPERLINK("http://eros.fiehnlab.ucdavis.edu:8080/binbase-compound/bin/show/236875?db=rtx5","236875")</f>
        <v>236875</v>
      </c>
      <c r="E74" s="1" t="s">
        <v>339</v>
      </c>
      <c r="F74" s="1" t="str">
        <f>HYPERLINK("http://www.genome.ad.jp/dbget-bin/www_bget?compound+C01817","C01817")</f>
        <v>C01817</v>
      </c>
      <c r="G74" s="1" t="str">
        <f>HYPERLINK("http://pubchem.ncbi.nlm.nih.gov/summary/summary.cgi?cid=439579","439579")</f>
        <v>439579</v>
      </c>
      <c r="H74" s="1"/>
      <c r="I74" s="10">
        <v>950</v>
      </c>
      <c r="J74" s="10">
        <v>692</v>
      </c>
      <c r="K74" s="10">
        <v>694</v>
      </c>
      <c r="L74" s="10">
        <v>856</v>
      </c>
      <c r="M74" s="10">
        <v>720</v>
      </c>
      <c r="N74" s="10">
        <v>1840</v>
      </c>
      <c r="O74" s="10">
        <v>861</v>
      </c>
      <c r="P74" s="10">
        <v>905</v>
      </c>
      <c r="Q74" s="10">
        <v>422</v>
      </c>
      <c r="R74" s="10">
        <v>2626</v>
      </c>
      <c r="S74" s="10">
        <v>1163</v>
      </c>
      <c r="T74" s="10">
        <v>840</v>
      </c>
      <c r="U74" s="10">
        <v>1061</v>
      </c>
      <c r="V74" s="10">
        <v>2304</v>
      </c>
      <c r="W74" s="10">
        <v>1750</v>
      </c>
      <c r="X74" s="10">
        <v>696</v>
      </c>
      <c r="Y74" s="10">
        <v>1493</v>
      </c>
      <c r="Z74" s="10">
        <v>1424</v>
      </c>
      <c r="AA74" s="10">
        <v>911</v>
      </c>
      <c r="AB74" s="10">
        <v>965</v>
      </c>
      <c r="AC74" s="10">
        <v>824</v>
      </c>
      <c r="AD74" s="10">
        <v>1824</v>
      </c>
      <c r="AE74" s="10">
        <v>722</v>
      </c>
      <c r="AF74" s="10">
        <v>700</v>
      </c>
      <c r="AG74" s="10">
        <v>2288</v>
      </c>
      <c r="AH74" s="10">
        <v>1034</v>
      </c>
      <c r="AI74" s="10">
        <v>1074</v>
      </c>
      <c r="AJ74" s="10">
        <v>1141</v>
      </c>
      <c r="AK74" s="10">
        <v>712</v>
      </c>
      <c r="AL74" s="10">
        <v>734</v>
      </c>
      <c r="AM74" s="10">
        <v>864</v>
      </c>
      <c r="AN74" s="10">
        <v>1388</v>
      </c>
      <c r="AO74" s="10">
        <v>738</v>
      </c>
      <c r="AP74" s="10">
        <v>1385</v>
      </c>
      <c r="AQ74" s="10">
        <v>925</v>
      </c>
      <c r="AR74" s="10">
        <v>1549</v>
      </c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pans="1:81">
      <c r="A75" s="4" t="s">
        <v>340</v>
      </c>
      <c r="B75" s="1" t="s">
        <v>341</v>
      </c>
      <c r="C75" s="1" t="s">
        <v>283</v>
      </c>
      <c r="D75" s="1" t="str">
        <f>HYPERLINK("http://eros.fiehnlab.ucdavis.edu:8080/binbase-compound/bin/show/227741?db=rtx5","227741")</f>
        <v>227741</v>
      </c>
      <c r="E75" s="1" t="s">
        <v>342</v>
      </c>
      <c r="F75" s="1" t="str">
        <f>HYPERLINK("http://www.genome.ad.jp/dbget-bin/www_bget?compound+C00135","C00135")</f>
        <v>C00135</v>
      </c>
      <c r="G75" s="1" t="str">
        <f>HYPERLINK("http://pubchem.ncbi.nlm.nih.gov/summary/summary.cgi?cid=6274","6274")</f>
        <v>6274</v>
      </c>
      <c r="H75" s="1"/>
      <c r="I75" s="10">
        <v>91748</v>
      </c>
      <c r="J75" s="10">
        <v>33749</v>
      </c>
      <c r="K75" s="10">
        <v>31843</v>
      </c>
      <c r="L75" s="10">
        <v>116093</v>
      </c>
      <c r="M75" s="10">
        <v>102982</v>
      </c>
      <c r="N75" s="10">
        <v>97443</v>
      </c>
      <c r="O75" s="10">
        <v>77087</v>
      </c>
      <c r="P75" s="10">
        <v>41163</v>
      </c>
      <c r="Q75" s="10">
        <v>111871</v>
      </c>
      <c r="R75" s="10">
        <v>82408</v>
      </c>
      <c r="S75" s="10">
        <v>44459</v>
      </c>
      <c r="T75" s="10">
        <v>34496</v>
      </c>
      <c r="U75" s="10">
        <v>132219</v>
      </c>
      <c r="V75" s="10">
        <v>93778</v>
      </c>
      <c r="W75" s="10">
        <v>119917</v>
      </c>
      <c r="X75" s="10">
        <v>142801</v>
      </c>
      <c r="Y75" s="10">
        <v>130970</v>
      </c>
      <c r="Z75" s="10">
        <v>100080</v>
      </c>
      <c r="AA75" s="10">
        <v>78252</v>
      </c>
      <c r="AB75" s="10">
        <v>99627</v>
      </c>
      <c r="AC75" s="10">
        <v>46559</v>
      </c>
      <c r="AD75" s="10">
        <v>102392</v>
      </c>
      <c r="AE75" s="10">
        <v>129229</v>
      </c>
      <c r="AF75" s="10">
        <v>52314</v>
      </c>
      <c r="AG75" s="10">
        <v>72223</v>
      </c>
      <c r="AH75" s="10">
        <v>126991</v>
      </c>
      <c r="AI75" s="10">
        <v>83113</v>
      </c>
      <c r="AJ75" s="10">
        <v>81334</v>
      </c>
      <c r="AK75" s="10">
        <v>111978</v>
      </c>
      <c r="AL75" s="10">
        <v>60260</v>
      </c>
      <c r="AM75" s="10">
        <v>120475</v>
      </c>
      <c r="AN75" s="10">
        <v>78241</v>
      </c>
      <c r="AO75" s="10">
        <v>112045</v>
      </c>
      <c r="AP75" s="10">
        <v>130554</v>
      </c>
      <c r="AQ75" s="10">
        <v>102136</v>
      </c>
      <c r="AR75" s="10">
        <v>106834</v>
      </c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pans="1:81">
      <c r="A76" s="4" t="s">
        <v>343</v>
      </c>
      <c r="B76" s="1" t="s">
        <v>344</v>
      </c>
      <c r="C76" s="1" t="s">
        <v>345</v>
      </c>
      <c r="D76" s="1" t="str">
        <f>HYPERLINK("http://eros.fiehnlab.ucdavis.edu:8080/binbase-compound/bin/show/233104?db=rtx5","233104")</f>
        <v>233104</v>
      </c>
      <c r="E76" s="1" t="s">
        <v>346</v>
      </c>
      <c r="F76" s="1" t="str">
        <f>HYPERLINK("http://www.genome.ad.jp/dbget-bin/www_bget?compound+n/a","n/a")</f>
        <v>n/a</v>
      </c>
      <c r="G76" s="1" t="str">
        <f>HYPERLINK("http://pubchem.ncbi.nlm.nih.gov/summary/summary.cgi?cid=19770757","19770757")</f>
        <v>19770757</v>
      </c>
      <c r="H76" s="1"/>
      <c r="I76" s="10">
        <v>167</v>
      </c>
      <c r="J76" s="10">
        <v>267</v>
      </c>
      <c r="K76" s="10">
        <v>279</v>
      </c>
      <c r="L76" s="10">
        <v>218</v>
      </c>
      <c r="M76" s="10">
        <v>141</v>
      </c>
      <c r="N76" s="10">
        <v>147</v>
      </c>
      <c r="O76" s="10">
        <v>212</v>
      </c>
      <c r="P76" s="10">
        <v>502</v>
      </c>
      <c r="Q76" s="10">
        <v>271</v>
      </c>
      <c r="R76" s="10">
        <v>228</v>
      </c>
      <c r="S76" s="10">
        <v>415</v>
      </c>
      <c r="T76" s="10">
        <v>349</v>
      </c>
      <c r="U76" s="10">
        <v>261</v>
      </c>
      <c r="V76" s="10">
        <v>235</v>
      </c>
      <c r="W76" s="10">
        <v>265</v>
      </c>
      <c r="X76" s="10">
        <v>232</v>
      </c>
      <c r="Y76" s="10">
        <v>246</v>
      </c>
      <c r="Z76" s="10">
        <v>202</v>
      </c>
      <c r="AA76" s="10">
        <v>298</v>
      </c>
      <c r="AB76" s="10">
        <v>338</v>
      </c>
      <c r="AC76" s="10">
        <v>231</v>
      </c>
      <c r="AD76" s="10">
        <v>216</v>
      </c>
      <c r="AE76" s="10">
        <v>309</v>
      </c>
      <c r="AF76" s="10">
        <v>181</v>
      </c>
      <c r="AG76" s="10">
        <v>182</v>
      </c>
      <c r="AH76" s="10">
        <v>242</v>
      </c>
      <c r="AI76" s="10">
        <v>235</v>
      </c>
      <c r="AJ76" s="10">
        <v>280</v>
      </c>
      <c r="AK76" s="10">
        <v>246</v>
      </c>
      <c r="AL76" s="10">
        <v>344</v>
      </c>
      <c r="AM76" s="10">
        <v>180</v>
      </c>
      <c r="AN76" s="10">
        <v>275</v>
      </c>
      <c r="AO76" s="10">
        <v>140</v>
      </c>
      <c r="AP76" s="10">
        <v>267</v>
      </c>
      <c r="AQ76" s="10">
        <v>155</v>
      </c>
      <c r="AR76" s="10">
        <v>213</v>
      </c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pans="1:81">
      <c r="A77" s="4" t="s">
        <v>347</v>
      </c>
      <c r="B77" s="1" t="s">
        <v>348</v>
      </c>
      <c r="C77" s="1" t="s">
        <v>349</v>
      </c>
      <c r="D77" s="1" t="str">
        <f>HYPERLINK("http://eros.fiehnlab.ucdavis.edu:8080/binbase-compound/bin/show/213207?db=rtx5","213207")</f>
        <v>213207</v>
      </c>
      <c r="E77" s="1" t="s">
        <v>350</v>
      </c>
      <c r="F77" s="1" t="str">
        <f>HYPERLINK("http://www.genome.ad.jp/dbget-bin/www_bget?compound+C00387","C00387")</f>
        <v>C00387</v>
      </c>
      <c r="G77" s="1" t="str">
        <f>HYPERLINK("http://pubchem.ncbi.nlm.nih.gov/summary/summary.cgi?cid=6802","6802")</f>
        <v>6802</v>
      </c>
      <c r="H77" s="1"/>
      <c r="I77" s="10">
        <v>860</v>
      </c>
      <c r="J77" s="10">
        <v>321</v>
      </c>
      <c r="K77" s="10">
        <v>428</v>
      </c>
      <c r="L77" s="10">
        <v>1999</v>
      </c>
      <c r="M77" s="10">
        <v>499</v>
      </c>
      <c r="N77" s="10">
        <v>563</v>
      </c>
      <c r="O77" s="10">
        <v>527</v>
      </c>
      <c r="P77" s="10">
        <v>541</v>
      </c>
      <c r="Q77" s="10">
        <v>2666</v>
      </c>
      <c r="R77" s="10">
        <v>809</v>
      </c>
      <c r="S77" s="10">
        <v>774</v>
      </c>
      <c r="T77" s="10">
        <v>1125</v>
      </c>
      <c r="U77" s="10">
        <v>962</v>
      </c>
      <c r="V77" s="10">
        <v>994</v>
      </c>
      <c r="W77" s="10">
        <v>814</v>
      </c>
      <c r="X77" s="10">
        <v>764</v>
      </c>
      <c r="Y77" s="10">
        <v>407</v>
      </c>
      <c r="Z77" s="10">
        <v>728</v>
      </c>
      <c r="AA77" s="10">
        <v>678</v>
      </c>
      <c r="AB77" s="10">
        <v>3668</v>
      </c>
      <c r="AC77" s="10">
        <v>1110</v>
      </c>
      <c r="AD77" s="10">
        <v>1881</v>
      </c>
      <c r="AE77" s="10">
        <v>1040</v>
      </c>
      <c r="AF77" s="10">
        <v>755</v>
      </c>
      <c r="AG77" s="10">
        <v>1303</v>
      </c>
      <c r="AH77" s="10">
        <v>890</v>
      </c>
      <c r="AI77" s="10">
        <v>895</v>
      </c>
      <c r="AJ77" s="10">
        <v>959</v>
      </c>
      <c r="AK77" s="10">
        <v>426</v>
      </c>
      <c r="AL77" s="10">
        <v>443</v>
      </c>
      <c r="AM77" s="10">
        <v>823</v>
      </c>
      <c r="AN77" s="10">
        <v>1516</v>
      </c>
      <c r="AO77" s="10">
        <v>1483</v>
      </c>
      <c r="AP77" s="10">
        <v>3012</v>
      </c>
      <c r="AQ77" s="10">
        <v>590</v>
      </c>
      <c r="AR77" s="10">
        <v>488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pans="1:81">
      <c r="A78" s="4" t="s">
        <v>351</v>
      </c>
      <c r="B78" s="1" t="s">
        <v>352</v>
      </c>
      <c r="C78" s="1" t="s">
        <v>353</v>
      </c>
      <c r="D78" s="1" t="str">
        <f>HYPERLINK("http://eros.fiehnlab.ucdavis.edu:8080/binbase-compound/bin/show/352795?db=rtx5","352795")</f>
        <v>352795</v>
      </c>
      <c r="E78" s="1" t="s">
        <v>354</v>
      </c>
      <c r="F78" s="1" t="s">
        <v>0</v>
      </c>
      <c r="G78" s="1" t="s">
        <v>0</v>
      </c>
      <c r="H78" s="1"/>
      <c r="I78" s="10">
        <v>2159</v>
      </c>
      <c r="J78" s="10">
        <v>1805</v>
      </c>
      <c r="K78" s="10">
        <v>2563</v>
      </c>
      <c r="L78" s="10">
        <v>1985</v>
      </c>
      <c r="M78" s="10">
        <v>522</v>
      </c>
      <c r="N78" s="10">
        <v>484</v>
      </c>
      <c r="O78" s="10">
        <v>2516</v>
      </c>
      <c r="P78" s="10">
        <v>5641</v>
      </c>
      <c r="Q78" s="10">
        <v>4004</v>
      </c>
      <c r="R78" s="10">
        <v>2338</v>
      </c>
      <c r="S78" s="10">
        <v>1753</v>
      </c>
      <c r="T78" s="10">
        <v>6357</v>
      </c>
      <c r="U78" s="10">
        <v>878</v>
      </c>
      <c r="V78" s="10">
        <v>2160</v>
      </c>
      <c r="W78" s="10">
        <v>728</v>
      </c>
      <c r="X78" s="10">
        <v>4145</v>
      </c>
      <c r="Y78" s="10">
        <v>444</v>
      </c>
      <c r="Z78" s="10">
        <v>1008</v>
      </c>
      <c r="AA78" s="10">
        <v>4153</v>
      </c>
      <c r="AB78" s="10">
        <v>6237</v>
      </c>
      <c r="AC78" s="10">
        <v>9221</v>
      </c>
      <c r="AD78" s="10">
        <v>1596</v>
      </c>
      <c r="AE78" s="10">
        <v>4257</v>
      </c>
      <c r="AF78" s="10">
        <v>4951</v>
      </c>
      <c r="AG78" s="10">
        <v>2157</v>
      </c>
      <c r="AH78" s="10">
        <v>479</v>
      </c>
      <c r="AI78" s="10">
        <v>1369</v>
      </c>
      <c r="AJ78" s="10">
        <v>1387</v>
      </c>
      <c r="AK78" s="10">
        <v>425</v>
      </c>
      <c r="AL78" s="10">
        <v>904</v>
      </c>
      <c r="AM78" s="10">
        <v>1467</v>
      </c>
      <c r="AN78" s="10">
        <v>2282</v>
      </c>
      <c r="AO78" s="10">
        <v>998</v>
      </c>
      <c r="AP78" s="10">
        <v>3438</v>
      </c>
      <c r="AQ78" s="10">
        <v>604</v>
      </c>
      <c r="AR78" s="10">
        <v>954</v>
      </c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pans="1:81">
      <c r="A79" s="4" t="s">
        <v>355</v>
      </c>
      <c r="B79" s="1" t="s">
        <v>356</v>
      </c>
      <c r="C79" s="1" t="s">
        <v>189</v>
      </c>
      <c r="D79" s="1" t="str">
        <f>HYPERLINK("http://eros.fiehnlab.ucdavis.edu:8080/binbase-compound/bin/show/202167?db=rtx5","202167")</f>
        <v>202167</v>
      </c>
      <c r="E79" s="1" t="s">
        <v>357</v>
      </c>
      <c r="F79" s="1" t="str">
        <f>HYPERLINK("http://www.genome.ad.jp/dbget-bin/www_bget?compound+C00160","C00160")</f>
        <v>C00160</v>
      </c>
      <c r="G79" s="1" t="str">
        <f>HYPERLINK("http://pubchem.ncbi.nlm.nih.gov/summary/summary.cgi?cid=757","757")</f>
        <v>757</v>
      </c>
      <c r="H79" s="1"/>
      <c r="I79" s="10">
        <v>2779</v>
      </c>
      <c r="J79" s="10">
        <v>6162</v>
      </c>
      <c r="K79" s="10">
        <v>8416</v>
      </c>
      <c r="L79" s="10">
        <v>1166</v>
      </c>
      <c r="M79" s="10">
        <v>2808</v>
      </c>
      <c r="N79" s="10">
        <v>2124</v>
      </c>
      <c r="O79" s="10">
        <v>4211</v>
      </c>
      <c r="P79" s="10">
        <v>15347</v>
      </c>
      <c r="Q79" s="10">
        <v>2120</v>
      </c>
      <c r="R79" s="10">
        <v>1363</v>
      </c>
      <c r="S79" s="10">
        <v>10791</v>
      </c>
      <c r="T79" s="10">
        <v>6835</v>
      </c>
      <c r="U79" s="10">
        <v>2182</v>
      </c>
      <c r="V79" s="10">
        <v>3113</v>
      </c>
      <c r="W79" s="10">
        <v>2815</v>
      </c>
      <c r="X79" s="10">
        <v>1964</v>
      </c>
      <c r="Y79" s="10">
        <v>1552</v>
      </c>
      <c r="Z79" s="10">
        <v>2853</v>
      </c>
      <c r="AA79" s="10">
        <v>13786</v>
      </c>
      <c r="AB79" s="10">
        <v>1863</v>
      </c>
      <c r="AC79" s="10">
        <v>4469</v>
      </c>
      <c r="AD79" s="10">
        <v>2165</v>
      </c>
      <c r="AE79" s="10">
        <v>1795</v>
      </c>
      <c r="AF79" s="10">
        <v>2366</v>
      </c>
      <c r="AG79" s="10">
        <v>5776</v>
      </c>
      <c r="AH79" s="10">
        <v>1733</v>
      </c>
      <c r="AI79" s="10">
        <v>3390</v>
      </c>
      <c r="AJ79" s="10">
        <v>4633</v>
      </c>
      <c r="AK79" s="10">
        <v>2744</v>
      </c>
      <c r="AL79" s="10">
        <v>6703</v>
      </c>
      <c r="AM79" s="10">
        <v>2973</v>
      </c>
      <c r="AN79" s="10">
        <v>2559</v>
      </c>
      <c r="AO79" s="10">
        <v>2702</v>
      </c>
      <c r="AP79" s="10">
        <v>2019</v>
      </c>
      <c r="AQ79" s="10">
        <v>2806</v>
      </c>
      <c r="AR79" s="10">
        <v>2732</v>
      </c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pans="1:81">
      <c r="A80" s="4" t="s">
        <v>358</v>
      </c>
      <c r="B80" s="1" t="s">
        <v>359</v>
      </c>
      <c r="C80" s="1" t="s">
        <v>115</v>
      </c>
      <c r="D80" s="1" t="str">
        <f>HYPERLINK("http://eros.fiehnlab.ucdavis.edu:8080/binbase-compound/bin/show/227957?db=rtx5","227957")</f>
        <v>227957</v>
      </c>
      <c r="E80" s="1" t="s">
        <v>360</v>
      </c>
      <c r="F80" s="1" t="str">
        <f>HYPERLINK("http://www.genome.ad.jp/dbget-bin/www_bget?compound+C00037","C00037")</f>
        <v>C00037</v>
      </c>
      <c r="G80" s="1" t="str">
        <f>HYPERLINK("http://pubchem.ncbi.nlm.nih.gov/summary/summary.cgi?cid=750","750")</f>
        <v>750</v>
      </c>
      <c r="H80" s="1"/>
      <c r="I80" s="10">
        <v>314128</v>
      </c>
      <c r="J80" s="10">
        <v>150273</v>
      </c>
      <c r="K80" s="10">
        <v>129441</v>
      </c>
      <c r="L80" s="10">
        <v>251506</v>
      </c>
      <c r="M80" s="10">
        <v>317063</v>
      </c>
      <c r="N80" s="10">
        <v>352748</v>
      </c>
      <c r="O80" s="10">
        <v>187077</v>
      </c>
      <c r="P80" s="10">
        <v>178811</v>
      </c>
      <c r="Q80" s="10">
        <v>326862</v>
      </c>
      <c r="R80" s="10">
        <v>251772</v>
      </c>
      <c r="S80" s="10">
        <v>212177</v>
      </c>
      <c r="T80" s="10">
        <v>118884</v>
      </c>
      <c r="U80" s="10">
        <v>364369</v>
      </c>
      <c r="V80" s="10">
        <v>148022</v>
      </c>
      <c r="W80" s="10">
        <v>242670</v>
      </c>
      <c r="X80" s="10">
        <v>229871</v>
      </c>
      <c r="Y80" s="10">
        <v>354564</v>
      </c>
      <c r="Z80" s="10">
        <v>289509</v>
      </c>
      <c r="AA80" s="10">
        <v>144964</v>
      </c>
      <c r="AB80" s="10">
        <v>327920</v>
      </c>
      <c r="AC80" s="10">
        <v>86011</v>
      </c>
      <c r="AD80" s="10">
        <v>303909</v>
      </c>
      <c r="AE80" s="10">
        <v>276536</v>
      </c>
      <c r="AF80" s="10">
        <v>134440</v>
      </c>
      <c r="AG80" s="10">
        <v>141656</v>
      </c>
      <c r="AH80" s="10">
        <v>370751</v>
      </c>
      <c r="AI80" s="10">
        <v>220145</v>
      </c>
      <c r="AJ80" s="10">
        <v>166698</v>
      </c>
      <c r="AK80" s="10">
        <v>261763</v>
      </c>
      <c r="AL80" s="10">
        <v>137850</v>
      </c>
      <c r="AM80" s="10">
        <v>324251</v>
      </c>
      <c r="AN80" s="10">
        <v>174548</v>
      </c>
      <c r="AO80" s="10">
        <v>317603</v>
      </c>
      <c r="AP80" s="10">
        <v>336543</v>
      </c>
      <c r="AQ80" s="10">
        <v>229139</v>
      </c>
      <c r="AR80" s="10">
        <v>278855</v>
      </c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pans="1:81">
      <c r="A81" s="4" t="s">
        <v>361</v>
      </c>
      <c r="B81" s="1" t="s">
        <v>362</v>
      </c>
      <c r="C81" s="1" t="s">
        <v>363</v>
      </c>
      <c r="D81" s="1" t="str">
        <f>HYPERLINK("http://eros.fiehnlab.ucdavis.edu:8080/binbase-compound/bin/show/199419?db=rtx5","199419")</f>
        <v>199419</v>
      </c>
      <c r="E81" s="1" t="s">
        <v>364</v>
      </c>
      <c r="F81" s="1" t="str">
        <f>HYPERLINK("http://www.genome.ad.jp/dbget-bin/www_bget?compound+C00093","C00093")</f>
        <v>C00093</v>
      </c>
      <c r="G81" s="1" t="str">
        <f>HYPERLINK("http://pubchem.ncbi.nlm.nih.gov/summary/summary.cgi?cid=754","754")</f>
        <v>754</v>
      </c>
      <c r="H81" s="1"/>
      <c r="I81" s="10">
        <v>5409</v>
      </c>
      <c r="J81" s="10">
        <v>24711</v>
      </c>
      <c r="K81" s="10">
        <v>31980</v>
      </c>
      <c r="L81" s="10">
        <v>3203</v>
      </c>
      <c r="M81" s="10">
        <v>16744</v>
      </c>
      <c r="N81" s="10">
        <v>3857</v>
      </c>
      <c r="O81" s="10">
        <v>12620</v>
      </c>
      <c r="P81" s="10">
        <v>58424</v>
      </c>
      <c r="Q81" s="10">
        <v>8390</v>
      </c>
      <c r="R81" s="10">
        <v>7242</v>
      </c>
      <c r="S81" s="10">
        <v>23632</v>
      </c>
      <c r="T81" s="10">
        <v>31362</v>
      </c>
      <c r="U81" s="10">
        <v>4746</v>
      </c>
      <c r="V81" s="10">
        <v>11280</v>
      </c>
      <c r="W81" s="10">
        <v>7633</v>
      </c>
      <c r="X81" s="10">
        <v>6341</v>
      </c>
      <c r="Y81" s="10">
        <v>8130</v>
      </c>
      <c r="Z81" s="10">
        <v>6560</v>
      </c>
      <c r="AA81" s="10">
        <v>36055</v>
      </c>
      <c r="AB81" s="10">
        <v>6515</v>
      </c>
      <c r="AC81" s="10">
        <v>20177</v>
      </c>
      <c r="AD81" s="10">
        <v>9756</v>
      </c>
      <c r="AE81" s="10">
        <v>6381</v>
      </c>
      <c r="AF81" s="10">
        <v>15135</v>
      </c>
      <c r="AG81" s="10">
        <v>25217</v>
      </c>
      <c r="AH81" s="10">
        <v>5116</v>
      </c>
      <c r="AI81" s="10">
        <v>12744</v>
      </c>
      <c r="AJ81" s="10">
        <v>16622</v>
      </c>
      <c r="AK81" s="10">
        <v>5863</v>
      </c>
      <c r="AL81" s="10">
        <v>20125</v>
      </c>
      <c r="AM81" s="10">
        <v>8585</v>
      </c>
      <c r="AN81" s="10">
        <v>19616</v>
      </c>
      <c r="AO81" s="10">
        <v>9098</v>
      </c>
      <c r="AP81" s="10">
        <v>8670</v>
      </c>
      <c r="AQ81" s="10">
        <v>11782</v>
      </c>
      <c r="AR81" s="10">
        <v>8388</v>
      </c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pans="1:81">
      <c r="A82" s="4" t="s">
        <v>365</v>
      </c>
      <c r="B82" s="1" t="s">
        <v>366</v>
      </c>
      <c r="C82" s="1" t="s">
        <v>159</v>
      </c>
      <c r="D82" s="1" t="str">
        <f>HYPERLINK("http://eros.fiehnlab.ucdavis.edu:8080/binbase-compound/bin/show/225851?db=rtx5","225851")</f>
        <v>225851</v>
      </c>
      <c r="E82" s="1" t="s">
        <v>367</v>
      </c>
      <c r="F82" s="1" t="str">
        <f>HYPERLINK("http://www.genome.ad.jp/dbget-bin/www_bget?compound+C05401","C05401")</f>
        <v>C05401</v>
      </c>
      <c r="G82" s="1" t="str">
        <f>HYPERLINK("http://pubchem.ncbi.nlm.nih.gov/summary/summary.cgi?cid=656504","656504")</f>
        <v>656504</v>
      </c>
      <c r="H82" s="1"/>
      <c r="I82" s="10">
        <v>10408</v>
      </c>
      <c r="J82" s="10">
        <v>31655</v>
      </c>
      <c r="K82" s="10">
        <v>30601</v>
      </c>
      <c r="L82" s="10">
        <v>8645</v>
      </c>
      <c r="M82" s="10">
        <v>15463</v>
      </c>
      <c r="N82" s="10">
        <v>6654</v>
      </c>
      <c r="O82" s="10">
        <v>16047</v>
      </c>
      <c r="P82" s="10">
        <v>43541</v>
      </c>
      <c r="Q82" s="10">
        <v>13549</v>
      </c>
      <c r="R82" s="10">
        <v>14269</v>
      </c>
      <c r="S82" s="10">
        <v>33717</v>
      </c>
      <c r="T82" s="10">
        <v>20264</v>
      </c>
      <c r="U82" s="10">
        <v>8953</v>
      </c>
      <c r="V82" s="10">
        <v>25780</v>
      </c>
      <c r="W82" s="10">
        <v>16710</v>
      </c>
      <c r="X82" s="10">
        <v>12798</v>
      </c>
      <c r="Y82" s="10">
        <v>10358</v>
      </c>
      <c r="Z82" s="10">
        <v>15170</v>
      </c>
      <c r="AA82" s="10">
        <v>34881</v>
      </c>
      <c r="AB82" s="10">
        <v>9351</v>
      </c>
      <c r="AC82" s="10">
        <v>29243</v>
      </c>
      <c r="AD82" s="10">
        <v>14162</v>
      </c>
      <c r="AE82" s="10">
        <v>10898</v>
      </c>
      <c r="AF82" s="10">
        <v>20080</v>
      </c>
      <c r="AG82" s="10">
        <v>25511</v>
      </c>
      <c r="AH82" s="10">
        <v>9658</v>
      </c>
      <c r="AI82" s="10">
        <v>18348</v>
      </c>
      <c r="AJ82" s="10">
        <v>23594</v>
      </c>
      <c r="AK82" s="10">
        <v>15359</v>
      </c>
      <c r="AL82" s="10">
        <v>31400</v>
      </c>
      <c r="AM82" s="10">
        <v>12357</v>
      </c>
      <c r="AN82" s="10">
        <v>23999</v>
      </c>
      <c r="AO82" s="10">
        <v>11913</v>
      </c>
      <c r="AP82" s="10">
        <v>11863</v>
      </c>
      <c r="AQ82" s="10">
        <v>17164</v>
      </c>
      <c r="AR82" s="10">
        <v>13040</v>
      </c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pans="1:81">
      <c r="A83" s="4" t="s">
        <v>368</v>
      </c>
      <c r="B83" s="1" t="s">
        <v>369</v>
      </c>
      <c r="C83" s="1" t="s">
        <v>370</v>
      </c>
      <c r="D83" s="1" t="str">
        <f>HYPERLINK("http://eros.fiehnlab.ucdavis.edu:8080/binbase-compound/bin/show/228009?db=rtx5","228009")</f>
        <v>228009</v>
      </c>
      <c r="E83" s="1" t="s">
        <v>371</v>
      </c>
      <c r="F83" s="1" t="str">
        <f>HYPERLINK("http://www.genome.ad.jp/dbget-bin/www_bget?compound+C00258","C00258")</f>
        <v>C00258</v>
      </c>
      <c r="G83" s="1" t="str">
        <f>HYPERLINK("http://pubchem.ncbi.nlm.nih.gov/summary/summary.cgi?cid=439194","439194")</f>
        <v>439194</v>
      </c>
      <c r="H83" s="1"/>
      <c r="I83" s="10">
        <v>8664</v>
      </c>
      <c r="J83" s="10">
        <v>10050</v>
      </c>
      <c r="K83" s="10">
        <v>11836</v>
      </c>
      <c r="L83" s="10">
        <v>3541</v>
      </c>
      <c r="M83" s="10">
        <v>5102</v>
      </c>
      <c r="N83" s="10">
        <v>5110</v>
      </c>
      <c r="O83" s="10">
        <v>18198</v>
      </c>
      <c r="P83" s="10">
        <v>67693</v>
      </c>
      <c r="Q83" s="10">
        <v>7363</v>
      </c>
      <c r="R83" s="10">
        <v>5905</v>
      </c>
      <c r="S83" s="10">
        <v>49540</v>
      </c>
      <c r="T83" s="10">
        <v>20178</v>
      </c>
      <c r="U83" s="10">
        <v>3950</v>
      </c>
      <c r="V83" s="10">
        <v>4925</v>
      </c>
      <c r="W83" s="10">
        <v>3948</v>
      </c>
      <c r="X83" s="10">
        <v>7104</v>
      </c>
      <c r="Y83" s="10">
        <v>2747</v>
      </c>
      <c r="Z83" s="10">
        <v>3784</v>
      </c>
      <c r="AA83" s="10">
        <v>40659</v>
      </c>
      <c r="AB83" s="10">
        <v>8757</v>
      </c>
      <c r="AC83" s="10">
        <v>18164</v>
      </c>
      <c r="AD83" s="10">
        <v>4220</v>
      </c>
      <c r="AE83" s="10">
        <v>8351</v>
      </c>
      <c r="AF83" s="10">
        <v>10388</v>
      </c>
      <c r="AG83" s="10">
        <v>24852</v>
      </c>
      <c r="AH83" s="10">
        <v>3263</v>
      </c>
      <c r="AI83" s="10">
        <v>8154</v>
      </c>
      <c r="AJ83" s="10">
        <v>5019</v>
      </c>
      <c r="AK83" s="10">
        <v>6209</v>
      </c>
      <c r="AL83" s="10">
        <v>12119</v>
      </c>
      <c r="AM83" s="10">
        <v>3391</v>
      </c>
      <c r="AN83" s="10">
        <v>3759</v>
      </c>
      <c r="AO83" s="10">
        <v>3325</v>
      </c>
      <c r="AP83" s="10">
        <v>4400</v>
      </c>
      <c r="AQ83" s="10">
        <v>8611</v>
      </c>
      <c r="AR83" s="10">
        <v>3006</v>
      </c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pans="1:81">
      <c r="A84" s="4" t="s">
        <v>372</v>
      </c>
      <c r="B84" s="1" t="s">
        <v>373</v>
      </c>
      <c r="C84" s="1" t="s">
        <v>374</v>
      </c>
      <c r="D84" s="1" t="str">
        <f>HYPERLINK("http://eros.fiehnlab.ucdavis.edu:8080/binbase-compound/bin/show/227977?db=rtx5","227977")</f>
        <v>227977</v>
      </c>
      <c r="E84" s="1" t="s">
        <v>375</v>
      </c>
      <c r="F84" s="1" t="str">
        <f>HYPERLINK("http://www.genome.ad.jp/dbget-bin/www_bget?compound+C00025","C00025")</f>
        <v>C00025</v>
      </c>
      <c r="G84" s="1" t="str">
        <f>HYPERLINK("http://pubchem.ncbi.nlm.nih.gov/summary/summary.cgi?cid=33032","33032")</f>
        <v>33032</v>
      </c>
      <c r="H84" s="1"/>
      <c r="I84" s="10">
        <v>213244</v>
      </c>
      <c r="J84" s="10">
        <v>97798</v>
      </c>
      <c r="K84" s="10">
        <v>42386</v>
      </c>
      <c r="L84" s="10">
        <v>252630</v>
      </c>
      <c r="M84" s="10">
        <v>214278</v>
      </c>
      <c r="N84" s="10">
        <v>245270</v>
      </c>
      <c r="O84" s="10">
        <v>66466</v>
      </c>
      <c r="P84" s="10">
        <v>29747</v>
      </c>
      <c r="Q84" s="10">
        <v>168298</v>
      </c>
      <c r="R84" s="10">
        <v>173144</v>
      </c>
      <c r="S84" s="10">
        <v>79814</v>
      </c>
      <c r="T84" s="10">
        <v>45524</v>
      </c>
      <c r="U84" s="10">
        <v>254371</v>
      </c>
      <c r="V84" s="10">
        <v>180441</v>
      </c>
      <c r="W84" s="10">
        <v>191891</v>
      </c>
      <c r="X84" s="10">
        <v>165713</v>
      </c>
      <c r="Y84" s="10">
        <v>236933</v>
      </c>
      <c r="Z84" s="10">
        <v>179993</v>
      </c>
      <c r="AA84" s="10">
        <v>72610</v>
      </c>
      <c r="AB84" s="10">
        <v>217821</v>
      </c>
      <c r="AC84" s="10">
        <v>31767</v>
      </c>
      <c r="AD84" s="10">
        <v>186206</v>
      </c>
      <c r="AE84" s="10">
        <v>182829</v>
      </c>
      <c r="AF84" s="10">
        <v>39317</v>
      </c>
      <c r="AG84" s="10">
        <v>62460</v>
      </c>
      <c r="AH84" s="10">
        <v>261470</v>
      </c>
      <c r="AI84" s="10">
        <v>131350</v>
      </c>
      <c r="AJ84" s="10">
        <v>131921</v>
      </c>
      <c r="AK84" s="10">
        <v>165934</v>
      </c>
      <c r="AL84" s="10">
        <v>71071</v>
      </c>
      <c r="AM84" s="10">
        <v>201753</v>
      </c>
      <c r="AN84" s="10">
        <v>103034</v>
      </c>
      <c r="AO84" s="10">
        <v>193341</v>
      </c>
      <c r="AP84" s="10">
        <v>197479</v>
      </c>
      <c r="AQ84" s="10">
        <v>141307</v>
      </c>
      <c r="AR84" s="10">
        <v>182437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pans="1:81">
      <c r="A85" s="4" t="s">
        <v>1207</v>
      </c>
      <c r="B85" s="1" t="s">
        <v>376</v>
      </c>
      <c r="C85" s="1" t="s">
        <v>269</v>
      </c>
      <c r="D85" s="1" t="str">
        <f>HYPERLINK("http://eros.fiehnlab.ucdavis.edu:8080/binbase-compound/bin/show/199915?db=rtx5","199915")</f>
        <v>199915</v>
      </c>
      <c r="E85" s="1" t="s">
        <v>377</v>
      </c>
      <c r="F85" s="1" t="str">
        <f>HYPERLINK("http://www.genome.ad.jp/dbget-bin/www_bget?compound+C00092","C00092")</f>
        <v>C00092</v>
      </c>
      <c r="G85" s="1" t="str">
        <f>HYPERLINK("http://pubchem.ncbi.nlm.nih.gov/summary/summary.cgi?cid=5958","5958")</f>
        <v>5958</v>
      </c>
      <c r="H85" s="1"/>
      <c r="I85" s="10">
        <v>1415</v>
      </c>
      <c r="J85" s="10">
        <v>6308</v>
      </c>
      <c r="K85" s="10">
        <v>4160</v>
      </c>
      <c r="L85" s="10">
        <v>1299</v>
      </c>
      <c r="M85" s="10">
        <v>3227</v>
      </c>
      <c r="N85" s="10">
        <v>1289</v>
      </c>
      <c r="O85" s="10">
        <v>1857</v>
      </c>
      <c r="P85" s="10">
        <v>2822</v>
      </c>
      <c r="Q85" s="10">
        <v>1803</v>
      </c>
      <c r="R85" s="10">
        <v>2025</v>
      </c>
      <c r="S85" s="10">
        <v>3107</v>
      </c>
      <c r="T85" s="10">
        <v>4608</v>
      </c>
      <c r="U85" s="10">
        <v>1915</v>
      </c>
      <c r="V85" s="10">
        <v>3316</v>
      </c>
      <c r="W85" s="10">
        <v>1128</v>
      </c>
      <c r="X85" s="10">
        <v>1121</v>
      </c>
      <c r="Y85" s="10">
        <v>1204</v>
      </c>
      <c r="Z85" s="10">
        <v>2139</v>
      </c>
      <c r="AA85" s="10">
        <v>2070</v>
      </c>
      <c r="AB85" s="10">
        <v>766</v>
      </c>
      <c r="AC85" s="10">
        <v>2560</v>
      </c>
      <c r="AD85" s="10">
        <v>2348</v>
      </c>
      <c r="AE85" s="10">
        <v>893</v>
      </c>
      <c r="AF85" s="10">
        <v>1253</v>
      </c>
      <c r="AG85" s="10">
        <v>1878</v>
      </c>
      <c r="AH85" s="10">
        <v>816</v>
      </c>
      <c r="AI85" s="10">
        <v>2862</v>
      </c>
      <c r="AJ85" s="10">
        <v>4742</v>
      </c>
      <c r="AK85" s="10">
        <v>2173</v>
      </c>
      <c r="AL85" s="10">
        <v>2426</v>
      </c>
      <c r="AM85" s="10">
        <v>2285</v>
      </c>
      <c r="AN85" s="10">
        <v>2899</v>
      </c>
      <c r="AO85" s="10">
        <v>1116</v>
      </c>
      <c r="AP85" s="10">
        <v>1978</v>
      </c>
      <c r="AQ85" s="10">
        <v>1930</v>
      </c>
      <c r="AR85" s="10">
        <v>1994</v>
      </c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pans="1:81">
      <c r="A86" s="4" t="s">
        <v>378</v>
      </c>
      <c r="B86" s="1" t="s">
        <v>379</v>
      </c>
      <c r="C86" s="1" t="s">
        <v>185</v>
      </c>
      <c r="D86" s="1" t="str">
        <f>HYPERLINK("http://eros.fiehnlab.ucdavis.edu:8080/binbase-compound/bin/show/199178?db=rtx5","199178")</f>
        <v>199178</v>
      </c>
      <c r="E86" s="1" t="s">
        <v>380</v>
      </c>
      <c r="F86" s="1" t="str">
        <f>HYPERLINK("http://www.genome.ad.jp/dbget-bin/www_bget?compound+C00103","C00103")</f>
        <v>C00103</v>
      </c>
      <c r="G86" s="1" t="str">
        <f>HYPERLINK("http://pubchem.ncbi.nlm.nih.gov/summary/summary.cgi?cid=65533","65533")</f>
        <v>65533</v>
      </c>
      <c r="H86" s="1"/>
      <c r="I86" s="10">
        <v>1683</v>
      </c>
      <c r="J86" s="10">
        <v>5997</v>
      </c>
      <c r="K86" s="10">
        <v>7477</v>
      </c>
      <c r="L86" s="10">
        <v>2127</v>
      </c>
      <c r="M86" s="10">
        <v>2126</v>
      </c>
      <c r="N86" s="10">
        <v>1885</v>
      </c>
      <c r="O86" s="10">
        <v>2941</v>
      </c>
      <c r="P86" s="10">
        <v>10998</v>
      </c>
      <c r="Q86" s="10">
        <v>1896</v>
      </c>
      <c r="R86" s="10">
        <v>1466</v>
      </c>
      <c r="S86" s="10">
        <v>6441</v>
      </c>
      <c r="T86" s="10">
        <v>6065</v>
      </c>
      <c r="U86" s="10">
        <v>1761</v>
      </c>
      <c r="V86" s="10">
        <v>6415</v>
      </c>
      <c r="W86" s="10">
        <v>3426</v>
      </c>
      <c r="X86" s="10">
        <v>2267</v>
      </c>
      <c r="Y86" s="10">
        <v>2422</v>
      </c>
      <c r="Z86" s="10">
        <v>1965</v>
      </c>
      <c r="AA86" s="10">
        <v>8570</v>
      </c>
      <c r="AB86" s="10">
        <v>3034</v>
      </c>
      <c r="AC86" s="10">
        <v>6066</v>
      </c>
      <c r="AD86" s="10">
        <v>2666</v>
      </c>
      <c r="AE86" s="10">
        <v>2089</v>
      </c>
      <c r="AF86" s="10">
        <v>3819</v>
      </c>
      <c r="AG86" s="10">
        <v>4119</v>
      </c>
      <c r="AH86" s="10">
        <v>3659</v>
      </c>
      <c r="AI86" s="10">
        <v>2340</v>
      </c>
      <c r="AJ86" s="10">
        <v>2833</v>
      </c>
      <c r="AK86" s="10">
        <v>1854</v>
      </c>
      <c r="AL86" s="10">
        <v>4203</v>
      </c>
      <c r="AM86" s="10">
        <v>3201</v>
      </c>
      <c r="AN86" s="10">
        <v>4411</v>
      </c>
      <c r="AO86" s="10">
        <v>2539</v>
      </c>
      <c r="AP86" s="10">
        <v>1993</v>
      </c>
      <c r="AQ86" s="10">
        <v>3677</v>
      </c>
      <c r="AR86" s="10">
        <v>2194</v>
      </c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pans="1:81">
      <c r="A87" s="4" t="s">
        <v>1208</v>
      </c>
      <c r="B87" s="1" t="s">
        <v>381</v>
      </c>
      <c r="C87" s="1" t="s">
        <v>133</v>
      </c>
      <c r="D87" s="1" t="str">
        <f>HYPERLINK("http://eros.fiehnlab.ucdavis.edu:8080/binbase-compound/bin/show/199413?db=rtx5","199413")</f>
        <v>199413</v>
      </c>
      <c r="E87" s="1" t="s">
        <v>382</v>
      </c>
      <c r="F87" s="1" t="str">
        <f>HYPERLINK("http://www.genome.ad.jp/dbget-bin/www_bget?compound+C00031","C00031")</f>
        <v>C00031</v>
      </c>
      <c r="G87" s="1" t="str">
        <f>HYPERLINK("http://pubchem.ncbi.nlm.nih.gov/summary/summary.cgi?cid=5793","5793")</f>
        <v>5793</v>
      </c>
      <c r="H87" s="1"/>
      <c r="I87" s="10">
        <v>3995</v>
      </c>
      <c r="J87" s="10">
        <v>6311</v>
      </c>
      <c r="K87" s="10">
        <v>12814</v>
      </c>
      <c r="L87" s="10">
        <v>7011</v>
      </c>
      <c r="M87" s="10">
        <v>2665</v>
      </c>
      <c r="N87" s="10">
        <v>3705</v>
      </c>
      <c r="O87" s="10">
        <v>1192</v>
      </c>
      <c r="P87" s="10">
        <v>23784</v>
      </c>
      <c r="Q87" s="10">
        <v>3782</v>
      </c>
      <c r="R87" s="10">
        <v>961</v>
      </c>
      <c r="S87" s="10">
        <v>19045</v>
      </c>
      <c r="T87" s="10">
        <v>8837</v>
      </c>
      <c r="U87" s="10">
        <v>2899</v>
      </c>
      <c r="V87" s="10">
        <v>7213</v>
      </c>
      <c r="W87" s="10">
        <v>5450</v>
      </c>
      <c r="X87" s="10">
        <v>6345</v>
      </c>
      <c r="Y87" s="10">
        <v>2417</v>
      </c>
      <c r="Z87" s="10">
        <v>5927</v>
      </c>
      <c r="AA87" s="10">
        <v>14378</v>
      </c>
      <c r="AB87" s="10">
        <v>7484</v>
      </c>
      <c r="AC87" s="10">
        <v>18071</v>
      </c>
      <c r="AD87" s="10">
        <v>6765</v>
      </c>
      <c r="AE87" s="10">
        <v>9467</v>
      </c>
      <c r="AF87" s="10">
        <v>13720</v>
      </c>
      <c r="AG87" s="10">
        <v>5396</v>
      </c>
      <c r="AH87" s="10">
        <v>3764</v>
      </c>
      <c r="AI87" s="10">
        <v>5201</v>
      </c>
      <c r="AJ87" s="10">
        <v>1810</v>
      </c>
      <c r="AK87" s="10">
        <v>5945</v>
      </c>
      <c r="AL87" s="10">
        <v>6860</v>
      </c>
      <c r="AM87" s="10">
        <v>2814</v>
      </c>
      <c r="AN87" s="10">
        <v>5225</v>
      </c>
      <c r="AO87" s="10">
        <v>2898</v>
      </c>
      <c r="AP87" s="10">
        <v>3988</v>
      </c>
      <c r="AQ87" s="10">
        <v>6820</v>
      </c>
      <c r="AR87" s="10">
        <v>2332</v>
      </c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pans="1:81">
      <c r="A88" s="4" t="s">
        <v>1210</v>
      </c>
      <c r="B88" s="1" t="s">
        <v>384</v>
      </c>
      <c r="C88" s="1" t="s">
        <v>269</v>
      </c>
      <c r="D88" s="1" t="str">
        <f>HYPERLINK("http://eros.fiehnlab.ucdavis.edu:8080/binbase-compound/bin/show/199932?db=rtx5","199932")</f>
        <v>199932</v>
      </c>
      <c r="E88" s="1" t="s">
        <v>385</v>
      </c>
      <c r="F88" s="1" t="str">
        <f>HYPERLINK("http://www.genome.ad.jp/dbget-bin/www_bget?compound+C00446","C00446")</f>
        <v>C00446</v>
      </c>
      <c r="G88" s="1" t="str">
        <f>HYPERLINK("http://pubchem.ncbi.nlm.nih.gov/summary/summary.cgi?cid=99058","99058")</f>
        <v>99058</v>
      </c>
      <c r="H88" s="1"/>
      <c r="I88" s="10">
        <v>525</v>
      </c>
      <c r="J88" s="10">
        <v>1400</v>
      </c>
      <c r="K88" s="10">
        <v>1838</v>
      </c>
      <c r="L88" s="10">
        <v>540</v>
      </c>
      <c r="M88" s="10">
        <v>909</v>
      </c>
      <c r="N88" s="10">
        <v>370</v>
      </c>
      <c r="O88" s="10">
        <v>1708</v>
      </c>
      <c r="P88" s="10">
        <v>3731</v>
      </c>
      <c r="Q88" s="10">
        <v>1279</v>
      </c>
      <c r="R88" s="10">
        <v>1603</v>
      </c>
      <c r="S88" s="10">
        <v>4635</v>
      </c>
      <c r="T88" s="10">
        <v>1501</v>
      </c>
      <c r="U88" s="10">
        <v>732</v>
      </c>
      <c r="V88" s="10">
        <v>1868</v>
      </c>
      <c r="W88" s="10">
        <v>1362</v>
      </c>
      <c r="X88" s="10">
        <v>1539</v>
      </c>
      <c r="Y88" s="10">
        <v>850</v>
      </c>
      <c r="Z88" s="10">
        <v>887</v>
      </c>
      <c r="AA88" s="10">
        <v>3746</v>
      </c>
      <c r="AB88" s="10">
        <v>598</v>
      </c>
      <c r="AC88" s="10">
        <v>1439</v>
      </c>
      <c r="AD88" s="10">
        <v>1494</v>
      </c>
      <c r="AE88" s="10">
        <v>580</v>
      </c>
      <c r="AF88" s="10">
        <v>686</v>
      </c>
      <c r="AG88" s="10">
        <v>2450</v>
      </c>
      <c r="AH88" s="10">
        <v>840</v>
      </c>
      <c r="AI88" s="10">
        <v>902</v>
      </c>
      <c r="AJ88" s="10">
        <v>1994</v>
      </c>
      <c r="AK88" s="10">
        <v>666</v>
      </c>
      <c r="AL88" s="10">
        <v>1401</v>
      </c>
      <c r="AM88" s="10">
        <v>472</v>
      </c>
      <c r="AN88" s="10">
        <v>2025</v>
      </c>
      <c r="AO88" s="10">
        <v>1138</v>
      </c>
      <c r="AP88" s="10">
        <v>1221</v>
      </c>
      <c r="AQ88" s="10">
        <v>499</v>
      </c>
      <c r="AR88" s="10">
        <v>669</v>
      </c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pans="1:81">
      <c r="A89" s="4" t="s">
        <v>1209</v>
      </c>
      <c r="B89" s="1" t="s">
        <v>386</v>
      </c>
      <c r="C89" s="1" t="s">
        <v>159</v>
      </c>
      <c r="D89" s="1" t="str">
        <f>HYPERLINK("http://eros.fiehnlab.ucdavis.edu:8080/binbase-compound/bin/show/211957?db=rtx5","211957")</f>
        <v>211957</v>
      </c>
      <c r="E89" s="1" t="s">
        <v>387</v>
      </c>
      <c r="F89" s="1" t="str">
        <f>HYPERLINK("http://www.genome.ad.jp/dbget-bin/www_bget?compound+C01235","C01235")</f>
        <v>C01235</v>
      </c>
      <c r="G89" s="1" t="str">
        <f>HYPERLINK("http://pubchem.ncbi.nlm.nih.gov/summary/summary.cgi?cid=439451","439451")</f>
        <v>439451</v>
      </c>
      <c r="H89" s="1"/>
      <c r="I89" s="10">
        <v>1663</v>
      </c>
      <c r="J89" s="10">
        <v>1689</v>
      </c>
      <c r="K89" s="10">
        <v>1422</v>
      </c>
      <c r="L89" s="10">
        <v>841</v>
      </c>
      <c r="M89" s="10">
        <v>1577</v>
      </c>
      <c r="N89" s="10">
        <v>1969</v>
      </c>
      <c r="O89" s="10">
        <v>1668</v>
      </c>
      <c r="P89" s="10">
        <v>1967</v>
      </c>
      <c r="Q89" s="10">
        <v>1304</v>
      </c>
      <c r="R89" s="10">
        <v>1518</v>
      </c>
      <c r="S89" s="10">
        <v>1710</v>
      </c>
      <c r="T89" s="10">
        <v>1494</v>
      </c>
      <c r="U89" s="10">
        <v>2187</v>
      </c>
      <c r="V89" s="10">
        <v>1006</v>
      </c>
      <c r="W89" s="10">
        <v>940</v>
      </c>
      <c r="X89" s="10">
        <v>761</v>
      </c>
      <c r="Y89" s="10">
        <v>2030</v>
      </c>
      <c r="Z89" s="10">
        <v>1441</v>
      </c>
      <c r="AA89" s="10">
        <v>1736</v>
      </c>
      <c r="AB89" s="10">
        <v>2369</v>
      </c>
      <c r="AC89" s="10">
        <v>1270</v>
      </c>
      <c r="AD89" s="10">
        <v>1664</v>
      </c>
      <c r="AE89" s="10">
        <v>1206</v>
      </c>
      <c r="AF89" s="10">
        <v>1321</v>
      </c>
      <c r="AG89" s="10">
        <v>1069</v>
      </c>
      <c r="AH89" s="10">
        <v>2162</v>
      </c>
      <c r="AI89" s="10">
        <v>1973</v>
      </c>
      <c r="AJ89" s="10">
        <v>1389</v>
      </c>
      <c r="AK89" s="10">
        <v>924</v>
      </c>
      <c r="AL89" s="10">
        <v>1160</v>
      </c>
      <c r="AM89" s="10">
        <v>1331</v>
      </c>
      <c r="AN89" s="10">
        <v>1834</v>
      </c>
      <c r="AO89" s="10">
        <v>1658</v>
      </c>
      <c r="AP89" s="10">
        <v>1719</v>
      </c>
      <c r="AQ89" s="10">
        <v>1407</v>
      </c>
      <c r="AR89" s="10">
        <v>1742</v>
      </c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pans="1:81">
      <c r="A90" s="4" t="s">
        <v>389</v>
      </c>
      <c r="B90" s="1" t="s">
        <v>390</v>
      </c>
      <c r="C90" s="1" t="s">
        <v>115</v>
      </c>
      <c r="D90" s="1" t="str">
        <f>HYPERLINK("http://eros.fiehnlab.ucdavis.edu:8080/binbase-compound/bin/show/227952?db=rtx5","227952")</f>
        <v>227952</v>
      </c>
      <c r="E90" s="1" t="s">
        <v>391</v>
      </c>
      <c r="F90" s="1" t="str">
        <f>HYPERLINK("http://www.genome.ad.jp/dbget-bin/www_bget?compound+C00334","C00334")</f>
        <v>C00334</v>
      </c>
      <c r="G90" s="1" t="str">
        <f>HYPERLINK("http://pubchem.ncbi.nlm.nih.gov/summary/summary.cgi?cid=119","119")</f>
        <v>119</v>
      </c>
      <c r="H90" s="1"/>
      <c r="I90" s="10">
        <v>49845</v>
      </c>
      <c r="J90" s="10">
        <v>1375</v>
      </c>
      <c r="K90" s="10">
        <v>872</v>
      </c>
      <c r="L90" s="10">
        <v>50881</v>
      </c>
      <c r="M90" s="10">
        <v>40382</v>
      </c>
      <c r="N90" s="10">
        <v>61093</v>
      </c>
      <c r="O90" s="10">
        <v>1260</v>
      </c>
      <c r="P90" s="10">
        <v>347686</v>
      </c>
      <c r="Q90" s="10">
        <v>145958</v>
      </c>
      <c r="R90" s="10">
        <v>915</v>
      </c>
      <c r="S90" s="10">
        <v>1506</v>
      </c>
      <c r="T90" s="10">
        <v>148414</v>
      </c>
      <c r="U90" s="10">
        <v>42619</v>
      </c>
      <c r="V90" s="10">
        <v>137651</v>
      </c>
      <c r="W90" s="10">
        <v>43950</v>
      </c>
      <c r="X90" s="10">
        <v>295210</v>
      </c>
      <c r="Y90" s="10">
        <v>48609</v>
      </c>
      <c r="Z90" s="10">
        <v>42612</v>
      </c>
      <c r="AA90" s="10">
        <v>337844</v>
      </c>
      <c r="AB90" s="10">
        <v>254443</v>
      </c>
      <c r="AC90" s="10">
        <v>476943</v>
      </c>
      <c r="AD90" s="10">
        <v>2381</v>
      </c>
      <c r="AE90" s="10">
        <v>117625</v>
      </c>
      <c r="AF90" s="10">
        <v>511728</v>
      </c>
      <c r="AG90" s="10">
        <v>394359</v>
      </c>
      <c r="AH90" s="10">
        <v>34785</v>
      </c>
      <c r="AI90" s="10">
        <v>1324</v>
      </c>
      <c r="AJ90" s="10">
        <v>43025</v>
      </c>
      <c r="AK90" s="10">
        <v>1437</v>
      </c>
      <c r="AL90" s="10">
        <v>42664</v>
      </c>
      <c r="AM90" s="10">
        <v>1532</v>
      </c>
      <c r="AN90" s="10">
        <v>3061</v>
      </c>
      <c r="AO90" s="10">
        <v>1633</v>
      </c>
      <c r="AP90" s="10">
        <v>1799</v>
      </c>
      <c r="AQ90" s="10">
        <v>1287</v>
      </c>
      <c r="AR90" s="10">
        <v>50345</v>
      </c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pans="1:81">
      <c r="A91" s="4" t="s">
        <v>392</v>
      </c>
      <c r="B91" s="1" t="s">
        <v>393</v>
      </c>
      <c r="C91" s="1" t="s">
        <v>394</v>
      </c>
      <c r="D91" s="1" t="str">
        <f>HYPERLINK("http://eros.fiehnlab.ucdavis.edu:8080/binbase-compound/bin/show/325032?db=rtx5","325032")</f>
        <v>325032</v>
      </c>
      <c r="E91" s="1" t="s">
        <v>395</v>
      </c>
      <c r="F91" s="1" t="str">
        <f>HYPERLINK("http://www.genome.ad.jp/dbget-bin/www_bget?compound+C00122","C00122")</f>
        <v>C00122</v>
      </c>
      <c r="G91" s="1" t="str">
        <f>HYPERLINK("http://pubchem.ncbi.nlm.nih.gov/summary/summary.cgi?cid=444972","444972")</f>
        <v>444972</v>
      </c>
      <c r="H91" s="1"/>
      <c r="I91" s="10">
        <v>4379</v>
      </c>
      <c r="J91" s="10">
        <v>55146</v>
      </c>
      <c r="K91" s="10">
        <v>38058</v>
      </c>
      <c r="L91" s="10">
        <v>3664</v>
      </c>
      <c r="M91" s="10">
        <v>47146</v>
      </c>
      <c r="N91" s="10">
        <v>22907</v>
      </c>
      <c r="O91" s="10">
        <v>12619</v>
      </c>
      <c r="P91" s="10">
        <v>25927</v>
      </c>
      <c r="Q91" s="10">
        <v>14757</v>
      </c>
      <c r="R91" s="10">
        <v>25374</v>
      </c>
      <c r="S91" s="10">
        <v>28871</v>
      </c>
      <c r="T91" s="10">
        <v>15062</v>
      </c>
      <c r="U91" s="10">
        <v>24891</v>
      </c>
      <c r="V91" s="10">
        <v>17446</v>
      </c>
      <c r="W91" s="10">
        <v>15711</v>
      </c>
      <c r="X91" s="10">
        <v>7629</v>
      </c>
      <c r="Y91" s="10">
        <v>23394</v>
      </c>
      <c r="Z91" s="10">
        <v>18957</v>
      </c>
      <c r="AA91" s="10">
        <v>21414</v>
      </c>
      <c r="AB91" s="10">
        <v>15632</v>
      </c>
      <c r="AC91" s="10">
        <v>19127</v>
      </c>
      <c r="AD91" s="10">
        <v>18943</v>
      </c>
      <c r="AE91" s="10">
        <v>10785</v>
      </c>
      <c r="AF91" s="10">
        <v>16931</v>
      </c>
      <c r="AG91" s="10">
        <v>26368</v>
      </c>
      <c r="AH91" s="10">
        <v>13707</v>
      </c>
      <c r="AI91" s="10">
        <v>17051</v>
      </c>
      <c r="AJ91" s="10">
        <v>30495</v>
      </c>
      <c r="AK91" s="10">
        <v>19545</v>
      </c>
      <c r="AL91" s="10">
        <v>14840</v>
      </c>
      <c r="AM91" s="10">
        <v>23019</v>
      </c>
      <c r="AN91" s="10">
        <v>21164</v>
      </c>
      <c r="AO91" s="10">
        <v>14806</v>
      </c>
      <c r="AP91" s="10">
        <v>21064</v>
      </c>
      <c r="AQ91" s="10">
        <v>18240</v>
      </c>
      <c r="AR91" s="10">
        <v>13518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pans="1:81">
      <c r="A92" s="4" t="s">
        <v>1212</v>
      </c>
      <c r="B92" s="1" t="s">
        <v>396</v>
      </c>
      <c r="C92" s="1" t="s">
        <v>128</v>
      </c>
      <c r="D92" s="1" t="str">
        <f>HYPERLINK("http://eros.fiehnlab.ucdavis.edu:8080/binbase-compound/bin/show/205102?db=rtx5","205102")</f>
        <v>205102</v>
      </c>
      <c r="E92" s="1" t="s">
        <v>397</v>
      </c>
      <c r="F92" s="1" t="str">
        <f>HYPERLINK("http://www.genome.ad.jp/dbget-bin/www_bget?compound+C01018","C01018")</f>
        <v>C01018</v>
      </c>
      <c r="G92" s="1" t="str">
        <f>HYPERLINK("http://pubchem.ncbi.nlm.nih.gov/summary/summary.cgi?cid=94270","94270")</f>
        <v>94270</v>
      </c>
      <c r="H92" s="1"/>
      <c r="I92" s="10">
        <v>1494</v>
      </c>
      <c r="J92" s="10">
        <v>1076</v>
      </c>
      <c r="K92" s="10">
        <v>1376</v>
      </c>
      <c r="L92" s="10">
        <v>1662</v>
      </c>
      <c r="M92" s="10">
        <v>2019</v>
      </c>
      <c r="N92" s="10">
        <v>1990</v>
      </c>
      <c r="O92" s="10">
        <v>1209</v>
      </c>
      <c r="P92" s="10">
        <v>2416</v>
      </c>
      <c r="Q92" s="10">
        <v>1829</v>
      </c>
      <c r="R92" s="10">
        <v>1844</v>
      </c>
      <c r="S92" s="10">
        <v>6383</v>
      </c>
      <c r="T92" s="10">
        <v>1351</v>
      </c>
      <c r="U92" s="10">
        <v>2271</v>
      </c>
      <c r="V92" s="10">
        <v>1094</v>
      </c>
      <c r="W92" s="10">
        <v>1245</v>
      </c>
      <c r="X92" s="10">
        <v>1853</v>
      </c>
      <c r="Y92" s="10">
        <v>1702</v>
      </c>
      <c r="Z92" s="10">
        <v>1515</v>
      </c>
      <c r="AA92" s="10">
        <v>1516</v>
      </c>
      <c r="AB92" s="10">
        <v>1881</v>
      </c>
      <c r="AC92" s="10">
        <v>1816</v>
      </c>
      <c r="AD92" s="10">
        <v>1522</v>
      </c>
      <c r="AE92" s="10">
        <v>1862</v>
      </c>
      <c r="AF92" s="10">
        <v>1208</v>
      </c>
      <c r="AG92" s="10">
        <v>10826</v>
      </c>
      <c r="AH92" s="10">
        <v>1785</v>
      </c>
      <c r="AI92" s="10">
        <v>2882</v>
      </c>
      <c r="AJ92" s="10">
        <v>5371</v>
      </c>
      <c r="AK92" s="10">
        <v>1626</v>
      </c>
      <c r="AL92" s="10">
        <v>6345</v>
      </c>
      <c r="AM92" s="10">
        <v>1841</v>
      </c>
      <c r="AN92" s="10">
        <v>1130</v>
      </c>
      <c r="AO92" s="10">
        <v>1378</v>
      </c>
      <c r="AP92" s="10">
        <v>1626</v>
      </c>
      <c r="AQ92" s="10">
        <v>919</v>
      </c>
      <c r="AR92" s="10">
        <v>1625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pans="1:81">
      <c r="A93" s="4" t="s">
        <v>398</v>
      </c>
      <c r="B93" s="1" t="s">
        <v>399</v>
      </c>
      <c r="C93" s="1" t="s">
        <v>95</v>
      </c>
      <c r="D93" s="1" t="str">
        <f>HYPERLINK("http://eros.fiehnlab.ucdavis.edu:8080/binbase-compound/bin/show/201024?db=rtx5","201024")</f>
        <v>201024</v>
      </c>
      <c r="E93" s="1" t="s">
        <v>400</v>
      </c>
      <c r="F93" s="1" t="str">
        <f>HYPERLINK("http://www.genome.ad.jp/dbget-bin/www_bget?compound+C00085","C00085")</f>
        <v>C00085</v>
      </c>
      <c r="G93" s="1" t="str">
        <f>HYPERLINK("http://pubchem.ncbi.nlm.nih.gov/summary/summary.cgi?cid=69507","69507")</f>
        <v>69507</v>
      </c>
      <c r="H93" s="1"/>
      <c r="I93" s="10">
        <v>483</v>
      </c>
      <c r="J93" s="10">
        <v>2567</v>
      </c>
      <c r="K93" s="10">
        <v>1616</v>
      </c>
      <c r="L93" s="10">
        <v>527</v>
      </c>
      <c r="M93" s="10">
        <v>1280</v>
      </c>
      <c r="N93" s="10">
        <v>499</v>
      </c>
      <c r="O93" s="10">
        <v>795</v>
      </c>
      <c r="P93" s="10">
        <v>683</v>
      </c>
      <c r="Q93" s="10">
        <v>691</v>
      </c>
      <c r="R93" s="10">
        <v>487</v>
      </c>
      <c r="S93" s="10">
        <v>1353</v>
      </c>
      <c r="T93" s="10">
        <v>1371</v>
      </c>
      <c r="U93" s="10">
        <v>591</v>
      </c>
      <c r="V93" s="10">
        <v>1380</v>
      </c>
      <c r="W93" s="10">
        <v>923</v>
      </c>
      <c r="X93" s="10">
        <v>533</v>
      </c>
      <c r="Y93" s="10">
        <v>905</v>
      </c>
      <c r="Z93" s="10">
        <v>687</v>
      </c>
      <c r="AA93" s="10">
        <v>982</v>
      </c>
      <c r="AB93" s="10">
        <v>481</v>
      </c>
      <c r="AC93" s="10">
        <v>982</v>
      </c>
      <c r="AD93" s="10">
        <v>790</v>
      </c>
      <c r="AE93" s="10">
        <v>322</v>
      </c>
      <c r="AF93" s="10">
        <v>521</v>
      </c>
      <c r="AG93" s="10">
        <v>1074</v>
      </c>
      <c r="AH93" s="10">
        <v>817</v>
      </c>
      <c r="AI93" s="10">
        <v>898</v>
      </c>
      <c r="AJ93" s="10">
        <v>1749</v>
      </c>
      <c r="AK93" s="10">
        <v>810</v>
      </c>
      <c r="AL93" s="10">
        <v>1096</v>
      </c>
      <c r="AM93" s="10">
        <v>761</v>
      </c>
      <c r="AN93" s="10">
        <v>1002</v>
      </c>
      <c r="AO93" s="10">
        <v>759</v>
      </c>
      <c r="AP93" s="10">
        <v>661</v>
      </c>
      <c r="AQ93" s="10">
        <v>812</v>
      </c>
      <c r="AR93" s="10">
        <v>523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pans="1:81">
      <c r="A94" s="4" t="s">
        <v>1211</v>
      </c>
      <c r="B94" s="1" t="s">
        <v>401</v>
      </c>
      <c r="C94" s="1" t="s">
        <v>134</v>
      </c>
      <c r="D94" s="1" t="str">
        <f>HYPERLINK("http://eros.fiehnlab.ucdavis.edu:8080/binbase-compound/bin/show/335365?db=rtx5","335365")</f>
        <v>335365</v>
      </c>
      <c r="E94" s="1" t="s">
        <v>402</v>
      </c>
      <c r="F94" s="1" t="str">
        <f>HYPERLINK("http://www.genome.ad.jp/dbget-bin/www_bget?compound+n/a","n/a")</f>
        <v>n/a</v>
      </c>
      <c r="G94" s="1" t="str">
        <f>HYPERLINK("http://pubchem.ncbi.nlm.nih.gov/summary/summary.cgi?cid=107428","107428")</f>
        <v>107428</v>
      </c>
      <c r="H94" s="1"/>
      <c r="I94" s="10">
        <v>592</v>
      </c>
      <c r="J94" s="10">
        <v>1971</v>
      </c>
      <c r="K94" s="10">
        <v>2942</v>
      </c>
      <c r="L94" s="10">
        <v>565</v>
      </c>
      <c r="M94" s="10">
        <v>680</v>
      </c>
      <c r="N94" s="10">
        <v>792</v>
      </c>
      <c r="O94" s="10">
        <v>1238</v>
      </c>
      <c r="P94" s="10">
        <v>2339</v>
      </c>
      <c r="Q94" s="10">
        <v>799</v>
      </c>
      <c r="R94" s="10">
        <v>1104</v>
      </c>
      <c r="S94" s="10">
        <v>3639</v>
      </c>
      <c r="T94" s="10">
        <v>2012</v>
      </c>
      <c r="U94" s="10">
        <v>625</v>
      </c>
      <c r="V94" s="10">
        <v>1463</v>
      </c>
      <c r="W94" s="10">
        <v>1288</v>
      </c>
      <c r="X94" s="10">
        <v>1036</v>
      </c>
      <c r="Y94" s="10">
        <v>614</v>
      </c>
      <c r="Z94" s="10">
        <v>985</v>
      </c>
      <c r="AA94" s="10">
        <v>2764</v>
      </c>
      <c r="AB94" s="10">
        <v>864</v>
      </c>
      <c r="AC94" s="10">
        <v>2911</v>
      </c>
      <c r="AD94" s="10">
        <v>1015</v>
      </c>
      <c r="AE94" s="10">
        <v>948</v>
      </c>
      <c r="AF94" s="10">
        <v>1510</v>
      </c>
      <c r="AG94" s="10">
        <v>1655</v>
      </c>
      <c r="AH94" s="10">
        <v>650</v>
      </c>
      <c r="AI94" s="10">
        <v>842</v>
      </c>
      <c r="AJ94" s="10">
        <v>952</v>
      </c>
      <c r="AK94" s="10">
        <v>1348</v>
      </c>
      <c r="AL94" s="10">
        <v>2114</v>
      </c>
      <c r="AM94" s="10">
        <v>673</v>
      </c>
      <c r="AN94" s="10">
        <v>1026</v>
      </c>
      <c r="AO94" s="10">
        <v>608</v>
      </c>
      <c r="AP94" s="10">
        <v>611</v>
      </c>
      <c r="AQ94" s="10">
        <v>1129</v>
      </c>
      <c r="AR94" s="10">
        <v>630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pans="1:81">
      <c r="A95" s="4" t="s">
        <v>403</v>
      </c>
      <c r="B95" s="1" t="s">
        <v>404</v>
      </c>
      <c r="C95" s="1" t="s">
        <v>125</v>
      </c>
      <c r="D95" s="1" t="str">
        <f>HYPERLINK("http://eros.fiehnlab.ucdavis.edu:8080/binbase-compound/bin/show/228540?db=rtx5","228540")</f>
        <v>228540</v>
      </c>
      <c r="E95" s="1" t="s">
        <v>405</v>
      </c>
      <c r="F95" s="1" t="str">
        <f>HYPERLINK("http://www.genome.ad.jp/dbget-bin/www_bget?compound+n/a","n/a")</f>
        <v>n/a</v>
      </c>
      <c r="G95" s="1" t="str">
        <f>HYPERLINK("http://pubchem.ncbi.nlm.nih.gov/summary/summary.cgi?cid=94176","94176")</f>
        <v>94176</v>
      </c>
      <c r="H95" s="1"/>
      <c r="I95" s="10">
        <v>180</v>
      </c>
      <c r="J95" s="10">
        <v>893</v>
      </c>
      <c r="K95" s="10">
        <v>867</v>
      </c>
      <c r="L95" s="10">
        <v>341</v>
      </c>
      <c r="M95" s="10">
        <v>237</v>
      </c>
      <c r="N95" s="10">
        <v>316</v>
      </c>
      <c r="O95" s="10">
        <v>2471</v>
      </c>
      <c r="P95" s="10">
        <v>2401</v>
      </c>
      <c r="Q95" s="10">
        <v>316</v>
      </c>
      <c r="R95" s="10">
        <v>305</v>
      </c>
      <c r="S95" s="10">
        <v>3331</v>
      </c>
      <c r="T95" s="10">
        <v>1414</v>
      </c>
      <c r="U95" s="10">
        <v>219</v>
      </c>
      <c r="V95" s="10">
        <v>290</v>
      </c>
      <c r="W95" s="10">
        <v>244</v>
      </c>
      <c r="X95" s="10">
        <v>679</v>
      </c>
      <c r="Y95" s="10">
        <v>215</v>
      </c>
      <c r="Z95" s="10">
        <v>216</v>
      </c>
      <c r="AA95" s="10">
        <v>1568</v>
      </c>
      <c r="AB95" s="10">
        <v>202</v>
      </c>
      <c r="AC95" s="10">
        <v>1145</v>
      </c>
      <c r="AD95" s="10">
        <v>303</v>
      </c>
      <c r="AE95" s="10">
        <v>393</v>
      </c>
      <c r="AF95" s="10">
        <v>601</v>
      </c>
      <c r="AG95" s="10">
        <v>815</v>
      </c>
      <c r="AH95" s="10">
        <v>267</v>
      </c>
      <c r="AI95" s="10">
        <v>340</v>
      </c>
      <c r="AJ95" s="10">
        <v>462</v>
      </c>
      <c r="AK95" s="10">
        <v>257</v>
      </c>
      <c r="AL95" s="10">
        <v>752</v>
      </c>
      <c r="AM95" s="10">
        <v>288</v>
      </c>
      <c r="AN95" s="10">
        <v>414</v>
      </c>
      <c r="AO95" s="10">
        <v>217</v>
      </c>
      <c r="AP95" s="10">
        <v>281</v>
      </c>
      <c r="AQ95" s="10">
        <v>661</v>
      </c>
      <c r="AR95" s="10">
        <v>305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pans="1:81">
      <c r="A96" s="4" t="s">
        <v>406</v>
      </c>
      <c r="B96" s="1" t="s">
        <v>407</v>
      </c>
      <c r="C96" s="1" t="s">
        <v>125</v>
      </c>
      <c r="D96" s="1" t="str">
        <f>HYPERLINK("http://eros.fiehnlab.ucdavis.edu:8080/binbase-compound/bin/show/200514?db=rtx5","200514")</f>
        <v>200514</v>
      </c>
      <c r="E96" s="1" t="s">
        <v>408</v>
      </c>
      <c r="F96" s="1" t="str">
        <f>HYPERLINK("http://www.genome.ad.jp/dbget-bin/www_bget?compound+C00503","C00503")</f>
        <v>C00503</v>
      </c>
      <c r="G96" s="1" t="str">
        <f>HYPERLINK("http://pubchem.ncbi.nlm.nih.gov/summary/summary.cgi?cid=222285","222285")</f>
        <v>222285</v>
      </c>
      <c r="H96" s="1"/>
      <c r="I96" s="10">
        <v>885</v>
      </c>
      <c r="J96" s="10">
        <v>1105</v>
      </c>
      <c r="K96" s="10">
        <v>364</v>
      </c>
      <c r="L96" s="10">
        <v>1884</v>
      </c>
      <c r="M96" s="10">
        <v>1421</v>
      </c>
      <c r="N96" s="10">
        <v>730</v>
      </c>
      <c r="O96" s="10">
        <v>1263</v>
      </c>
      <c r="P96" s="10">
        <v>307</v>
      </c>
      <c r="Q96" s="10">
        <v>946</v>
      </c>
      <c r="R96" s="10">
        <v>2009</v>
      </c>
      <c r="S96" s="10">
        <v>1258</v>
      </c>
      <c r="T96" s="10">
        <v>667</v>
      </c>
      <c r="U96" s="10">
        <v>678</v>
      </c>
      <c r="V96" s="10">
        <v>372</v>
      </c>
      <c r="W96" s="10">
        <v>586</v>
      </c>
      <c r="X96" s="10">
        <v>1799</v>
      </c>
      <c r="Y96" s="10">
        <v>676</v>
      </c>
      <c r="Z96" s="10">
        <v>626</v>
      </c>
      <c r="AA96" s="10">
        <v>1069</v>
      </c>
      <c r="AB96" s="10">
        <v>927</v>
      </c>
      <c r="AC96" s="10">
        <v>300</v>
      </c>
      <c r="AD96" s="10">
        <v>1569</v>
      </c>
      <c r="AE96" s="10">
        <v>702</v>
      </c>
      <c r="AF96" s="10">
        <v>403</v>
      </c>
      <c r="AG96" s="10">
        <v>1707</v>
      </c>
      <c r="AH96" s="10">
        <v>1230</v>
      </c>
      <c r="AI96" s="10">
        <v>765</v>
      </c>
      <c r="AJ96" s="10">
        <v>684</v>
      </c>
      <c r="AK96" s="10">
        <v>654</v>
      </c>
      <c r="AL96" s="10">
        <v>376</v>
      </c>
      <c r="AM96" s="10">
        <v>657</v>
      </c>
      <c r="AN96" s="10">
        <v>799</v>
      </c>
      <c r="AO96" s="10">
        <v>643</v>
      </c>
      <c r="AP96" s="10">
        <v>1529</v>
      </c>
      <c r="AQ96" s="10">
        <v>381</v>
      </c>
      <c r="AR96" s="10">
        <v>695</v>
      </c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pans="1:81">
      <c r="A97" s="4" t="s">
        <v>409</v>
      </c>
      <c r="B97" s="1" t="s">
        <v>410</v>
      </c>
      <c r="C97" s="1" t="s">
        <v>237</v>
      </c>
      <c r="D97" s="1" t="str">
        <f>HYPERLINK("http://eros.fiehnlab.ucdavis.edu:8080/binbase-compound/bin/show/201152?db=rtx5","201152")</f>
        <v>201152</v>
      </c>
      <c r="E97" s="1" t="s">
        <v>411</v>
      </c>
      <c r="F97" s="1" t="str">
        <f>HYPERLINK("http://www.genome.ad.jp/dbget-bin/www_bget?compound+C01712","C01712")</f>
        <v>C01712</v>
      </c>
      <c r="G97" s="1" t="str">
        <f>HYPERLINK("http://pubchem.ncbi.nlm.nih.gov/summary/summary.cgi?cid=5282749","5282749")</f>
        <v>5282749</v>
      </c>
      <c r="H97" s="1"/>
      <c r="I97" s="10">
        <v>121</v>
      </c>
      <c r="J97" s="10">
        <v>339</v>
      </c>
      <c r="K97" s="10">
        <v>563</v>
      </c>
      <c r="L97" s="10">
        <v>80</v>
      </c>
      <c r="M97" s="10">
        <v>189</v>
      </c>
      <c r="N97" s="10">
        <v>115</v>
      </c>
      <c r="O97" s="10">
        <v>747</v>
      </c>
      <c r="P97" s="10">
        <v>3923</v>
      </c>
      <c r="Q97" s="10">
        <v>405</v>
      </c>
      <c r="R97" s="10">
        <v>402</v>
      </c>
      <c r="S97" s="10">
        <v>875</v>
      </c>
      <c r="T97" s="10">
        <v>6218</v>
      </c>
      <c r="U97" s="10">
        <v>65</v>
      </c>
      <c r="V97" s="10">
        <v>230</v>
      </c>
      <c r="W97" s="10">
        <v>227</v>
      </c>
      <c r="X97" s="10">
        <v>172</v>
      </c>
      <c r="Y97" s="10">
        <v>271</v>
      </c>
      <c r="Z97" s="10">
        <v>118</v>
      </c>
      <c r="AA97" s="10">
        <v>768</v>
      </c>
      <c r="AB97" s="10">
        <v>226</v>
      </c>
      <c r="AC97" s="10">
        <v>1086</v>
      </c>
      <c r="AD97" s="10">
        <v>227</v>
      </c>
      <c r="AE97" s="10">
        <v>228</v>
      </c>
      <c r="AF97" s="10">
        <v>609</v>
      </c>
      <c r="AG97" s="10">
        <v>201</v>
      </c>
      <c r="AH97" s="10">
        <v>153</v>
      </c>
      <c r="AI97" s="10">
        <v>215</v>
      </c>
      <c r="AJ97" s="10">
        <v>187</v>
      </c>
      <c r="AK97" s="10">
        <v>100</v>
      </c>
      <c r="AL97" s="10">
        <v>734</v>
      </c>
      <c r="AM97" s="10">
        <v>229</v>
      </c>
      <c r="AN97" s="10">
        <v>336</v>
      </c>
      <c r="AO97" s="10">
        <v>182</v>
      </c>
      <c r="AP97" s="10">
        <v>254</v>
      </c>
      <c r="AQ97" s="10">
        <v>271</v>
      </c>
      <c r="AR97" s="10">
        <v>194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pans="1:81">
      <c r="A98" s="4" t="s">
        <v>412</v>
      </c>
      <c r="B98" s="1" t="s">
        <v>413</v>
      </c>
      <c r="C98" s="1" t="s">
        <v>414</v>
      </c>
      <c r="D98" s="1" t="str">
        <f>HYPERLINK("http://eros.fiehnlab.ucdavis.edu:8080/binbase-compound/bin/show/218955?db=rtx5","218955")</f>
        <v>218955</v>
      </c>
      <c r="E98" s="1" t="s">
        <v>415</v>
      </c>
      <c r="F98" s="1" t="str">
        <f>HYPERLINK("http://www.genome.ad.jp/dbget-bin/www_bget?compound+C02277","C02277")</f>
        <v>C02277</v>
      </c>
      <c r="G98" s="1" t="str">
        <f>HYPERLINK("http://pubchem.ncbi.nlm.nih.gov/summary/summary.cgi?cid=8193","8193")</f>
        <v>8193</v>
      </c>
      <c r="H98" s="1"/>
      <c r="I98" s="10">
        <v>384</v>
      </c>
      <c r="J98" s="10">
        <v>3039</v>
      </c>
      <c r="K98" s="10">
        <v>2191</v>
      </c>
      <c r="L98" s="10">
        <v>228</v>
      </c>
      <c r="M98" s="10">
        <v>730</v>
      </c>
      <c r="N98" s="10">
        <v>283</v>
      </c>
      <c r="O98" s="10">
        <v>592</v>
      </c>
      <c r="P98" s="10">
        <v>2493</v>
      </c>
      <c r="Q98" s="10">
        <v>412</v>
      </c>
      <c r="R98" s="10">
        <v>575</v>
      </c>
      <c r="S98" s="10">
        <v>1929</v>
      </c>
      <c r="T98" s="10">
        <v>1949</v>
      </c>
      <c r="U98" s="10">
        <v>246</v>
      </c>
      <c r="V98" s="10">
        <v>1407</v>
      </c>
      <c r="W98" s="10">
        <v>369</v>
      </c>
      <c r="X98" s="10">
        <v>314</v>
      </c>
      <c r="Y98" s="10">
        <v>850</v>
      </c>
      <c r="Z98" s="10">
        <v>363</v>
      </c>
      <c r="AA98" s="10">
        <v>1272</v>
      </c>
      <c r="AB98" s="10">
        <v>312</v>
      </c>
      <c r="AC98" s="10">
        <v>1211</v>
      </c>
      <c r="AD98" s="10">
        <v>356</v>
      </c>
      <c r="AE98" s="10">
        <v>271</v>
      </c>
      <c r="AF98" s="10">
        <v>1255</v>
      </c>
      <c r="AG98" s="10">
        <v>1141</v>
      </c>
      <c r="AH98" s="10">
        <v>277</v>
      </c>
      <c r="AI98" s="10">
        <v>543</v>
      </c>
      <c r="AJ98" s="10">
        <v>2371</v>
      </c>
      <c r="AK98" s="10">
        <v>408</v>
      </c>
      <c r="AL98" s="10">
        <v>1741</v>
      </c>
      <c r="AM98" s="10">
        <v>406</v>
      </c>
      <c r="AN98" s="10">
        <v>17913</v>
      </c>
      <c r="AO98" s="10">
        <v>376</v>
      </c>
      <c r="AP98" s="10">
        <v>296</v>
      </c>
      <c r="AQ98" s="10">
        <v>2353</v>
      </c>
      <c r="AR98" s="10">
        <v>320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pans="1:81">
      <c r="A99" s="4" t="s">
        <v>416</v>
      </c>
      <c r="B99" s="1" t="s">
        <v>417</v>
      </c>
      <c r="C99" s="1" t="s">
        <v>418</v>
      </c>
      <c r="D99" s="1" t="str">
        <f>HYPERLINK("http://eros.fiehnlab.ucdavis.edu:8080/binbase-compound/bin/show/221584?db=rtx5","221584")</f>
        <v>221584</v>
      </c>
      <c r="E99" s="1" t="s">
        <v>419</v>
      </c>
      <c r="F99" s="1" t="str">
        <f>HYPERLINK("http://www.genome.ad.jp/dbget-bin/www_bget?compound+C08374","C08374")</f>
        <v>C08374</v>
      </c>
      <c r="G99" s="1" t="str">
        <f>HYPERLINK("http://pubchem.ncbi.nlm.nih.gov/summary/summary.cgi?cid=8182","8182")</f>
        <v>8182</v>
      </c>
      <c r="H99" s="1"/>
      <c r="I99" s="10">
        <v>1182</v>
      </c>
      <c r="J99" s="10">
        <v>1461</v>
      </c>
      <c r="K99" s="10">
        <v>1081</v>
      </c>
      <c r="L99" s="10">
        <v>1102</v>
      </c>
      <c r="M99" s="10">
        <v>566</v>
      </c>
      <c r="N99" s="10">
        <v>201</v>
      </c>
      <c r="O99" s="10">
        <v>775</v>
      </c>
      <c r="P99" s="10">
        <v>2025</v>
      </c>
      <c r="Q99" s="10">
        <v>237</v>
      </c>
      <c r="R99" s="10">
        <v>1098</v>
      </c>
      <c r="S99" s="10">
        <v>749</v>
      </c>
      <c r="T99" s="10">
        <v>1115</v>
      </c>
      <c r="U99" s="10">
        <v>152</v>
      </c>
      <c r="V99" s="10">
        <v>714</v>
      </c>
      <c r="W99" s="10">
        <v>548</v>
      </c>
      <c r="X99" s="10">
        <v>128</v>
      </c>
      <c r="Y99" s="10">
        <v>258</v>
      </c>
      <c r="Z99" s="10">
        <v>300</v>
      </c>
      <c r="AA99" s="10">
        <v>936</v>
      </c>
      <c r="AB99" s="10">
        <v>772</v>
      </c>
      <c r="AC99" s="10">
        <v>648</v>
      </c>
      <c r="AD99" s="10">
        <v>154</v>
      </c>
      <c r="AE99" s="10">
        <v>329</v>
      </c>
      <c r="AF99" s="10">
        <v>322</v>
      </c>
      <c r="AG99" s="10">
        <v>623</v>
      </c>
      <c r="AH99" s="10">
        <v>1227</v>
      </c>
      <c r="AI99" s="10">
        <v>821</v>
      </c>
      <c r="AJ99" s="10">
        <v>1220</v>
      </c>
      <c r="AK99" s="10">
        <v>505</v>
      </c>
      <c r="AL99" s="10">
        <v>1468</v>
      </c>
      <c r="AM99" s="10">
        <v>583</v>
      </c>
      <c r="AN99" s="10">
        <v>561</v>
      </c>
      <c r="AO99" s="10">
        <v>137</v>
      </c>
      <c r="AP99" s="10">
        <v>422</v>
      </c>
      <c r="AQ99" s="10">
        <v>597</v>
      </c>
      <c r="AR99" s="10">
        <v>143</v>
      </c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pans="1:81">
      <c r="A100" s="4" t="s">
        <v>420</v>
      </c>
      <c r="B100" s="1" t="s">
        <v>421</v>
      </c>
      <c r="C100" s="1" t="s">
        <v>422</v>
      </c>
      <c r="D100" s="1" t="str">
        <f>HYPERLINK("http://eros.fiehnlab.ucdavis.edu:8080/binbase-compound/bin/show/226283?db=rtx5","226283")</f>
        <v>226283</v>
      </c>
      <c r="E100" s="1" t="s">
        <v>423</v>
      </c>
      <c r="F100" s="1" t="str">
        <f>HYPERLINK("http://www.genome.ad.jp/dbget-bin/www_bget?compound+n/a","n/a")</f>
        <v>n/a</v>
      </c>
      <c r="G100" s="1" t="str">
        <f>HYPERLINK("http://pubchem.ncbi.nlm.nih.gov/summary/summary.cgi?cid=227277","227277")</f>
        <v>227277</v>
      </c>
      <c r="H100" s="1"/>
      <c r="I100" s="10">
        <v>418</v>
      </c>
      <c r="J100" s="10">
        <v>927</v>
      </c>
      <c r="K100" s="10">
        <v>883</v>
      </c>
      <c r="L100" s="10">
        <v>378</v>
      </c>
      <c r="M100" s="10">
        <v>534</v>
      </c>
      <c r="N100" s="10">
        <v>320</v>
      </c>
      <c r="O100" s="10">
        <v>413</v>
      </c>
      <c r="P100" s="10">
        <v>1223</v>
      </c>
      <c r="Q100" s="10">
        <v>674</v>
      </c>
      <c r="R100" s="10">
        <v>546</v>
      </c>
      <c r="S100" s="10">
        <v>988</v>
      </c>
      <c r="T100" s="10">
        <v>1222</v>
      </c>
      <c r="U100" s="10">
        <v>339</v>
      </c>
      <c r="V100" s="10">
        <v>712</v>
      </c>
      <c r="W100" s="10">
        <v>514</v>
      </c>
      <c r="X100" s="10">
        <v>470</v>
      </c>
      <c r="Y100" s="10">
        <v>458</v>
      </c>
      <c r="Z100" s="10">
        <v>394</v>
      </c>
      <c r="AA100" s="10">
        <v>724</v>
      </c>
      <c r="AB100" s="10">
        <v>420</v>
      </c>
      <c r="AC100" s="10">
        <v>629</v>
      </c>
      <c r="AD100" s="10">
        <v>421</v>
      </c>
      <c r="AE100" s="10">
        <v>463</v>
      </c>
      <c r="AF100" s="10">
        <v>572</v>
      </c>
      <c r="AG100" s="10">
        <v>662</v>
      </c>
      <c r="AH100" s="10">
        <v>419</v>
      </c>
      <c r="AI100" s="10">
        <v>485</v>
      </c>
      <c r="AJ100" s="10">
        <v>1026</v>
      </c>
      <c r="AK100" s="10">
        <v>475</v>
      </c>
      <c r="AL100" s="10">
        <v>1071</v>
      </c>
      <c r="AM100" s="10">
        <v>632</v>
      </c>
      <c r="AN100" s="10">
        <v>537</v>
      </c>
      <c r="AO100" s="10">
        <v>403</v>
      </c>
      <c r="AP100" s="10">
        <v>420</v>
      </c>
      <c r="AQ100" s="10">
        <v>588</v>
      </c>
      <c r="AR100" s="10">
        <v>405</v>
      </c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pans="1:81">
      <c r="A101" s="4" t="s">
        <v>424</v>
      </c>
      <c r="B101" s="1" t="s">
        <v>425</v>
      </c>
      <c r="C101" s="1" t="s">
        <v>426</v>
      </c>
      <c r="D101" s="1" t="str">
        <f>HYPERLINK("http://eros.fiehnlab.ucdavis.edu:8080/binbase-compound/bin/show/307950?db=rtx5","307950")</f>
        <v>307950</v>
      </c>
      <c r="E101" s="1" t="s">
        <v>427</v>
      </c>
      <c r="F101" s="1" t="str">
        <f>HYPERLINK("http://www.genome.ad.jp/dbget-bin/www_bget?compound+C00475","C00475")</f>
        <v>C00475</v>
      </c>
      <c r="G101" s="1" t="str">
        <f>HYPERLINK("http://pubchem.ncbi.nlm.nih.gov/summary/summary.cgi?cid=6175","6175")</f>
        <v>6175</v>
      </c>
      <c r="H101" s="1"/>
      <c r="I101" s="10">
        <v>117</v>
      </c>
      <c r="J101" s="10">
        <v>460</v>
      </c>
      <c r="K101" s="10">
        <v>446</v>
      </c>
      <c r="L101" s="10">
        <v>255</v>
      </c>
      <c r="M101" s="10">
        <v>275</v>
      </c>
      <c r="N101" s="10">
        <v>243</v>
      </c>
      <c r="O101" s="10">
        <v>190</v>
      </c>
      <c r="P101" s="10">
        <v>598</v>
      </c>
      <c r="Q101" s="10">
        <v>345</v>
      </c>
      <c r="R101" s="10">
        <v>379</v>
      </c>
      <c r="S101" s="10">
        <v>440</v>
      </c>
      <c r="T101" s="10">
        <v>415</v>
      </c>
      <c r="U101" s="10">
        <v>293</v>
      </c>
      <c r="V101" s="10">
        <v>255</v>
      </c>
      <c r="W101" s="10">
        <v>133</v>
      </c>
      <c r="X101" s="10">
        <v>151</v>
      </c>
      <c r="Y101" s="10">
        <v>165</v>
      </c>
      <c r="Z101" s="10">
        <v>253</v>
      </c>
      <c r="AA101" s="10">
        <v>453</v>
      </c>
      <c r="AB101" s="10">
        <v>852</v>
      </c>
      <c r="AC101" s="10">
        <v>230</v>
      </c>
      <c r="AD101" s="10">
        <v>558</v>
      </c>
      <c r="AE101" s="10">
        <v>165</v>
      </c>
      <c r="AF101" s="10">
        <v>259</v>
      </c>
      <c r="AG101" s="10">
        <v>286</v>
      </c>
      <c r="AH101" s="10">
        <v>220</v>
      </c>
      <c r="AI101" s="10">
        <v>246</v>
      </c>
      <c r="AJ101" s="10">
        <v>440</v>
      </c>
      <c r="AK101" s="10">
        <v>151</v>
      </c>
      <c r="AL101" s="10">
        <v>514</v>
      </c>
      <c r="AM101" s="10">
        <v>399</v>
      </c>
      <c r="AN101" s="10">
        <v>561</v>
      </c>
      <c r="AO101" s="10">
        <v>350</v>
      </c>
      <c r="AP101" s="10">
        <v>1797</v>
      </c>
      <c r="AQ101" s="10">
        <v>246</v>
      </c>
      <c r="AR101" s="10">
        <v>204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pans="1:81">
      <c r="A102" s="4" t="s">
        <v>428</v>
      </c>
      <c r="B102" s="1" t="s">
        <v>429</v>
      </c>
      <c r="C102" s="1" t="s">
        <v>430</v>
      </c>
      <c r="D102" s="1" t="str">
        <f>HYPERLINK("http://eros.fiehnlab.ucdavis.edu:8080/binbase-compound/bin/show/227594?db=rtx5","227594")</f>
        <v>227594</v>
      </c>
      <c r="E102" s="1" t="s">
        <v>431</v>
      </c>
      <c r="F102" s="1" t="str">
        <f>HYPERLINK("http://www.genome.ad.jp/dbget-bin/www_bget?compound+C01419","C01419")</f>
        <v>C01419</v>
      </c>
      <c r="G102" s="1" t="str">
        <f>HYPERLINK("http://pubchem.ncbi.nlm.nih.gov/summary/summary.cgi?cid=439498","439498")</f>
        <v>439498</v>
      </c>
      <c r="H102" s="1"/>
      <c r="I102" s="10">
        <v>714</v>
      </c>
      <c r="J102" s="10">
        <v>1044</v>
      </c>
      <c r="K102" s="10">
        <v>826</v>
      </c>
      <c r="L102" s="10">
        <v>1490</v>
      </c>
      <c r="M102" s="10">
        <v>1305</v>
      </c>
      <c r="N102" s="10">
        <v>1117</v>
      </c>
      <c r="O102" s="10">
        <v>855</v>
      </c>
      <c r="P102" s="10">
        <v>1181</v>
      </c>
      <c r="Q102" s="10">
        <v>732</v>
      </c>
      <c r="R102" s="10">
        <v>3221</v>
      </c>
      <c r="S102" s="10">
        <v>1273</v>
      </c>
      <c r="T102" s="10">
        <v>558</v>
      </c>
      <c r="U102" s="10">
        <v>1699</v>
      </c>
      <c r="V102" s="10">
        <v>1317</v>
      </c>
      <c r="W102" s="10">
        <v>1039</v>
      </c>
      <c r="X102" s="10">
        <v>552</v>
      </c>
      <c r="Y102" s="10">
        <v>1349</v>
      </c>
      <c r="Z102" s="10">
        <v>1519</v>
      </c>
      <c r="AA102" s="10">
        <v>1036</v>
      </c>
      <c r="AB102" s="10">
        <v>992</v>
      </c>
      <c r="AC102" s="10">
        <v>1152</v>
      </c>
      <c r="AD102" s="10">
        <v>3155</v>
      </c>
      <c r="AE102" s="10">
        <v>659</v>
      </c>
      <c r="AF102" s="10">
        <v>477</v>
      </c>
      <c r="AG102" s="10">
        <v>708</v>
      </c>
      <c r="AH102" s="10">
        <v>1453</v>
      </c>
      <c r="AI102" s="10">
        <v>921</v>
      </c>
      <c r="AJ102" s="10">
        <v>698</v>
      </c>
      <c r="AK102" s="10">
        <v>345</v>
      </c>
      <c r="AL102" s="10">
        <v>734</v>
      </c>
      <c r="AM102" s="10">
        <v>788</v>
      </c>
      <c r="AN102" s="10">
        <v>3711</v>
      </c>
      <c r="AO102" s="10">
        <v>855</v>
      </c>
      <c r="AP102" s="10">
        <v>2298</v>
      </c>
      <c r="AQ102" s="10">
        <v>579</v>
      </c>
      <c r="AR102" s="10">
        <v>1589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pans="1:81">
      <c r="A103" s="4" t="s">
        <v>432</v>
      </c>
      <c r="B103" s="1" t="s">
        <v>433</v>
      </c>
      <c r="C103" s="1" t="s">
        <v>430</v>
      </c>
      <c r="D103" s="1" t="str">
        <f>HYPERLINK("http://eros.fiehnlab.ucdavis.edu:8080/binbase-compound/bin/show/223529?db=rtx5","223529")</f>
        <v>223529</v>
      </c>
      <c r="E103" s="1" t="s">
        <v>434</v>
      </c>
      <c r="F103" s="1" t="str">
        <f>HYPERLINK("http://www.genome.ad.jp/dbget-bin/www_bget?compound+C00097","C00097")</f>
        <v>C00097</v>
      </c>
      <c r="G103" s="1" t="str">
        <f>HYPERLINK("http://pubchem.ncbi.nlm.nih.gov/summary/summary.cgi?cid=594","594")</f>
        <v>594</v>
      </c>
      <c r="H103" s="1"/>
      <c r="I103" s="10">
        <v>373</v>
      </c>
      <c r="J103" s="10">
        <v>265</v>
      </c>
      <c r="K103" s="10">
        <v>333</v>
      </c>
      <c r="L103" s="10">
        <v>2128</v>
      </c>
      <c r="M103" s="10">
        <v>704</v>
      </c>
      <c r="N103" s="10">
        <v>854</v>
      </c>
      <c r="O103" s="10">
        <v>153</v>
      </c>
      <c r="P103" s="10">
        <v>583</v>
      </c>
      <c r="Q103" s="10">
        <v>776</v>
      </c>
      <c r="R103" s="10">
        <v>1482</v>
      </c>
      <c r="S103" s="10">
        <v>274</v>
      </c>
      <c r="T103" s="10">
        <v>342</v>
      </c>
      <c r="U103" s="10">
        <v>2477</v>
      </c>
      <c r="V103" s="10">
        <v>983</v>
      </c>
      <c r="W103" s="10">
        <v>1686</v>
      </c>
      <c r="X103" s="10">
        <v>663</v>
      </c>
      <c r="Y103" s="10">
        <v>1489</v>
      </c>
      <c r="Z103" s="10">
        <v>1218</v>
      </c>
      <c r="AA103" s="10">
        <v>540</v>
      </c>
      <c r="AB103" s="10">
        <v>1157</v>
      </c>
      <c r="AC103" s="10">
        <v>355</v>
      </c>
      <c r="AD103" s="10">
        <v>1555</v>
      </c>
      <c r="AE103" s="10">
        <v>896</v>
      </c>
      <c r="AF103" s="10">
        <v>354</v>
      </c>
      <c r="AG103" s="10">
        <v>573</v>
      </c>
      <c r="AH103" s="10">
        <v>1869</v>
      </c>
      <c r="AI103" s="10">
        <v>493</v>
      </c>
      <c r="AJ103" s="10">
        <v>949</v>
      </c>
      <c r="AK103" s="10">
        <v>785</v>
      </c>
      <c r="AL103" s="10">
        <v>458</v>
      </c>
      <c r="AM103" s="10">
        <v>1374</v>
      </c>
      <c r="AN103" s="10">
        <v>922</v>
      </c>
      <c r="AO103" s="10">
        <v>1304</v>
      </c>
      <c r="AP103" s="10">
        <v>1871</v>
      </c>
      <c r="AQ103" s="10">
        <v>590</v>
      </c>
      <c r="AR103" s="10">
        <v>1312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pans="1:81">
      <c r="A104" s="4" t="s">
        <v>1213</v>
      </c>
      <c r="B104" s="1" t="s">
        <v>435</v>
      </c>
      <c r="C104" s="1" t="s">
        <v>259</v>
      </c>
      <c r="D104" s="1" t="str">
        <f>HYPERLINK("http://eros.fiehnlab.ucdavis.edu:8080/binbase-compound/bin/show/237860?db=rtx5","237860")</f>
        <v>237860</v>
      </c>
      <c r="E104" s="1" t="s">
        <v>436</v>
      </c>
      <c r="F104" s="1" t="str">
        <f>HYPERLINK("http://www.genome.ad.jp/dbget-bin/www_bget?compound+C02291","C02291")</f>
        <v>C02291</v>
      </c>
      <c r="G104" s="1" t="str">
        <f>HYPERLINK("http://pubchem.ncbi.nlm.nih.gov/summary/summary.cgi?cid=439258","439258")</f>
        <v>439258</v>
      </c>
      <c r="H104" s="1"/>
      <c r="I104" s="10">
        <v>358</v>
      </c>
      <c r="J104" s="10">
        <v>480</v>
      </c>
      <c r="K104" s="10">
        <v>534</v>
      </c>
      <c r="L104" s="10">
        <v>417</v>
      </c>
      <c r="M104" s="10">
        <v>296</v>
      </c>
      <c r="N104" s="10">
        <v>401</v>
      </c>
      <c r="O104" s="10">
        <v>263</v>
      </c>
      <c r="P104" s="10">
        <v>610</v>
      </c>
      <c r="Q104" s="10">
        <v>479</v>
      </c>
      <c r="R104" s="10">
        <v>448</v>
      </c>
      <c r="S104" s="10">
        <v>556</v>
      </c>
      <c r="T104" s="10">
        <v>601</v>
      </c>
      <c r="U104" s="10">
        <v>1122</v>
      </c>
      <c r="V104" s="10">
        <v>512</v>
      </c>
      <c r="W104" s="10">
        <v>243</v>
      </c>
      <c r="X104" s="10">
        <v>268</v>
      </c>
      <c r="Y104" s="10">
        <v>303</v>
      </c>
      <c r="Z104" s="10">
        <v>401</v>
      </c>
      <c r="AA104" s="10">
        <v>467</v>
      </c>
      <c r="AB104" s="10">
        <v>414</v>
      </c>
      <c r="AC104" s="10">
        <v>415</v>
      </c>
      <c r="AD104" s="10">
        <v>391</v>
      </c>
      <c r="AE104" s="10">
        <v>280</v>
      </c>
      <c r="AF104" s="10">
        <v>320</v>
      </c>
      <c r="AG104" s="10">
        <v>359</v>
      </c>
      <c r="AH104" s="10">
        <v>557</v>
      </c>
      <c r="AI104" s="10">
        <v>360</v>
      </c>
      <c r="AJ104" s="10">
        <v>556</v>
      </c>
      <c r="AK104" s="10">
        <v>405</v>
      </c>
      <c r="AL104" s="10">
        <v>660</v>
      </c>
      <c r="AM104" s="10">
        <v>552</v>
      </c>
      <c r="AN104" s="10">
        <v>732</v>
      </c>
      <c r="AO104" s="10">
        <v>721</v>
      </c>
      <c r="AP104" s="10">
        <v>464</v>
      </c>
      <c r="AQ104" s="10">
        <v>314</v>
      </c>
      <c r="AR104" s="10">
        <v>276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pans="1:81">
      <c r="A105" s="4" t="s">
        <v>437</v>
      </c>
      <c r="B105" s="1" t="s">
        <v>438</v>
      </c>
      <c r="C105" s="1" t="s">
        <v>259</v>
      </c>
      <c r="D105" s="1" t="str">
        <f>HYPERLINK("http://eros.fiehnlab.ucdavis.edu:8080/binbase-compound/bin/show/234665?db=rtx5","234665")</f>
        <v>234665</v>
      </c>
      <c r="E105" s="1" t="s">
        <v>439</v>
      </c>
      <c r="F105" s="1" t="str">
        <f>HYPERLINK("http://www.genome.ad.jp/dbget-bin/www_bget?compound+C00571","C00571")</f>
        <v>C00571</v>
      </c>
      <c r="G105" s="1" t="str">
        <f>HYPERLINK("http://pubchem.ncbi.nlm.nih.gov/summary/summary.cgi?cid=7965","7965")</f>
        <v>7965</v>
      </c>
      <c r="H105" s="1"/>
      <c r="I105" s="10">
        <v>1850</v>
      </c>
      <c r="J105" s="10">
        <v>3971</v>
      </c>
      <c r="K105" s="10">
        <v>2844</v>
      </c>
      <c r="L105" s="10">
        <v>1273</v>
      </c>
      <c r="M105" s="10">
        <v>830</v>
      </c>
      <c r="N105" s="10">
        <v>767</v>
      </c>
      <c r="O105" s="10">
        <v>1384</v>
      </c>
      <c r="P105" s="10">
        <v>2600</v>
      </c>
      <c r="Q105" s="10">
        <v>1416</v>
      </c>
      <c r="R105" s="10">
        <v>1302</v>
      </c>
      <c r="S105" s="10">
        <v>1448</v>
      </c>
      <c r="T105" s="10">
        <v>2055</v>
      </c>
      <c r="U105" s="10">
        <v>896</v>
      </c>
      <c r="V105" s="10">
        <v>1644</v>
      </c>
      <c r="W105" s="10">
        <v>1073</v>
      </c>
      <c r="X105" s="10">
        <v>1373</v>
      </c>
      <c r="Y105" s="10">
        <v>985</v>
      </c>
      <c r="Z105" s="10">
        <v>1166</v>
      </c>
      <c r="AA105" s="10">
        <v>1869</v>
      </c>
      <c r="AB105" s="10">
        <v>1725</v>
      </c>
      <c r="AC105" s="10">
        <v>1803</v>
      </c>
      <c r="AD105" s="10">
        <v>1604</v>
      </c>
      <c r="AE105" s="10">
        <v>1503</v>
      </c>
      <c r="AF105" s="10">
        <v>1337</v>
      </c>
      <c r="AG105" s="10">
        <v>1375</v>
      </c>
      <c r="AH105" s="10">
        <v>1130</v>
      </c>
      <c r="AI105" s="10">
        <v>1279</v>
      </c>
      <c r="AJ105" s="10">
        <v>1426</v>
      </c>
      <c r="AK105" s="10">
        <v>851</v>
      </c>
      <c r="AL105" s="10">
        <v>1284</v>
      </c>
      <c r="AM105" s="10">
        <v>961</v>
      </c>
      <c r="AN105" s="10">
        <v>1507</v>
      </c>
      <c r="AO105" s="10">
        <v>1342</v>
      </c>
      <c r="AP105" s="10">
        <v>1205</v>
      </c>
      <c r="AQ105" s="10">
        <v>971</v>
      </c>
      <c r="AR105" s="10">
        <v>1193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pans="1:81">
      <c r="A106" s="4" t="s">
        <v>440</v>
      </c>
      <c r="B106" s="1" t="s">
        <v>441</v>
      </c>
      <c r="C106" s="1" t="s">
        <v>318</v>
      </c>
      <c r="D106" s="1" t="str">
        <f>HYPERLINK("http://eros.fiehnlab.ucdavis.edu:8080/binbase-compound/bin/show/227948?db=rtx5","227948")</f>
        <v>227948</v>
      </c>
      <c r="E106" s="1" t="s">
        <v>442</v>
      </c>
      <c r="F106" s="1" t="str">
        <f>HYPERLINK("http://www.genome.ad.jp/dbget-bin/www_bget?compound+n/a","n/a")</f>
        <v>n/a</v>
      </c>
      <c r="G106" s="1" t="str">
        <f>HYPERLINK("http://pubchem.ncbi.nlm.nih.gov/summary/summary.cgi?cid=119054","119054")</f>
        <v>119054</v>
      </c>
      <c r="H106" s="1"/>
      <c r="I106" s="10">
        <v>146</v>
      </c>
      <c r="J106" s="10">
        <v>299</v>
      </c>
      <c r="K106" s="10">
        <v>279</v>
      </c>
      <c r="L106" s="10">
        <v>174</v>
      </c>
      <c r="M106" s="10">
        <v>123</v>
      </c>
      <c r="N106" s="10">
        <v>164</v>
      </c>
      <c r="O106" s="10">
        <v>173</v>
      </c>
      <c r="P106" s="10">
        <v>410</v>
      </c>
      <c r="Q106" s="10">
        <v>128</v>
      </c>
      <c r="R106" s="10">
        <v>100</v>
      </c>
      <c r="S106" s="10">
        <v>331</v>
      </c>
      <c r="T106" s="10">
        <v>339</v>
      </c>
      <c r="U106" s="10">
        <v>187</v>
      </c>
      <c r="V106" s="10">
        <v>216</v>
      </c>
      <c r="W106" s="10">
        <v>134</v>
      </c>
      <c r="X106" s="10">
        <v>114</v>
      </c>
      <c r="Y106" s="10">
        <v>105</v>
      </c>
      <c r="Z106" s="10">
        <v>118</v>
      </c>
      <c r="AA106" s="10">
        <v>288</v>
      </c>
      <c r="AB106" s="10">
        <v>176</v>
      </c>
      <c r="AC106" s="10">
        <v>183</v>
      </c>
      <c r="AD106" s="10">
        <v>84</v>
      </c>
      <c r="AE106" s="10">
        <v>98</v>
      </c>
      <c r="AF106" s="10">
        <v>161</v>
      </c>
      <c r="AG106" s="10">
        <v>174</v>
      </c>
      <c r="AH106" s="10">
        <v>83</v>
      </c>
      <c r="AI106" s="10">
        <v>145</v>
      </c>
      <c r="AJ106" s="10">
        <v>246</v>
      </c>
      <c r="AK106" s="10">
        <v>155</v>
      </c>
      <c r="AL106" s="10">
        <v>408</v>
      </c>
      <c r="AM106" s="10">
        <v>124</v>
      </c>
      <c r="AN106" s="10">
        <v>217</v>
      </c>
      <c r="AO106" s="10">
        <v>102</v>
      </c>
      <c r="AP106" s="10">
        <v>156</v>
      </c>
      <c r="AQ106" s="10">
        <v>145</v>
      </c>
      <c r="AR106" s="10">
        <v>98</v>
      </c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pans="1:81">
      <c r="A107" s="4" t="s">
        <v>443</v>
      </c>
      <c r="B107" s="1" t="s">
        <v>444</v>
      </c>
      <c r="C107" s="1" t="s">
        <v>445</v>
      </c>
      <c r="D107" s="1" t="str">
        <f>HYPERLINK("http://eros.fiehnlab.ucdavis.edu:8080/binbase-compound/bin/show/339415?db=rtx5","339415")</f>
        <v>339415</v>
      </c>
      <c r="E107" s="1" t="s">
        <v>446</v>
      </c>
      <c r="F107" s="1" t="str">
        <f>HYPERLINK("http://www.genome.ad.jp/dbget-bin/www_bget?compound+C00327","C00327")</f>
        <v>C00327</v>
      </c>
      <c r="G107" s="1" t="str">
        <f>HYPERLINK("http://pubchem.ncbi.nlm.nih.gov/summary/summary.cgi?cid=9750","9750")</f>
        <v>9750</v>
      </c>
      <c r="H107" s="1"/>
      <c r="I107" s="10">
        <v>6119</v>
      </c>
      <c r="J107" s="10">
        <v>6736</v>
      </c>
      <c r="K107" s="10">
        <v>5923</v>
      </c>
      <c r="L107" s="10">
        <v>7026</v>
      </c>
      <c r="M107" s="10">
        <v>11043</v>
      </c>
      <c r="N107" s="10">
        <v>8844</v>
      </c>
      <c r="O107" s="10">
        <v>5720</v>
      </c>
      <c r="P107" s="10">
        <v>4882</v>
      </c>
      <c r="Q107" s="10">
        <v>7918</v>
      </c>
      <c r="R107" s="10">
        <v>5320</v>
      </c>
      <c r="S107" s="10">
        <v>5349</v>
      </c>
      <c r="T107" s="10">
        <v>5209</v>
      </c>
      <c r="U107" s="10">
        <v>8396</v>
      </c>
      <c r="V107" s="10">
        <v>4396</v>
      </c>
      <c r="W107" s="10">
        <v>6370</v>
      </c>
      <c r="X107" s="10">
        <v>5645</v>
      </c>
      <c r="Y107" s="10">
        <v>10062</v>
      </c>
      <c r="Z107" s="10">
        <v>5000</v>
      </c>
      <c r="AA107" s="10">
        <v>9565</v>
      </c>
      <c r="AB107" s="10">
        <v>5585</v>
      </c>
      <c r="AC107" s="10">
        <v>5591</v>
      </c>
      <c r="AD107" s="10">
        <v>6895</v>
      </c>
      <c r="AE107" s="10">
        <v>8255</v>
      </c>
      <c r="AF107" s="10">
        <v>6484</v>
      </c>
      <c r="AG107" s="10">
        <v>6332</v>
      </c>
      <c r="AH107" s="10">
        <v>7749</v>
      </c>
      <c r="AI107" s="10">
        <v>7200</v>
      </c>
      <c r="AJ107" s="10">
        <v>6512</v>
      </c>
      <c r="AK107" s="10">
        <v>6301</v>
      </c>
      <c r="AL107" s="10">
        <v>4948</v>
      </c>
      <c r="AM107" s="10">
        <v>9331</v>
      </c>
      <c r="AN107" s="10">
        <v>6084</v>
      </c>
      <c r="AO107" s="10">
        <v>8494</v>
      </c>
      <c r="AP107" s="10">
        <v>9204</v>
      </c>
      <c r="AQ107" s="10">
        <v>7462</v>
      </c>
      <c r="AR107" s="10">
        <v>7840</v>
      </c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pans="1:81">
      <c r="A108" s="4" t="s">
        <v>448</v>
      </c>
      <c r="B108" s="1" t="s">
        <v>449</v>
      </c>
      <c r="C108" s="1" t="s">
        <v>128</v>
      </c>
      <c r="D108" s="1" t="str">
        <f>HYPERLINK("http://eros.fiehnlab.ucdavis.edu:8080/binbase-compound/bin/show/213517?db=rtx5","213517")</f>
        <v>213517</v>
      </c>
      <c r="E108" s="1" t="s">
        <v>450</v>
      </c>
      <c r="F108" s="1" t="str">
        <f>HYPERLINK("http://www.genome.ad.jp/dbget-bin/www_bget?compound+C01571","C01571")</f>
        <v>C01571</v>
      </c>
      <c r="G108" s="1" t="str">
        <f>HYPERLINK("http://pubchem.ncbi.nlm.nih.gov/summary/summary.cgi?cid=2969","2969")</f>
        <v>2969</v>
      </c>
      <c r="H108" s="1"/>
      <c r="I108" s="10">
        <v>1909</v>
      </c>
      <c r="J108" s="10">
        <v>6466</v>
      </c>
      <c r="K108" s="10">
        <v>6483</v>
      </c>
      <c r="L108" s="10">
        <v>2111</v>
      </c>
      <c r="M108" s="10">
        <v>2337</v>
      </c>
      <c r="N108" s="10">
        <v>2019</v>
      </c>
      <c r="O108" s="10">
        <v>3313</v>
      </c>
      <c r="P108" s="10">
        <v>6665</v>
      </c>
      <c r="Q108" s="10">
        <v>2684</v>
      </c>
      <c r="R108" s="10">
        <v>3106</v>
      </c>
      <c r="S108" s="10">
        <v>5813</v>
      </c>
      <c r="T108" s="10">
        <v>5471</v>
      </c>
      <c r="U108" s="10">
        <v>1923</v>
      </c>
      <c r="V108" s="10">
        <v>4222</v>
      </c>
      <c r="W108" s="10">
        <v>2017</v>
      </c>
      <c r="X108" s="10">
        <v>2245</v>
      </c>
      <c r="Y108" s="10">
        <v>2290</v>
      </c>
      <c r="Z108" s="10">
        <v>1838</v>
      </c>
      <c r="AA108" s="10">
        <v>7617</v>
      </c>
      <c r="AB108" s="10">
        <v>2462</v>
      </c>
      <c r="AC108" s="10">
        <v>3795</v>
      </c>
      <c r="AD108" s="10">
        <v>2582</v>
      </c>
      <c r="AE108" s="10">
        <v>1999</v>
      </c>
      <c r="AF108" s="10">
        <v>5350</v>
      </c>
      <c r="AG108" s="10">
        <v>4808</v>
      </c>
      <c r="AH108" s="10">
        <v>1815</v>
      </c>
      <c r="AI108" s="10">
        <v>3286</v>
      </c>
      <c r="AJ108" s="10">
        <v>3529</v>
      </c>
      <c r="AK108" s="10">
        <v>1643</v>
      </c>
      <c r="AL108" s="10">
        <v>5036</v>
      </c>
      <c r="AM108" s="10">
        <v>2018</v>
      </c>
      <c r="AN108" s="10">
        <v>3874</v>
      </c>
      <c r="AO108" s="10">
        <v>2780</v>
      </c>
      <c r="AP108" s="10">
        <v>2075</v>
      </c>
      <c r="AQ108" s="10">
        <v>2850</v>
      </c>
      <c r="AR108" s="10">
        <v>2307</v>
      </c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pans="1:81">
      <c r="A109" s="4" t="s">
        <v>451</v>
      </c>
      <c r="B109" s="1" t="s">
        <v>452</v>
      </c>
      <c r="C109" s="1" t="s">
        <v>193</v>
      </c>
      <c r="D109" s="1" t="str">
        <f>HYPERLINK("http://eros.fiehnlab.ucdavis.edu:8080/binbase-compound/bin/show/200952?db=rtx5","200952")</f>
        <v>200952</v>
      </c>
      <c r="E109" s="1" t="s">
        <v>453</v>
      </c>
      <c r="F109" s="1" t="str">
        <f>HYPERLINK("http://www.genome.ad.jp/dbget-bin/www_bget?compound+n/a","n/a")</f>
        <v>n/a</v>
      </c>
      <c r="G109" s="1" t="str">
        <f>HYPERLINK("http://pubchem.ncbi.nlm.nih.gov/summary/summary.cgi?cid=12025","12025")</f>
        <v>12025</v>
      </c>
      <c r="H109" s="1"/>
      <c r="I109" s="10">
        <v>2256</v>
      </c>
      <c r="J109" s="10">
        <v>2436</v>
      </c>
      <c r="K109" s="10">
        <v>2834</v>
      </c>
      <c r="L109" s="10">
        <v>1628</v>
      </c>
      <c r="M109" s="10">
        <v>2390</v>
      </c>
      <c r="N109" s="10">
        <v>2199</v>
      </c>
      <c r="O109" s="10">
        <v>6105</v>
      </c>
      <c r="P109" s="10">
        <v>10795</v>
      </c>
      <c r="Q109" s="10">
        <v>3490</v>
      </c>
      <c r="R109" s="10">
        <v>2178</v>
      </c>
      <c r="S109" s="10">
        <v>2726</v>
      </c>
      <c r="T109" s="10">
        <v>4160</v>
      </c>
      <c r="U109" s="10">
        <v>2079</v>
      </c>
      <c r="V109" s="10">
        <v>2629</v>
      </c>
      <c r="W109" s="10">
        <v>1485</v>
      </c>
      <c r="X109" s="10">
        <v>5182</v>
      </c>
      <c r="Y109" s="10">
        <v>2077</v>
      </c>
      <c r="Z109" s="10">
        <v>1530</v>
      </c>
      <c r="AA109" s="10">
        <v>7577</v>
      </c>
      <c r="AB109" s="10">
        <v>4572</v>
      </c>
      <c r="AC109" s="10">
        <v>7887</v>
      </c>
      <c r="AD109" s="10">
        <v>1649</v>
      </c>
      <c r="AE109" s="10">
        <v>5299</v>
      </c>
      <c r="AF109" s="10">
        <v>8908</v>
      </c>
      <c r="AG109" s="10">
        <v>6905</v>
      </c>
      <c r="AH109" s="10">
        <v>2007</v>
      </c>
      <c r="AI109" s="10">
        <v>2033</v>
      </c>
      <c r="AJ109" s="10">
        <v>1670</v>
      </c>
      <c r="AK109" s="10">
        <v>1183</v>
      </c>
      <c r="AL109" s="10">
        <v>2362</v>
      </c>
      <c r="AM109" s="10">
        <v>1459</v>
      </c>
      <c r="AN109" s="10">
        <v>1080</v>
      </c>
      <c r="AO109" s="10">
        <v>1809</v>
      </c>
      <c r="AP109" s="10">
        <v>1484</v>
      </c>
      <c r="AQ109" s="10">
        <v>1591</v>
      </c>
      <c r="AR109" s="10">
        <v>1992</v>
      </c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pans="1:81">
      <c r="A110" s="4" t="s">
        <v>1214</v>
      </c>
      <c r="B110" s="1" t="s">
        <v>454</v>
      </c>
      <c r="C110" s="1" t="s">
        <v>128</v>
      </c>
      <c r="D110" s="1" t="str">
        <f>HYPERLINK("http://eros.fiehnlab.ucdavis.edu:8080/binbase-compound/bin/show/225839?db=rtx5","225839")</f>
        <v>225839</v>
      </c>
      <c r="E110" s="1" t="s">
        <v>455</v>
      </c>
      <c r="F110" s="1" t="str">
        <f>HYPERLINK("http://www.genome.ad.jp/dbget-bin/www_bget?compound+C03044","C03044")</f>
        <v>C03044</v>
      </c>
      <c r="G110" s="1" t="str">
        <f>HYPERLINK("http://pubchem.ncbi.nlm.nih.gov/summary/summary.cgi?cid=262","262")</f>
        <v>262</v>
      </c>
      <c r="H110" s="1"/>
      <c r="I110" s="10">
        <v>881</v>
      </c>
      <c r="J110" s="10">
        <v>1019</v>
      </c>
      <c r="K110" s="10">
        <v>834</v>
      </c>
      <c r="L110" s="10">
        <v>870</v>
      </c>
      <c r="M110" s="10">
        <v>601</v>
      </c>
      <c r="N110" s="10">
        <v>964</v>
      </c>
      <c r="O110" s="10">
        <v>676</v>
      </c>
      <c r="P110" s="10">
        <v>1568</v>
      </c>
      <c r="Q110" s="10">
        <v>1105</v>
      </c>
      <c r="R110" s="10">
        <v>725</v>
      </c>
      <c r="S110" s="10">
        <v>1503</v>
      </c>
      <c r="T110" s="10">
        <v>1232</v>
      </c>
      <c r="U110" s="10">
        <v>1216</v>
      </c>
      <c r="V110" s="10">
        <v>907</v>
      </c>
      <c r="W110" s="10">
        <v>895</v>
      </c>
      <c r="X110" s="10">
        <v>938</v>
      </c>
      <c r="Y110" s="10">
        <v>1211</v>
      </c>
      <c r="Z110" s="10">
        <v>807</v>
      </c>
      <c r="AA110" s="10">
        <v>1270</v>
      </c>
      <c r="AB110" s="10">
        <v>1033</v>
      </c>
      <c r="AC110" s="10">
        <v>787</v>
      </c>
      <c r="AD110" s="10">
        <v>659</v>
      </c>
      <c r="AE110" s="10">
        <v>965</v>
      </c>
      <c r="AF110" s="10">
        <v>654</v>
      </c>
      <c r="AG110" s="10">
        <v>797</v>
      </c>
      <c r="AH110" s="10">
        <v>805</v>
      </c>
      <c r="AI110" s="10">
        <v>986</v>
      </c>
      <c r="AJ110" s="10">
        <v>1230</v>
      </c>
      <c r="AK110" s="10">
        <v>837</v>
      </c>
      <c r="AL110" s="10">
        <v>912</v>
      </c>
      <c r="AM110" s="10">
        <v>912</v>
      </c>
      <c r="AN110" s="10">
        <v>1029</v>
      </c>
      <c r="AO110" s="10">
        <v>899</v>
      </c>
      <c r="AP110" s="10">
        <v>796</v>
      </c>
      <c r="AQ110" s="10">
        <v>638</v>
      </c>
      <c r="AR110" s="10">
        <v>690</v>
      </c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  <row r="111" spans="1:81">
      <c r="A111" s="4" t="s">
        <v>1215</v>
      </c>
      <c r="B111" s="1" t="s">
        <v>456</v>
      </c>
      <c r="C111" s="1" t="s">
        <v>133</v>
      </c>
      <c r="D111" s="1" t="str">
        <f>HYPERLINK("http://eros.fiehnlab.ucdavis.edu:8080/binbase-compound/bin/show/233311?db=rtx5","233311")</f>
        <v>233311</v>
      </c>
      <c r="E111" s="1" t="s">
        <v>457</v>
      </c>
      <c r="F111" s="1" t="str">
        <f>HYPERLINK("http://www.genome.ad.jp/dbget-bin/www_bget?compound+C08240","C08240")</f>
        <v>C08240</v>
      </c>
      <c r="G111" s="1" t="str">
        <f>HYPERLINK("http://pubchem.ncbi.nlm.nih.gov/summary/summary.cgi?cid=441422","441422")</f>
        <v>441422</v>
      </c>
      <c r="H111" s="1"/>
      <c r="I111" s="10">
        <v>322</v>
      </c>
      <c r="J111" s="10">
        <v>1281</v>
      </c>
      <c r="K111" s="10">
        <v>467</v>
      </c>
      <c r="L111" s="10">
        <v>278</v>
      </c>
      <c r="M111" s="10">
        <v>482</v>
      </c>
      <c r="N111" s="10">
        <v>390</v>
      </c>
      <c r="O111" s="10">
        <v>464</v>
      </c>
      <c r="P111" s="10">
        <v>1231</v>
      </c>
      <c r="Q111" s="10">
        <v>282</v>
      </c>
      <c r="R111" s="10">
        <v>468</v>
      </c>
      <c r="S111" s="10">
        <v>1126</v>
      </c>
      <c r="T111" s="10">
        <v>551</v>
      </c>
      <c r="U111" s="10">
        <v>324</v>
      </c>
      <c r="V111" s="10">
        <v>448</v>
      </c>
      <c r="W111" s="10">
        <v>203</v>
      </c>
      <c r="X111" s="10">
        <v>282</v>
      </c>
      <c r="Y111" s="10">
        <v>241</v>
      </c>
      <c r="Z111" s="10">
        <v>262</v>
      </c>
      <c r="AA111" s="10">
        <v>724</v>
      </c>
      <c r="AB111" s="10">
        <v>430</v>
      </c>
      <c r="AC111" s="10">
        <v>442</v>
      </c>
      <c r="AD111" s="10">
        <v>375</v>
      </c>
      <c r="AE111" s="10">
        <v>270</v>
      </c>
      <c r="AF111" s="10">
        <v>560</v>
      </c>
      <c r="AG111" s="10">
        <v>1276</v>
      </c>
      <c r="AH111" s="10">
        <v>601</v>
      </c>
      <c r="AI111" s="10">
        <v>404</v>
      </c>
      <c r="AJ111" s="10">
        <v>595</v>
      </c>
      <c r="AK111" s="10">
        <v>337</v>
      </c>
      <c r="AL111" s="10">
        <v>472</v>
      </c>
      <c r="AM111" s="10">
        <v>460</v>
      </c>
      <c r="AN111" s="10">
        <v>427</v>
      </c>
      <c r="AO111" s="10">
        <v>318</v>
      </c>
      <c r="AP111" s="10">
        <v>303</v>
      </c>
      <c r="AQ111" s="10">
        <v>460</v>
      </c>
      <c r="AR111" s="10">
        <v>294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</row>
    <row r="112" spans="1:81">
      <c r="A112" s="4" t="s">
        <v>458</v>
      </c>
      <c r="B112" s="1" t="s">
        <v>459</v>
      </c>
      <c r="C112" s="1" t="s">
        <v>460</v>
      </c>
      <c r="D112" s="1" t="str">
        <f>HYPERLINK("http://eros.fiehnlab.ucdavis.edu:8080/binbase-compound/bin/show/233412?db=rtx5","233412")</f>
        <v>233412</v>
      </c>
      <c r="E112" s="1" t="s">
        <v>461</v>
      </c>
      <c r="F112" s="1" t="str">
        <f>HYPERLINK("http://www.genome.ad.jp/dbget-bin/www_bget?compound+C00099","C00099")</f>
        <v>C00099</v>
      </c>
      <c r="G112" s="1" t="str">
        <f>HYPERLINK("http://pubchem.ncbi.nlm.nih.gov/summary/summary.cgi?cid=239","239")</f>
        <v>239</v>
      </c>
      <c r="H112" s="1"/>
      <c r="I112" s="10">
        <v>487</v>
      </c>
      <c r="J112" s="10">
        <v>1437</v>
      </c>
      <c r="K112" s="10">
        <v>1781</v>
      </c>
      <c r="L112" s="10">
        <v>152</v>
      </c>
      <c r="M112" s="10">
        <v>359</v>
      </c>
      <c r="N112" s="10">
        <v>280</v>
      </c>
      <c r="O112" s="10">
        <v>856</v>
      </c>
      <c r="P112" s="10">
        <v>1189</v>
      </c>
      <c r="Q112" s="10">
        <v>418</v>
      </c>
      <c r="R112" s="10">
        <v>477</v>
      </c>
      <c r="S112" s="10">
        <v>1359</v>
      </c>
      <c r="T112" s="10">
        <v>1371</v>
      </c>
      <c r="U112" s="10">
        <v>200</v>
      </c>
      <c r="V112" s="10">
        <v>461</v>
      </c>
      <c r="W112" s="10">
        <v>289</v>
      </c>
      <c r="X112" s="10">
        <v>288</v>
      </c>
      <c r="Y112" s="10">
        <v>261</v>
      </c>
      <c r="Z112" s="10">
        <v>235</v>
      </c>
      <c r="AA112" s="10">
        <v>1150</v>
      </c>
      <c r="AB112" s="10">
        <v>544</v>
      </c>
      <c r="AC112" s="10">
        <v>1578</v>
      </c>
      <c r="AD112" s="10">
        <v>378</v>
      </c>
      <c r="AE112" s="10">
        <v>243</v>
      </c>
      <c r="AF112" s="10">
        <v>828</v>
      </c>
      <c r="AG112" s="10">
        <v>566</v>
      </c>
      <c r="AH112" s="10">
        <v>161</v>
      </c>
      <c r="AI112" s="10">
        <v>576</v>
      </c>
      <c r="AJ112" s="10">
        <v>686</v>
      </c>
      <c r="AK112" s="10">
        <v>314</v>
      </c>
      <c r="AL112" s="10">
        <v>1550</v>
      </c>
      <c r="AM112" s="10">
        <v>261</v>
      </c>
      <c r="AN112" s="10">
        <v>946</v>
      </c>
      <c r="AO112" s="10">
        <v>468</v>
      </c>
      <c r="AP112" s="10">
        <v>211</v>
      </c>
      <c r="AQ112" s="10">
        <v>427</v>
      </c>
      <c r="AR112" s="10">
        <v>249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</row>
    <row r="113" spans="1:81">
      <c r="A113" s="4" t="s">
        <v>1216</v>
      </c>
      <c r="B113" s="1" t="s">
        <v>462</v>
      </c>
      <c r="C113" s="1" t="s">
        <v>114</v>
      </c>
      <c r="D113" s="1" t="str">
        <f>HYPERLINK("http://eros.fiehnlab.ucdavis.edu:8080/binbase-compound/bin/show/386128?db=rtx5","386128")</f>
        <v>386128</v>
      </c>
      <c r="E113" s="1" t="s">
        <v>463</v>
      </c>
      <c r="F113" s="1" t="s">
        <v>0</v>
      </c>
      <c r="G113" s="1" t="s">
        <v>0</v>
      </c>
      <c r="H113" s="1"/>
      <c r="I113" s="10">
        <v>90080</v>
      </c>
      <c r="J113" s="10">
        <v>341353</v>
      </c>
      <c r="K113" s="10">
        <v>343340</v>
      </c>
      <c r="L113" s="10">
        <v>66068</v>
      </c>
      <c r="M113" s="10">
        <v>119922</v>
      </c>
      <c r="N113" s="10">
        <v>72461</v>
      </c>
      <c r="O113" s="10">
        <v>163527</v>
      </c>
      <c r="P113" s="10">
        <v>415635</v>
      </c>
      <c r="Q113" s="10">
        <v>103878</v>
      </c>
      <c r="R113" s="10">
        <v>125134</v>
      </c>
      <c r="S113" s="10">
        <v>374387</v>
      </c>
      <c r="T113" s="10">
        <v>369089</v>
      </c>
      <c r="U113" s="10">
        <v>53097</v>
      </c>
      <c r="V113" s="10">
        <v>178830</v>
      </c>
      <c r="W113" s="10">
        <v>109531</v>
      </c>
      <c r="X113" s="10">
        <v>90680</v>
      </c>
      <c r="Y113" s="10">
        <v>85983</v>
      </c>
      <c r="Z113" s="10">
        <v>92740</v>
      </c>
      <c r="AA113" s="10">
        <v>273682</v>
      </c>
      <c r="AB113" s="10">
        <v>68882</v>
      </c>
      <c r="AC113" s="10">
        <v>230261</v>
      </c>
      <c r="AD113" s="10">
        <v>98578</v>
      </c>
      <c r="AE113" s="10">
        <v>76056</v>
      </c>
      <c r="AF113" s="10">
        <v>177007</v>
      </c>
      <c r="AG113" s="10">
        <v>201470</v>
      </c>
      <c r="AH113" s="10">
        <v>68634</v>
      </c>
      <c r="AI113" s="10">
        <v>163290</v>
      </c>
      <c r="AJ113" s="10">
        <v>230745</v>
      </c>
      <c r="AK113" s="10">
        <v>104064</v>
      </c>
      <c r="AL113" s="10">
        <v>440232</v>
      </c>
      <c r="AM113" s="10">
        <v>114701</v>
      </c>
      <c r="AN113" s="10">
        <v>209933</v>
      </c>
      <c r="AO113" s="10">
        <v>88854</v>
      </c>
      <c r="AP113" s="10">
        <v>73246</v>
      </c>
      <c r="AQ113" s="10">
        <v>142567</v>
      </c>
      <c r="AR113" s="10">
        <v>79610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</row>
    <row r="114" spans="1:81">
      <c r="A114" s="4" t="s">
        <v>464</v>
      </c>
      <c r="B114" s="1" t="s">
        <v>465</v>
      </c>
      <c r="C114" s="1" t="s">
        <v>466</v>
      </c>
      <c r="D114" s="1" t="str">
        <f>HYPERLINK("http://eros.fiehnlab.ucdavis.edu:8080/binbase-compound/bin/show/227949?db=rtx5","227949")</f>
        <v>227949</v>
      </c>
      <c r="E114" s="1" t="s">
        <v>467</v>
      </c>
      <c r="F114" s="1" t="str">
        <f>HYPERLINK("http://www.genome.ad.jp/dbget-bin/www_bget?compound+C00049","C00049")</f>
        <v>C00049</v>
      </c>
      <c r="G114" s="1" t="str">
        <f>HYPERLINK("http://pubchem.ncbi.nlm.nih.gov/summary/summary.cgi?cid=5960","5960")</f>
        <v>5960</v>
      </c>
      <c r="H114" s="1"/>
      <c r="I114" s="10">
        <v>27474</v>
      </c>
      <c r="J114" s="10">
        <v>54580</v>
      </c>
      <c r="K114" s="10">
        <v>31283</v>
      </c>
      <c r="L114" s="10">
        <v>28790</v>
      </c>
      <c r="M114" s="10">
        <v>83562</v>
      </c>
      <c r="N114" s="10">
        <v>31266</v>
      </c>
      <c r="O114" s="10">
        <v>34569</v>
      </c>
      <c r="P114" s="10">
        <v>25091</v>
      </c>
      <c r="Q114" s="10">
        <v>27120</v>
      </c>
      <c r="R114" s="10">
        <v>33889</v>
      </c>
      <c r="S114" s="10">
        <v>67935</v>
      </c>
      <c r="T114" s="10">
        <v>15198</v>
      </c>
      <c r="U114" s="10">
        <v>43727</v>
      </c>
      <c r="V114" s="10">
        <v>31946</v>
      </c>
      <c r="W114" s="10">
        <v>47158</v>
      </c>
      <c r="X114" s="10">
        <v>35264</v>
      </c>
      <c r="Y114" s="10">
        <v>41156</v>
      </c>
      <c r="Z114" s="10">
        <v>52027</v>
      </c>
      <c r="AA114" s="10">
        <v>17912</v>
      </c>
      <c r="AB114" s="10">
        <v>26883</v>
      </c>
      <c r="AC114" s="10">
        <v>34271</v>
      </c>
      <c r="AD114" s="10">
        <v>47025</v>
      </c>
      <c r="AE114" s="10">
        <v>32843</v>
      </c>
      <c r="AF114" s="10">
        <v>30394</v>
      </c>
      <c r="AG114" s="10">
        <v>48195</v>
      </c>
      <c r="AH114" s="10">
        <v>51851</v>
      </c>
      <c r="AI114" s="10">
        <v>36444</v>
      </c>
      <c r="AJ114" s="10">
        <v>50246</v>
      </c>
      <c r="AK114" s="10">
        <v>61897</v>
      </c>
      <c r="AL114" s="10">
        <v>54546</v>
      </c>
      <c r="AM114" s="10">
        <v>44192</v>
      </c>
      <c r="AN114" s="10">
        <v>13043</v>
      </c>
      <c r="AO114" s="10">
        <v>43762</v>
      </c>
      <c r="AP114" s="10">
        <v>48529</v>
      </c>
      <c r="AQ114" s="10">
        <v>36094</v>
      </c>
      <c r="AR114" s="10">
        <v>48646</v>
      </c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</row>
    <row r="115" spans="1:81">
      <c r="A115" s="4" t="s">
        <v>1217</v>
      </c>
      <c r="B115" s="1" t="s">
        <v>468</v>
      </c>
      <c r="C115" s="1" t="s">
        <v>201</v>
      </c>
      <c r="D115" s="1" t="str">
        <f>HYPERLINK("http://eros.fiehnlab.ucdavis.edu:8080/binbase-compound/bin/show/200518?db=rtx5","200518")</f>
        <v>200518</v>
      </c>
      <c r="E115" s="1" t="s">
        <v>469</v>
      </c>
      <c r="F115" s="1" t="str">
        <f>HYPERLINK("http://www.genome.ad.jp/dbget-bin/www_bget?compound+C00152","C00152")</f>
        <v>C00152</v>
      </c>
      <c r="G115" s="1" t="str">
        <f>HYPERLINK("http://pubchem.ncbi.nlm.nih.gov/summary/summary.cgi?cid=236","236")</f>
        <v>236</v>
      </c>
      <c r="H115" s="1"/>
      <c r="I115" s="10">
        <v>2313</v>
      </c>
      <c r="J115" s="10">
        <v>2960</v>
      </c>
      <c r="K115" s="10">
        <v>3711</v>
      </c>
      <c r="L115" s="10">
        <v>4335</v>
      </c>
      <c r="M115" s="10">
        <v>2270</v>
      </c>
      <c r="N115" s="10">
        <v>3522</v>
      </c>
      <c r="O115" s="10">
        <v>2919</v>
      </c>
      <c r="P115" s="10">
        <v>4655</v>
      </c>
      <c r="Q115" s="10">
        <v>2556</v>
      </c>
      <c r="R115" s="10">
        <v>2238</v>
      </c>
      <c r="S115" s="10">
        <v>3530</v>
      </c>
      <c r="T115" s="10">
        <v>3519</v>
      </c>
      <c r="U115" s="10">
        <v>4408</v>
      </c>
      <c r="V115" s="10">
        <v>2265</v>
      </c>
      <c r="W115" s="10">
        <v>2061</v>
      </c>
      <c r="X115" s="10">
        <v>2902</v>
      </c>
      <c r="Y115" s="10">
        <v>3595</v>
      </c>
      <c r="Z115" s="10">
        <v>2267</v>
      </c>
      <c r="AA115" s="10">
        <v>5165</v>
      </c>
      <c r="AB115" s="10">
        <v>2591</v>
      </c>
      <c r="AC115" s="10">
        <v>3475</v>
      </c>
      <c r="AD115" s="10">
        <v>1997</v>
      </c>
      <c r="AE115" s="10">
        <v>4107</v>
      </c>
      <c r="AF115" s="10">
        <v>2127</v>
      </c>
      <c r="AG115" s="10">
        <v>3398</v>
      </c>
      <c r="AH115" s="10">
        <v>4367</v>
      </c>
      <c r="AI115" s="10">
        <v>3086</v>
      </c>
      <c r="AJ115" s="10">
        <v>2730</v>
      </c>
      <c r="AK115" s="10">
        <v>2981</v>
      </c>
      <c r="AL115" s="10">
        <v>2653</v>
      </c>
      <c r="AM115" s="10">
        <v>3091</v>
      </c>
      <c r="AN115" s="10">
        <v>1929</v>
      </c>
      <c r="AO115" s="10">
        <v>2833</v>
      </c>
      <c r="AP115" s="10">
        <v>3771</v>
      </c>
      <c r="AQ115" s="10">
        <v>2688</v>
      </c>
      <c r="AR115" s="10">
        <v>2014</v>
      </c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</row>
    <row r="116" spans="1:81">
      <c r="A116" s="4" t="s">
        <v>470</v>
      </c>
      <c r="B116" s="1" t="s">
        <v>471</v>
      </c>
      <c r="C116" s="1" t="s">
        <v>193</v>
      </c>
      <c r="D116" s="1" t="str">
        <f>HYPERLINK("http://eros.fiehnlab.ucdavis.edu:8080/binbase-compound/bin/show/199796?db=rtx5","199796")</f>
        <v>199796</v>
      </c>
      <c r="E116" s="1" t="s">
        <v>472</v>
      </c>
      <c r="F116" s="1" t="str">
        <f>HYPERLINK("http://www.genome.ad.jp/dbget-bin/www_bget?compound+C00062","C00062")</f>
        <v>C00062</v>
      </c>
      <c r="G116" s="1" t="str">
        <f>HYPERLINK("http://pubchem.ncbi.nlm.nih.gov/summary/summary.cgi?cid=232","232")</f>
        <v>232</v>
      </c>
      <c r="H116" s="1"/>
      <c r="I116" s="10">
        <v>32366</v>
      </c>
      <c r="J116" s="10">
        <v>25507</v>
      </c>
      <c r="K116" s="10">
        <v>24111</v>
      </c>
      <c r="L116" s="10">
        <v>41451</v>
      </c>
      <c r="M116" s="10">
        <v>43330</v>
      </c>
      <c r="N116" s="10">
        <v>45930</v>
      </c>
      <c r="O116" s="10">
        <v>22076</v>
      </c>
      <c r="P116" s="10">
        <v>22591</v>
      </c>
      <c r="Q116" s="10">
        <v>45280</v>
      </c>
      <c r="R116" s="10">
        <v>31070</v>
      </c>
      <c r="S116" s="10">
        <v>36334</v>
      </c>
      <c r="T116" s="10">
        <v>15125</v>
      </c>
      <c r="U116" s="10">
        <v>47915</v>
      </c>
      <c r="V116" s="10">
        <v>21637</v>
      </c>
      <c r="W116" s="10">
        <v>31555</v>
      </c>
      <c r="X116" s="10">
        <v>35841</v>
      </c>
      <c r="Y116" s="10">
        <v>48388</v>
      </c>
      <c r="Z116" s="10">
        <v>27033</v>
      </c>
      <c r="AA116" s="10">
        <v>33087</v>
      </c>
      <c r="AB116" s="10">
        <v>36661</v>
      </c>
      <c r="AC116" s="10">
        <v>17113</v>
      </c>
      <c r="AD116" s="10">
        <v>31504</v>
      </c>
      <c r="AE116" s="10">
        <v>46439</v>
      </c>
      <c r="AF116" s="10">
        <v>25936</v>
      </c>
      <c r="AG116" s="10">
        <v>26636</v>
      </c>
      <c r="AH116" s="10">
        <v>46788</v>
      </c>
      <c r="AI116" s="10">
        <v>31410</v>
      </c>
      <c r="AJ116" s="10">
        <v>33680</v>
      </c>
      <c r="AK116" s="10">
        <v>34442</v>
      </c>
      <c r="AL116" s="10">
        <v>40742</v>
      </c>
      <c r="AM116" s="10">
        <v>45907</v>
      </c>
      <c r="AN116" s="10">
        <v>24852</v>
      </c>
      <c r="AO116" s="10">
        <v>39412</v>
      </c>
      <c r="AP116" s="10">
        <v>48007</v>
      </c>
      <c r="AQ116" s="10">
        <v>39781</v>
      </c>
      <c r="AR116" s="10">
        <v>34590</v>
      </c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</row>
    <row r="117" spans="1:81">
      <c r="A117" s="4" t="s">
        <v>473</v>
      </c>
      <c r="B117" s="1" t="s">
        <v>474</v>
      </c>
      <c r="C117" s="1" t="s">
        <v>134</v>
      </c>
      <c r="D117" s="1" t="str">
        <f>HYPERLINK("http://eros.fiehnlab.ucdavis.edu:8080/binbase-compound/bin/show/200493?db=rtx5","200493")</f>
        <v>200493</v>
      </c>
      <c r="E117" s="1" t="s">
        <v>475</v>
      </c>
      <c r="F117" s="1" t="str">
        <f>HYPERLINK("http://www.genome.ad.jp/dbget-bin/www_bget?compound+C01904","C01904")</f>
        <v>C01904</v>
      </c>
      <c r="G117" s="1" t="str">
        <f>HYPERLINK("http://pubchem.ncbi.nlm.nih.gov/summary/summary.cgi?cid=94154","94154")</f>
        <v>94154</v>
      </c>
      <c r="H117" s="1"/>
      <c r="I117" s="10">
        <v>1268</v>
      </c>
      <c r="J117" s="10">
        <v>2045</v>
      </c>
      <c r="K117" s="10">
        <v>1672</v>
      </c>
      <c r="L117" s="10">
        <v>2959</v>
      </c>
      <c r="M117" s="10">
        <v>2557</v>
      </c>
      <c r="N117" s="10">
        <v>2634</v>
      </c>
      <c r="O117" s="10">
        <v>243</v>
      </c>
      <c r="P117" s="10">
        <v>2159</v>
      </c>
      <c r="Q117" s="10">
        <v>2173</v>
      </c>
      <c r="R117" s="10">
        <v>199</v>
      </c>
      <c r="S117" s="10">
        <v>3245</v>
      </c>
      <c r="T117" s="10">
        <v>1723</v>
      </c>
      <c r="U117" s="10">
        <v>2206</v>
      </c>
      <c r="V117" s="10">
        <v>2761</v>
      </c>
      <c r="W117" s="10">
        <v>2352</v>
      </c>
      <c r="X117" s="10">
        <v>3963</v>
      </c>
      <c r="Y117" s="10">
        <v>3776</v>
      </c>
      <c r="Z117" s="10">
        <v>3239</v>
      </c>
      <c r="AA117" s="10">
        <v>3906</v>
      </c>
      <c r="AB117" s="10">
        <v>3455</v>
      </c>
      <c r="AC117" s="10">
        <v>3700</v>
      </c>
      <c r="AD117" s="10">
        <v>3604</v>
      </c>
      <c r="AE117" s="10">
        <v>4267</v>
      </c>
      <c r="AF117" s="10">
        <v>3598</v>
      </c>
      <c r="AG117" s="10">
        <v>6105</v>
      </c>
      <c r="AH117" s="10">
        <v>2222</v>
      </c>
      <c r="AI117" s="10">
        <v>1724</v>
      </c>
      <c r="AJ117" s="10">
        <v>2317</v>
      </c>
      <c r="AK117" s="10">
        <v>1722</v>
      </c>
      <c r="AL117" s="10">
        <v>2195</v>
      </c>
      <c r="AM117" s="10">
        <v>1835</v>
      </c>
      <c r="AN117" s="10">
        <v>1659</v>
      </c>
      <c r="AO117" s="10">
        <v>1381</v>
      </c>
      <c r="AP117" s="10">
        <v>2661</v>
      </c>
      <c r="AQ117" s="10">
        <v>3811</v>
      </c>
      <c r="AR117" s="10">
        <v>3469</v>
      </c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</row>
    <row r="118" spans="1:81">
      <c r="A118" s="4" t="s">
        <v>476</v>
      </c>
      <c r="B118" s="1" t="s">
        <v>477</v>
      </c>
      <c r="C118" s="1" t="s">
        <v>185</v>
      </c>
      <c r="D118" s="1" t="str">
        <f>HYPERLINK("http://eros.fiehnlab.ucdavis.edu:8080/binbase-compound/bin/show/202065?db=rtx5","202065")</f>
        <v>202065</v>
      </c>
      <c r="E118" s="1" t="s">
        <v>478</v>
      </c>
      <c r="F118" s="1" t="str">
        <f>HYPERLINK("http://www.genome.ad.jp/dbget-bin/www_bget?compound+C00259","C00259")</f>
        <v>C00259</v>
      </c>
      <c r="G118" s="1" t="str">
        <f>HYPERLINK("http://pubchem.ncbi.nlm.nih.gov/summary/summary.cgi?cid=229","229")</f>
        <v>229</v>
      </c>
      <c r="H118" s="1"/>
      <c r="I118" s="10">
        <v>735266</v>
      </c>
      <c r="J118" s="10">
        <v>1012320</v>
      </c>
      <c r="K118" s="10">
        <v>665085</v>
      </c>
      <c r="L118" s="10">
        <v>368651</v>
      </c>
      <c r="M118" s="10">
        <v>885808</v>
      </c>
      <c r="N118" s="10">
        <v>582556</v>
      </c>
      <c r="O118" s="10">
        <v>1538502</v>
      </c>
      <c r="P118" s="10">
        <v>1124751</v>
      </c>
      <c r="Q118" s="10">
        <v>771231</v>
      </c>
      <c r="R118" s="10">
        <v>1266927</v>
      </c>
      <c r="S118" s="10">
        <v>1363599</v>
      </c>
      <c r="T118" s="10">
        <v>835016</v>
      </c>
      <c r="U118" s="10">
        <v>487868</v>
      </c>
      <c r="V118" s="10">
        <v>962744</v>
      </c>
      <c r="W118" s="10">
        <v>1063219</v>
      </c>
      <c r="X118" s="10">
        <v>904681</v>
      </c>
      <c r="Y118" s="10">
        <v>673953</v>
      </c>
      <c r="Z118" s="10">
        <v>923631</v>
      </c>
      <c r="AA118" s="10">
        <v>1127988</v>
      </c>
      <c r="AB118" s="10">
        <v>485160</v>
      </c>
      <c r="AC118" s="10">
        <v>813932</v>
      </c>
      <c r="AD118" s="10">
        <v>714623</v>
      </c>
      <c r="AE118" s="10">
        <v>694654</v>
      </c>
      <c r="AF118" s="10">
        <v>903396</v>
      </c>
      <c r="AG118" s="10">
        <v>1442213</v>
      </c>
      <c r="AH118" s="10">
        <v>27976</v>
      </c>
      <c r="AI118" s="10">
        <v>1196410</v>
      </c>
      <c r="AJ118" s="10">
        <v>1063861</v>
      </c>
      <c r="AK118" s="10">
        <v>1073894</v>
      </c>
      <c r="AL118" s="10">
        <v>924476</v>
      </c>
      <c r="AM118" s="10">
        <v>949491</v>
      </c>
      <c r="AN118" s="10">
        <v>1243205</v>
      </c>
      <c r="AO118" s="10">
        <v>845864</v>
      </c>
      <c r="AP118" s="10">
        <v>582121</v>
      </c>
      <c r="AQ118" s="10">
        <v>1246085</v>
      </c>
      <c r="AR118" s="10">
        <v>816262</v>
      </c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</row>
    <row r="119" spans="1:81">
      <c r="A119" s="4" t="s">
        <v>479</v>
      </c>
      <c r="B119" s="1" t="s">
        <v>480</v>
      </c>
      <c r="C119" s="1" t="s">
        <v>112</v>
      </c>
      <c r="D119" s="1" t="str">
        <f>HYPERLINK("http://eros.fiehnlab.ucdavis.edu:8080/binbase-compound/bin/show/240264?db=rtx5","240264")</f>
        <v>240264</v>
      </c>
      <c r="E119" s="1" t="s">
        <v>481</v>
      </c>
      <c r="F119" s="1" t="str">
        <f>HYPERLINK("http://www.genome.ad.jp/dbget-bin/www_bget?compound+C00872","C00872")</f>
        <v>C00872</v>
      </c>
      <c r="G119" s="1" t="str">
        <f>HYPERLINK("http://pubchem.ncbi.nlm.nih.gov/summary/summary.cgi?cid=100714","100714")</f>
        <v>100714</v>
      </c>
      <c r="H119" s="1"/>
      <c r="I119" s="10">
        <v>1433</v>
      </c>
      <c r="J119" s="10">
        <v>816</v>
      </c>
      <c r="K119" s="10">
        <v>656</v>
      </c>
      <c r="L119" s="10">
        <v>1365</v>
      </c>
      <c r="M119" s="10">
        <v>1261</v>
      </c>
      <c r="N119" s="10">
        <v>822</v>
      </c>
      <c r="O119" s="10">
        <v>778</v>
      </c>
      <c r="P119" s="10">
        <v>917</v>
      </c>
      <c r="Q119" s="10">
        <v>1431</v>
      </c>
      <c r="R119" s="10">
        <v>1139</v>
      </c>
      <c r="S119" s="10">
        <v>1022</v>
      </c>
      <c r="T119" s="10">
        <v>757</v>
      </c>
      <c r="U119" s="10">
        <v>2364</v>
      </c>
      <c r="V119" s="10">
        <v>646</v>
      </c>
      <c r="W119" s="10">
        <v>1330</v>
      </c>
      <c r="X119" s="10">
        <v>935</v>
      </c>
      <c r="Y119" s="10">
        <v>1544</v>
      </c>
      <c r="Z119" s="10">
        <v>1194</v>
      </c>
      <c r="AA119" s="10">
        <v>749</v>
      </c>
      <c r="AB119" s="10">
        <v>1491</v>
      </c>
      <c r="AC119" s="10">
        <v>490</v>
      </c>
      <c r="AD119" s="10">
        <v>1299</v>
      </c>
      <c r="AE119" s="10">
        <v>1267</v>
      </c>
      <c r="AF119" s="10">
        <v>642</v>
      </c>
      <c r="AG119" s="10">
        <v>652</v>
      </c>
      <c r="AH119" s="10">
        <v>2355</v>
      </c>
      <c r="AI119" s="10">
        <v>790</v>
      </c>
      <c r="AJ119" s="10">
        <v>664</v>
      </c>
      <c r="AK119" s="10">
        <v>1070</v>
      </c>
      <c r="AL119" s="10">
        <v>851</v>
      </c>
      <c r="AM119" s="10">
        <v>1272</v>
      </c>
      <c r="AN119" s="10">
        <v>645</v>
      </c>
      <c r="AO119" s="10">
        <v>1912</v>
      </c>
      <c r="AP119" s="10">
        <v>2048</v>
      </c>
      <c r="AQ119" s="10">
        <v>806</v>
      </c>
      <c r="AR119" s="10">
        <v>1351</v>
      </c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</row>
    <row r="120" spans="1:81">
      <c r="A120" s="4" t="s">
        <v>482</v>
      </c>
      <c r="B120" s="1" t="s">
        <v>483</v>
      </c>
      <c r="C120" s="1" t="s">
        <v>484</v>
      </c>
      <c r="D120" s="1" t="str">
        <f>HYPERLINK("http://eros.fiehnlab.ucdavis.edu:8080/binbase-compound/bin/show/200425?db=rtx5","200425")</f>
        <v>200425</v>
      </c>
      <c r="E120" s="1" t="s">
        <v>485</v>
      </c>
      <c r="F120" s="1" t="str">
        <f>HYPERLINK("http://www.genome.ad.jp/dbget-bin/www_bget?compound+C00026","C00026")</f>
        <v>C00026</v>
      </c>
      <c r="G120" s="1" t="str">
        <f>HYPERLINK("http://pubchem.ncbi.nlm.nih.gov/summary/summary.cgi?cid=51","51")</f>
        <v>51</v>
      </c>
      <c r="H120" s="1"/>
      <c r="I120" s="10">
        <v>222</v>
      </c>
      <c r="J120" s="10">
        <v>658</v>
      </c>
      <c r="K120" s="10">
        <v>490</v>
      </c>
      <c r="L120" s="10">
        <v>408</v>
      </c>
      <c r="M120" s="10">
        <v>204</v>
      </c>
      <c r="N120" s="10">
        <v>166</v>
      </c>
      <c r="O120" s="10">
        <v>292</v>
      </c>
      <c r="P120" s="10">
        <v>721</v>
      </c>
      <c r="Q120" s="10">
        <v>197</v>
      </c>
      <c r="R120" s="10">
        <v>1590</v>
      </c>
      <c r="S120" s="10">
        <v>708</v>
      </c>
      <c r="T120" s="10">
        <v>521</v>
      </c>
      <c r="U120" s="10">
        <v>777</v>
      </c>
      <c r="V120" s="10">
        <v>401</v>
      </c>
      <c r="W120" s="10">
        <v>272</v>
      </c>
      <c r="X120" s="10">
        <v>173</v>
      </c>
      <c r="Y120" s="10">
        <v>283</v>
      </c>
      <c r="Z120" s="10">
        <v>367</v>
      </c>
      <c r="AA120" s="10">
        <v>600</v>
      </c>
      <c r="AB120" s="10">
        <v>1980</v>
      </c>
      <c r="AC120" s="10">
        <v>509</v>
      </c>
      <c r="AD120" s="10">
        <v>632</v>
      </c>
      <c r="AE120" s="10">
        <v>167</v>
      </c>
      <c r="AF120" s="10">
        <v>419</v>
      </c>
      <c r="AG120" s="10">
        <v>315</v>
      </c>
      <c r="AH120" s="10">
        <v>157</v>
      </c>
      <c r="AI120" s="10">
        <v>250</v>
      </c>
      <c r="AJ120" s="10">
        <v>428</v>
      </c>
      <c r="AK120" s="10">
        <v>172</v>
      </c>
      <c r="AL120" s="10">
        <v>734</v>
      </c>
      <c r="AM120" s="10">
        <v>559</v>
      </c>
      <c r="AN120" s="10">
        <v>968</v>
      </c>
      <c r="AO120" s="10">
        <v>611</v>
      </c>
      <c r="AP120" s="10">
        <v>781</v>
      </c>
      <c r="AQ120" s="10">
        <v>228</v>
      </c>
      <c r="AR120" s="10">
        <v>325</v>
      </c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</row>
    <row r="121" spans="1:81">
      <c r="A121" s="4" t="s">
        <v>486</v>
      </c>
      <c r="B121" s="1" t="s">
        <v>487</v>
      </c>
      <c r="C121" s="1" t="s">
        <v>203</v>
      </c>
      <c r="D121" s="1" t="str">
        <f>HYPERLINK("http://eros.fiehnlab.ucdavis.edu:8080/binbase-compound/bin/show/213144?db=rtx5","213144")</f>
        <v>213144</v>
      </c>
      <c r="E121" s="1" t="s">
        <v>488</v>
      </c>
      <c r="F121" s="1" t="str">
        <f>HYPERLINK("http://www.genome.ad.jp/dbget-bin/www_bget?compound+C00041","C00041")</f>
        <v>C00041</v>
      </c>
      <c r="G121" s="1" t="str">
        <f>HYPERLINK("http://pubchem.ncbi.nlm.nih.gov/summary/summary.cgi?cid=5950","5950")</f>
        <v>5950</v>
      </c>
      <c r="H121" s="1"/>
      <c r="I121" s="10">
        <v>522340</v>
      </c>
      <c r="J121" s="10">
        <v>325139</v>
      </c>
      <c r="K121" s="10">
        <v>270936</v>
      </c>
      <c r="L121" s="10">
        <v>505125</v>
      </c>
      <c r="M121" s="10">
        <v>696181</v>
      </c>
      <c r="N121" s="10">
        <v>720594</v>
      </c>
      <c r="O121" s="10">
        <v>344502</v>
      </c>
      <c r="P121" s="10">
        <v>342037</v>
      </c>
      <c r="Q121" s="10">
        <v>638399</v>
      </c>
      <c r="R121" s="10">
        <v>427977</v>
      </c>
      <c r="S121" s="10">
        <v>459124</v>
      </c>
      <c r="T121" s="10">
        <v>244073</v>
      </c>
      <c r="U121" s="10">
        <v>695590</v>
      </c>
      <c r="V121" s="10">
        <v>403336</v>
      </c>
      <c r="W121" s="10">
        <v>518232</v>
      </c>
      <c r="X121" s="10">
        <v>541013</v>
      </c>
      <c r="Y121" s="10">
        <v>689248</v>
      </c>
      <c r="Z121" s="10">
        <v>551120</v>
      </c>
      <c r="AA121" s="10">
        <v>417265</v>
      </c>
      <c r="AB121" s="10">
        <v>368532</v>
      </c>
      <c r="AC121" s="10">
        <v>172442</v>
      </c>
      <c r="AD121" s="10">
        <v>523849</v>
      </c>
      <c r="AE121" s="10">
        <v>612000</v>
      </c>
      <c r="AF121" s="10">
        <v>276147</v>
      </c>
      <c r="AG121" s="10">
        <v>308052</v>
      </c>
      <c r="AH121" s="10">
        <v>641996</v>
      </c>
      <c r="AI121" s="10">
        <v>453281</v>
      </c>
      <c r="AJ121" s="10">
        <v>411323</v>
      </c>
      <c r="AK121" s="10">
        <v>594514</v>
      </c>
      <c r="AL121" s="10">
        <v>281676</v>
      </c>
      <c r="AM121" s="10">
        <v>611085</v>
      </c>
      <c r="AN121" s="10">
        <v>378115</v>
      </c>
      <c r="AO121" s="10">
        <v>634349</v>
      </c>
      <c r="AP121" s="10">
        <v>643159</v>
      </c>
      <c r="AQ121" s="10">
        <v>487376</v>
      </c>
      <c r="AR121" s="10">
        <v>592992</v>
      </c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</row>
    <row r="122" spans="1:81">
      <c r="A122" s="4" t="s">
        <v>489</v>
      </c>
      <c r="B122" s="1" t="s">
        <v>490</v>
      </c>
      <c r="C122" s="1" t="s">
        <v>491</v>
      </c>
      <c r="D122" s="1" t="str">
        <f>HYPERLINK("http://eros.fiehnlab.ucdavis.edu:8080/binbase-compound/bin/show/218815?db=rtx5","218815")</f>
        <v>218815</v>
      </c>
      <c r="E122" s="1" t="s">
        <v>492</v>
      </c>
      <c r="F122" s="1" t="str">
        <f>HYPERLINK("http://www.genome.ad.jp/dbget-bin/www_bget?compound+C06104","C06104")</f>
        <v>C06104</v>
      </c>
      <c r="G122" s="1" t="str">
        <f>HYPERLINK("http://pubchem.ncbi.nlm.nih.gov/summary/summary.cgi?cid=196","196")</f>
        <v>196</v>
      </c>
      <c r="H122" s="1"/>
      <c r="I122" s="10">
        <v>359</v>
      </c>
      <c r="J122" s="10">
        <v>1842</v>
      </c>
      <c r="K122" s="10">
        <v>1546</v>
      </c>
      <c r="L122" s="10">
        <v>916</v>
      </c>
      <c r="M122" s="10">
        <v>625</v>
      </c>
      <c r="N122" s="10">
        <v>555</v>
      </c>
      <c r="O122" s="10">
        <v>647</v>
      </c>
      <c r="P122" s="10">
        <v>1806</v>
      </c>
      <c r="Q122" s="10">
        <v>595</v>
      </c>
      <c r="R122" s="10">
        <v>532</v>
      </c>
      <c r="S122" s="10">
        <v>1926</v>
      </c>
      <c r="T122" s="10">
        <v>1361</v>
      </c>
      <c r="U122" s="10">
        <v>440</v>
      </c>
      <c r="V122" s="10">
        <v>1140</v>
      </c>
      <c r="W122" s="10">
        <v>492</v>
      </c>
      <c r="X122" s="10">
        <v>547</v>
      </c>
      <c r="Y122" s="10">
        <v>314</v>
      </c>
      <c r="Z122" s="10">
        <v>416</v>
      </c>
      <c r="AA122" s="10">
        <v>1978</v>
      </c>
      <c r="AB122" s="10">
        <v>391</v>
      </c>
      <c r="AC122" s="10">
        <v>1530</v>
      </c>
      <c r="AD122" s="10">
        <v>579</v>
      </c>
      <c r="AE122" s="10">
        <v>443</v>
      </c>
      <c r="AF122" s="10">
        <v>638</v>
      </c>
      <c r="AG122" s="10">
        <v>1334</v>
      </c>
      <c r="AH122" s="10">
        <v>425</v>
      </c>
      <c r="AI122" s="10">
        <v>871</v>
      </c>
      <c r="AJ122" s="10">
        <v>2442</v>
      </c>
      <c r="AK122" s="10">
        <v>855</v>
      </c>
      <c r="AL122" s="10">
        <v>1699</v>
      </c>
      <c r="AM122" s="10">
        <v>516</v>
      </c>
      <c r="AN122" s="10">
        <v>1126</v>
      </c>
      <c r="AO122" s="10">
        <v>684</v>
      </c>
      <c r="AP122" s="10">
        <v>437</v>
      </c>
      <c r="AQ122" s="10">
        <v>565</v>
      </c>
      <c r="AR122" s="10">
        <v>515</v>
      </c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</row>
    <row r="123" spans="1:81">
      <c r="A123" s="4" t="s">
        <v>493</v>
      </c>
      <c r="B123" s="1" t="s">
        <v>494</v>
      </c>
      <c r="C123" s="1" t="s">
        <v>495</v>
      </c>
      <c r="D123" s="1" t="str">
        <f>HYPERLINK("http://eros.fiehnlab.ucdavis.edu:8080/binbase-compound/bin/show/362124?db=rtx5","362124")</f>
        <v>362124</v>
      </c>
      <c r="E123" s="1" t="s">
        <v>496</v>
      </c>
      <c r="F123" s="1" t="s">
        <v>0</v>
      </c>
      <c r="G123" s="1" t="s">
        <v>0</v>
      </c>
      <c r="H123" s="1"/>
      <c r="I123" s="10">
        <v>13113</v>
      </c>
      <c r="J123" s="10">
        <v>39380</v>
      </c>
      <c r="K123" s="10">
        <v>29920</v>
      </c>
      <c r="L123" s="10">
        <v>6258</v>
      </c>
      <c r="M123" s="10">
        <v>13803</v>
      </c>
      <c r="N123" s="10">
        <v>6806</v>
      </c>
      <c r="O123" s="10">
        <v>22529</v>
      </c>
      <c r="P123" s="10">
        <v>43150</v>
      </c>
      <c r="Q123" s="10">
        <v>14087</v>
      </c>
      <c r="R123" s="10">
        <v>9340</v>
      </c>
      <c r="S123" s="10">
        <v>34981</v>
      </c>
      <c r="T123" s="10">
        <v>12801</v>
      </c>
      <c r="U123" s="10">
        <v>15726</v>
      </c>
      <c r="V123" s="10">
        <v>34195</v>
      </c>
      <c r="W123" s="10">
        <v>20069</v>
      </c>
      <c r="X123" s="10">
        <v>10680</v>
      </c>
      <c r="Y123" s="10">
        <v>12463</v>
      </c>
      <c r="Z123" s="10">
        <v>16432</v>
      </c>
      <c r="AA123" s="10">
        <v>48743</v>
      </c>
      <c r="AB123" s="10">
        <v>6445</v>
      </c>
      <c r="AC123" s="10">
        <v>22597</v>
      </c>
      <c r="AD123" s="10">
        <v>14968</v>
      </c>
      <c r="AE123" s="10">
        <v>8147</v>
      </c>
      <c r="AF123" s="10">
        <v>15106</v>
      </c>
      <c r="AG123" s="10">
        <v>50026</v>
      </c>
      <c r="AH123" s="10">
        <v>20515</v>
      </c>
      <c r="AI123" s="10">
        <v>28661</v>
      </c>
      <c r="AJ123" s="10">
        <v>47863</v>
      </c>
      <c r="AK123" s="10">
        <v>24731</v>
      </c>
      <c r="AL123" s="10">
        <v>28992</v>
      </c>
      <c r="AM123" s="10">
        <v>13289</v>
      </c>
      <c r="AN123" s="10">
        <v>21857</v>
      </c>
      <c r="AO123" s="10">
        <v>14956</v>
      </c>
      <c r="AP123" s="10">
        <v>10367</v>
      </c>
      <c r="AQ123" s="10">
        <v>14116</v>
      </c>
      <c r="AR123" s="10">
        <v>18356</v>
      </c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</row>
    <row r="124" spans="1:81">
      <c r="A124" s="4" t="s">
        <v>497</v>
      </c>
      <c r="B124" s="1" t="s">
        <v>498</v>
      </c>
      <c r="C124" s="1" t="s">
        <v>499</v>
      </c>
      <c r="D124" s="1" t="str">
        <f>HYPERLINK("http://eros.fiehnlab.ucdavis.edu:8080/binbase-compound/bin/show/211944?db=rtx5","211944")</f>
        <v>211944</v>
      </c>
      <c r="E124" s="1" t="s">
        <v>500</v>
      </c>
      <c r="F124" s="1" t="str">
        <f>HYPERLINK("http://www.genome.ad.jp/dbget-bin/www_bget?compound+C00212","C00212")</f>
        <v>C00212</v>
      </c>
      <c r="G124" s="1" t="str">
        <f>HYPERLINK("http://pubchem.ncbi.nlm.nih.gov/summary/summary.cgi?cid=60961","60961")</f>
        <v>60961</v>
      </c>
      <c r="H124" s="1"/>
      <c r="I124" s="10">
        <v>10013</v>
      </c>
      <c r="J124" s="10">
        <v>10974</v>
      </c>
      <c r="K124" s="10">
        <v>7304</v>
      </c>
      <c r="L124" s="10">
        <v>11619</v>
      </c>
      <c r="M124" s="10">
        <v>3376</v>
      </c>
      <c r="N124" s="10">
        <v>5026</v>
      </c>
      <c r="O124" s="10">
        <v>15046</v>
      </c>
      <c r="P124" s="10">
        <v>9691</v>
      </c>
      <c r="Q124" s="10">
        <v>17820</v>
      </c>
      <c r="R124" s="10">
        <v>13023</v>
      </c>
      <c r="S124" s="10">
        <v>2488</v>
      </c>
      <c r="T124" s="10">
        <v>15699</v>
      </c>
      <c r="U124" s="10">
        <v>8916</v>
      </c>
      <c r="V124" s="10">
        <v>4331</v>
      </c>
      <c r="W124" s="10">
        <v>4559</v>
      </c>
      <c r="X124" s="10">
        <v>11216</v>
      </c>
      <c r="Y124" s="10">
        <v>3594</v>
      </c>
      <c r="Z124" s="10">
        <v>7805</v>
      </c>
      <c r="AA124" s="10">
        <v>10588</v>
      </c>
      <c r="AB124" s="10">
        <v>20323</v>
      </c>
      <c r="AC124" s="10">
        <v>15595</v>
      </c>
      <c r="AD124" s="10">
        <v>12230</v>
      </c>
      <c r="AE124" s="10">
        <v>12243</v>
      </c>
      <c r="AF124" s="10">
        <v>11622</v>
      </c>
      <c r="AG124" s="10">
        <v>6211</v>
      </c>
      <c r="AH124" s="10">
        <v>5231</v>
      </c>
      <c r="AI124" s="10">
        <v>14079</v>
      </c>
      <c r="AJ124" s="10">
        <v>3886</v>
      </c>
      <c r="AK124" s="10">
        <v>2692</v>
      </c>
      <c r="AL124" s="10">
        <v>2809</v>
      </c>
      <c r="AM124" s="10">
        <v>8192</v>
      </c>
      <c r="AN124" s="10">
        <v>9594</v>
      </c>
      <c r="AO124" s="10">
        <v>14967</v>
      </c>
      <c r="AP124" s="10">
        <v>16769</v>
      </c>
      <c r="AQ124" s="10">
        <v>2181</v>
      </c>
      <c r="AR124" s="10">
        <v>5242</v>
      </c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</row>
    <row r="125" spans="1:81">
      <c r="A125" s="4" t="s">
        <v>501</v>
      </c>
      <c r="B125" s="1" t="s">
        <v>502</v>
      </c>
      <c r="C125" s="1" t="s">
        <v>503</v>
      </c>
      <c r="D125" s="1" t="str">
        <f>HYPERLINK("http://eros.fiehnlab.ucdavis.edu:8080/binbase-compound/bin/show/203388?db=rtx5","203388")</f>
        <v>203388</v>
      </c>
      <c r="E125" s="1" t="s">
        <v>504</v>
      </c>
      <c r="F125" s="1" t="str">
        <f>HYPERLINK("http://www.genome.ad.jp/dbget-bin/www_bget?compound+C00147","C00147")</f>
        <v>C00147</v>
      </c>
      <c r="G125" s="1" t="str">
        <f>HYPERLINK("http://pubchem.ncbi.nlm.nih.gov/summary/summary.cgi?cid=190","190")</f>
        <v>190</v>
      </c>
      <c r="H125" s="1"/>
      <c r="I125" s="10">
        <v>47600</v>
      </c>
      <c r="J125" s="10">
        <v>44743</v>
      </c>
      <c r="K125" s="10">
        <v>48260</v>
      </c>
      <c r="L125" s="10">
        <v>42017</v>
      </c>
      <c r="M125" s="10">
        <v>19145</v>
      </c>
      <c r="N125" s="10">
        <v>32721</v>
      </c>
      <c r="O125" s="10">
        <v>30260</v>
      </c>
      <c r="P125" s="10">
        <v>54156</v>
      </c>
      <c r="Q125" s="10">
        <v>49599</v>
      </c>
      <c r="R125" s="10">
        <v>15807</v>
      </c>
      <c r="S125" s="10">
        <v>12394</v>
      </c>
      <c r="T125" s="10">
        <v>89159</v>
      </c>
      <c r="U125" s="10">
        <v>13579</v>
      </c>
      <c r="V125" s="10">
        <v>7818</v>
      </c>
      <c r="W125" s="10">
        <v>6420</v>
      </c>
      <c r="X125" s="10">
        <v>65543</v>
      </c>
      <c r="Y125" s="10">
        <v>4029</v>
      </c>
      <c r="Z125" s="10">
        <v>18779</v>
      </c>
      <c r="AA125" s="10">
        <v>182137</v>
      </c>
      <c r="AB125" s="10">
        <v>51113</v>
      </c>
      <c r="AC125" s="10">
        <v>146272</v>
      </c>
      <c r="AD125" s="10">
        <v>16390</v>
      </c>
      <c r="AE125" s="10">
        <v>51349</v>
      </c>
      <c r="AF125" s="10">
        <v>105913</v>
      </c>
      <c r="AG125" s="10">
        <v>9575</v>
      </c>
      <c r="AH125" s="10">
        <v>4793</v>
      </c>
      <c r="AI125" s="10">
        <v>26670</v>
      </c>
      <c r="AJ125" s="10">
        <v>9289</v>
      </c>
      <c r="AK125" s="10">
        <v>4512</v>
      </c>
      <c r="AL125" s="10">
        <v>8002</v>
      </c>
      <c r="AM125" s="10">
        <v>16030</v>
      </c>
      <c r="AN125" s="10">
        <v>16956</v>
      </c>
      <c r="AO125" s="10">
        <v>13609</v>
      </c>
      <c r="AP125" s="10">
        <v>25436</v>
      </c>
      <c r="AQ125" s="10">
        <v>3827</v>
      </c>
      <c r="AR125" s="10">
        <v>13889</v>
      </c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</row>
    <row r="126" spans="1:81">
      <c r="A126" s="4" t="s">
        <v>505</v>
      </c>
      <c r="B126" s="1" t="s">
        <v>506</v>
      </c>
      <c r="C126" s="1" t="s">
        <v>115</v>
      </c>
      <c r="D126" s="1" t="str">
        <f>HYPERLINK("http://eros.fiehnlab.ucdavis.edu:8080/binbase-compound/bin/show/200896?db=rtx5","200896")</f>
        <v>200896</v>
      </c>
      <c r="E126" s="1" t="s">
        <v>507</v>
      </c>
      <c r="F126" s="1" t="str">
        <f>HYPERLINK("http://www.genome.ad.jp/dbget-bin/www_bget?compound+C05659","C05659")</f>
        <v>C05659</v>
      </c>
      <c r="G126" s="1" t="str">
        <f>HYPERLINK("http://pubchem.ncbi.nlm.nih.gov/summary/summary.cgi?cid=1833","1833")</f>
        <v>1833</v>
      </c>
      <c r="H126" s="1"/>
      <c r="I126" s="10">
        <v>1455</v>
      </c>
      <c r="J126" s="10">
        <v>504</v>
      </c>
      <c r="K126" s="10">
        <v>557</v>
      </c>
      <c r="L126" s="10">
        <v>2479</v>
      </c>
      <c r="M126" s="10">
        <v>1073</v>
      </c>
      <c r="N126" s="10">
        <v>1205</v>
      </c>
      <c r="O126" s="10">
        <v>627</v>
      </c>
      <c r="P126" s="10">
        <v>801</v>
      </c>
      <c r="Q126" s="10">
        <v>1241</v>
      </c>
      <c r="R126" s="10">
        <v>1851</v>
      </c>
      <c r="S126" s="10">
        <v>798</v>
      </c>
      <c r="T126" s="10">
        <v>694</v>
      </c>
      <c r="U126" s="10">
        <v>1718</v>
      </c>
      <c r="V126" s="10">
        <v>1049</v>
      </c>
      <c r="W126" s="10">
        <v>1219</v>
      </c>
      <c r="X126" s="10">
        <v>840</v>
      </c>
      <c r="Y126" s="10">
        <v>1006</v>
      </c>
      <c r="Z126" s="10">
        <v>1937</v>
      </c>
      <c r="AA126" s="10">
        <v>727</v>
      </c>
      <c r="AB126" s="10">
        <v>3468</v>
      </c>
      <c r="AC126" s="10">
        <v>591</v>
      </c>
      <c r="AD126" s="10">
        <v>2063</v>
      </c>
      <c r="AE126" s="10">
        <v>1217</v>
      </c>
      <c r="AF126" s="10">
        <v>615</v>
      </c>
      <c r="AG126" s="10">
        <v>949</v>
      </c>
      <c r="AH126" s="10">
        <v>1589</v>
      </c>
      <c r="AI126" s="10">
        <v>737</v>
      </c>
      <c r="AJ126" s="10">
        <v>630</v>
      </c>
      <c r="AK126" s="10">
        <v>1111</v>
      </c>
      <c r="AL126" s="10">
        <v>777</v>
      </c>
      <c r="AM126" s="10">
        <v>1577</v>
      </c>
      <c r="AN126" s="10">
        <v>1109</v>
      </c>
      <c r="AO126" s="10">
        <v>1786</v>
      </c>
      <c r="AP126" s="10">
        <v>3314</v>
      </c>
      <c r="AQ126" s="10">
        <v>782</v>
      </c>
      <c r="AR126" s="10">
        <v>2509</v>
      </c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</row>
    <row r="127" spans="1:81">
      <c r="A127" s="4" t="s">
        <v>508</v>
      </c>
      <c r="B127" s="1" t="s">
        <v>509</v>
      </c>
      <c r="C127" s="1" t="s">
        <v>499</v>
      </c>
      <c r="D127" s="1" t="str">
        <f>HYPERLINK("http://eros.fiehnlab.ucdavis.edu:8080/binbase-compound/bin/show/213373?db=rtx5","213373")</f>
        <v>213373</v>
      </c>
      <c r="E127" s="1" t="s">
        <v>510</v>
      </c>
      <c r="F127" s="1" t="str">
        <f>HYPERLINK("http://www.genome.ad.jp/dbget-bin/www_bget?compound+C00170","C00170")</f>
        <v>C00170</v>
      </c>
      <c r="G127" s="1" t="str">
        <f>HYPERLINK("http://pubchem.ncbi.nlm.nih.gov/summary/summary.cgi?cid=439176","439176")</f>
        <v>439176</v>
      </c>
      <c r="H127" s="1"/>
      <c r="I127" s="10">
        <v>677</v>
      </c>
      <c r="J127" s="10">
        <v>853</v>
      </c>
      <c r="K127" s="10">
        <v>772</v>
      </c>
      <c r="L127" s="10">
        <v>383</v>
      </c>
      <c r="M127" s="10">
        <v>925</v>
      </c>
      <c r="N127" s="10">
        <v>373</v>
      </c>
      <c r="O127" s="10">
        <v>477</v>
      </c>
      <c r="P127" s="10">
        <v>1024</v>
      </c>
      <c r="Q127" s="10">
        <v>474</v>
      </c>
      <c r="R127" s="10">
        <v>473</v>
      </c>
      <c r="S127" s="10">
        <v>728</v>
      </c>
      <c r="T127" s="10">
        <v>554</v>
      </c>
      <c r="U127" s="10">
        <v>911</v>
      </c>
      <c r="V127" s="10">
        <v>1977</v>
      </c>
      <c r="W127" s="10">
        <v>1845</v>
      </c>
      <c r="X127" s="10">
        <v>443</v>
      </c>
      <c r="Y127" s="10">
        <v>526</v>
      </c>
      <c r="Z127" s="10">
        <v>1042</v>
      </c>
      <c r="AA127" s="10">
        <v>930</v>
      </c>
      <c r="AB127" s="10">
        <v>444</v>
      </c>
      <c r="AC127" s="10">
        <v>703</v>
      </c>
      <c r="AD127" s="10">
        <v>1036</v>
      </c>
      <c r="AE127" s="10">
        <v>533</v>
      </c>
      <c r="AF127" s="10">
        <v>609</v>
      </c>
      <c r="AG127" s="10">
        <v>578</v>
      </c>
      <c r="AH127" s="10">
        <v>734</v>
      </c>
      <c r="AI127" s="10">
        <v>573</v>
      </c>
      <c r="AJ127" s="10">
        <v>839</v>
      </c>
      <c r="AK127" s="10">
        <v>845</v>
      </c>
      <c r="AL127" s="10">
        <v>585</v>
      </c>
      <c r="AM127" s="10">
        <v>909</v>
      </c>
      <c r="AN127" s="10">
        <v>963</v>
      </c>
      <c r="AO127" s="10">
        <v>729</v>
      </c>
      <c r="AP127" s="10">
        <v>803</v>
      </c>
      <c r="AQ127" s="10">
        <v>365</v>
      </c>
      <c r="AR127" s="10">
        <v>1010</v>
      </c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</row>
    <row r="128" spans="1:81">
      <c r="A128" s="4" t="s">
        <v>512</v>
      </c>
      <c r="B128" s="1" t="s">
        <v>513</v>
      </c>
      <c r="C128" s="1" t="s">
        <v>115</v>
      </c>
      <c r="D128" s="1" t="str">
        <f>HYPERLINK("http://eros.fiehnlab.ucdavis.edu:8080/binbase-compound/bin/show/238442?db=rtx5","238442")</f>
        <v>238442</v>
      </c>
      <c r="E128" s="1" t="s">
        <v>514</v>
      </c>
      <c r="F128" s="1" t="str">
        <f>HYPERLINK("http://www.genome.ad.jp/dbget-bin/www_bget?compound+C00431","C00431")</f>
        <v>C00431</v>
      </c>
      <c r="G128" s="1" t="str">
        <f>HYPERLINK("http://pubchem.ncbi.nlm.nih.gov/summary/summary.cgi?cid=138","138")</f>
        <v>138</v>
      </c>
      <c r="H128" s="1"/>
      <c r="I128" s="10">
        <v>3724</v>
      </c>
      <c r="J128" s="10">
        <v>3890</v>
      </c>
      <c r="K128" s="10">
        <v>13524</v>
      </c>
      <c r="L128" s="10">
        <v>5292</v>
      </c>
      <c r="M128" s="10">
        <v>3134</v>
      </c>
      <c r="N128" s="10">
        <v>4127</v>
      </c>
      <c r="O128" s="10">
        <v>6411</v>
      </c>
      <c r="P128" s="10">
        <v>3624</v>
      </c>
      <c r="Q128" s="10">
        <v>3342</v>
      </c>
      <c r="R128" s="10">
        <v>11990</v>
      </c>
      <c r="S128" s="10">
        <v>12058</v>
      </c>
      <c r="T128" s="10">
        <v>2048</v>
      </c>
      <c r="U128" s="10">
        <v>5335</v>
      </c>
      <c r="V128" s="10">
        <v>4322</v>
      </c>
      <c r="W128" s="10">
        <v>5873</v>
      </c>
      <c r="X128" s="10">
        <v>3856</v>
      </c>
      <c r="Y128" s="10">
        <v>4158</v>
      </c>
      <c r="Z128" s="10">
        <v>3040</v>
      </c>
      <c r="AA128" s="10">
        <v>2048</v>
      </c>
      <c r="AB128" s="10">
        <v>5462</v>
      </c>
      <c r="AC128" s="10">
        <v>6878</v>
      </c>
      <c r="AD128" s="10">
        <v>3560</v>
      </c>
      <c r="AE128" s="10">
        <v>3870</v>
      </c>
      <c r="AF128" s="10">
        <v>1954</v>
      </c>
      <c r="AG128" s="10">
        <v>6230</v>
      </c>
      <c r="AH128" s="10">
        <v>4971</v>
      </c>
      <c r="AI128" s="10">
        <v>4002</v>
      </c>
      <c r="AJ128" s="10">
        <v>8138</v>
      </c>
      <c r="AK128" s="10">
        <v>2814</v>
      </c>
      <c r="AL128" s="10">
        <v>15503</v>
      </c>
      <c r="AM128" s="10">
        <v>3327</v>
      </c>
      <c r="AN128" s="10">
        <v>3224</v>
      </c>
      <c r="AO128" s="10">
        <v>3669</v>
      </c>
      <c r="AP128" s="10">
        <v>4237</v>
      </c>
      <c r="AQ128" s="10">
        <v>5298</v>
      </c>
      <c r="AR128" s="10">
        <v>3553</v>
      </c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</row>
    <row r="129" spans="1:81">
      <c r="A129" s="4" t="s">
        <v>515</v>
      </c>
      <c r="B129" s="1" t="s">
        <v>516</v>
      </c>
      <c r="C129" s="1" t="s">
        <v>414</v>
      </c>
      <c r="D129" s="1" t="str">
        <f>HYPERLINK("http://eros.fiehnlab.ucdavis.edu:8080/binbase-compound/bin/show/308130?db=rtx5","308130")</f>
        <v>308130</v>
      </c>
      <c r="E129" s="1" t="s">
        <v>517</v>
      </c>
      <c r="F129" s="1" t="str">
        <f>HYPERLINK("http://www.genome.ad.jp/dbget-bin/www_bget?compound+C00429","C00429")</f>
        <v>C00429</v>
      </c>
      <c r="G129" s="1" t="str">
        <f>HYPERLINK("http://pubchem.ncbi.nlm.nih.gov/summary/summary.cgi?cid=649","649")</f>
        <v>649</v>
      </c>
      <c r="H129" s="1"/>
      <c r="I129" s="10">
        <v>490</v>
      </c>
      <c r="J129" s="10">
        <v>581</v>
      </c>
      <c r="K129" s="10">
        <v>532</v>
      </c>
      <c r="L129" s="10">
        <v>2454</v>
      </c>
      <c r="M129" s="10">
        <v>957</v>
      </c>
      <c r="N129" s="10">
        <v>1022</v>
      </c>
      <c r="O129" s="10">
        <v>491</v>
      </c>
      <c r="P129" s="10">
        <v>1035</v>
      </c>
      <c r="Q129" s="10">
        <v>730</v>
      </c>
      <c r="R129" s="10">
        <v>602</v>
      </c>
      <c r="S129" s="10">
        <v>734</v>
      </c>
      <c r="T129" s="10">
        <v>691</v>
      </c>
      <c r="U129" s="10">
        <v>1833</v>
      </c>
      <c r="V129" s="10">
        <v>1489</v>
      </c>
      <c r="W129" s="10">
        <v>1073</v>
      </c>
      <c r="X129" s="10">
        <v>1752</v>
      </c>
      <c r="Y129" s="10">
        <v>1272</v>
      </c>
      <c r="Z129" s="10">
        <v>1210</v>
      </c>
      <c r="AA129" s="10">
        <v>730</v>
      </c>
      <c r="AB129" s="10">
        <v>740</v>
      </c>
      <c r="AC129" s="10">
        <v>435</v>
      </c>
      <c r="AD129" s="10">
        <v>628</v>
      </c>
      <c r="AE129" s="10">
        <v>1341</v>
      </c>
      <c r="AF129" s="10">
        <v>492</v>
      </c>
      <c r="AG129" s="10">
        <v>475</v>
      </c>
      <c r="AH129" s="10">
        <v>1131</v>
      </c>
      <c r="AI129" s="10">
        <v>459</v>
      </c>
      <c r="AJ129" s="10">
        <v>1053</v>
      </c>
      <c r="AK129" s="10">
        <v>1248</v>
      </c>
      <c r="AL129" s="10">
        <v>1277</v>
      </c>
      <c r="AM129" s="10">
        <v>715</v>
      </c>
      <c r="AN129" s="10">
        <v>621</v>
      </c>
      <c r="AO129" s="10">
        <v>644</v>
      </c>
      <c r="AP129" s="10">
        <v>1129</v>
      </c>
      <c r="AQ129" s="10">
        <v>1190</v>
      </c>
      <c r="AR129" s="10">
        <v>933</v>
      </c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</row>
    <row r="130" spans="1:81">
      <c r="A130" s="4" t="s">
        <v>642</v>
      </c>
      <c r="B130" s="1" t="s">
        <v>643</v>
      </c>
      <c r="C130" s="1" t="s">
        <v>363</v>
      </c>
      <c r="D130" s="1" t="str">
        <f>HYPERLINK("http://eros.fiehnlab.ucdavis.edu:8080/binbase-compound/bin/show/234616?db=rtx5","234616")</f>
        <v>234616</v>
      </c>
      <c r="E130" s="1" t="s">
        <v>644</v>
      </c>
      <c r="F130" s="1" t="str">
        <f>HYPERLINK("http://www.genome.ad.jp/dbget-bin/www_bget?compound+C00197","C00197")</f>
        <v>C00197</v>
      </c>
      <c r="G130" s="1" t="str">
        <f>HYPERLINK("http://pubchem.ncbi.nlm.nih.gov/summary/summary.cgi?cid=724","724")</f>
        <v>724</v>
      </c>
      <c r="H130" s="1"/>
      <c r="I130" s="10">
        <v>39076</v>
      </c>
      <c r="J130" s="10">
        <v>77402</v>
      </c>
      <c r="K130" s="10">
        <v>97555</v>
      </c>
      <c r="L130" s="10">
        <v>35952</v>
      </c>
      <c r="M130" s="10">
        <v>38684</v>
      </c>
      <c r="N130" s="10">
        <v>16965</v>
      </c>
      <c r="O130" s="10">
        <v>57284</v>
      </c>
      <c r="P130" s="10">
        <v>126795</v>
      </c>
      <c r="Q130" s="10">
        <v>45171</v>
      </c>
      <c r="R130" s="10">
        <v>28332</v>
      </c>
      <c r="S130" s="10">
        <v>153075</v>
      </c>
      <c r="T130" s="10">
        <v>47536</v>
      </c>
      <c r="U130" s="10">
        <v>34742</v>
      </c>
      <c r="V130" s="10">
        <v>122935</v>
      </c>
      <c r="W130" s="10">
        <v>114578</v>
      </c>
      <c r="X130" s="10">
        <v>37081</v>
      </c>
      <c r="Y130" s="10">
        <v>38875</v>
      </c>
      <c r="Z130" s="10">
        <v>48641</v>
      </c>
      <c r="AA130" s="10">
        <v>96767</v>
      </c>
      <c r="AB130" s="10">
        <v>32427</v>
      </c>
      <c r="AC130" s="10">
        <v>85653</v>
      </c>
      <c r="AD130" s="10">
        <v>53394</v>
      </c>
      <c r="AE130" s="10">
        <v>37046</v>
      </c>
      <c r="AF130" s="10">
        <v>52098</v>
      </c>
      <c r="AG130" s="10">
        <v>131685</v>
      </c>
      <c r="AH130" s="10">
        <v>40385</v>
      </c>
      <c r="AI130" s="10">
        <v>67091</v>
      </c>
      <c r="AJ130" s="10">
        <v>112247</v>
      </c>
      <c r="AK130" s="10">
        <v>70908</v>
      </c>
      <c r="AL130" s="10">
        <v>153055</v>
      </c>
      <c r="AM130" s="10">
        <v>47893</v>
      </c>
      <c r="AN130" s="10">
        <v>89872</v>
      </c>
      <c r="AO130" s="10">
        <v>35783</v>
      </c>
      <c r="AP130" s="10">
        <v>51300</v>
      </c>
      <c r="AQ130" s="10">
        <v>84477</v>
      </c>
      <c r="AR130" s="10">
        <v>43341</v>
      </c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</row>
    <row r="131" spans="1:81">
      <c r="A131" s="4" t="s">
        <v>645</v>
      </c>
      <c r="B131" s="1" t="s">
        <v>646</v>
      </c>
      <c r="C131" s="1" t="s">
        <v>163</v>
      </c>
      <c r="D131" s="1" t="str">
        <f>HYPERLINK("http://eros.fiehnlab.ucdavis.edu:8080/binbase-compound/bin/show/213134?db=rtx5","213134")</f>
        <v>213134</v>
      </c>
      <c r="E131" s="1" t="s">
        <v>647</v>
      </c>
      <c r="F131" s="1" t="str">
        <f>HYPERLINK("http://www.genome.ad.jp/dbget-bin/www_bget?compound+C05607","C05607")</f>
        <v>C05607</v>
      </c>
      <c r="G131" s="1" t="str">
        <f>HYPERLINK("http://pubchem.ncbi.nlm.nih.gov/summary/summary.cgi?cid=3848","3848")</f>
        <v>3848</v>
      </c>
      <c r="H131" s="1"/>
      <c r="I131" s="10">
        <v>1030</v>
      </c>
      <c r="J131" s="10">
        <v>1558</v>
      </c>
      <c r="K131" s="10">
        <v>2411</v>
      </c>
      <c r="L131" s="10">
        <v>1618</v>
      </c>
      <c r="M131" s="10">
        <v>1458</v>
      </c>
      <c r="N131" s="10">
        <v>1469</v>
      </c>
      <c r="O131" s="10">
        <v>1926</v>
      </c>
      <c r="P131" s="10">
        <v>2301</v>
      </c>
      <c r="Q131" s="10">
        <v>1314</v>
      </c>
      <c r="R131" s="10">
        <v>1912</v>
      </c>
      <c r="S131" s="10">
        <v>2433</v>
      </c>
      <c r="T131" s="10">
        <v>1710</v>
      </c>
      <c r="U131" s="10">
        <v>1165</v>
      </c>
      <c r="V131" s="10">
        <v>2533</v>
      </c>
      <c r="W131" s="10">
        <v>2334</v>
      </c>
      <c r="X131" s="10">
        <v>2246</v>
      </c>
      <c r="Y131" s="10">
        <v>1557</v>
      </c>
      <c r="Z131" s="10">
        <v>1506</v>
      </c>
      <c r="AA131" s="10">
        <v>2092</v>
      </c>
      <c r="AB131" s="10">
        <v>1568</v>
      </c>
      <c r="AC131" s="10">
        <v>2109</v>
      </c>
      <c r="AD131" s="10">
        <v>1557</v>
      </c>
      <c r="AE131" s="10">
        <v>1949</v>
      </c>
      <c r="AF131" s="10">
        <v>2157</v>
      </c>
      <c r="AG131" s="10">
        <v>2889</v>
      </c>
      <c r="AH131" s="10">
        <v>1317</v>
      </c>
      <c r="AI131" s="10">
        <v>1117</v>
      </c>
      <c r="AJ131" s="10">
        <v>2403</v>
      </c>
      <c r="AK131" s="10">
        <v>1295</v>
      </c>
      <c r="AL131" s="10">
        <v>4036</v>
      </c>
      <c r="AM131" s="10">
        <v>1269</v>
      </c>
      <c r="AN131" s="10">
        <v>2051</v>
      </c>
      <c r="AO131" s="10">
        <v>1048</v>
      </c>
      <c r="AP131" s="10">
        <v>2036</v>
      </c>
      <c r="AQ131" s="10">
        <v>2239</v>
      </c>
      <c r="AR131" s="10">
        <v>2491</v>
      </c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</row>
    <row r="132" spans="1:81">
      <c r="A132" s="4" t="s">
        <v>648</v>
      </c>
      <c r="B132" s="1" t="s">
        <v>649</v>
      </c>
      <c r="C132" s="1" t="s">
        <v>189</v>
      </c>
      <c r="D132" s="1" t="str">
        <f>HYPERLINK("http://eros.fiehnlab.ucdavis.edu:8080/binbase-compound/bin/show/213283?db=rtx5","213283")</f>
        <v>213283</v>
      </c>
      <c r="E132" s="1" t="s">
        <v>650</v>
      </c>
      <c r="F132" s="1" t="str">
        <f>HYPERLINK("http://www.genome.ad.jp/dbget-bin/www_bget?compound+C01013","C01013")</f>
        <v>C01013</v>
      </c>
      <c r="G132" s="1" t="str">
        <f>HYPERLINK("http://pubchem.ncbi.nlm.nih.gov/summary/summary.cgi?cid=68152","68152")</f>
        <v>68152</v>
      </c>
      <c r="H132" s="1"/>
      <c r="I132" s="10">
        <v>2262</v>
      </c>
      <c r="J132" s="10">
        <v>2881</v>
      </c>
      <c r="K132" s="10">
        <v>2483</v>
      </c>
      <c r="L132" s="10">
        <v>1752</v>
      </c>
      <c r="M132" s="10">
        <v>1644</v>
      </c>
      <c r="N132" s="10">
        <v>2283</v>
      </c>
      <c r="O132" s="10">
        <v>2258</v>
      </c>
      <c r="P132" s="10">
        <v>2922</v>
      </c>
      <c r="Q132" s="10">
        <v>2005</v>
      </c>
      <c r="R132" s="10">
        <v>1828</v>
      </c>
      <c r="S132" s="10">
        <v>3403</v>
      </c>
      <c r="T132" s="10">
        <v>2892</v>
      </c>
      <c r="U132" s="10">
        <v>1787</v>
      </c>
      <c r="V132" s="10">
        <v>1889</v>
      </c>
      <c r="W132" s="10">
        <v>2046</v>
      </c>
      <c r="X132" s="10">
        <v>1791</v>
      </c>
      <c r="Y132" s="10">
        <v>1853</v>
      </c>
      <c r="Z132" s="10">
        <v>1582</v>
      </c>
      <c r="AA132" s="10">
        <v>2783</v>
      </c>
      <c r="AB132" s="10">
        <v>2207</v>
      </c>
      <c r="AC132" s="10">
        <v>1792</v>
      </c>
      <c r="AD132" s="10">
        <v>1991</v>
      </c>
      <c r="AE132" s="10">
        <v>1856</v>
      </c>
      <c r="AF132" s="10">
        <v>2210</v>
      </c>
      <c r="AG132" s="10">
        <v>2879</v>
      </c>
      <c r="AH132" s="10">
        <v>2271</v>
      </c>
      <c r="AI132" s="10">
        <v>2081</v>
      </c>
      <c r="AJ132" s="10">
        <v>2312</v>
      </c>
      <c r="AK132" s="10">
        <v>1890</v>
      </c>
      <c r="AL132" s="10">
        <v>2990</v>
      </c>
      <c r="AM132" s="10">
        <v>1531</v>
      </c>
      <c r="AN132" s="10">
        <v>1879</v>
      </c>
      <c r="AO132" s="10">
        <v>2176</v>
      </c>
      <c r="AP132" s="10">
        <v>2076</v>
      </c>
      <c r="AQ132" s="10">
        <v>1798</v>
      </c>
      <c r="AR132" s="10">
        <v>1796</v>
      </c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</row>
    <row r="133" spans="1:81">
      <c r="A133" s="4" t="s">
        <v>769</v>
      </c>
      <c r="B133" s="1" t="s">
        <v>770</v>
      </c>
      <c r="C133" s="1" t="s">
        <v>746</v>
      </c>
      <c r="D133" s="1" t="str">
        <f>HYPERLINK("http://eros.fiehnlab.ucdavis.edu:8080/binbase-compound/bin/show/228128?db=rtx5","228128")</f>
        <v>228128</v>
      </c>
      <c r="E133" s="1" t="s">
        <v>771</v>
      </c>
      <c r="F133" s="1" t="str">
        <f>HYPERLINK("http://www.genome.ad.jp/dbget-bin/www_bget?compound+n/a","n/a")</f>
        <v>n/a</v>
      </c>
      <c r="G133" s="1" t="str">
        <f>HYPERLINK("http://pubchem.ncbi.nlm.nih.gov/summary/summary.cgi?cid=152265","152265")</f>
        <v>152265</v>
      </c>
      <c r="H133" s="1"/>
      <c r="I133" s="10">
        <v>5875</v>
      </c>
      <c r="J133" s="10">
        <v>2389</v>
      </c>
      <c r="K133" s="10">
        <v>1487</v>
      </c>
      <c r="L133" s="10">
        <v>5740</v>
      </c>
      <c r="M133" s="10">
        <v>4347</v>
      </c>
      <c r="N133" s="10">
        <v>5972</v>
      </c>
      <c r="O133" s="10">
        <v>4226</v>
      </c>
      <c r="P133" s="10">
        <v>2309</v>
      </c>
      <c r="Q133" s="10">
        <v>5684</v>
      </c>
      <c r="R133" s="10">
        <v>5024</v>
      </c>
      <c r="S133" s="10">
        <v>2479</v>
      </c>
      <c r="T133" s="10">
        <v>1720</v>
      </c>
      <c r="U133" s="10">
        <v>7058</v>
      </c>
      <c r="V133" s="10">
        <v>2461</v>
      </c>
      <c r="W133" s="10">
        <v>4268</v>
      </c>
      <c r="X133" s="10">
        <v>5141</v>
      </c>
      <c r="Y133" s="10">
        <v>5343</v>
      </c>
      <c r="Z133" s="10">
        <v>4463</v>
      </c>
      <c r="AA133" s="10">
        <v>2279</v>
      </c>
      <c r="AB133" s="10">
        <v>7823</v>
      </c>
      <c r="AC133" s="10">
        <v>1736</v>
      </c>
      <c r="AD133" s="10">
        <v>4971</v>
      </c>
      <c r="AE133" s="10">
        <v>5522</v>
      </c>
      <c r="AF133" s="10">
        <v>2734</v>
      </c>
      <c r="AG133" s="10">
        <v>1977</v>
      </c>
      <c r="AH133" s="10">
        <v>6589</v>
      </c>
      <c r="AI133" s="10">
        <v>3794</v>
      </c>
      <c r="AJ133" s="10">
        <v>2191</v>
      </c>
      <c r="AK133" s="10">
        <v>4042</v>
      </c>
      <c r="AL133" s="10">
        <v>1993</v>
      </c>
      <c r="AM133" s="10">
        <v>4574</v>
      </c>
      <c r="AN133" s="10">
        <v>2600</v>
      </c>
      <c r="AO133" s="10">
        <v>5248</v>
      </c>
      <c r="AP133" s="10">
        <v>5732</v>
      </c>
      <c r="AQ133" s="10">
        <v>3296</v>
      </c>
      <c r="AR133" s="10">
        <v>4890</v>
      </c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</row>
    <row r="134" spans="1:81">
      <c r="A134" s="4" t="s">
        <v>1218</v>
      </c>
      <c r="B134" s="1" t="s">
        <v>772</v>
      </c>
      <c r="C134" s="1" t="s">
        <v>773</v>
      </c>
      <c r="D134" s="1" t="str">
        <f>HYPERLINK("http://eros.fiehnlab.ucdavis.edu:8080/binbase-compound/bin/show/213388?db=rtx5","213388")</f>
        <v>213388</v>
      </c>
      <c r="E134" s="1" t="s">
        <v>774</v>
      </c>
      <c r="F134" s="1" t="str">
        <f>HYPERLINK("http://www.genome.ad.jp/dbget-bin/www_bget?compound+C00233","C00233")</f>
        <v>C00233</v>
      </c>
      <c r="G134" s="1" t="str">
        <f>HYPERLINK("http://pubchem.ncbi.nlm.nih.gov/summary/summary.cgi?cid=70","70")</f>
        <v>70</v>
      </c>
      <c r="H134" s="1"/>
      <c r="I134" s="10">
        <v>476</v>
      </c>
      <c r="J134" s="10">
        <v>480</v>
      </c>
      <c r="K134" s="10">
        <v>570</v>
      </c>
      <c r="L134" s="10">
        <v>1166</v>
      </c>
      <c r="M134" s="10">
        <v>304</v>
      </c>
      <c r="N134" s="10">
        <v>207</v>
      </c>
      <c r="O134" s="10">
        <v>246</v>
      </c>
      <c r="P134" s="10">
        <v>805</v>
      </c>
      <c r="Q134" s="10">
        <v>316</v>
      </c>
      <c r="R134" s="10">
        <v>854</v>
      </c>
      <c r="S134" s="10">
        <v>524</v>
      </c>
      <c r="T134" s="10">
        <v>627</v>
      </c>
      <c r="U134" s="10">
        <v>680</v>
      </c>
      <c r="V134" s="10">
        <v>961</v>
      </c>
      <c r="W134" s="10">
        <v>1165</v>
      </c>
      <c r="X134" s="10">
        <v>246</v>
      </c>
      <c r="Y134" s="10">
        <v>576</v>
      </c>
      <c r="Z134" s="10">
        <v>572</v>
      </c>
      <c r="AA134" s="10">
        <v>586</v>
      </c>
      <c r="AB134" s="10">
        <v>934</v>
      </c>
      <c r="AC134" s="10">
        <v>416</v>
      </c>
      <c r="AD134" s="10">
        <v>1096</v>
      </c>
      <c r="AE134" s="10">
        <v>193</v>
      </c>
      <c r="AF134" s="10">
        <v>253</v>
      </c>
      <c r="AG134" s="10">
        <v>326</v>
      </c>
      <c r="AH134" s="10">
        <v>653</v>
      </c>
      <c r="AI134" s="10">
        <v>277</v>
      </c>
      <c r="AJ134" s="10">
        <v>617</v>
      </c>
      <c r="AK134" s="10">
        <v>276</v>
      </c>
      <c r="AL134" s="10">
        <v>805</v>
      </c>
      <c r="AM134" s="10">
        <v>709</v>
      </c>
      <c r="AN134" s="10">
        <v>1390</v>
      </c>
      <c r="AO134" s="10">
        <v>800</v>
      </c>
      <c r="AP134" s="10">
        <v>731</v>
      </c>
      <c r="AQ134" s="10">
        <v>257</v>
      </c>
      <c r="AR134" s="10">
        <v>738</v>
      </c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</row>
    <row r="135" spans="1:81">
      <c r="A135" s="4" t="s">
        <v>775</v>
      </c>
      <c r="B135" s="1" t="s">
        <v>776</v>
      </c>
      <c r="C135" s="1" t="s">
        <v>218</v>
      </c>
      <c r="D135" s="1" t="str">
        <f>HYPERLINK("http://eros.fiehnlab.ucdavis.edu:8080/binbase-compound/bin/show/214409?db=rtx5","214409")</f>
        <v>214409</v>
      </c>
      <c r="E135" s="1" t="s">
        <v>777</v>
      </c>
      <c r="F135" s="1" t="str">
        <f>HYPERLINK("http://www.genome.ad.jp/dbget-bin/www_bget?compound+C02630","C02630")</f>
        <v>C02630</v>
      </c>
      <c r="G135" s="1" t="str">
        <f>HYPERLINK("http://pubchem.ncbi.nlm.nih.gov/summary/summary.cgi?cid=43","43")</f>
        <v>43</v>
      </c>
      <c r="H135" s="1"/>
      <c r="I135" s="10">
        <v>10632</v>
      </c>
      <c r="J135" s="10">
        <v>10430</v>
      </c>
      <c r="K135" s="10">
        <v>5779</v>
      </c>
      <c r="L135" s="10">
        <v>11092</v>
      </c>
      <c r="M135" s="10">
        <v>7400</v>
      </c>
      <c r="N135" s="10">
        <v>7274</v>
      </c>
      <c r="O135" s="10">
        <v>13720</v>
      </c>
      <c r="P135" s="10">
        <v>5614</v>
      </c>
      <c r="Q135" s="10">
        <v>9791</v>
      </c>
      <c r="R135" s="10">
        <v>13885</v>
      </c>
      <c r="S135" s="10">
        <v>14260</v>
      </c>
      <c r="T135" s="10">
        <v>5000</v>
      </c>
      <c r="U135" s="10">
        <v>9396</v>
      </c>
      <c r="V135" s="10">
        <v>10173</v>
      </c>
      <c r="W135" s="10">
        <v>6556</v>
      </c>
      <c r="X135" s="10">
        <v>11972</v>
      </c>
      <c r="Y135" s="10">
        <v>7755</v>
      </c>
      <c r="Z135" s="10">
        <v>6247</v>
      </c>
      <c r="AA135" s="10">
        <v>11676</v>
      </c>
      <c r="AB135" s="10">
        <v>11910</v>
      </c>
      <c r="AC135" s="10">
        <v>5578</v>
      </c>
      <c r="AD135" s="10">
        <v>7695</v>
      </c>
      <c r="AE135" s="10">
        <v>8494</v>
      </c>
      <c r="AF135" s="10">
        <v>6088</v>
      </c>
      <c r="AG135" s="10">
        <v>7868</v>
      </c>
      <c r="AH135" s="10">
        <v>9318</v>
      </c>
      <c r="AI135" s="10">
        <v>6530</v>
      </c>
      <c r="AJ135" s="10">
        <v>7948</v>
      </c>
      <c r="AK135" s="10">
        <v>6085</v>
      </c>
      <c r="AL135" s="10">
        <v>10296</v>
      </c>
      <c r="AM135" s="10">
        <v>8036</v>
      </c>
      <c r="AN135" s="10">
        <v>11376</v>
      </c>
      <c r="AO135" s="10">
        <v>9291</v>
      </c>
      <c r="AP135" s="10">
        <v>7827</v>
      </c>
      <c r="AQ135" s="10">
        <v>5926</v>
      </c>
      <c r="AR135" s="10">
        <v>5958</v>
      </c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</row>
    <row r="136" spans="1:81">
      <c r="A136" s="4" t="s">
        <v>779</v>
      </c>
      <c r="B136" s="1" t="s">
        <v>780</v>
      </c>
      <c r="C136" s="1" t="s">
        <v>781</v>
      </c>
      <c r="D136" s="1" t="str">
        <f>HYPERLINK("http://eros.fiehnlab.ucdavis.edu:8080/binbase-compound/bin/show/213131?db=rtx5","213131")</f>
        <v>213131</v>
      </c>
      <c r="E136" s="1" t="s">
        <v>782</v>
      </c>
      <c r="F136" s="1" t="str">
        <f>HYPERLINK("http://www.genome.ad.jp/dbget-bin/www_bget?compound+C00956","C00956")</f>
        <v>C00956</v>
      </c>
      <c r="G136" s="1" t="str">
        <f>HYPERLINK("http://pubchem.ncbi.nlm.nih.gov/summary/summary.cgi?cid=469","469")</f>
        <v>469</v>
      </c>
      <c r="H136" s="1"/>
      <c r="I136" s="10">
        <v>569</v>
      </c>
      <c r="J136" s="10">
        <v>1120</v>
      </c>
      <c r="K136" s="10">
        <v>676</v>
      </c>
      <c r="L136" s="10">
        <v>1029</v>
      </c>
      <c r="M136" s="10">
        <v>818</v>
      </c>
      <c r="N136" s="10">
        <v>430</v>
      </c>
      <c r="O136" s="10">
        <v>684</v>
      </c>
      <c r="P136" s="10">
        <v>1104</v>
      </c>
      <c r="Q136" s="10">
        <v>571</v>
      </c>
      <c r="R136" s="10">
        <v>1815</v>
      </c>
      <c r="S136" s="10">
        <v>1483</v>
      </c>
      <c r="T136" s="10">
        <v>1032</v>
      </c>
      <c r="U136" s="10">
        <v>826</v>
      </c>
      <c r="V136" s="10">
        <v>2158</v>
      </c>
      <c r="W136" s="10">
        <v>2123</v>
      </c>
      <c r="X136" s="10">
        <v>1291</v>
      </c>
      <c r="Y136" s="10">
        <v>1024</v>
      </c>
      <c r="Z136" s="10">
        <v>922</v>
      </c>
      <c r="AA136" s="10">
        <v>1185</v>
      </c>
      <c r="AB136" s="10">
        <v>553</v>
      </c>
      <c r="AC136" s="10">
        <v>949</v>
      </c>
      <c r="AD136" s="10">
        <v>2616</v>
      </c>
      <c r="AE136" s="10">
        <v>3291</v>
      </c>
      <c r="AF136" s="10">
        <v>647</v>
      </c>
      <c r="AG136" s="10">
        <v>1975</v>
      </c>
      <c r="AH136" s="10">
        <v>588</v>
      </c>
      <c r="AI136" s="10">
        <v>1051</v>
      </c>
      <c r="AJ136" s="10">
        <v>1761</v>
      </c>
      <c r="AK136" s="10">
        <v>2910</v>
      </c>
      <c r="AL136" s="10">
        <v>1444</v>
      </c>
      <c r="AM136" s="10">
        <v>613</v>
      </c>
      <c r="AN136" s="10">
        <v>877</v>
      </c>
      <c r="AO136" s="10">
        <v>2377</v>
      </c>
      <c r="AP136" s="10">
        <v>852</v>
      </c>
      <c r="AQ136" s="10">
        <v>1373</v>
      </c>
      <c r="AR136" s="10">
        <v>1047</v>
      </c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</row>
    <row r="137" spans="1:81">
      <c r="A137" s="4" t="s">
        <v>1184</v>
      </c>
      <c r="B137" s="1" t="s">
        <v>1185</v>
      </c>
      <c r="C137" s="1" t="s">
        <v>363</v>
      </c>
      <c r="D137" s="1" t="str">
        <f>HYPERLINK("http://eros.fiehnlab.ucdavis.edu:8080/binbase-compound/bin/show/213408?db=rtx5","213408")</f>
        <v>213408</v>
      </c>
      <c r="E137" s="1" t="s">
        <v>1186</v>
      </c>
      <c r="F137" s="1" t="str">
        <f>HYPERLINK("http://www.genome.ad.jp/dbget-bin/www_bget?compound+C00823","C00823")</f>
        <v>C00823</v>
      </c>
      <c r="G137" s="1" t="str">
        <f>HYPERLINK("http://pubchem.ncbi.nlm.nih.gov/summary/summary.cgi?cid=2682","2682")</f>
        <v>2682</v>
      </c>
      <c r="H137" s="1"/>
      <c r="I137" s="10">
        <v>279</v>
      </c>
      <c r="J137" s="10">
        <v>1152</v>
      </c>
      <c r="K137" s="10">
        <v>475</v>
      </c>
      <c r="L137" s="10">
        <v>235</v>
      </c>
      <c r="M137" s="10">
        <v>429</v>
      </c>
      <c r="N137" s="10">
        <v>329</v>
      </c>
      <c r="O137" s="10">
        <v>615</v>
      </c>
      <c r="P137" s="10">
        <v>959</v>
      </c>
      <c r="Q137" s="10">
        <v>251</v>
      </c>
      <c r="R137" s="10">
        <v>463</v>
      </c>
      <c r="S137" s="10">
        <v>887</v>
      </c>
      <c r="T137" s="10">
        <v>1182</v>
      </c>
      <c r="U137" s="10">
        <v>115</v>
      </c>
      <c r="V137" s="10">
        <v>533</v>
      </c>
      <c r="W137" s="10">
        <v>391</v>
      </c>
      <c r="X137" s="10">
        <v>466</v>
      </c>
      <c r="Y137" s="10">
        <v>373</v>
      </c>
      <c r="Z137" s="10">
        <v>354</v>
      </c>
      <c r="AA137" s="10">
        <v>958</v>
      </c>
      <c r="AB137" s="10">
        <v>205</v>
      </c>
      <c r="AC137" s="10">
        <v>725</v>
      </c>
      <c r="AD137" s="10">
        <v>424</v>
      </c>
      <c r="AE137" s="10">
        <v>520</v>
      </c>
      <c r="AF137" s="10">
        <v>537</v>
      </c>
      <c r="AG137" s="10">
        <v>581</v>
      </c>
      <c r="AH137" s="10">
        <v>210</v>
      </c>
      <c r="AI137" s="10">
        <v>405</v>
      </c>
      <c r="AJ137" s="10">
        <v>895</v>
      </c>
      <c r="AK137" s="10">
        <v>365</v>
      </c>
      <c r="AL137" s="10">
        <v>869</v>
      </c>
      <c r="AM137" s="10">
        <v>395</v>
      </c>
      <c r="AN137" s="10">
        <v>639</v>
      </c>
      <c r="AO137" s="10">
        <v>147</v>
      </c>
      <c r="AP137" s="10">
        <v>390</v>
      </c>
      <c r="AQ137" s="10">
        <v>447</v>
      </c>
      <c r="AR137" s="10">
        <v>306</v>
      </c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</row>
    <row r="138" spans="1:81">
      <c r="A138" s="4" t="s">
        <v>1077</v>
      </c>
      <c r="B138" s="1" t="s">
        <v>1078</v>
      </c>
      <c r="C138" s="1" t="s">
        <v>125</v>
      </c>
      <c r="D138" s="1" t="str">
        <f>HYPERLINK("http://eros.fiehnlab.ucdavis.edu:8080/binbase-compound/bin/show/214201?db=rtx5","214201")</f>
        <v>214201</v>
      </c>
      <c r="E138" s="1" t="s">
        <v>1079</v>
      </c>
      <c r="F138" s="1" t="str">
        <f>HYPERLINK("http://www.genome.ad.jp/dbget-bin/www_bget?compound+C01796","C01796")</f>
        <v>C01796</v>
      </c>
      <c r="G138" s="1" t="str">
        <f>HYPERLINK("http://pubchem.ncbi.nlm.nih.gov/summary/summary.cgi?cid=94176","94176")</f>
        <v>94176</v>
      </c>
      <c r="H138" s="1"/>
      <c r="I138" s="10">
        <v>289</v>
      </c>
      <c r="J138" s="10">
        <v>690</v>
      </c>
      <c r="K138" s="10">
        <v>614</v>
      </c>
      <c r="L138" s="10">
        <v>148</v>
      </c>
      <c r="M138" s="10">
        <v>423</v>
      </c>
      <c r="N138" s="10">
        <v>389</v>
      </c>
      <c r="O138" s="10">
        <v>868</v>
      </c>
      <c r="P138" s="10">
        <v>1262</v>
      </c>
      <c r="Q138" s="10">
        <v>296</v>
      </c>
      <c r="R138" s="10">
        <v>96</v>
      </c>
      <c r="S138" s="10">
        <v>1134</v>
      </c>
      <c r="T138" s="10">
        <v>1009</v>
      </c>
      <c r="U138" s="10">
        <v>643</v>
      </c>
      <c r="V138" s="10">
        <v>257</v>
      </c>
      <c r="W138" s="10">
        <v>273</v>
      </c>
      <c r="X138" s="10">
        <v>181</v>
      </c>
      <c r="Y138" s="10">
        <v>328</v>
      </c>
      <c r="Z138" s="10">
        <v>435</v>
      </c>
      <c r="AA138" s="10">
        <v>987</v>
      </c>
      <c r="AB138" s="10">
        <v>549</v>
      </c>
      <c r="AC138" s="10">
        <v>502</v>
      </c>
      <c r="AD138" s="10">
        <v>525</v>
      </c>
      <c r="AE138" s="10">
        <v>346</v>
      </c>
      <c r="AF138" s="10">
        <v>132</v>
      </c>
      <c r="AG138" s="10">
        <v>557</v>
      </c>
      <c r="AH138" s="10">
        <v>547</v>
      </c>
      <c r="AI138" s="10">
        <v>322</v>
      </c>
      <c r="AJ138" s="10">
        <v>413</v>
      </c>
      <c r="AK138" s="10">
        <v>297</v>
      </c>
      <c r="AL138" s="10">
        <v>543</v>
      </c>
      <c r="AM138" s="10">
        <v>553</v>
      </c>
      <c r="AN138" s="10">
        <v>212</v>
      </c>
      <c r="AO138" s="10">
        <v>774</v>
      </c>
      <c r="AP138" s="10">
        <v>423</v>
      </c>
      <c r="AQ138" s="10">
        <v>186</v>
      </c>
      <c r="AR138" s="10">
        <v>840</v>
      </c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</row>
    <row r="139" spans="1:81">
      <c r="A139" s="4" t="s">
        <v>805</v>
      </c>
      <c r="B139" s="1" t="s">
        <v>806</v>
      </c>
      <c r="C139" s="1" t="s">
        <v>807</v>
      </c>
      <c r="D139" s="1" t="str">
        <f>HYPERLINK("http://eros.fiehnlab.ucdavis.edu:8080/binbase-compound/bin/show/272849?db=rtx5","272849")</f>
        <v>272849</v>
      </c>
      <c r="E139" s="1" t="s">
        <v>808</v>
      </c>
      <c r="F139" s="1" t="s">
        <v>0</v>
      </c>
      <c r="G139" s="1" t="s">
        <v>0</v>
      </c>
      <c r="H139" s="1"/>
      <c r="I139" s="10">
        <v>42024</v>
      </c>
      <c r="J139" s="10">
        <v>160657</v>
      </c>
      <c r="K139" s="10">
        <v>169042</v>
      </c>
      <c r="L139" s="10">
        <v>30967</v>
      </c>
      <c r="M139" s="10">
        <v>62436</v>
      </c>
      <c r="N139" s="10">
        <v>37688</v>
      </c>
      <c r="O139" s="10">
        <v>81569</v>
      </c>
      <c r="P139" s="10">
        <v>225489</v>
      </c>
      <c r="Q139" s="10">
        <v>54649</v>
      </c>
      <c r="R139" s="10">
        <v>59601</v>
      </c>
      <c r="S139" s="10">
        <v>181592</v>
      </c>
      <c r="T139" s="10">
        <v>200640</v>
      </c>
      <c r="U139" s="10">
        <v>30639</v>
      </c>
      <c r="V139" s="10">
        <v>114860</v>
      </c>
      <c r="W139" s="10">
        <v>60052</v>
      </c>
      <c r="X139" s="10">
        <v>49815</v>
      </c>
      <c r="Y139" s="10">
        <v>43527</v>
      </c>
      <c r="Z139" s="10">
        <v>48392</v>
      </c>
      <c r="AA139" s="10">
        <v>154991</v>
      </c>
      <c r="AB139" s="10">
        <v>27689</v>
      </c>
      <c r="AC139" s="10">
        <v>108085</v>
      </c>
      <c r="AD139" s="10">
        <v>47178</v>
      </c>
      <c r="AE139" s="10">
        <v>37386</v>
      </c>
      <c r="AF139" s="10">
        <v>87102</v>
      </c>
      <c r="AG139" s="10">
        <v>104300</v>
      </c>
      <c r="AH139" s="10">
        <v>31165</v>
      </c>
      <c r="AI139" s="10">
        <v>82098</v>
      </c>
      <c r="AJ139" s="10">
        <v>124755</v>
      </c>
      <c r="AK139" s="10">
        <v>54820</v>
      </c>
      <c r="AL139" s="10">
        <v>210889</v>
      </c>
      <c r="AM139" s="10">
        <v>59647</v>
      </c>
      <c r="AN139" s="10">
        <v>109934</v>
      </c>
      <c r="AO139" s="10">
        <v>42228</v>
      </c>
      <c r="AP139" s="10">
        <v>38564</v>
      </c>
      <c r="AQ139" s="10">
        <v>71093</v>
      </c>
      <c r="AR139" s="10">
        <v>31638</v>
      </c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</row>
    <row r="140" spans="1:81">
      <c r="A140" s="4" t="s">
        <v>809</v>
      </c>
      <c r="B140" s="1" t="s">
        <v>810</v>
      </c>
      <c r="C140" s="1" t="s">
        <v>445</v>
      </c>
      <c r="D140" s="1" t="str">
        <f>HYPERLINK("http://eros.fiehnlab.ucdavis.edu:8080/binbase-compound/bin/show/270066?db=rtx5","270066")</f>
        <v>270066</v>
      </c>
      <c r="E140" s="1" t="s">
        <v>811</v>
      </c>
      <c r="F140" s="1" t="s">
        <v>0</v>
      </c>
      <c r="G140" s="1" t="s">
        <v>0</v>
      </c>
      <c r="H140" s="1"/>
      <c r="I140" s="10">
        <v>24251</v>
      </c>
      <c r="J140" s="10">
        <v>98502</v>
      </c>
      <c r="K140" s="10">
        <v>93059</v>
      </c>
      <c r="L140" s="10">
        <v>18343</v>
      </c>
      <c r="M140" s="10">
        <v>33188</v>
      </c>
      <c r="N140" s="10">
        <v>20410</v>
      </c>
      <c r="O140" s="10">
        <v>44337</v>
      </c>
      <c r="P140" s="10">
        <v>123689</v>
      </c>
      <c r="Q140" s="10">
        <v>27730</v>
      </c>
      <c r="R140" s="10">
        <v>31847</v>
      </c>
      <c r="S140" s="10">
        <v>100981</v>
      </c>
      <c r="T140" s="10">
        <v>99759</v>
      </c>
      <c r="U140" s="10">
        <v>15846</v>
      </c>
      <c r="V140" s="10">
        <v>50960</v>
      </c>
      <c r="W140" s="10">
        <v>29949</v>
      </c>
      <c r="X140" s="10">
        <v>24610</v>
      </c>
      <c r="Y140" s="10">
        <v>24713</v>
      </c>
      <c r="Z140" s="10">
        <v>25948</v>
      </c>
      <c r="AA140" s="10">
        <v>78844</v>
      </c>
      <c r="AB140" s="10">
        <v>17362</v>
      </c>
      <c r="AC140" s="10">
        <v>63041</v>
      </c>
      <c r="AD140" s="10">
        <v>26012</v>
      </c>
      <c r="AE140" s="10">
        <v>21792</v>
      </c>
      <c r="AF140" s="10">
        <v>45878</v>
      </c>
      <c r="AG140" s="10">
        <v>54372</v>
      </c>
      <c r="AH140" s="10">
        <v>18842</v>
      </c>
      <c r="AI140" s="10">
        <v>45216</v>
      </c>
      <c r="AJ140" s="10">
        <v>67903</v>
      </c>
      <c r="AK140" s="10">
        <v>30038</v>
      </c>
      <c r="AL140" s="10">
        <v>123982</v>
      </c>
      <c r="AM140" s="10">
        <v>33008</v>
      </c>
      <c r="AN140" s="10">
        <v>62595</v>
      </c>
      <c r="AO140" s="10">
        <v>25009</v>
      </c>
      <c r="AP140" s="10">
        <v>21664</v>
      </c>
      <c r="AQ140" s="10">
        <v>40089</v>
      </c>
      <c r="AR140" s="10">
        <v>23484</v>
      </c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</row>
    <row r="141" spans="1:81">
      <c r="A141" s="4" t="s">
        <v>812</v>
      </c>
      <c r="B141" s="1" t="s">
        <v>813</v>
      </c>
      <c r="C141" s="1" t="s">
        <v>165</v>
      </c>
      <c r="D141" s="1" t="str">
        <f>HYPERLINK("http://eros.fiehnlab.ucdavis.edu:8080/binbase-compound/bin/show/269294?db=rtx5","269294")</f>
        <v>269294</v>
      </c>
      <c r="E141" s="1" t="s">
        <v>814</v>
      </c>
      <c r="F141" s="1" t="s">
        <v>0</v>
      </c>
      <c r="G141" s="1" t="s">
        <v>0</v>
      </c>
      <c r="H141" s="1"/>
      <c r="I141" s="10">
        <v>11270</v>
      </c>
      <c r="J141" s="10">
        <v>4093</v>
      </c>
      <c r="K141" s="10">
        <v>2842</v>
      </c>
      <c r="L141" s="10">
        <v>13302</v>
      </c>
      <c r="M141" s="10">
        <v>9463</v>
      </c>
      <c r="N141" s="10">
        <v>13543</v>
      </c>
      <c r="O141" s="10">
        <v>8737</v>
      </c>
      <c r="P141" s="10">
        <v>6446</v>
      </c>
      <c r="Q141" s="10">
        <v>11049</v>
      </c>
      <c r="R141" s="10">
        <v>8296</v>
      </c>
      <c r="S141" s="10">
        <v>5778</v>
      </c>
      <c r="T141" s="10">
        <v>3426</v>
      </c>
      <c r="U141" s="10">
        <v>16357</v>
      </c>
      <c r="V141" s="10">
        <v>6240</v>
      </c>
      <c r="W141" s="10">
        <v>9161</v>
      </c>
      <c r="X141" s="10">
        <v>12095</v>
      </c>
      <c r="Y141" s="10">
        <v>12048</v>
      </c>
      <c r="Z141" s="10">
        <v>9708</v>
      </c>
      <c r="AA141" s="10">
        <v>5586</v>
      </c>
      <c r="AB141" s="10">
        <v>16305</v>
      </c>
      <c r="AC141" s="10">
        <v>3018</v>
      </c>
      <c r="AD141" s="10">
        <v>9188</v>
      </c>
      <c r="AE141" s="10">
        <v>12766</v>
      </c>
      <c r="AF141" s="10">
        <v>5355</v>
      </c>
      <c r="AG141" s="10">
        <v>5281</v>
      </c>
      <c r="AH141" s="10">
        <v>14144</v>
      </c>
      <c r="AI141" s="10">
        <v>7927</v>
      </c>
      <c r="AJ141" s="10">
        <v>6028</v>
      </c>
      <c r="AK141" s="10">
        <v>9814</v>
      </c>
      <c r="AL141" s="10">
        <v>5256</v>
      </c>
      <c r="AM141" s="10">
        <v>10685</v>
      </c>
      <c r="AN141" s="10">
        <v>6632</v>
      </c>
      <c r="AO141" s="10">
        <v>11116</v>
      </c>
      <c r="AP141" s="10">
        <v>12370</v>
      </c>
      <c r="AQ141" s="10">
        <v>8335</v>
      </c>
      <c r="AR141" s="10">
        <v>10273</v>
      </c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</row>
    <row r="142" spans="1:81">
      <c r="A142" s="4" t="s">
        <v>829</v>
      </c>
      <c r="B142" s="1" t="s">
        <v>830</v>
      </c>
      <c r="C142" s="1" t="s">
        <v>831</v>
      </c>
      <c r="D142" s="1" t="str">
        <f>HYPERLINK("http://eros.fiehnlab.ucdavis.edu:8080/binbase-compound/bin/show/268313?db=rtx5","268313")</f>
        <v>268313</v>
      </c>
      <c r="E142" s="1" t="s">
        <v>832</v>
      </c>
      <c r="F142" s="1" t="s">
        <v>0</v>
      </c>
      <c r="G142" s="1" t="s">
        <v>0</v>
      </c>
      <c r="H142" s="1"/>
      <c r="I142" s="10">
        <v>4916</v>
      </c>
      <c r="J142" s="10">
        <v>17990</v>
      </c>
      <c r="K142" s="10">
        <v>18335</v>
      </c>
      <c r="L142" s="10">
        <v>3466</v>
      </c>
      <c r="M142" s="10">
        <v>6456</v>
      </c>
      <c r="N142" s="10">
        <v>4111</v>
      </c>
      <c r="O142" s="10">
        <v>8989</v>
      </c>
      <c r="P142" s="10">
        <v>20697</v>
      </c>
      <c r="Q142" s="10">
        <v>5828</v>
      </c>
      <c r="R142" s="10">
        <v>6475</v>
      </c>
      <c r="S142" s="10">
        <v>19563</v>
      </c>
      <c r="T142" s="10">
        <v>19729</v>
      </c>
      <c r="U142" s="10">
        <v>3111</v>
      </c>
      <c r="V142" s="10">
        <v>10009</v>
      </c>
      <c r="W142" s="10">
        <v>6107</v>
      </c>
      <c r="X142" s="10">
        <v>5122</v>
      </c>
      <c r="Y142" s="10">
        <v>4434</v>
      </c>
      <c r="Z142" s="10">
        <v>5033</v>
      </c>
      <c r="AA142" s="10">
        <v>14516</v>
      </c>
      <c r="AB142" s="10">
        <v>3488</v>
      </c>
      <c r="AC142" s="10">
        <v>11923</v>
      </c>
      <c r="AD142" s="10">
        <v>5280</v>
      </c>
      <c r="AE142" s="10">
        <v>3898</v>
      </c>
      <c r="AF142" s="10">
        <v>9270</v>
      </c>
      <c r="AG142" s="10">
        <v>10781</v>
      </c>
      <c r="AH142" s="10">
        <v>3533</v>
      </c>
      <c r="AI142" s="10">
        <v>8118</v>
      </c>
      <c r="AJ142" s="10">
        <v>11782</v>
      </c>
      <c r="AK142" s="10">
        <v>5311</v>
      </c>
      <c r="AL142" s="10">
        <v>22040</v>
      </c>
      <c r="AM142" s="10">
        <v>5810</v>
      </c>
      <c r="AN142" s="10">
        <v>10401</v>
      </c>
      <c r="AO142" s="10">
        <v>4891</v>
      </c>
      <c r="AP142" s="10">
        <v>4177</v>
      </c>
      <c r="AQ142" s="10">
        <v>6960</v>
      </c>
      <c r="AR142" s="10">
        <v>4746</v>
      </c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</row>
    <row r="143" spans="1:81">
      <c r="A143" s="4" t="s">
        <v>890</v>
      </c>
      <c r="B143" s="1" t="s">
        <v>891</v>
      </c>
      <c r="C143" s="1" t="s">
        <v>114</v>
      </c>
      <c r="D143" s="1" t="str">
        <f>HYPERLINK("http://eros.fiehnlab.ucdavis.edu:8080/binbase-compound/bin/show/241049?db=rtx5","241049")</f>
        <v>241049</v>
      </c>
      <c r="E143" s="1" t="s">
        <v>892</v>
      </c>
      <c r="F143" s="1" t="s">
        <v>0</v>
      </c>
      <c r="G143" s="1" t="s">
        <v>0</v>
      </c>
      <c r="H143" s="1"/>
      <c r="I143" s="10">
        <v>26742</v>
      </c>
      <c r="J143" s="10">
        <v>8324</v>
      </c>
      <c r="K143" s="10">
        <v>5650</v>
      </c>
      <c r="L143" s="10">
        <v>31034</v>
      </c>
      <c r="M143" s="10">
        <v>24691</v>
      </c>
      <c r="N143" s="10">
        <v>33259</v>
      </c>
      <c r="O143" s="10">
        <v>17249</v>
      </c>
      <c r="P143" s="10">
        <v>13173</v>
      </c>
      <c r="Q143" s="10">
        <v>28037</v>
      </c>
      <c r="R143" s="10">
        <v>22645</v>
      </c>
      <c r="S143" s="10">
        <v>12245</v>
      </c>
      <c r="T143" s="10">
        <v>8761</v>
      </c>
      <c r="U143" s="10">
        <v>42729</v>
      </c>
      <c r="V143" s="10">
        <v>14056</v>
      </c>
      <c r="W143" s="10">
        <v>22190</v>
      </c>
      <c r="X143" s="10">
        <v>28035</v>
      </c>
      <c r="Y143" s="10">
        <v>33939</v>
      </c>
      <c r="Z143" s="10">
        <v>23368</v>
      </c>
      <c r="AA143" s="10">
        <v>10897</v>
      </c>
      <c r="AB143" s="10">
        <v>37583</v>
      </c>
      <c r="AC143" s="10">
        <v>6583</v>
      </c>
      <c r="AD143" s="10">
        <v>24132</v>
      </c>
      <c r="AE143" s="10">
        <v>30852</v>
      </c>
      <c r="AF143" s="10">
        <v>12130</v>
      </c>
      <c r="AG143" s="10">
        <v>9959</v>
      </c>
      <c r="AH143" s="10">
        <v>36682</v>
      </c>
      <c r="AI143" s="10">
        <v>19197</v>
      </c>
      <c r="AJ143" s="10">
        <v>14308</v>
      </c>
      <c r="AK143" s="10">
        <v>22336</v>
      </c>
      <c r="AL143" s="10">
        <v>12123</v>
      </c>
      <c r="AM143" s="10">
        <v>27059</v>
      </c>
      <c r="AN143" s="10">
        <v>13487</v>
      </c>
      <c r="AO143" s="10">
        <v>28300</v>
      </c>
      <c r="AP143" s="10">
        <v>30503</v>
      </c>
      <c r="AQ143" s="10">
        <v>20295</v>
      </c>
      <c r="AR143" s="10">
        <v>26501</v>
      </c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</row>
    <row r="144" spans="1:81">
      <c r="A144" s="4" t="s">
        <v>997</v>
      </c>
      <c r="B144" s="1" t="s">
        <v>998</v>
      </c>
      <c r="C144" s="1" t="s">
        <v>185</v>
      </c>
      <c r="D144" s="1" t="str">
        <f>HYPERLINK("http://eros.fiehnlab.ucdavis.edu:8080/binbase-compound/bin/show/228311?db=rtx5","228311")</f>
        <v>228311</v>
      </c>
      <c r="E144" s="1" t="s">
        <v>999</v>
      </c>
      <c r="F144" s="1" t="s">
        <v>0</v>
      </c>
      <c r="G144" s="1" t="s">
        <v>0</v>
      </c>
      <c r="H144" s="1"/>
      <c r="I144" s="10">
        <v>30096</v>
      </c>
      <c r="J144" s="10">
        <v>6113</v>
      </c>
      <c r="K144" s="10">
        <v>7740</v>
      </c>
      <c r="L144" s="10">
        <v>32197</v>
      </c>
      <c r="M144" s="10">
        <v>38181</v>
      </c>
      <c r="N144" s="10">
        <v>36449</v>
      </c>
      <c r="O144" s="10">
        <v>18284</v>
      </c>
      <c r="P144" s="10">
        <v>16478</v>
      </c>
      <c r="Q144" s="10">
        <v>20636</v>
      </c>
      <c r="R144" s="10">
        <v>16348</v>
      </c>
      <c r="S144" s="10">
        <v>26727</v>
      </c>
      <c r="T144" s="10">
        <v>10159</v>
      </c>
      <c r="U144" s="10">
        <v>17312</v>
      </c>
      <c r="V144" s="10">
        <v>18012</v>
      </c>
      <c r="W144" s="10">
        <v>18219</v>
      </c>
      <c r="X144" s="10">
        <v>33576</v>
      </c>
      <c r="Y144" s="10">
        <v>18259</v>
      </c>
      <c r="Z144" s="10">
        <v>19008</v>
      </c>
      <c r="AA144" s="10">
        <v>15905</v>
      </c>
      <c r="AB144" s="10">
        <v>3411</v>
      </c>
      <c r="AC144" s="10">
        <v>15425</v>
      </c>
      <c r="AD144" s="10">
        <v>20577</v>
      </c>
      <c r="AE144" s="10">
        <v>18794</v>
      </c>
      <c r="AF144" s="10">
        <v>32343</v>
      </c>
      <c r="AG144" s="10">
        <v>25237</v>
      </c>
      <c r="AH144" s="10">
        <v>71761</v>
      </c>
      <c r="AI144" s="10">
        <v>29601</v>
      </c>
      <c r="AJ144" s="10">
        <v>14618</v>
      </c>
      <c r="AK144" s="10">
        <v>18825</v>
      </c>
      <c r="AL144" s="10">
        <v>37316</v>
      </c>
      <c r="AM144" s="10">
        <v>36672</v>
      </c>
      <c r="AN144" s="10">
        <v>14654</v>
      </c>
      <c r="AO144" s="10">
        <v>35645</v>
      </c>
      <c r="AP144" s="10">
        <v>17592</v>
      </c>
      <c r="AQ144" s="10">
        <v>36628</v>
      </c>
      <c r="AR144" s="10">
        <v>28995</v>
      </c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</row>
    <row r="145" spans="1:81">
      <c r="A145" s="4" t="s">
        <v>1019</v>
      </c>
      <c r="B145" s="1" t="s">
        <v>1020</v>
      </c>
      <c r="C145" s="1" t="s">
        <v>153</v>
      </c>
      <c r="D145" s="1" t="str">
        <f>HYPERLINK("http://eros.fiehnlab.ucdavis.edu:8080/binbase-compound/bin/show/225863?db=rtx5","225863")</f>
        <v>225863</v>
      </c>
      <c r="E145" s="1" t="s">
        <v>1021</v>
      </c>
      <c r="F145" s="1" t="s">
        <v>0</v>
      </c>
      <c r="G145" s="1" t="s">
        <v>0</v>
      </c>
      <c r="H145" s="1"/>
      <c r="I145" s="10">
        <v>5279</v>
      </c>
      <c r="J145" s="10">
        <v>11894</v>
      </c>
      <c r="K145" s="10">
        <v>13973</v>
      </c>
      <c r="L145" s="10">
        <v>9252</v>
      </c>
      <c r="M145" s="10">
        <v>9897</v>
      </c>
      <c r="N145" s="10">
        <v>8022</v>
      </c>
      <c r="O145" s="10">
        <v>6613</v>
      </c>
      <c r="P145" s="10">
        <v>11834</v>
      </c>
      <c r="Q145" s="10">
        <v>4858</v>
      </c>
      <c r="R145" s="10">
        <v>4902</v>
      </c>
      <c r="S145" s="10">
        <v>21331</v>
      </c>
      <c r="T145" s="10">
        <v>5830</v>
      </c>
      <c r="U145" s="10">
        <v>7216</v>
      </c>
      <c r="V145" s="10">
        <v>15852</v>
      </c>
      <c r="W145" s="10">
        <v>11491</v>
      </c>
      <c r="X145" s="10">
        <v>6510</v>
      </c>
      <c r="Y145" s="10">
        <v>11098</v>
      </c>
      <c r="Z145" s="10">
        <v>11471</v>
      </c>
      <c r="AA145" s="10">
        <v>9674</v>
      </c>
      <c r="AB145" s="10">
        <v>5064</v>
      </c>
      <c r="AC145" s="10">
        <v>9651</v>
      </c>
      <c r="AD145" s="10">
        <v>11224</v>
      </c>
      <c r="AE145" s="10">
        <v>5639</v>
      </c>
      <c r="AF145" s="10">
        <v>7147</v>
      </c>
      <c r="AG145" s="10">
        <v>23637</v>
      </c>
      <c r="AH145" s="10">
        <v>10144</v>
      </c>
      <c r="AI145" s="10">
        <v>6170</v>
      </c>
      <c r="AJ145" s="10">
        <v>12533</v>
      </c>
      <c r="AK145" s="10">
        <v>8295</v>
      </c>
      <c r="AL145" s="10">
        <v>26264</v>
      </c>
      <c r="AM145" s="10">
        <v>8889</v>
      </c>
      <c r="AN145" s="10">
        <v>12263</v>
      </c>
      <c r="AO145" s="10">
        <v>6201</v>
      </c>
      <c r="AP145" s="10">
        <v>8370</v>
      </c>
      <c r="AQ145" s="10">
        <v>15774</v>
      </c>
      <c r="AR145" s="10">
        <v>11479</v>
      </c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</row>
    <row r="146" spans="1:81">
      <c r="A146" s="4" t="s">
        <v>1119</v>
      </c>
      <c r="B146" s="1" t="s">
        <v>1120</v>
      </c>
      <c r="C146" s="1" t="s">
        <v>952</v>
      </c>
      <c r="D146" s="1" t="str">
        <f>HYPERLINK("http://eros.fiehnlab.ucdavis.edu:8080/binbase-compound/bin/show/212022?db=rtx5","212022")</f>
        <v>212022</v>
      </c>
      <c r="E146" s="1" t="s">
        <v>1121</v>
      </c>
      <c r="F146" s="1" t="s">
        <v>0</v>
      </c>
      <c r="G146" s="1" t="s">
        <v>0</v>
      </c>
      <c r="H146" s="1"/>
      <c r="I146" s="10">
        <v>23345</v>
      </c>
      <c r="J146" s="10">
        <v>18984</v>
      </c>
      <c r="K146" s="10">
        <v>15444</v>
      </c>
      <c r="L146" s="10">
        <v>19662</v>
      </c>
      <c r="M146" s="10">
        <v>6145</v>
      </c>
      <c r="N146" s="10">
        <v>6917</v>
      </c>
      <c r="O146" s="10">
        <v>15542</v>
      </c>
      <c r="P146" s="10">
        <v>15631</v>
      </c>
      <c r="Q146" s="10">
        <v>20661</v>
      </c>
      <c r="R146" s="10">
        <v>17429</v>
      </c>
      <c r="S146" s="10">
        <v>8188</v>
      </c>
      <c r="T146" s="10">
        <v>21167</v>
      </c>
      <c r="U146" s="10">
        <v>6421</v>
      </c>
      <c r="V146" s="10">
        <v>8093</v>
      </c>
      <c r="W146" s="10">
        <v>7104</v>
      </c>
      <c r="X146" s="10">
        <v>14212</v>
      </c>
      <c r="Y146" s="10">
        <v>4153</v>
      </c>
      <c r="Z146" s="10">
        <v>7873</v>
      </c>
      <c r="AA146" s="10">
        <v>19350</v>
      </c>
      <c r="AB146" s="10">
        <v>21106</v>
      </c>
      <c r="AC146" s="10">
        <v>19015</v>
      </c>
      <c r="AD146" s="10">
        <v>14162</v>
      </c>
      <c r="AE146" s="10">
        <v>18271</v>
      </c>
      <c r="AF146" s="10">
        <v>17358</v>
      </c>
      <c r="AG146" s="10">
        <v>8267</v>
      </c>
      <c r="AH146" s="10">
        <v>9185</v>
      </c>
      <c r="AI146" s="10">
        <v>13236</v>
      </c>
      <c r="AJ146" s="10">
        <v>8797</v>
      </c>
      <c r="AK146" s="10">
        <v>5254</v>
      </c>
      <c r="AL146" s="10">
        <v>3430</v>
      </c>
      <c r="AM146" s="10">
        <v>9397</v>
      </c>
      <c r="AN146" s="10">
        <v>10230</v>
      </c>
      <c r="AO146" s="10">
        <v>10372</v>
      </c>
      <c r="AP146" s="10">
        <v>11106</v>
      </c>
      <c r="AQ146" s="10">
        <v>3991</v>
      </c>
      <c r="AR146" s="10">
        <v>7887</v>
      </c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</row>
    <row r="147" spans="1:81">
      <c r="A147" s="4" t="s">
        <v>1144</v>
      </c>
      <c r="B147" s="1" t="s">
        <v>1145</v>
      </c>
      <c r="C147" s="1" t="s">
        <v>227</v>
      </c>
      <c r="D147" s="1" t="str">
        <f>HYPERLINK("http://eros.fiehnlab.ucdavis.edu:8080/binbase-compound/bin/show/204344?db=rtx5","204344")</f>
        <v>204344</v>
      </c>
      <c r="E147" s="1" t="s">
        <v>1146</v>
      </c>
      <c r="F147" s="1" t="s">
        <v>0</v>
      </c>
      <c r="G147" s="1" t="s">
        <v>0</v>
      </c>
      <c r="H147" s="1"/>
      <c r="I147" s="10">
        <v>76908</v>
      </c>
      <c r="J147" s="10">
        <v>249349</v>
      </c>
      <c r="K147" s="10">
        <v>263487</v>
      </c>
      <c r="L147" s="10">
        <v>50458</v>
      </c>
      <c r="M147" s="10">
        <v>99965</v>
      </c>
      <c r="N147" s="10">
        <v>62573</v>
      </c>
      <c r="O147" s="10">
        <v>128183</v>
      </c>
      <c r="P147" s="10">
        <v>319434</v>
      </c>
      <c r="Q147" s="10">
        <v>85660</v>
      </c>
      <c r="R147" s="10">
        <v>100901</v>
      </c>
      <c r="S147" s="10">
        <v>276996</v>
      </c>
      <c r="T147" s="10">
        <v>268321</v>
      </c>
      <c r="U147" s="10">
        <v>49210</v>
      </c>
      <c r="V147" s="10">
        <v>140208</v>
      </c>
      <c r="W147" s="10">
        <v>90722</v>
      </c>
      <c r="X147" s="10">
        <v>70975</v>
      </c>
      <c r="Y147" s="10">
        <v>72578</v>
      </c>
      <c r="Z147" s="10">
        <v>72459</v>
      </c>
      <c r="AA147" s="10">
        <v>213057</v>
      </c>
      <c r="AB147" s="10">
        <v>56744</v>
      </c>
      <c r="AC147" s="10">
        <v>174069</v>
      </c>
      <c r="AD147" s="10">
        <v>89558</v>
      </c>
      <c r="AE147" s="10">
        <v>69537</v>
      </c>
      <c r="AF147" s="10">
        <v>134098</v>
      </c>
      <c r="AG147" s="10">
        <v>152290</v>
      </c>
      <c r="AH147" s="10">
        <v>56285</v>
      </c>
      <c r="AI147" s="10">
        <v>138111</v>
      </c>
      <c r="AJ147" s="10">
        <v>154409</v>
      </c>
      <c r="AK147" s="10">
        <v>72956</v>
      </c>
      <c r="AL147" s="10">
        <v>299346</v>
      </c>
      <c r="AM147" s="10">
        <v>91989</v>
      </c>
      <c r="AN147" s="10">
        <v>152549</v>
      </c>
      <c r="AO147" s="10">
        <v>73149</v>
      </c>
      <c r="AP147" s="10">
        <v>69559</v>
      </c>
      <c r="AQ147" s="10">
        <v>102005</v>
      </c>
      <c r="AR147" s="10">
        <v>70730</v>
      </c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</row>
    <row r="148" spans="1:81">
      <c r="A148" s="4" t="s">
        <v>1147</v>
      </c>
      <c r="B148" s="1" t="s">
        <v>1148</v>
      </c>
      <c r="C148" s="1" t="s">
        <v>168</v>
      </c>
      <c r="D148" s="1" t="str">
        <f>HYPERLINK("http://eros.fiehnlab.ucdavis.edu:8080/binbase-compound/bin/show/202687?db=rtx5","202687")</f>
        <v>202687</v>
      </c>
      <c r="E148" s="1" t="s">
        <v>1149</v>
      </c>
      <c r="F148" s="1" t="s">
        <v>0</v>
      </c>
      <c r="G148" s="1" t="s">
        <v>0</v>
      </c>
      <c r="H148" s="1"/>
      <c r="I148" s="10">
        <v>805</v>
      </c>
      <c r="J148" s="10">
        <v>2646</v>
      </c>
      <c r="K148" s="10">
        <v>4246</v>
      </c>
      <c r="L148" s="10">
        <v>2060</v>
      </c>
      <c r="M148" s="10">
        <v>9532</v>
      </c>
      <c r="N148" s="10">
        <v>4416</v>
      </c>
      <c r="O148" s="10">
        <v>3523</v>
      </c>
      <c r="P148" s="10">
        <v>15987</v>
      </c>
      <c r="Q148" s="10">
        <v>2236</v>
      </c>
      <c r="R148" s="10">
        <v>2392</v>
      </c>
      <c r="S148" s="10">
        <v>4964</v>
      </c>
      <c r="T148" s="10">
        <v>23189</v>
      </c>
      <c r="U148" s="10">
        <v>8319</v>
      </c>
      <c r="V148" s="10">
        <v>4187</v>
      </c>
      <c r="W148" s="10">
        <v>2442</v>
      </c>
      <c r="X148" s="10">
        <v>4610</v>
      </c>
      <c r="Y148" s="10">
        <v>513</v>
      </c>
      <c r="Z148" s="10">
        <v>480</v>
      </c>
      <c r="AA148" s="10">
        <v>35540</v>
      </c>
      <c r="AB148" s="10">
        <v>8046</v>
      </c>
      <c r="AC148" s="10">
        <v>34127</v>
      </c>
      <c r="AD148" s="10">
        <v>417</v>
      </c>
      <c r="AE148" s="10">
        <v>12457</v>
      </c>
      <c r="AF148" s="10">
        <v>9343</v>
      </c>
      <c r="AG148" s="10">
        <v>5050</v>
      </c>
      <c r="AH148" s="10">
        <v>1128</v>
      </c>
      <c r="AI148" s="10">
        <v>16843</v>
      </c>
      <c r="AJ148" s="10">
        <v>17240</v>
      </c>
      <c r="AK148" s="10">
        <v>6084</v>
      </c>
      <c r="AL148" s="10">
        <v>24374</v>
      </c>
      <c r="AM148" s="10">
        <v>4504</v>
      </c>
      <c r="AN148" s="10">
        <v>9897</v>
      </c>
      <c r="AO148" s="10">
        <v>1847</v>
      </c>
      <c r="AP148" s="10">
        <v>2849</v>
      </c>
      <c r="AQ148" s="10">
        <v>8776</v>
      </c>
      <c r="AR148" s="10">
        <v>3984</v>
      </c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</row>
    <row r="149" spans="1:81">
      <c r="A149" s="4" t="s">
        <v>953</v>
      </c>
      <c r="B149" s="1" t="s">
        <v>954</v>
      </c>
      <c r="C149" s="1" t="s">
        <v>762</v>
      </c>
      <c r="D149" s="1" t="str">
        <f>HYPERLINK("http://eros.fiehnlab.ucdavis.edu:8080/binbase-compound/bin/show/235965?db=rtx5","235965")</f>
        <v>235965</v>
      </c>
      <c r="E149" s="1" t="s">
        <v>955</v>
      </c>
      <c r="F149" s="1" t="s">
        <v>0</v>
      </c>
      <c r="G149" s="1" t="s">
        <v>0</v>
      </c>
      <c r="H149" s="1"/>
      <c r="I149" s="10">
        <v>234836</v>
      </c>
      <c r="J149" s="10">
        <v>3581</v>
      </c>
      <c r="K149" s="10">
        <v>1067973</v>
      </c>
      <c r="L149" s="10">
        <v>2145</v>
      </c>
      <c r="M149" s="10">
        <v>1052</v>
      </c>
      <c r="N149" s="10">
        <v>164039</v>
      </c>
      <c r="O149" s="10">
        <v>917084</v>
      </c>
      <c r="P149" s="10">
        <v>6466</v>
      </c>
      <c r="Q149" s="10">
        <v>129312</v>
      </c>
      <c r="R149" s="10">
        <v>630532</v>
      </c>
      <c r="S149" s="10">
        <v>5012</v>
      </c>
      <c r="T149" s="10">
        <v>2012134</v>
      </c>
      <c r="U149" s="10">
        <v>5857</v>
      </c>
      <c r="V149" s="10">
        <v>26794</v>
      </c>
      <c r="W149" s="10">
        <v>49691</v>
      </c>
      <c r="X149" s="10">
        <v>15920</v>
      </c>
      <c r="Y149" s="10">
        <v>20372</v>
      </c>
      <c r="Z149" s="10">
        <v>6993</v>
      </c>
      <c r="AA149" s="10">
        <v>4047</v>
      </c>
      <c r="AB149" s="10">
        <v>247151</v>
      </c>
      <c r="AC149" s="10">
        <v>1109472</v>
      </c>
      <c r="AD149" s="10">
        <v>43380</v>
      </c>
      <c r="AE149" s="10">
        <v>199182</v>
      </c>
      <c r="AF149" s="10">
        <v>1395745</v>
      </c>
      <c r="AG149" s="10">
        <v>107776</v>
      </c>
      <c r="AH149" s="10">
        <v>26316</v>
      </c>
      <c r="AI149" s="10">
        <v>14182</v>
      </c>
      <c r="AJ149" s="10">
        <v>26934</v>
      </c>
      <c r="AK149" s="10">
        <v>8369</v>
      </c>
      <c r="AL149" s="10">
        <v>87365</v>
      </c>
      <c r="AM149" s="10">
        <v>6220</v>
      </c>
      <c r="AN149" s="10">
        <v>14570</v>
      </c>
      <c r="AO149" s="10">
        <v>7779</v>
      </c>
      <c r="AP149" s="10">
        <v>32481</v>
      </c>
      <c r="AQ149" s="10">
        <v>43985</v>
      </c>
      <c r="AR149" s="10">
        <v>27528</v>
      </c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</row>
    <row r="150" spans="1:81">
      <c r="A150" s="4" t="s">
        <v>741</v>
      </c>
      <c r="B150" s="1" t="s">
        <v>742</v>
      </c>
      <c r="C150" s="1" t="s">
        <v>165</v>
      </c>
      <c r="D150" s="1" t="str">
        <f>HYPERLINK("http://eros.fiehnlab.ucdavis.edu:8080/binbase-compound/bin/show/312139?db=rtx5","312139")</f>
        <v>312139</v>
      </c>
      <c r="E150" s="1" t="s">
        <v>743</v>
      </c>
      <c r="F150" s="1" t="s">
        <v>0</v>
      </c>
      <c r="G150" s="1" t="s">
        <v>0</v>
      </c>
      <c r="H150" s="1"/>
      <c r="I150" s="10">
        <v>6103</v>
      </c>
      <c r="J150" s="10">
        <v>2097</v>
      </c>
      <c r="K150" s="10">
        <v>1474</v>
      </c>
      <c r="L150" s="10">
        <v>7193</v>
      </c>
      <c r="M150" s="10">
        <v>4875</v>
      </c>
      <c r="N150" s="10">
        <v>7041</v>
      </c>
      <c r="O150" s="10">
        <v>5798</v>
      </c>
      <c r="P150" s="10">
        <v>3114</v>
      </c>
      <c r="Q150" s="10">
        <v>6084</v>
      </c>
      <c r="R150" s="10">
        <v>4029</v>
      </c>
      <c r="S150" s="10">
        <v>2557</v>
      </c>
      <c r="T150" s="10">
        <v>2008</v>
      </c>
      <c r="U150" s="10">
        <v>8661</v>
      </c>
      <c r="V150" s="10">
        <v>3757</v>
      </c>
      <c r="W150" s="10">
        <v>5244</v>
      </c>
      <c r="X150" s="10">
        <v>6504</v>
      </c>
      <c r="Y150" s="10">
        <v>6431</v>
      </c>
      <c r="Z150" s="10">
        <v>4904</v>
      </c>
      <c r="AA150" s="10">
        <v>3839</v>
      </c>
      <c r="AB150" s="10">
        <v>8875</v>
      </c>
      <c r="AC150" s="10">
        <v>1540</v>
      </c>
      <c r="AD150" s="10">
        <v>4841</v>
      </c>
      <c r="AE150" s="10">
        <v>7031</v>
      </c>
      <c r="AF150" s="10">
        <v>2474</v>
      </c>
      <c r="AG150" s="10">
        <v>3057</v>
      </c>
      <c r="AH150" s="10">
        <v>7699</v>
      </c>
      <c r="AI150" s="10">
        <v>4239</v>
      </c>
      <c r="AJ150" s="10">
        <v>3598</v>
      </c>
      <c r="AK150" s="10">
        <v>5534</v>
      </c>
      <c r="AL150" s="10">
        <v>2703</v>
      </c>
      <c r="AM150" s="10">
        <v>5296</v>
      </c>
      <c r="AN150" s="10">
        <v>3861</v>
      </c>
      <c r="AO150" s="10">
        <v>5894</v>
      </c>
      <c r="AP150" s="10">
        <v>6408</v>
      </c>
      <c r="AQ150" s="10">
        <v>4237</v>
      </c>
      <c r="AR150" s="10">
        <v>5320</v>
      </c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</row>
    <row r="151" spans="1:81">
      <c r="A151" s="4" t="s">
        <v>570</v>
      </c>
      <c r="B151" s="1" t="s">
        <v>571</v>
      </c>
      <c r="C151" s="1" t="s">
        <v>91</v>
      </c>
      <c r="D151" s="1" t="str">
        <f>HYPERLINK("http://eros.fiehnlab.ucdavis.edu:8080/binbase-compound/bin/show/408912?db=rtx5","408912")</f>
        <v>408912</v>
      </c>
      <c r="E151" s="1" t="s">
        <v>572</v>
      </c>
      <c r="F151" s="1" t="s">
        <v>0</v>
      </c>
      <c r="G151" s="1" t="s">
        <v>0</v>
      </c>
      <c r="H151" s="1"/>
      <c r="I151" s="10">
        <v>1571</v>
      </c>
      <c r="J151" s="10">
        <v>1123</v>
      </c>
      <c r="K151" s="10">
        <v>408</v>
      </c>
      <c r="L151" s="10">
        <v>1212</v>
      </c>
      <c r="M151" s="10">
        <v>815</v>
      </c>
      <c r="N151" s="10">
        <v>2366</v>
      </c>
      <c r="O151" s="10">
        <v>264</v>
      </c>
      <c r="P151" s="10">
        <v>905</v>
      </c>
      <c r="Q151" s="10">
        <v>1750</v>
      </c>
      <c r="R151" s="10">
        <v>613</v>
      </c>
      <c r="S151" s="10">
        <v>990</v>
      </c>
      <c r="T151" s="10">
        <v>661</v>
      </c>
      <c r="U151" s="10">
        <v>2944</v>
      </c>
      <c r="V151" s="10">
        <v>422</v>
      </c>
      <c r="W151" s="10">
        <v>479</v>
      </c>
      <c r="X151" s="10">
        <v>1277</v>
      </c>
      <c r="Y151" s="10">
        <v>1312</v>
      </c>
      <c r="Z151" s="10">
        <v>894</v>
      </c>
      <c r="AA151" s="10">
        <v>420</v>
      </c>
      <c r="AB151" s="10">
        <v>2540</v>
      </c>
      <c r="AC151" s="10">
        <v>264</v>
      </c>
      <c r="AD151" s="10">
        <v>802</v>
      </c>
      <c r="AE151" s="10">
        <v>1883</v>
      </c>
      <c r="AF151" s="10">
        <v>404</v>
      </c>
      <c r="AG151" s="10">
        <v>252</v>
      </c>
      <c r="AH151" s="10">
        <v>2152</v>
      </c>
      <c r="AI151" s="10">
        <v>523</v>
      </c>
      <c r="AJ151" s="10">
        <v>507</v>
      </c>
      <c r="AK151" s="10">
        <v>601</v>
      </c>
      <c r="AL151" s="10">
        <v>603</v>
      </c>
      <c r="AM151" s="10">
        <v>1205</v>
      </c>
      <c r="AN151" s="10">
        <v>258</v>
      </c>
      <c r="AO151" s="10">
        <v>1651</v>
      </c>
      <c r="AP151" s="10">
        <v>1428</v>
      </c>
      <c r="AQ151" s="10">
        <v>316</v>
      </c>
      <c r="AR151" s="10">
        <v>1055</v>
      </c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</row>
    <row r="152" spans="1:81">
      <c r="A152" s="4" t="s">
        <v>582</v>
      </c>
      <c r="B152" s="1" t="s">
        <v>583</v>
      </c>
      <c r="C152" s="1" t="s">
        <v>193</v>
      </c>
      <c r="D152" s="1" t="str">
        <f>HYPERLINK("http://eros.fiehnlab.ucdavis.edu:8080/binbase-compound/bin/show/408856?db=rtx5","408856")</f>
        <v>408856</v>
      </c>
      <c r="E152" s="1" t="s">
        <v>584</v>
      </c>
      <c r="F152" s="1" t="s">
        <v>0</v>
      </c>
      <c r="G152" s="1" t="s">
        <v>0</v>
      </c>
      <c r="H152" s="1"/>
      <c r="I152" s="10">
        <v>2609</v>
      </c>
      <c r="J152" s="10">
        <v>1006</v>
      </c>
      <c r="K152" s="10">
        <v>532</v>
      </c>
      <c r="L152" s="10">
        <v>3095</v>
      </c>
      <c r="M152" s="10">
        <v>2252</v>
      </c>
      <c r="N152" s="10">
        <v>3282</v>
      </c>
      <c r="O152" s="10">
        <v>1130</v>
      </c>
      <c r="P152" s="10">
        <v>1595</v>
      </c>
      <c r="Q152" s="10">
        <v>2829</v>
      </c>
      <c r="R152" s="10">
        <v>1994</v>
      </c>
      <c r="S152" s="10">
        <v>1140</v>
      </c>
      <c r="T152" s="10">
        <v>1032</v>
      </c>
      <c r="U152" s="10">
        <v>4714</v>
      </c>
      <c r="V152" s="10">
        <v>971</v>
      </c>
      <c r="W152" s="10">
        <v>2217</v>
      </c>
      <c r="X152" s="10">
        <v>2676</v>
      </c>
      <c r="Y152" s="10">
        <v>3226</v>
      </c>
      <c r="Z152" s="10">
        <v>2477</v>
      </c>
      <c r="AA152" s="10">
        <v>1150</v>
      </c>
      <c r="AB152" s="10">
        <v>3733</v>
      </c>
      <c r="AC152" s="10">
        <v>523</v>
      </c>
      <c r="AD152" s="10">
        <v>2458</v>
      </c>
      <c r="AE152" s="10">
        <v>3227</v>
      </c>
      <c r="AF152" s="10">
        <v>687</v>
      </c>
      <c r="AG152" s="10">
        <v>930</v>
      </c>
      <c r="AH152" s="10">
        <v>3967</v>
      </c>
      <c r="AI152" s="10">
        <v>1754</v>
      </c>
      <c r="AJ152" s="10">
        <v>1498</v>
      </c>
      <c r="AK152" s="10">
        <v>2205</v>
      </c>
      <c r="AL152" s="10">
        <v>805</v>
      </c>
      <c r="AM152" s="10">
        <v>3047</v>
      </c>
      <c r="AN152" s="10">
        <v>1080</v>
      </c>
      <c r="AO152" s="10">
        <v>2993</v>
      </c>
      <c r="AP152" s="10">
        <v>3239</v>
      </c>
      <c r="AQ152" s="10">
        <v>1658</v>
      </c>
      <c r="AR152" s="10">
        <v>2875</v>
      </c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</row>
    <row r="153" spans="1:81">
      <c r="A153" s="4" t="s">
        <v>1044</v>
      </c>
      <c r="B153" s="1" t="s">
        <v>1045</v>
      </c>
      <c r="C153" s="1" t="s">
        <v>91</v>
      </c>
      <c r="D153" s="1" t="str">
        <f>HYPERLINK("http://eros.fiehnlab.ucdavis.edu:8080/binbase-compound/bin/show/222169?db=rtx5","222169")</f>
        <v>222169</v>
      </c>
      <c r="E153" s="1" t="s">
        <v>1046</v>
      </c>
      <c r="F153" s="1" t="s">
        <v>0</v>
      </c>
      <c r="G153" s="1" t="s">
        <v>0</v>
      </c>
      <c r="H153" s="1"/>
      <c r="I153" s="10">
        <v>1254</v>
      </c>
      <c r="J153" s="10">
        <v>107981</v>
      </c>
      <c r="K153" s="10">
        <v>741</v>
      </c>
      <c r="L153" s="10">
        <v>290</v>
      </c>
      <c r="M153" s="10">
        <v>6686</v>
      </c>
      <c r="N153" s="10">
        <v>9308</v>
      </c>
      <c r="O153" s="10">
        <v>499</v>
      </c>
      <c r="P153" s="10">
        <v>52526</v>
      </c>
      <c r="Q153" s="10">
        <v>2690</v>
      </c>
      <c r="R153" s="10">
        <v>3196</v>
      </c>
      <c r="S153" s="10">
        <v>66043</v>
      </c>
      <c r="T153" s="10">
        <v>936</v>
      </c>
      <c r="U153" s="10">
        <v>348</v>
      </c>
      <c r="V153" s="10">
        <v>508</v>
      </c>
      <c r="W153" s="10">
        <v>299</v>
      </c>
      <c r="X153" s="10">
        <v>292</v>
      </c>
      <c r="Y153" s="10">
        <v>4004</v>
      </c>
      <c r="Z153" s="10">
        <v>506</v>
      </c>
      <c r="AA153" s="10">
        <v>7243</v>
      </c>
      <c r="AB153" s="10">
        <v>1049</v>
      </c>
      <c r="AC153" s="10">
        <v>807</v>
      </c>
      <c r="AD153" s="10">
        <v>1376</v>
      </c>
      <c r="AE153" s="10">
        <v>338</v>
      </c>
      <c r="AF153" s="10">
        <v>1390</v>
      </c>
      <c r="AG153" s="10">
        <v>5972</v>
      </c>
      <c r="AH153" s="10">
        <v>815</v>
      </c>
      <c r="AI153" s="10">
        <v>599</v>
      </c>
      <c r="AJ153" s="10">
        <v>16878</v>
      </c>
      <c r="AK153" s="10">
        <v>5106</v>
      </c>
      <c r="AL153" s="10">
        <v>1146</v>
      </c>
      <c r="AM153" s="10">
        <v>312</v>
      </c>
      <c r="AN153" s="10">
        <v>805</v>
      </c>
      <c r="AO153" s="10">
        <v>566</v>
      </c>
      <c r="AP153" s="10">
        <v>406</v>
      </c>
      <c r="AQ153" s="10">
        <v>2630</v>
      </c>
      <c r="AR153" s="10">
        <v>558</v>
      </c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</row>
    <row r="154" spans="1:81">
      <c r="A154" s="4" t="s">
        <v>1050</v>
      </c>
      <c r="B154" s="1" t="s">
        <v>1051</v>
      </c>
      <c r="C154" s="1" t="s">
        <v>91</v>
      </c>
      <c r="D154" s="1" t="str">
        <f>HYPERLINK("http://eros.fiehnlab.ucdavis.edu:8080/binbase-compound/bin/show/219520?db=rtx5","219520")</f>
        <v>219520</v>
      </c>
      <c r="E154" s="1" t="s">
        <v>1052</v>
      </c>
      <c r="F154" s="1" t="s">
        <v>0</v>
      </c>
      <c r="G154" s="1" t="s">
        <v>0</v>
      </c>
      <c r="H154" s="1"/>
      <c r="I154" s="10">
        <v>4824</v>
      </c>
      <c r="J154" s="10">
        <v>789</v>
      </c>
      <c r="K154" s="10">
        <v>1288</v>
      </c>
      <c r="L154" s="10">
        <v>2863</v>
      </c>
      <c r="M154" s="10">
        <v>2101</v>
      </c>
      <c r="N154" s="10">
        <v>5903</v>
      </c>
      <c r="O154" s="10">
        <v>1416</v>
      </c>
      <c r="P154" s="10">
        <v>2431</v>
      </c>
      <c r="Q154" s="10">
        <v>5977</v>
      </c>
      <c r="R154" s="10">
        <v>2488</v>
      </c>
      <c r="S154" s="10">
        <v>2047</v>
      </c>
      <c r="T154" s="10">
        <v>1530</v>
      </c>
      <c r="U154" s="10">
        <v>7942</v>
      </c>
      <c r="V154" s="10">
        <v>1370</v>
      </c>
      <c r="W154" s="10">
        <v>1859</v>
      </c>
      <c r="X154" s="10">
        <v>1696</v>
      </c>
      <c r="Y154" s="10">
        <v>2803</v>
      </c>
      <c r="Z154" s="10">
        <v>2951</v>
      </c>
      <c r="AA154" s="10">
        <v>2083</v>
      </c>
      <c r="AB154" s="10">
        <v>7558</v>
      </c>
      <c r="AC154" s="10">
        <v>1215</v>
      </c>
      <c r="AD154" s="10">
        <v>2887</v>
      </c>
      <c r="AE154" s="10">
        <v>5236</v>
      </c>
      <c r="AF154" s="10">
        <v>1647</v>
      </c>
      <c r="AG154" s="10">
        <v>1073</v>
      </c>
      <c r="AH154" s="10">
        <v>6231</v>
      </c>
      <c r="AI154" s="10">
        <v>3144</v>
      </c>
      <c r="AJ154" s="10">
        <v>1906</v>
      </c>
      <c r="AK154" s="10">
        <v>2969</v>
      </c>
      <c r="AL154" s="10">
        <v>1553</v>
      </c>
      <c r="AM154" s="10">
        <v>3904</v>
      </c>
      <c r="AN154" s="10">
        <v>1020</v>
      </c>
      <c r="AO154" s="10">
        <v>4218</v>
      </c>
      <c r="AP154" s="10">
        <v>3857</v>
      </c>
      <c r="AQ154" s="10">
        <v>1455</v>
      </c>
      <c r="AR154" s="10">
        <v>2577</v>
      </c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</row>
    <row r="155" spans="1:81">
      <c r="A155" s="4" t="s">
        <v>1187</v>
      </c>
      <c r="B155" s="1" t="s">
        <v>1188</v>
      </c>
      <c r="C155" s="1" t="s">
        <v>1093</v>
      </c>
      <c r="D155" s="1" t="str">
        <f>HYPERLINK("http://eros.fiehnlab.ucdavis.edu:8080/binbase-compound/bin/show/199942?db=rtx5","199942")</f>
        <v>199942</v>
      </c>
      <c r="E155" s="1" t="s">
        <v>1189</v>
      </c>
      <c r="F155" s="1" t="s">
        <v>0</v>
      </c>
      <c r="G155" s="1" t="s">
        <v>0</v>
      </c>
      <c r="H155" s="1"/>
      <c r="I155" s="10">
        <v>29962</v>
      </c>
      <c r="J155" s="10">
        <v>15102</v>
      </c>
      <c r="K155" s="10">
        <v>13178</v>
      </c>
      <c r="L155" s="10">
        <v>27567</v>
      </c>
      <c r="M155" s="10">
        <v>26687</v>
      </c>
      <c r="N155" s="10">
        <v>27189</v>
      </c>
      <c r="O155" s="10">
        <v>14242</v>
      </c>
      <c r="P155" s="10">
        <v>14910</v>
      </c>
      <c r="Q155" s="10">
        <v>19852</v>
      </c>
      <c r="R155" s="10">
        <v>35525</v>
      </c>
      <c r="S155" s="10">
        <v>13972</v>
      </c>
      <c r="T155" s="10">
        <v>15487</v>
      </c>
      <c r="U155" s="10">
        <v>36442</v>
      </c>
      <c r="V155" s="10">
        <v>18779</v>
      </c>
      <c r="W155" s="10">
        <v>22507</v>
      </c>
      <c r="X155" s="10">
        <v>12125</v>
      </c>
      <c r="Y155" s="10">
        <v>37232</v>
      </c>
      <c r="Z155" s="10">
        <v>31738</v>
      </c>
      <c r="AA155" s="10">
        <v>11939</v>
      </c>
      <c r="AB155" s="10">
        <v>67811</v>
      </c>
      <c r="AC155" s="10">
        <v>9860</v>
      </c>
      <c r="AD155" s="10">
        <v>41449</v>
      </c>
      <c r="AE155" s="10">
        <v>20787</v>
      </c>
      <c r="AF155" s="10">
        <v>9658</v>
      </c>
      <c r="AG155" s="10">
        <v>9677</v>
      </c>
      <c r="AH155" s="10">
        <v>31542</v>
      </c>
      <c r="AI155" s="10">
        <v>17364</v>
      </c>
      <c r="AJ155" s="10">
        <v>16362</v>
      </c>
      <c r="AK155" s="10">
        <v>20262</v>
      </c>
      <c r="AL155" s="10">
        <v>15077</v>
      </c>
      <c r="AM155" s="10">
        <v>36278</v>
      </c>
      <c r="AN155" s="10">
        <v>33188</v>
      </c>
      <c r="AO155" s="10">
        <v>37222</v>
      </c>
      <c r="AP155" s="10">
        <v>42903</v>
      </c>
      <c r="AQ155" s="10">
        <v>16107</v>
      </c>
      <c r="AR155" s="10">
        <v>32897</v>
      </c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</row>
    <row r="156" spans="1:81">
      <c r="A156" s="4" t="s">
        <v>557</v>
      </c>
      <c r="B156" s="1" t="s">
        <v>558</v>
      </c>
      <c r="C156" s="1" t="s">
        <v>165</v>
      </c>
      <c r="D156" s="1" t="str">
        <f>HYPERLINK("http://eros.fiehnlab.ucdavis.edu:8080/binbase-compound/bin/show/409131?db=rtx5","409131")</f>
        <v>409131</v>
      </c>
      <c r="E156" s="1" t="s">
        <v>559</v>
      </c>
      <c r="F156" s="1" t="s">
        <v>0</v>
      </c>
      <c r="G156" s="1" t="s">
        <v>0</v>
      </c>
      <c r="H156" s="1"/>
      <c r="I156" s="10">
        <v>2379</v>
      </c>
      <c r="J156" s="10">
        <v>678</v>
      </c>
      <c r="K156" s="10">
        <v>702</v>
      </c>
      <c r="L156" s="10">
        <v>3733</v>
      </c>
      <c r="M156" s="10">
        <v>2338</v>
      </c>
      <c r="N156" s="10">
        <v>3681</v>
      </c>
      <c r="O156" s="10">
        <v>558</v>
      </c>
      <c r="P156" s="10">
        <v>1492</v>
      </c>
      <c r="Q156" s="10">
        <v>2376</v>
      </c>
      <c r="R156" s="10">
        <v>2165</v>
      </c>
      <c r="S156" s="10">
        <v>1152</v>
      </c>
      <c r="T156" s="10">
        <v>1640</v>
      </c>
      <c r="U156" s="10">
        <v>3511</v>
      </c>
      <c r="V156" s="10">
        <v>1041</v>
      </c>
      <c r="W156" s="10">
        <v>2183</v>
      </c>
      <c r="X156" s="10">
        <v>3598</v>
      </c>
      <c r="Y156" s="10">
        <v>2981</v>
      </c>
      <c r="Z156" s="10">
        <v>2035</v>
      </c>
      <c r="AA156" s="10">
        <v>887</v>
      </c>
      <c r="AB156" s="10">
        <v>3386</v>
      </c>
      <c r="AC156" s="10">
        <v>619</v>
      </c>
      <c r="AD156" s="10">
        <v>1842</v>
      </c>
      <c r="AE156" s="10">
        <v>3693</v>
      </c>
      <c r="AF156" s="10">
        <v>750</v>
      </c>
      <c r="AG156" s="10">
        <v>871</v>
      </c>
      <c r="AH156" s="10">
        <v>3753</v>
      </c>
      <c r="AI156" s="10">
        <v>1049</v>
      </c>
      <c r="AJ156" s="10">
        <v>878</v>
      </c>
      <c r="AK156" s="10">
        <v>1933</v>
      </c>
      <c r="AL156" s="10">
        <v>1206</v>
      </c>
      <c r="AM156" s="10">
        <v>3002</v>
      </c>
      <c r="AN156" s="10">
        <v>565</v>
      </c>
      <c r="AO156" s="10">
        <v>2421</v>
      </c>
      <c r="AP156" s="10">
        <v>2659</v>
      </c>
      <c r="AQ156" s="10">
        <v>1700</v>
      </c>
      <c r="AR156" s="10">
        <v>2627</v>
      </c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</row>
    <row r="157" spans="1:81">
      <c r="A157" s="4" t="s">
        <v>551</v>
      </c>
      <c r="B157" s="1" t="s">
        <v>552</v>
      </c>
      <c r="C157" s="1" t="s">
        <v>165</v>
      </c>
      <c r="D157" s="1" t="str">
        <f>HYPERLINK("http://eros.fiehnlab.ucdavis.edu:8080/binbase-compound/bin/show/409263?db=rtx5","409263")</f>
        <v>409263</v>
      </c>
      <c r="E157" s="1" t="s">
        <v>553</v>
      </c>
      <c r="F157" s="1" t="s">
        <v>0</v>
      </c>
      <c r="G157" s="1" t="s">
        <v>0</v>
      </c>
      <c r="H157" s="1"/>
      <c r="I157" s="10">
        <v>3067</v>
      </c>
      <c r="J157" s="10">
        <v>1452</v>
      </c>
      <c r="K157" s="10">
        <v>733</v>
      </c>
      <c r="L157" s="10">
        <v>2422</v>
      </c>
      <c r="M157" s="10">
        <v>2121</v>
      </c>
      <c r="N157" s="10">
        <v>4749</v>
      </c>
      <c r="O157" s="10">
        <v>1874</v>
      </c>
      <c r="P157" s="10">
        <v>2220</v>
      </c>
      <c r="Q157" s="10">
        <v>3204</v>
      </c>
      <c r="R157" s="10">
        <v>2362</v>
      </c>
      <c r="S157" s="10">
        <v>2015</v>
      </c>
      <c r="T157" s="10">
        <v>1026</v>
      </c>
      <c r="U157" s="10">
        <v>4767</v>
      </c>
      <c r="V157" s="10">
        <v>1448</v>
      </c>
      <c r="W157" s="10">
        <v>1965</v>
      </c>
      <c r="X157" s="10">
        <v>2302</v>
      </c>
      <c r="Y157" s="10">
        <v>2818</v>
      </c>
      <c r="Z157" s="10">
        <v>2200</v>
      </c>
      <c r="AA157" s="10">
        <v>1747</v>
      </c>
      <c r="AB157" s="10">
        <v>3418</v>
      </c>
      <c r="AC157" s="10">
        <v>744</v>
      </c>
      <c r="AD157" s="10">
        <v>2089</v>
      </c>
      <c r="AE157" s="10">
        <v>2497</v>
      </c>
      <c r="AF157" s="10">
        <v>1170</v>
      </c>
      <c r="AG157" s="10">
        <v>1120</v>
      </c>
      <c r="AH157" s="10">
        <v>3467</v>
      </c>
      <c r="AI157" s="10">
        <v>2117</v>
      </c>
      <c r="AJ157" s="10">
        <v>1719</v>
      </c>
      <c r="AK157" s="10">
        <v>2332</v>
      </c>
      <c r="AL157" s="10">
        <v>1213</v>
      </c>
      <c r="AM157" s="10">
        <v>1890</v>
      </c>
      <c r="AN157" s="10">
        <v>1576</v>
      </c>
      <c r="AO157" s="10">
        <v>2471</v>
      </c>
      <c r="AP157" s="10">
        <v>2779</v>
      </c>
      <c r="AQ157" s="10">
        <v>1823</v>
      </c>
      <c r="AR157" s="10">
        <v>2151</v>
      </c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</row>
    <row r="158" spans="1:81">
      <c r="A158" s="4" t="s">
        <v>573</v>
      </c>
      <c r="B158" s="1" t="s">
        <v>574</v>
      </c>
      <c r="C158" s="1" t="s">
        <v>118</v>
      </c>
      <c r="D158" s="1" t="str">
        <f>HYPERLINK("http://eros.fiehnlab.ucdavis.edu:8080/binbase-compound/bin/show/408911?db=rtx5","408911")</f>
        <v>408911</v>
      </c>
      <c r="E158" s="1" t="s">
        <v>575</v>
      </c>
      <c r="F158" s="1" t="s">
        <v>0</v>
      </c>
      <c r="G158" s="1" t="s">
        <v>0</v>
      </c>
      <c r="H158" s="1"/>
      <c r="I158" s="10">
        <v>1422</v>
      </c>
      <c r="J158" s="10">
        <v>564</v>
      </c>
      <c r="K158" s="10">
        <v>557</v>
      </c>
      <c r="L158" s="10">
        <v>1201</v>
      </c>
      <c r="M158" s="10">
        <v>1146</v>
      </c>
      <c r="N158" s="10">
        <v>2231</v>
      </c>
      <c r="O158" s="10">
        <v>776</v>
      </c>
      <c r="P158" s="10">
        <v>940</v>
      </c>
      <c r="Q158" s="10">
        <v>1465</v>
      </c>
      <c r="R158" s="10">
        <v>1080</v>
      </c>
      <c r="S158" s="10">
        <v>829</v>
      </c>
      <c r="T158" s="10">
        <v>637</v>
      </c>
      <c r="U158" s="10">
        <v>2422</v>
      </c>
      <c r="V158" s="10">
        <v>864</v>
      </c>
      <c r="W158" s="10">
        <v>770</v>
      </c>
      <c r="X158" s="10">
        <v>932</v>
      </c>
      <c r="Y158" s="10">
        <v>1553</v>
      </c>
      <c r="Z158" s="10">
        <v>1099</v>
      </c>
      <c r="AA158" s="10">
        <v>827</v>
      </c>
      <c r="AB158" s="10">
        <v>1839</v>
      </c>
      <c r="AC158" s="10">
        <v>382</v>
      </c>
      <c r="AD158" s="10">
        <v>971</v>
      </c>
      <c r="AE158" s="10">
        <v>1290</v>
      </c>
      <c r="AF158" s="10">
        <v>516</v>
      </c>
      <c r="AG158" s="10">
        <v>656</v>
      </c>
      <c r="AH158" s="10">
        <v>1773</v>
      </c>
      <c r="AI158" s="10">
        <v>878</v>
      </c>
      <c r="AJ158" s="10">
        <v>942</v>
      </c>
      <c r="AK158" s="10">
        <v>1058</v>
      </c>
      <c r="AL158" s="10">
        <v>663</v>
      </c>
      <c r="AM158" s="10">
        <v>880</v>
      </c>
      <c r="AN158" s="10">
        <v>610</v>
      </c>
      <c r="AO158" s="10">
        <v>1232</v>
      </c>
      <c r="AP158" s="10">
        <v>1433</v>
      </c>
      <c r="AQ158" s="10">
        <v>672</v>
      </c>
      <c r="AR158" s="10">
        <v>1215</v>
      </c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</row>
    <row r="159" spans="1:81">
      <c r="A159" s="4" t="s">
        <v>884</v>
      </c>
      <c r="B159" s="1" t="s">
        <v>885</v>
      </c>
      <c r="C159" s="1" t="s">
        <v>837</v>
      </c>
      <c r="D159" s="1" t="str">
        <f>HYPERLINK("http://eros.fiehnlab.ucdavis.edu:8080/binbase-compound/bin/show/241064?db=rtx5","241064")</f>
        <v>241064</v>
      </c>
      <c r="E159" s="1" t="s">
        <v>886</v>
      </c>
      <c r="F159" s="1" t="s">
        <v>0</v>
      </c>
      <c r="G159" s="1" t="s">
        <v>0</v>
      </c>
      <c r="H159" s="1"/>
      <c r="I159" s="10">
        <v>3564</v>
      </c>
      <c r="J159" s="10">
        <v>833</v>
      </c>
      <c r="K159" s="10">
        <v>1138</v>
      </c>
      <c r="L159" s="10">
        <v>4202</v>
      </c>
      <c r="M159" s="10">
        <v>2928</v>
      </c>
      <c r="N159" s="10">
        <v>4277</v>
      </c>
      <c r="O159" s="10">
        <v>1984</v>
      </c>
      <c r="P159" s="10">
        <v>2209</v>
      </c>
      <c r="Q159" s="10">
        <v>3112</v>
      </c>
      <c r="R159" s="10">
        <v>2844</v>
      </c>
      <c r="S159" s="10">
        <v>1552</v>
      </c>
      <c r="T159" s="10">
        <v>953</v>
      </c>
      <c r="U159" s="10">
        <v>4930</v>
      </c>
      <c r="V159" s="10">
        <v>1605</v>
      </c>
      <c r="W159" s="10">
        <v>2804</v>
      </c>
      <c r="X159" s="10">
        <v>3797</v>
      </c>
      <c r="Y159" s="10">
        <v>3693</v>
      </c>
      <c r="Z159" s="10">
        <v>2873</v>
      </c>
      <c r="AA159" s="10">
        <v>1283</v>
      </c>
      <c r="AB159" s="10">
        <v>4839</v>
      </c>
      <c r="AC159" s="10">
        <v>1160</v>
      </c>
      <c r="AD159" s="10">
        <v>2867</v>
      </c>
      <c r="AE159" s="10">
        <v>3969</v>
      </c>
      <c r="AF159" s="10">
        <v>1483</v>
      </c>
      <c r="AG159" s="10">
        <v>1308</v>
      </c>
      <c r="AH159" s="10">
        <v>4290</v>
      </c>
      <c r="AI159" s="10">
        <v>2180</v>
      </c>
      <c r="AJ159" s="10">
        <v>1562</v>
      </c>
      <c r="AK159" s="10">
        <v>2798</v>
      </c>
      <c r="AL159" s="10">
        <v>1263</v>
      </c>
      <c r="AM159" s="10">
        <v>3367</v>
      </c>
      <c r="AN159" s="10">
        <v>1648</v>
      </c>
      <c r="AO159" s="10">
        <v>3222</v>
      </c>
      <c r="AP159" s="10">
        <v>3742</v>
      </c>
      <c r="AQ159" s="10">
        <v>2374</v>
      </c>
      <c r="AR159" s="10">
        <v>3086</v>
      </c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</row>
    <row r="160" spans="1:81">
      <c r="A160" s="4" t="s">
        <v>699</v>
      </c>
      <c r="B160" s="1" t="s">
        <v>700</v>
      </c>
      <c r="C160" s="1" t="s">
        <v>165</v>
      </c>
      <c r="D160" s="1" t="str">
        <f>HYPERLINK("http://eros.fiehnlab.ucdavis.edu:8080/binbase-compound/bin/show/359567?db=rtx5","359567")</f>
        <v>359567</v>
      </c>
      <c r="E160" s="1" t="s">
        <v>701</v>
      </c>
      <c r="F160" s="1" t="s">
        <v>0</v>
      </c>
      <c r="G160" s="1" t="s">
        <v>0</v>
      </c>
      <c r="H160" s="1"/>
      <c r="I160" s="10">
        <v>3106</v>
      </c>
      <c r="J160" s="10">
        <v>1558</v>
      </c>
      <c r="K160" s="10">
        <v>996</v>
      </c>
      <c r="L160" s="10">
        <v>3183</v>
      </c>
      <c r="M160" s="10">
        <v>2179</v>
      </c>
      <c r="N160" s="10">
        <v>4898</v>
      </c>
      <c r="O160" s="10">
        <v>3125</v>
      </c>
      <c r="P160" s="10">
        <v>2305</v>
      </c>
      <c r="Q160" s="10">
        <v>3204</v>
      </c>
      <c r="R160" s="10">
        <v>2612</v>
      </c>
      <c r="S160" s="10">
        <v>1454</v>
      </c>
      <c r="T160" s="10">
        <v>1125</v>
      </c>
      <c r="U160" s="10">
        <v>4590</v>
      </c>
      <c r="V160" s="10">
        <v>1547</v>
      </c>
      <c r="W160" s="10">
        <v>2108</v>
      </c>
      <c r="X160" s="10">
        <v>2627</v>
      </c>
      <c r="Y160" s="10">
        <v>2850</v>
      </c>
      <c r="Z160" s="10">
        <v>2134</v>
      </c>
      <c r="AA160" s="10">
        <v>1343</v>
      </c>
      <c r="AB160" s="10">
        <v>3982</v>
      </c>
      <c r="AC160" s="10">
        <v>864</v>
      </c>
      <c r="AD160" s="10">
        <v>2046</v>
      </c>
      <c r="AE160" s="10">
        <v>2533</v>
      </c>
      <c r="AF160" s="10">
        <v>1200</v>
      </c>
      <c r="AG160" s="10">
        <v>1623</v>
      </c>
      <c r="AH160" s="10">
        <v>3562</v>
      </c>
      <c r="AI160" s="10">
        <v>1754</v>
      </c>
      <c r="AJ160" s="10">
        <v>2061</v>
      </c>
      <c r="AK160" s="10">
        <v>2431</v>
      </c>
      <c r="AL160" s="10">
        <v>1465</v>
      </c>
      <c r="AM160" s="10">
        <v>2120</v>
      </c>
      <c r="AN160" s="10">
        <v>1869</v>
      </c>
      <c r="AO160" s="10">
        <v>2358</v>
      </c>
      <c r="AP160" s="10">
        <v>2674</v>
      </c>
      <c r="AQ160" s="10">
        <v>1949</v>
      </c>
      <c r="AR160" s="10">
        <v>2325</v>
      </c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</row>
    <row r="161" spans="1:81">
      <c r="A161" s="4" t="s">
        <v>690</v>
      </c>
      <c r="B161" s="1" t="s">
        <v>691</v>
      </c>
      <c r="C161" s="1" t="s">
        <v>165</v>
      </c>
      <c r="D161" s="1" t="str">
        <f>HYPERLINK("http://eros.fiehnlab.ucdavis.edu:8080/binbase-compound/bin/show/359713?db=rtx5","359713")</f>
        <v>359713</v>
      </c>
      <c r="E161" s="1" t="s">
        <v>692</v>
      </c>
      <c r="F161" s="1" t="s">
        <v>0</v>
      </c>
      <c r="G161" s="1" t="s">
        <v>0</v>
      </c>
      <c r="H161" s="1"/>
      <c r="I161" s="10">
        <v>16128</v>
      </c>
      <c r="J161" s="10">
        <v>8210</v>
      </c>
      <c r="K161" s="10">
        <v>5900</v>
      </c>
      <c r="L161" s="10">
        <v>18389</v>
      </c>
      <c r="M161" s="10">
        <v>15474</v>
      </c>
      <c r="N161" s="10">
        <v>18198</v>
      </c>
      <c r="O161" s="10">
        <v>14967</v>
      </c>
      <c r="P161" s="10">
        <v>10592</v>
      </c>
      <c r="Q161" s="10">
        <v>15887</v>
      </c>
      <c r="R161" s="10">
        <v>11478</v>
      </c>
      <c r="S161" s="10">
        <v>9515</v>
      </c>
      <c r="T161" s="10">
        <v>5076</v>
      </c>
      <c r="U161" s="10">
        <v>20924</v>
      </c>
      <c r="V161" s="10">
        <v>10743</v>
      </c>
      <c r="W161" s="10">
        <v>14394</v>
      </c>
      <c r="X161" s="10">
        <v>16299</v>
      </c>
      <c r="Y161" s="10">
        <v>17049</v>
      </c>
      <c r="Z161" s="10">
        <v>14860</v>
      </c>
      <c r="AA161" s="10">
        <v>11185</v>
      </c>
      <c r="AB161" s="10">
        <v>21233</v>
      </c>
      <c r="AC161" s="10">
        <v>5979</v>
      </c>
      <c r="AD161" s="10">
        <v>13766</v>
      </c>
      <c r="AE161" s="10">
        <v>15934</v>
      </c>
      <c r="AF161" s="10">
        <v>8657</v>
      </c>
      <c r="AG161" s="10">
        <v>9060</v>
      </c>
      <c r="AH161" s="10">
        <v>18480</v>
      </c>
      <c r="AI161" s="10">
        <v>12389</v>
      </c>
      <c r="AJ161" s="10">
        <v>10400</v>
      </c>
      <c r="AK161" s="10">
        <v>14901</v>
      </c>
      <c r="AL161" s="10">
        <v>9849</v>
      </c>
      <c r="AM161" s="10">
        <v>14504</v>
      </c>
      <c r="AN161" s="10">
        <v>11588</v>
      </c>
      <c r="AO161" s="10">
        <v>16194</v>
      </c>
      <c r="AP161" s="10">
        <v>17731</v>
      </c>
      <c r="AQ161" s="10">
        <v>12934</v>
      </c>
      <c r="AR161" s="10">
        <v>14966</v>
      </c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</row>
    <row r="162" spans="1:81">
      <c r="A162" s="4" t="s">
        <v>1181</v>
      </c>
      <c r="B162" s="1" t="s">
        <v>1182</v>
      </c>
      <c r="C162" s="1" t="s">
        <v>613</v>
      </c>
      <c r="D162" s="1" t="str">
        <f>HYPERLINK("http://eros.fiehnlab.ucdavis.edu:8080/binbase-compound/bin/show/200471?db=rtx5","200471")</f>
        <v>200471</v>
      </c>
      <c r="E162" s="1" t="s">
        <v>1183</v>
      </c>
      <c r="F162" s="1" t="s">
        <v>0</v>
      </c>
      <c r="G162" s="1" t="s">
        <v>0</v>
      </c>
      <c r="H162" s="1"/>
      <c r="I162" s="10">
        <v>618</v>
      </c>
      <c r="J162" s="10">
        <v>11936</v>
      </c>
      <c r="K162" s="10">
        <v>11487</v>
      </c>
      <c r="L162" s="10">
        <v>532</v>
      </c>
      <c r="M162" s="10">
        <v>7076</v>
      </c>
      <c r="N162" s="10">
        <v>2160</v>
      </c>
      <c r="O162" s="10">
        <v>985</v>
      </c>
      <c r="P162" s="10">
        <v>22595</v>
      </c>
      <c r="Q162" s="10">
        <v>749</v>
      </c>
      <c r="R162" s="10">
        <v>854</v>
      </c>
      <c r="S162" s="10">
        <v>10454</v>
      </c>
      <c r="T162" s="10">
        <v>8857</v>
      </c>
      <c r="U162" s="10">
        <v>454</v>
      </c>
      <c r="V162" s="10">
        <v>17261</v>
      </c>
      <c r="W162" s="10">
        <v>798</v>
      </c>
      <c r="X162" s="10">
        <v>739</v>
      </c>
      <c r="Y162" s="10">
        <v>3667</v>
      </c>
      <c r="Z162" s="10">
        <v>529</v>
      </c>
      <c r="AA162" s="10">
        <v>17080</v>
      </c>
      <c r="AB162" s="10">
        <v>681</v>
      </c>
      <c r="AC162" s="10">
        <v>8528</v>
      </c>
      <c r="AD162" s="10">
        <v>604</v>
      </c>
      <c r="AE162" s="10">
        <v>919</v>
      </c>
      <c r="AF162" s="10">
        <v>4505</v>
      </c>
      <c r="AG162" s="10">
        <v>8072</v>
      </c>
      <c r="AH162" s="10">
        <v>420</v>
      </c>
      <c r="AI162" s="10">
        <v>861</v>
      </c>
      <c r="AJ162" s="10">
        <v>24187</v>
      </c>
      <c r="AK162" s="10">
        <v>786</v>
      </c>
      <c r="AL162" s="10">
        <v>29165</v>
      </c>
      <c r="AM162" s="10">
        <v>1014</v>
      </c>
      <c r="AN162" s="10">
        <v>11358</v>
      </c>
      <c r="AO162" s="10">
        <v>481</v>
      </c>
      <c r="AP162" s="10">
        <v>591</v>
      </c>
      <c r="AQ162" s="10">
        <v>5928</v>
      </c>
      <c r="AR162" s="10">
        <v>483</v>
      </c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</row>
    <row r="163" spans="1:81">
      <c r="A163" s="4" t="s">
        <v>528</v>
      </c>
      <c r="B163" s="1" t="s">
        <v>529</v>
      </c>
      <c r="C163" s="1" t="s">
        <v>156</v>
      </c>
      <c r="D163" s="1" t="str">
        <f>HYPERLINK("http://eros.fiehnlab.ucdavis.edu:8080/binbase-compound/bin/show/409621?db=rtx5","409621")</f>
        <v>409621</v>
      </c>
      <c r="E163" s="1" t="s">
        <v>530</v>
      </c>
      <c r="F163" s="1" t="s">
        <v>0</v>
      </c>
      <c r="G163" s="1" t="s">
        <v>0</v>
      </c>
      <c r="H163" s="1"/>
      <c r="I163" s="10">
        <v>1128</v>
      </c>
      <c r="J163" s="10">
        <v>445</v>
      </c>
      <c r="K163" s="10">
        <v>475</v>
      </c>
      <c r="L163" s="10">
        <v>739</v>
      </c>
      <c r="M163" s="10">
        <v>1720</v>
      </c>
      <c r="N163" s="10">
        <v>1752</v>
      </c>
      <c r="O163" s="10">
        <v>303</v>
      </c>
      <c r="P163" s="10">
        <v>1124</v>
      </c>
      <c r="Q163" s="10">
        <v>804</v>
      </c>
      <c r="R163" s="10">
        <v>552</v>
      </c>
      <c r="S163" s="10">
        <v>645</v>
      </c>
      <c r="T163" s="10">
        <v>750</v>
      </c>
      <c r="U163" s="10">
        <v>2560</v>
      </c>
      <c r="V163" s="10">
        <v>862</v>
      </c>
      <c r="W163" s="10">
        <v>1455</v>
      </c>
      <c r="X163" s="10">
        <v>1050</v>
      </c>
      <c r="Y163" s="10">
        <v>1590</v>
      </c>
      <c r="Z163" s="10">
        <v>1708</v>
      </c>
      <c r="AA163" s="10">
        <v>608</v>
      </c>
      <c r="AB163" s="10">
        <v>1449</v>
      </c>
      <c r="AC163" s="10">
        <v>497</v>
      </c>
      <c r="AD163" s="10">
        <v>2057</v>
      </c>
      <c r="AE163" s="10">
        <v>1563</v>
      </c>
      <c r="AF163" s="10">
        <v>397</v>
      </c>
      <c r="AG163" s="10">
        <v>667</v>
      </c>
      <c r="AH163" s="10">
        <v>3696</v>
      </c>
      <c r="AI163" s="10">
        <v>649</v>
      </c>
      <c r="AJ163" s="10">
        <v>821</v>
      </c>
      <c r="AK163" s="10">
        <v>888</v>
      </c>
      <c r="AL163" s="10">
        <v>830</v>
      </c>
      <c r="AM163" s="10">
        <v>2809</v>
      </c>
      <c r="AN163" s="10">
        <v>892</v>
      </c>
      <c r="AO163" s="10">
        <v>2398</v>
      </c>
      <c r="AP163" s="10">
        <v>1662</v>
      </c>
      <c r="AQ163" s="10">
        <v>877</v>
      </c>
      <c r="AR163" s="10">
        <v>2720</v>
      </c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</row>
    <row r="164" spans="1:81">
      <c r="A164" s="4" t="s">
        <v>531</v>
      </c>
      <c r="B164" s="1" t="s">
        <v>532</v>
      </c>
      <c r="C164" s="1" t="s">
        <v>533</v>
      </c>
      <c r="D164" s="1" t="str">
        <f>HYPERLINK("http://eros.fiehnlab.ucdavis.edu:8080/binbase-compound/bin/show/409620?db=rtx5","409620")</f>
        <v>409620</v>
      </c>
      <c r="E164" s="1" t="s">
        <v>534</v>
      </c>
      <c r="F164" s="1" t="s">
        <v>0</v>
      </c>
      <c r="G164" s="1" t="s">
        <v>0</v>
      </c>
      <c r="H164" s="1"/>
      <c r="I164" s="10">
        <v>1500</v>
      </c>
      <c r="J164" s="10">
        <v>685</v>
      </c>
      <c r="K164" s="10">
        <v>573</v>
      </c>
      <c r="L164" s="10">
        <v>1645</v>
      </c>
      <c r="M164" s="10">
        <v>1183</v>
      </c>
      <c r="N164" s="10">
        <v>1678</v>
      </c>
      <c r="O164" s="10">
        <v>900</v>
      </c>
      <c r="P164" s="10">
        <v>1108</v>
      </c>
      <c r="Q164" s="10">
        <v>1449</v>
      </c>
      <c r="R164" s="10">
        <v>1091</v>
      </c>
      <c r="S164" s="10">
        <v>835</v>
      </c>
      <c r="T164" s="10">
        <v>793</v>
      </c>
      <c r="U164" s="10">
        <v>2063</v>
      </c>
      <c r="V164" s="10">
        <v>483</v>
      </c>
      <c r="W164" s="10">
        <v>1036</v>
      </c>
      <c r="X164" s="10">
        <v>1645</v>
      </c>
      <c r="Y164" s="10">
        <v>1604</v>
      </c>
      <c r="Z164" s="10">
        <v>1253</v>
      </c>
      <c r="AA164" s="10">
        <v>968</v>
      </c>
      <c r="AB164" s="10">
        <v>1938</v>
      </c>
      <c r="AC164" s="10">
        <v>632</v>
      </c>
      <c r="AD164" s="10">
        <v>1191</v>
      </c>
      <c r="AE164" s="10">
        <v>1648</v>
      </c>
      <c r="AF164" s="10">
        <v>812</v>
      </c>
      <c r="AG164" s="10">
        <v>740</v>
      </c>
      <c r="AH164" s="10">
        <v>1897</v>
      </c>
      <c r="AI164" s="10">
        <v>770</v>
      </c>
      <c r="AJ164" s="10">
        <v>1077</v>
      </c>
      <c r="AK164" s="10">
        <v>1076</v>
      </c>
      <c r="AL164" s="10">
        <v>1153</v>
      </c>
      <c r="AM164" s="10">
        <v>1317</v>
      </c>
      <c r="AN164" s="10">
        <v>829</v>
      </c>
      <c r="AO164" s="10">
        <v>1417</v>
      </c>
      <c r="AP164" s="10">
        <v>1459</v>
      </c>
      <c r="AQ164" s="10">
        <v>902</v>
      </c>
      <c r="AR164" s="10">
        <v>1267</v>
      </c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</row>
    <row r="165" spans="1:81">
      <c r="A165" s="4" t="s">
        <v>1128</v>
      </c>
      <c r="B165" s="1" t="s">
        <v>1129</v>
      </c>
      <c r="C165" s="1" t="s">
        <v>1028</v>
      </c>
      <c r="D165" s="1" t="str">
        <f>HYPERLINK("http://eros.fiehnlab.ucdavis.edu:8080/binbase-compound/bin/show/208557?db=rtx5","208557")</f>
        <v>208557</v>
      </c>
      <c r="E165" s="1" t="s">
        <v>1130</v>
      </c>
      <c r="F165" s="1" t="s">
        <v>0</v>
      </c>
      <c r="G165" s="1" t="s">
        <v>0</v>
      </c>
      <c r="H165" s="1"/>
      <c r="I165" s="10">
        <v>2940</v>
      </c>
      <c r="J165" s="10">
        <v>2488</v>
      </c>
      <c r="K165" s="10">
        <v>431</v>
      </c>
      <c r="L165" s="10">
        <v>2758</v>
      </c>
      <c r="M165" s="10">
        <v>2023</v>
      </c>
      <c r="N165" s="10">
        <v>2158</v>
      </c>
      <c r="O165" s="10">
        <v>710</v>
      </c>
      <c r="P165" s="10">
        <v>997</v>
      </c>
      <c r="Q165" s="10">
        <v>1395</v>
      </c>
      <c r="R165" s="10">
        <v>1063</v>
      </c>
      <c r="S165" s="10">
        <v>677</v>
      </c>
      <c r="T165" s="10">
        <v>674</v>
      </c>
      <c r="U165" s="10">
        <v>2090</v>
      </c>
      <c r="V165" s="10">
        <v>646</v>
      </c>
      <c r="W165" s="10">
        <v>1078</v>
      </c>
      <c r="X165" s="10">
        <v>1091</v>
      </c>
      <c r="Y165" s="10">
        <v>1502</v>
      </c>
      <c r="Z165" s="10">
        <v>1774</v>
      </c>
      <c r="AA165" s="10">
        <v>404</v>
      </c>
      <c r="AB165" s="10">
        <v>3872</v>
      </c>
      <c r="AC165" s="10">
        <v>428</v>
      </c>
      <c r="AD165" s="10">
        <v>1698</v>
      </c>
      <c r="AE165" s="10">
        <v>1327</v>
      </c>
      <c r="AF165" s="10">
        <v>651</v>
      </c>
      <c r="AG165" s="10">
        <v>1241</v>
      </c>
      <c r="AH165" s="10">
        <v>2924</v>
      </c>
      <c r="AI165" s="10">
        <v>1474</v>
      </c>
      <c r="AJ165" s="10">
        <v>580</v>
      </c>
      <c r="AK165" s="10">
        <v>1619</v>
      </c>
      <c r="AL165" s="10">
        <v>617</v>
      </c>
      <c r="AM165" s="10">
        <v>1276</v>
      </c>
      <c r="AN165" s="10">
        <v>727</v>
      </c>
      <c r="AO165" s="10">
        <v>1542</v>
      </c>
      <c r="AP165" s="10">
        <v>2475</v>
      </c>
      <c r="AQ165" s="10">
        <v>1263</v>
      </c>
      <c r="AR165" s="10">
        <v>1709</v>
      </c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</row>
    <row r="166" spans="1:81">
      <c r="A166" s="4" t="s">
        <v>902</v>
      </c>
      <c r="B166" s="1" t="s">
        <v>903</v>
      </c>
      <c r="C166" s="1" t="s">
        <v>115</v>
      </c>
      <c r="D166" s="1" t="str">
        <f>HYPERLINK("http://eros.fiehnlab.ucdavis.edu:8080/binbase-compound/bin/show/241037?db=rtx5","241037")</f>
        <v>241037</v>
      </c>
      <c r="E166" s="1" t="s">
        <v>904</v>
      </c>
      <c r="F166" s="1" t="s">
        <v>0</v>
      </c>
      <c r="G166" s="1" t="s">
        <v>0</v>
      </c>
      <c r="H166" s="1"/>
      <c r="I166" s="10">
        <v>276</v>
      </c>
      <c r="J166" s="10">
        <v>235</v>
      </c>
      <c r="K166" s="10">
        <v>354</v>
      </c>
      <c r="L166" s="10">
        <v>1561</v>
      </c>
      <c r="M166" s="10">
        <v>959</v>
      </c>
      <c r="N166" s="10">
        <v>256</v>
      </c>
      <c r="O166" s="10">
        <v>134</v>
      </c>
      <c r="P166" s="10">
        <v>410</v>
      </c>
      <c r="Q166" s="10">
        <v>757</v>
      </c>
      <c r="R166" s="10">
        <v>510</v>
      </c>
      <c r="S166" s="10">
        <v>397</v>
      </c>
      <c r="T166" s="10">
        <v>691</v>
      </c>
      <c r="U166" s="10">
        <v>1406</v>
      </c>
      <c r="V166" s="10">
        <v>374</v>
      </c>
      <c r="W166" s="10">
        <v>1398</v>
      </c>
      <c r="X166" s="10">
        <v>1460</v>
      </c>
      <c r="Y166" s="10">
        <v>1881</v>
      </c>
      <c r="Z166" s="10">
        <v>993</v>
      </c>
      <c r="AA166" s="10">
        <v>274</v>
      </c>
      <c r="AB166" s="10">
        <v>1443</v>
      </c>
      <c r="AC166" s="10">
        <v>451</v>
      </c>
      <c r="AD166" s="10">
        <v>1029</v>
      </c>
      <c r="AE166" s="10">
        <v>1748</v>
      </c>
      <c r="AF166" s="10">
        <v>327</v>
      </c>
      <c r="AG166" s="10">
        <v>217</v>
      </c>
      <c r="AH166" s="10">
        <v>1659</v>
      </c>
      <c r="AI166" s="10">
        <v>753</v>
      </c>
      <c r="AJ166" s="10">
        <v>430</v>
      </c>
      <c r="AK166" s="10">
        <v>1076</v>
      </c>
      <c r="AL166" s="10">
        <v>894</v>
      </c>
      <c r="AM166" s="10">
        <v>1662</v>
      </c>
      <c r="AN166" s="10">
        <v>295</v>
      </c>
      <c r="AO166" s="10">
        <v>1536</v>
      </c>
      <c r="AP166" s="10">
        <v>1628</v>
      </c>
      <c r="AQ166" s="10">
        <v>1089</v>
      </c>
      <c r="AR166" s="10">
        <v>1503</v>
      </c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</row>
    <row r="167" spans="1:81">
      <c r="A167" s="4" t="s">
        <v>939</v>
      </c>
      <c r="B167" s="1" t="s">
        <v>940</v>
      </c>
      <c r="C167" s="1" t="s">
        <v>941</v>
      </c>
      <c r="D167" s="1" t="str">
        <f>HYPERLINK("http://eros.fiehnlab.ucdavis.edu:8080/binbase-compound/bin/show/236857?db=rtx5","236857")</f>
        <v>236857</v>
      </c>
      <c r="E167" s="1" t="s">
        <v>942</v>
      </c>
      <c r="F167" s="1" t="s">
        <v>0</v>
      </c>
      <c r="G167" s="1" t="s">
        <v>0</v>
      </c>
      <c r="H167" s="1"/>
      <c r="I167" s="10">
        <v>5786</v>
      </c>
      <c r="J167" s="10">
        <v>673</v>
      </c>
      <c r="K167" s="10">
        <v>779</v>
      </c>
      <c r="L167" s="10">
        <v>303</v>
      </c>
      <c r="M167" s="10">
        <v>1297</v>
      </c>
      <c r="N167" s="10">
        <v>2777</v>
      </c>
      <c r="O167" s="10">
        <v>2449</v>
      </c>
      <c r="P167" s="10">
        <v>1845</v>
      </c>
      <c r="Q167" s="10">
        <v>2676</v>
      </c>
      <c r="R167" s="10">
        <v>300</v>
      </c>
      <c r="S167" s="10">
        <v>1085</v>
      </c>
      <c r="T167" s="10">
        <v>1079</v>
      </c>
      <c r="U167" s="10">
        <v>447</v>
      </c>
      <c r="V167" s="10">
        <v>1045</v>
      </c>
      <c r="W167" s="10">
        <v>687</v>
      </c>
      <c r="X167" s="10">
        <v>2766</v>
      </c>
      <c r="Y167" s="10">
        <v>641</v>
      </c>
      <c r="Z167" s="10">
        <v>376</v>
      </c>
      <c r="AA167" s="10">
        <v>2062</v>
      </c>
      <c r="AB167" s="10">
        <v>431</v>
      </c>
      <c r="AC167" s="10">
        <v>797</v>
      </c>
      <c r="AD167" s="10">
        <v>428</v>
      </c>
      <c r="AE167" s="10">
        <v>4217</v>
      </c>
      <c r="AF167" s="10">
        <v>1346</v>
      </c>
      <c r="AG167" s="10">
        <v>5883</v>
      </c>
      <c r="AH167" s="10">
        <v>873</v>
      </c>
      <c r="AI167" s="10">
        <v>3612</v>
      </c>
      <c r="AJ167" s="10">
        <v>1844</v>
      </c>
      <c r="AK167" s="10">
        <v>4729</v>
      </c>
      <c r="AL167" s="10">
        <v>873</v>
      </c>
      <c r="AM167" s="10">
        <v>420</v>
      </c>
      <c r="AN167" s="10">
        <v>405</v>
      </c>
      <c r="AO167" s="10">
        <v>426</v>
      </c>
      <c r="AP167" s="10">
        <v>370</v>
      </c>
      <c r="AQ167" s="10">
        <v>1819</v>
      </c>
      <c r="AR167" s="10">
        <v>395</v>
      </c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</row>
    <row r="168" spans="1:81">
      <c r="A168" s="4" t="s">
        <v>755</v>
      </c>
      <c r="B168" s="1" t="s">
        <v>756</v>
      </c>
      <c r="C168" s="1" t="s">
        <v>757</v>
      </c>
      <c r="D168" s="1" t="str">
        <f>HYPERLINK("http://eros.fiehnlab.ucdavis.edu:8080/binbase-compound/bin/show/308208?db=rtx5","308208")</f>
        <v>308208</v>
      </c>
      <c r="E168" s="1" t="s">
        <v>758</v>
      </c>
      <c r="F168" s="1" t="s">
        <v>0</v>
      </c>
      <c r="G168" s="1" t="s">
        <v>0</v>
      </c>
      <c r="H168" s="1"/>
      <c r="I168" s="10">
        <v>1465</v>
      </c>
      <c r="J168" s="10">
        <v>596</v>
      </c>
      <c r="K168" s="10">
        <v>578</v>
      </c>
      <c r="L168" s="10">
        <v>1756</v>
      </c>
      <c r="M168" s="10">
        <v>1245</v>
      </c>
      <c r="N168" s="10">
        <v>1730</v>
      </c>
      <c r="O168" s="10">
        <v>1089</v>
      </c>
      <c r="P168" s="10">
        <v>1062</v>
      </c>
      <c r="Q168" s="10">
        <v>1446</v>
      </c>
      <c r="R168" s="10">
        <v>1192</v>
      </c>
      <c r="S168" s="10">
        <v>858</v>
      </c>
      <c r="T168" s="10">
        <v>700</v>
      </c>
      <c r="U168" s="10">
        <v>2037</v>
      </c>
      <c r="V168" s="10">
        <v>734</v>
      </c>
      <c r="W168" s="10">
        <v>1072</v>
      </c>
      <c r="X168" s="10">
        <v>1512</v>
      </c>
      <c r="Y168" s="10">
        <v>1571</v>
      </c>
      <c r="Z168" s="10">
        <v>1181</v>
      </c>
      <c r="AA168" s="10">
        <v>974</v>
      </c>
      <c r="AB168" s="10">
        <v>2007</v>
      </c>
      <c r="AC168" s="10">
        <v>535</v>
      </c>
      <c r="AD168" s="10">
        <v>1155</v>
      </c>
      <c r="AE168" s="10">
        <v>1647</v>
      </c>
      <c r="AF168" s="10">
        <v>849</v>
      </c>
      <c r="AG168" s="10">
        <v>432</v>
      </c>
      <c r="AH168" s="10">
        <v>1809</v>
      </c>
      <c r="AI168" s="10">
        <v>855</v>
      </c>
      <c r="AJ168" s="10">
        <v>883</v>
      </c>
      <c r="AK168" s="10">
        <v>1177</v>
      </c>
      <c r="AL168" s="10">
        <v>919</v>
      </c>
      <c r="AM168" s="10">
        <v>1429</v>
      </c>
      <c r="AN168" s="10">
        <v>853</v>
      </c>
      <c r="AO168" s="10">
        <v>1323</v>
      </c>
      <c r="AP168" s="10">
        <v>1581</v>
      </c>
      <c r="AQ168" s="10">
        <v>919</v>
      </c>
      <c r="AR168" s="10">
        <v>1337</v>
      </c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</row>
    <row r="169" spans="1:81">
      <c r="A169" s="4" t="s">
        <v>535</v>
      </c>
      <c r="B169" s="1" t="s">
        <v>536</v>
      </c>
      <c r="C169" s="1" t="s">
        <v>91</v>
      </c>
      <c r="D169" s="1" t="str">
        <f>HYPERLINK("http://eros.fiehnlab.ucdavis.edu:8080/binbase-compound/bin/show/409597?db=rtx5","409597")</f>
        <v>409597</v>
      </c>
      <c r="E169" s="1" t="s">
        <v>537</v>
      </c>
      <c r="F169" s="1" t="s">
        <v>0</v>
      </c>
      <c r="G169" s="1" t="s">
        <v>0</v>
      </c>
      <c r="H169" s="1"/>
      <c r="I169" s="10">
        <v>1905</v>
      </c>
      <c r="J169" s="10">
        <v>1068</v>
      </c>
      <c r="K169" s="10">
        <v>694</v>
      </c>
      <c r="L169" s="10">
        <v>2101</v>
      </c>
      <c r="M169" s="10">
        <v>2068</v>
      </c>
      <c r="N169" s="10">
        <v>2337</v>
      </c>
      <c r="O169" s="10">
        <v>1298</v>
      </c>
      <c r="P169" s="10">
        <v>1361</v>
      </c>
      <c r="Q169" s="10">
        <v>2569</v>
      </c>
      <c r="R169" s="10">
        <v>2901</v>
      </c>
      <c r="S169" s="10">
        <v>1336</v>
      </c>
      <c r="T169" s="10">
        <v>976</v>
      </c>
      <c r="U169" s="10">
        <v>3894</v>
      </c>
      <c r="V169" s="10">
        <v>938</v>
      </c>
      <c r="W169" s="10">
        <v>2573</v>
      </c>
      <c r="X169" s="10">
        <v>1516</v>
      </c>
      <c r="Y169" s="10">
        <v>3098</v>
      </c>
      <c r="Z169" s="10">
        <v>2315</v>
      </c>
      <c r="AA169" s="10">
        <v>1126</v>
      </c>
      <c r="AB169" s="10">
        <v>3740</v>
      </c>
      <c r="AC169" s="10">
        <v>601</v>
      </c>
      <c r="AD169" s="10">
        <v>2799</v>
      </c>
      <c r="AE169" s="10">
        <v>2735</v>
      </c>
      <c r="AF169" s="10">
        <v>880</v>
      </c>
      <c r="AG169" s="10">
        <v>649</v>
      </c>
      <c r="AH169" s="10">
        <v>3000</v>
      </c>
      <c r="AI169" s="10">
        <v>2076</v>
      </c>
      <c r="AJ169" s="10">
        <v>1080</v>
      </c>
      <c r="AK169" s="10">
        <v>2191</v>
      </c>
      <c r="AL169" s="10">
        <v>958</v>
      </c>
      <c r="AM169" s="10">
        <v>2650</v>
      </c>
      <c r="AN169" s="10">
        <v>1407</v>
      </c>
      <c r="AO169" s="10">
        <v>2435</v>
      </c>
      <c r="AP169" s="10">
        <v>2999</v>
      </c>
      <c r="AQ169" s="10">
        <v>1260</v>
      </c>
      <c r="AR169" s="10">
        <v>2365</v>
      </c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</row>
    <row r="170" spans="1:81">
      <c r="A170" s="4" t="s">
        <v>858</v>
      </c>
      <c r="B170" s="1" t="s">
        <v>859</v>
      </c>
      <c r="C170" s="1" t="s">
        <v>837</v>
      </c>
      <c r="D170" s="1" t="str">
        <f>HYPERLINK("http://eros.fiehnlab.ucdavis.edu:8080/binbase-compound/bin/show/241661?db=rtx5","241661")</f>
        <v>241661</v>
      </c>
      <c r="E170" s="1" t="s">
        <v>860</v>
      </c>
      <c r="F170" s="1" t="s">
        <v>0</v>
      </c>
      <c r="G170" s="1" t="s">
        <v>0</v>
      </c>
      <c r="H170" s="1"/>
      <c r="I170" s="10">
        <v>939</v>
      </c>
      <c r="J170" s="10">
        <v>495</v>
      </c>
      <c r="K170" s="10">
        <v>534</v>
      </c>
      <c r="L170" s="10">
        <v>1008</v>
      </c>
      <c r="M170" s="10">
        <v>662</v>
      </c>
      <c r="N170" s="10">
        <v>1036</v>
      </c>
      <c r="O170" s="10">
        <v>723</v>
      </c>
      <c r="P170" s="10">
        <v>698</v>
      </c>
      <c r="Q170" s="10">
        <v>812</v>
      </c>
      <c r="R170" s="10">
        <v>764</v>
      </c>
      <c r="S170" s="10">
        <v>642</v>
      </c>
      <c r="T170" s="10">
        <v>451</v>
      </c>
      <c r="U170" s="10">
        <v>1298</v>
      </c>
      <c r="V170" s="10">
        <v>611</v>
      </c>
      <c r="W170" s="10">
        <v>590</v>
      </c>
      <c r="X170" s="10">
        <v>939</v>
      </c>
      <c r="Y170" s="10">
        <v>965</v>
      </c>
      <c r="Z170" s="10">
        <v>659</v>
      </c>
      <c r="AA170" s="10">
        <v>559</v>
      </c>
      <c r="AB170" s="10">
        <v>1274</v>
      </c>
      <c r="AC170" s="10">
        <v>483</v>
      </c>
      <c r="AD170" s="10">
        <v>730</v>
      </c>
      <c r="AE170" s="10">
        <v>919</v>
      </c>
      <c r="AF170" s="10">
        <v>375</v>
      </c>
      <c r="AG170" s="10">
        <v>488</v>
      </c>
      <c r="AH170" s="10">
        <v>1162</v>
      </c>
      <c r="AI170" s="10">
        <v>464</v>
      </c>
      <c r="AJ170" s="10">
        <v>632</v>
      </c>
      <c r="AK170" s="10">
        <v>642</v>
      </c>
      <c r="AL170" s="10">
        <v>695</v>
      </c>
      <c r="AM170" s="10">
        <v>890</v>
      </c>
      <c r="AN170" s="10">
        <v>680</v>
      </c>
      <c r="AO170" s="10">
        <v>914</v>
      </c>
      <c r="AP170" s="10">
        <v>1043</v>
      </c>
      <c r="AQ170" s="10">
        <v>512</v>
      </c>
      <c r="AR170" s="10">
        <v>810</v>
      </c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</row>
    <row r="171" spans="1:81">
      <c r="A171" s="4" t="s">
        <v>524</v>
      </c>
      <c r="B171" s="1" t="s">
        <v>525</v>
      </c>
      <c r="C171" s="1" t="s">
        <v>526</v>
      </c>
      <c r="D171" s="1" t="str">
        <f>HYPERLINK("http://eros.fiehnlab.ucdavis.edu:8080/binbase-compound/bin/show/409627?db=rtx5","409627")</f>
        <v>409627</v>
      </c>
      <c r="E171" s="1" t="s">
        <v>527</v>
      </c>
      <c r="F171" s="1" t="s">
        <v>0</v>
      </c>
      <c r="G171" s="1" t="s">
        <v>0</v>
      </c>
      <c r="H171" s="1"/>
      <c r="I171" s="10">
        <v>636</v>
      </c>
      <c r="J171" s="10">
        <v>368</v>
      </c>
      <c r="K171" s="10">
        <v>294</v>
      </c>
      <c r="L171" s="10">
        <v>173</v>
      </c>
      <c r="M171" s="10">
        <v>344</v>
      </c>
      <c r="N171" s="10">
        <v>1508</v>
      </c>
      <c r="O171" s="10">
        <v>636</v>
      </c>
      <c r="P171" s="10">
        <v>499</v>
      </c>
      <c r="Q171" s="10">
        <v>631</v>
      </c>
      <c r="R171" s="10">
        <v>407</v>
      </c>
      <c r="S171" s="10">
        <v>475</v>
      </c>
      <c r="T171" s="10">
        <v>554</v>
      </c>
      <c r="U171" s="10">
        <v>1204</v>
      </c>
      <c r="V171" s="10">
        <v>560</v>
      </c>
      <c r="W171" s="10">
        <v>311</v>
      </c>
      <c r="X171" s="10">
        <v>184</v>
      </c>
      <c r="Y171" s="10">
        <v>385</v>
      </c>
      <c r="Z171" s="10">
        <v>633</v>
      </c>
      <c r="AA171" s="10">
        <v>524</v>
      </c>
      <c r="AB171" s="10">
        <v>181</v>
      </c>
      <c r="AC171" s="10">
        <v>195</v>
      </c>
      <c r="AD171" s="10">
        <v>639</v>
      </c>
      <c r="AE171" s="10">
        <v>229</v>
      </c>
      <c r="AF171" s="10">
        <v>263</v>
      </c>
      <c r="AG171" s="10">
        <v>539</v>
      </c>
      <c r="AH171" s="10">
        <v>1303</v>
      </c>
      <c r="AI171" s="10">
        <v>470</v>
      </c>
      <c r="AJ171" s="10">
        <v>411</v>
      </c>
      <c r="AK171" s="10">
        <v>244</v>
      </c>
      <c r="AL171" s="10">
        <v>380</v>
      </c>
      <c r="AM171" s="10">
        <v>461</v>
      </c>
      <c r="AN171" s="10">
        <v>552</v>
      </c>
      <c r="AO171" s="10">
        <v>502</v>
      </c>
      <c r="AP171" s="10">
        <v>493</v>
      </c>
      <c r="AQ171" s="10">
        <v>276</v>
      </c>
      <c r="AR171" s="10">
        <v>703</v>
      </c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</row>
    <row r="172" spans="1:81">
      <c r="A172" s="4" t="s">
        <v>597</v>
      </c>
      <c r="B172" s="1" t="s">
        <v>598</v>
      </c>
      <c r="C172" s="1" t="s">
        <v>599</v>
      </c>
      <c r="D172" s="1" t="str">
        <f>HYPERLINK("http://eros.fiehnlab.ucdavis.edu:8080/binbase-compound/bin/show/408831?db=rtx5","408831")</f>
        <v>408831</v>
      </c>
      <c r="E172" s="1" t="s">
        <v>600</v>
      </c>
      <c r="F172" s="1" t="s">
        <v>0</v>
      </c>
      <c r="G172" s="1" t="s">
        <v>0</v>
      </c>
      <c r="H172" s="1"/>
      <c r="I172" s="10">
        <v>13983</v>
      </c>
      <c r="J172" s="10">
        <v>1343</v>
      </c>
      <c r="K172" s="10">
        <v>1396</v>
      </c>
      <c r="L172" s="10">
        <v>21889</v>
      </c>
      <c r="M172" s="10">
        <v>9211</v>
      </c>
      <c r="N172" s="10">
        <v>24449</v>
      </c>
      <c r="O172" s="10">
        <v>9617</v>
      </c>
      <c r="P172" s="10">
        <v>3942</v>
      </c>
      <c r="Q172" s="10">
        <v>20613</v>
      </c>
      <c r="R172" s="10">
        <v>15589</v>
      </c>
      <c r="S172" s="10">
        <v>3288</v>
      </c>
      <c r="T172" s="10">
        <v>10842</v>
      </c>
      <c r="U172" s="10">
        <v>18178</v>
      </c>
      <c r="V172" s="10">
        <v>8556</v>
      </c>
      <c r="W172" s="10">
        <v>11305</v>
      </c>
      <c r="X172" s="10">
        <v>20153</v>
      </c>
      <c r="Y172" s="10">
        <v>19189</v>
      </c>
      <c r="Z172" s="10">
        <v>12001</v>
      </c>
      <c r="AA172" s="10">
        <v>7050</v>
      </c>
      <c r="AB172" s="10">
        <v>20308</v>
      </c>
      <c r="AC172" s="10">
        <v>6433</v>
      </c>
      <c r="AD172" s="10">
        <v>12914</v>
      </c>
      <c r="AE172" s="10">
        <v>25974</v>
      </c>
      <c r="AF172" s="10">
        <v>6960</v>
      </c>
      <c r="AG172" s="10">
        <v>4268</v>
      </c>
      <c r="AH172" s="10">
        <v>25694</v>
      </c>
      <c r="AI172" s="10">
        <v>10058</v>
      </c>
      <c r="AJ172" s="10">
        <v>6938</v>
      </c>
      <c r="AK172" s="10">
        <v>12646</v>
      </c>
      <c r="AL172" s="10">
        <v>4891</v>
      </c>
      <c r="AM172" s="10">
        <v>27081</v>
      </c>
      <c r="AN172" s="10">
        <v>5991</v>
      </c>
      <c r="AO172" s="10">
        <v>17135</v>
      </c>
      <c r="AP172" s="10">
        <v>15291</v>
      </c>
      <c r="AQ172" s="10">
        <v>9791</v>
      </c>
      <c r="AR172" s="10">
        <v>15578</v>
      </c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</row>
    <row r="173" spans="1:81">
      <c r="A173" s="4" t="s">
        <v>629</v>
      </c>
      <c r="B173" s="1" t="s">
        <v>630</v>
      </c>
      <c r="C173" s="1" t="s">
        <v>102</v>
      </c>
      <c r="D173" s="1" t="str">
        <f>HYPERLINK("http://eros.fiehnlab.ucdavis.edu:8080/binbase-compound/bin/show/408593?db=rtx5","408593")</f>
        <v>408593</v>
      </c>
      <c r="E173" s="1" t="s">
        <v>631</v>
      </c>
      <c r="F173" s="1" t="s">
        <v>0</v>
      </c>
      <c r="G173" s="1" t="s">
        <v>0</v>
      </c>
      <c r="H173" s="1"/>
      <c r="I173" s="10">
        <v>266</v>
      </c>
      <c r="J173" s="10">
        <v>734</v>
      </c>
      <c r="K173" s="10">
        <v>2160</v>
      </c>
      <c r="L173" s="10">
        <v>1435</v>
      </c>
      <c r="M173" s="10">
        <v>1538</v>
      </c>
      <c r="N173" s="10">
        <v>964</v>
      </c>
      <c r="O173" s="10">
        <v>451</v>
      </c>
      <c r="P173" s="10">
        <v>5204</v>
      </c>
      <c r="Q173" s="10">
        <v>3374</v>
      </c>
      <c r="R173" s="10">
        <v>1535</v>
      </c>
      <c r="S173" s="10">
        <v>11505</v>
      </c>
      <c r="T173" s="10">
        <v>12286</v>
      </c>
      <c r="U173" s="10">
        <v>755</v>
      </c>
      <c r="V173" s="10">
        <v>8824</v>
      </c>
      <c r="W173" s="10">
        <v>3886</v>
      </c>
      <c r="X173" s="10">
        <v>1180</v>
      </c>
      <c r="Y173" s="10">
        <v>1505</v>
      </c>
      <c r="Z173" s="10">
        <v>2043</v>
      </c>
      <c r="AA173" s="10">
        <v>27562</v>
      </c>
      <c r="AB173" s="10">
        <v>201</v>
      </c>
      <c r="AC173" s="10">
        <v>1331</v>
      </c>
      <c r="AD173" s="10">
        <v>695</v>
      </c>
      <c r="AE173" s="10">
        <v>322</v>
      </c>
      <c r="AF173" s="10">
        <v>2258</v>
      </c>
      <c r="AG173" s="10">
        <v>1279</v>
      </c>
      <c r="AH173" s="10">
        <v>861</v>
      </c>
      <c r="AI173" s="10">
        <v>484</v>
      </c>
      <c r="AJ173" s="10">
        <v>16669</v>
      </c>
      <c r="AK173" s="10">
        <v>1914</v>
      </c>
      <c r="AL173" s="10">
        <v>19458</v>
      </c>
      <c r="AM173" s="10">
        <v>881</v>
      </c>
      <c r="AN173" s="10">
        <v>5476</v>
      </c>
      <c r="AO173" s="10">
        <v>536</v>
      </c>
      <c r="AP173" s="10">
        <v>307</v>
      </c>
      <c r="AQ173" s="10">
        <v>8008</v>
      </c>
      <c r="AR173" s="10">
        <v>1411</v>
      </c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</row>
    <row r="174" spans="1:81">
      <c r="A174" s="4" t="s">
        <v>579</v>
      </c>
      <c r="B174" s="1" t="s">
        <v>580</v>
      </c>
      <c r="C174" s="1" t="s">
        <v>165</v>
      </c>
      <c r="D174" s="1" t="str">
        <f>HYPERLINK("http://eros.fiehnlab.ucdavis.edu:8080/binbase-compound/bin/show/408886?db=rtx5","408886")</f>
        <v>408886</v>
      </c>
      <c r="E174" s="1" t="s">
        <v>581</v>
      </c>
      <c r="F174" s="1" t="s">
        <v>0</v>
      </c>
      <c r="G174" s="1" t="s">
        <v>0</v>
      </c>
      <c r="H174" s="1"/>
      <c r="I174" s="10">
        <v>1894</v>
      </c>
      <c r="J174" s="10">
        <v>512</v>
      </c>
      <c r="K174" s="10">
        <v>377</v>
      </c>
      <c r="L174" s="10">
        <v>884</v>
      </c>
      <c r="M174" s="10">
        <v>1048</v>
      </c>
      <c r="N174" s="10">
        <v>2192</v>
      </c>
      <c r="O174" s="10">
        <v>981</v>
      </c>
      <c r="P174" s="10">
        <v>736</v>
      </c>
      <c r="Q174" s="10">
        <v>1531</v>
      </c>
      <c r="R174" s="10">
        <v>556</v>
      </c>
      <c r="S174" s="10">
        <v>867</v>
      </c>
      <c r="T174" s="10">
        <v>551</v>
      </c>
      <c r="U174" s="10">
        <v>3765</v>
      </c>
      <c r="V174" s="10">
        <v>1025</v>
      </c>
      <c r="W174" s="10">
        <v>1527</v>
      </c>
      <c r="X174" s="10">
        <v>1148</v>
      </c>
      <c r="Y174" s="10">
        <v>1571</v>
      </c>
      <c r="Z174" s="10">
        <v>1742</v>
      </c>
      <c r="AA174" s="10">
        <v>743</v>
      </c>
      <c r="AB174" s="10">
        <v>1283</v>
      </c>
      <c r="AC174" s="10">
        <v>413</v>
      </c>
      <c r="AD174" s="10">
        <v>2261</v>
      </c>
      <c r="AE174" s="10">
        <v>1917</v>
      </c>
      <c r="AF174" s="10">
        <v>598</v>
      </c>
      <c r="AG174" s="10">
        <v>1183</v>
      </c>
      <c r="AH174" s="10">
        <v>3986</v>
      </c>
      <c r="AI174" s="10">
        <v>760</v>
      </c>
      <c r="AJ174" s="10">
        <v>979</v>
      </c>
      <c r="AK174" s="10">
        <v>1272</v>
      </c>
      <c r="AL174" s="10">
        <v>567</v>
      </c>
      <c r="AM174" s="10">
        <v>2840</v>
      </c>
      <c r="AN174" s="10">
        <v>624</v>
      </c>
      <c r="AO174" s="10">
        <v>2057</v>
      </c>
      <c r="AP174" s="10">
        <v>2164</v>
      </c>
      <c r="AQ174" s="10">
        <v>1016</v>
      </c>
      <c r="AR174" s="10">
        <v>2572</v>
      </c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</row>
    <row r="175" spans="1:81">
      <c r="A175" s="4" t="s">
        <v>921</v>
      </c>
      <c r="B175" s="1" t="s">
        <v>922</v>
      </c>
      <c r="C175" s="1" t="s">
        <v>165</v>
      </c>
      <c r="D175" s="1" t="str">
        <f>HYPERLINK("http://eros.fiehnlab.ucdavis.edu:8080/binbase-compound/bin/show/238384?db=rtx5","238384")</f>
        <v>238384</v>
      </c>
      <c r="E175" s="1" t="s">
        <v>923</v>
      </c>
      <c r="F175" s="1" t="s">
        <v>0</v>
      </c>
      <c r="G175" s="1" t="s">
        <v>0</v>
      </c>
      <c r="H175" s="1"/>
      <c r="I175" s="10">
        <v>12332</v>
      </c>
      <c r="J175" s="10">
        <v>2866</v>
      </c>
      <c r="K175" s="10">
        <v>2571</v>
      </c>
      <c r="L175" s="10">
        <v>14525</v>
      </c>
      <c r="M175" s="10">
        <v>9530</v>
      </c>
      <c r="N175" s="10">
        <v>13745</v>
      </c>
      <c r="O175" s="10">
        <v>7252</v>
      </c>
      <c r="P175" s="10">
        <v>6872</v>
      </c>
      <c r="Q175" s="10">
        <v>12999</v>
      </c>
      <c r="R175" s="10">
        <v>8072</v>
      </c>
      <c r="S175" s="10">
        <v>4296</v>
      </c>
      <c r="T175" s="10">
        <v>3114</v>
      </c>
      <c r="U175" s="10">
        <v>18436</v>
      </c>
      <c r="V175" s="10">
        <v>6462</v>
      </c>
      <c r="W175" s="10">
        <v>10005</v>
      </c>
      <c r="X175" s="10">
        <v>15123</v>
      </c>
      <c r="Y175" s="10">
        <v>13915</v>
      </c>
      <c r="Z175" s="10">
        <v>9816</v>
      </c>
      <c r="AA175" s="10">
        <v>4867</v>
      </c>
      <c r="AB175" s="10">
        <v>17291</v>
      </c>
      <c r="AC175" s="10">
        <v>3215</v>
      </c>
      <c r="AD175" s="10">
        <v>9136</v>
      </c>
      <c r="AE175" s="10">
        <v>17556</v>
      </c>
      <c r="AF175" s="10">
        <v>4114</v>
      </c>
      <c r="AG175" s="10">
        <v>4460</v>
      </c>
      <c r="AH175" s="10">
        <v>18930</v>
      </c>
      <c r="AI175" s="10">
        <v>8046</v>
      </c>
      <c r="AJ175" s="10">
        <v>6458</v>
      </c>
      <c r="AK175" s="10">
        <v>11358</v>
      </c>
      <c r="AL175" s="10">
        <v>4199</v>
      </c>
      <c r="AM175" s="10">
        <v>12890</v>
      </c>
      <c r="AN175" s="10">
        <v>5658</v>
      </c>
      <c r="AO175" s="10">
        <v>12801</v>
      </c>
      <c r="AP175" s="10">
        <v>13354</v>
      </c>
      <c r="AQ175" s="10">
        <v>8861</v>
      </c>
      <c r="AR175" s="10">
        <v>11419</v>
      </c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</row>
    <row r="176" spans="1:81">
      <c r="A176" s="4" t="s">
        <v>861</v>
      </c>
      <c r="B176" s="1" t="s">
        <v>862</v>
      </c>
      <c r="C176" s="1" t="s">
        <v>466</v>
      </c>
      <c r="D176" s="1" t="str">
        <f>HYPERLINK("http://eros.fiehnlab.ucdavis.edu:8080/binbase-compound/bin/show/241656?db=rtx5","241656")</f>
        <v>241656</v>
      </c>
      <c r="E176" s="1" t="s">
        <v>863</v>
      </c>
      <c r="F176" s="1" t="s">
        <v>0</v>
      </c>
      <c r="G176" s="1" t="s">
        <v>0</v>
      </c>
      <c r="H176" s="1"/>
      <c r="I176" s="10">
        <v>1383</v>
      </c>
      <c r="J176" s="10">
        <v>517</v>
      </c>
      <c r="K176" s="10">
        <v>372</v>
      </c>
      <c r="L176" s="10">
        <v>1739</v>
      </c>
      <c r="M176" s="10">
        <v>799</v>
      </c>
      <c r="N176" s="10">
        <v>1125</v>
      </c>
      <c r="O176" s="10">
        <v>520</v>
      </c>
      <c r="P176" s="10">
        <v>617</v>
      </c>
      <c r="Q176" s="10">
        <v>1139</v>
      </c>
      <c r="R176" s="10">
        <v>965</v>
      </c>
      <c r="S176" s="10">
        <v>708</v>
      </c>
      <c r="T176" s="10">
        <v>428</v>
      </c>
      <c r="U176" s="10">
        <v>1740</v>
      </c>
      <c r="V176" s="10">
        <v>685</v>
      </c>
      <c r="W176" s="10">
        <v>926</v>
      </c>
      <c r="X176" s="10">
        <v>1190</v>
      </c>
      <c r="Y176" s="10">
        <v>864</v>
      </c>
      <c r="Z176" s="10">
        <v>844</v>
      </c>
      <c r="AA176" s="10">
        <v>643</v>
      </c>
      <c r="AB176" s="10">
        <v>1158</v>
      </c>
      <c r="AC176" s="10">
        <v>374</v>
      </c>
      <c r="AD176" s="10">
        <v>1121</v>
      </c>
      <c r="AE176" s="10">
        <v>1460</v>
      </c>
      <c r="AF176" s="10">
        <v>574</v>
      </c>
      <c r="AG176" s="10">
        <v>446</v>
      </c>
      <c r="AH176" s="10">
        <v>1460</v>
      </c>
      <c r="AI176" s="10">
        <v>801</v>
      </c>
      <c r="AJ176" s="10">
        <v>698</v>
      </c>
      <c r="AK176" s="10">
        <v>773</v>
      </c>
      <c r="AL176" s="10">
        <v>688</v>
      </c>
      <c r="AM176" s="10">
        <v>1120</v>
      </c>
      <c r="AN176" s="10">
        <v>665</v>
      </c>
      <c r="AO176" s="10">
        <v>1091</v>
      </c>
      <c r="AP176" s="10">
        <v>1286</v>
      </c>
      <c r="AQ176" s="10">
        <v>819</v>
      </c>
      <c r="AR176" s="10">
        <v>949</v>
      </c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</row>
    <row r="177" spans="1:81">
      <c r="A177" s="4" t="s">
        <v>639</v>
      </c>
      <c r="B177" s="1" t="s">
        <v>640</v>
      </c>
      <c r="C177" s="1" t="s">
        <v>388</v>
      </c>
      <c r="D177" s="1" t="str">
        <f>HYPERLINK("http://eros.fiehnlab.ucdavis.edu:8080/binbase-compound/bin/show/404736?db=rtx5","404736")</f>
        <v>404736</v>
      </c>
      <c r="E177" s="1" t="s">
        <v>641</v>
      </c>
      <c r="F177" s="1" t="s">
        <v>0</v>
      </c>
      <c r="G177" s="1" t="s">
        <v>0</v>
      </c>
      <c r="H177" s="1"/>
      <c r="I177" s="10">
        <v>2778</v>
      </c>
      <c r="J177" s="10">
        <v>1983</v>
      </c>
      <c r="K177" s="10">
        <v>2031</v>
      </c>
      <c r="L177" s="10">
        <v>13179</v>
      </c>
      <c r="M177" s="10">
        <v>4520</v>
      </c>
      <c r="N177" s="10">
        <v>3199</v>
      </c>
      <c r="O177" s="10">
        <v>1805</v>
      </c>
      <c r="P177" s="10">
        <v>4092</v>
      </c>
      <c r="Q177" s="10">
        <v>2230</v>
      </c>
      <c r="R177" s="10">
        <v>2356</v>
      </c>
      <c r="S177" s="10">
        <v>1661</v>
      </c>
      <c r="T177" s="10">
        <v>2012</v>
      </c>
      <c r="U177" s="10">
        <v>15846</v>
      </c>
      <c r="V177" s="10">
        <v>10221</v>
      </c>
      <c r="W177" s="10">
        <v>10613</v>
      </c>
      <c r="X177" s="10">
        <v>8751</v>
      </c>
      <c r="Y177" s="10">
        <v>3234</v>
      </c>
      <c r="Z177" s="10">
        <v>2513</v>
      </c>
      <c r="AA177" s="10">
        <v>2051</v>
      </c>
      <c r="AB177" s="10">
        <v>3935</v>
      </c>
      <c r="AC177" s="10">
        <v>2464</v>
      </c>
      <c r="AD177" s="10">
        <v>1728</v>
      </c>
      <c r="AE177" s="10">
        <v>10197</v>
      </c>
      <c r="AF177" s="10">
        <v>1070</v>
      </c>
      <c r="AG177" s="10">
        <v>2364</v>
      </c>
      <c r="AH177" s="10">
        <v>3327</v>
      </c>
      <c r="AI177" s="10">
        <v>1841</v>
      </c>
      <c r="AJ177" s="10">
        <v>3662</v>
      </c>
      <c r="AK177" s="10">
        <v>13859</v>
      </c>
      <c r="AL177" s="10">
        <v>3330</v>
      </c>
      <c r="AM177" s="10">
        <v>4901</v>
      </c>
      <c r="AN177" s="10">
        <v>2761</v>
      </c>
      <c r="AO177" s="10">
        <v>2768</v>
      </c>
      <c r="AP177" s="10">
        <v>4525</v>
      </c>
      <c r="AQ177" s="10">
        <v>2334</v>
      </c>
      <c r="AR177" s="10">
        <v>3044</v>
      </c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</row>
    <row r="178" spans="1:81">
      <c r="A178" s="4" t="s">
        <v>744</v>
      </c>
      <c r="B178" s="1" t="s">
        <v>745</v>
      </c>
      <c r="C178" s="1" t="s">
        <v>746</v>
      </c>
      <c r="D178" s="1" t="str">
        <f>HYPERLINK("http://eros.fiehnlab.ucdavis.edu:8080/binbase-compound/bin/show/310006?db=rtx5","310006")</f>
        <v>310006</v>
      </c>
      <c r="E178" s="1" t="s">
        <v>747</v>
      </c>
      <c r="F178" s="1" t="s">
        <v>0</v>
      </c>
      <c r="G178" s="1" t="s">
        <v>0</v>
      </c>
      <c r="H178" s="1"/>
      <c r="I178" s="10">
        <v>1396</v>
      </c>
      <c r="J178" s="10">
        <v>762</v>
      </c>
      <c r="K178" s="10">
        <v>717</v>
      </c>
      <c r="L178" s="10">
        <v>1375</v>
      </c>
      <c r="M178" s="10">
        <v>940</v>
      </c>
      <c r="N178" s="10">
        <v>1411</v>
      </c>
      <c r="O178" s="10">
        <v>988</v>
      </c>
      <c r="P178" s="10">
        <v>1081</v>
      </c>
      <c r="Q178" s="10">
        <v>1155</v>
      </c>
      <c r="R178" s="10">
        <v>1147</v>
      </c>
      <c r="S178" s="10">
        <v>584</v>
      </c>
      <c r="T178" s="10">
        <v>973</v>
      </c>
      <c r="U178" s="10">
        <v>1439</v>
      </c>
      <c r="V178" s="10">
        <v>660</v>
      </c>
      <c r="W178" s="10">
        <v>995</v>
      </c>
      <c r="X178" s="10">
        <v>1202</v>
      </c>
      <c r="Y178" s="10">
        <v>1336</v>
      </c>
      <c r="Z178" s="10">
        <v>1122</v>
      </c>
      <c r="AA178" s="10">
        <v>971</v>
      </c>
      <c r="AB178" s="10">
        <v>1692</v>
      </c>
      <c r="AC178" s="10">
        <v>560</v>
      </c>
      <c r="AD178" s="10">
        <v>1116</v>
      </c>
      <c r="AE178" s="10">
        <v>1220</v>
      </c>
      <c r="AF178" s="10">
        <v>537</v>
      </c>
      <c r="AG178" s="10">
        <v>755</v>
      </c>
      <c r="AH178" s="10">
        <v>1564</v>
      </c>
      <c r="AI178" s="10">
        <v>1065</v>
      </c>
      <c r="AJ178" s="10">
        <v>868</v>
      </c>
      <c r="AK178" s="10">
        <v>950</v>
      </c>
      <c r="AL178" s="10">
        <v>635</v>
      </c>
      <c r="AM178" s="10">
        <v>1343</v>
      </c>
      <c r="AN178" s="10">
        <v>1063</v>
      </c>
      <c r="AO178" s="10">
        <v>1214</v>
      </c>
      <c r="AP178" s="10">
        <v>1394</v>
      </c>
      <c r="AQ178" s="10">
        <v>745</v>
      </c>
      <c r="AR178" s="10">
        <v>1248</v>
      </c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</row>
    <row r="179" spans="1:81">
      <c r="A179" s="4" t="s">
        <v>1177</v>
      </c>
      <c r="B179" s="1" t="s">
        <v>1178</v>
      </c>
      <c r="C179" s="1" t="s">
        <v>1179</v>
      </c>
      <c r="D179" s="1" t="str">
        <f>HYPERLINK("http://eros.fiehnlab.ucdavis.edu:8080/binbase-compound/bin/show/200484?db=rtx5","200484")</f>
        <v>200484</v>
      </c>
      <c r="E179" s="1" t="s">
        <v>1180</v>
      </c>
      <c r="F179" s="1" t="s">
        <v>0</v>
      </c>
      <c r="G179" s="1" t="s">
        <v>0</v>
      </c>
      <c r="H179" s="1"/>
      <c r="I179" s="10">
        <v>1411</v>
      </c>
      <c r="J179" s="10">
        <v>16513</v>
      </c>
      <c r="K179" s="10">
        <v>15493</v>
      </c>
      <c r="L179" s="10">
        <v>469</v>
      </c>
      <c r="M179" s="10">
        <v>12039</v>
      </c>
      <c r="N179" s="10">
        <v>5844</v>
      </c>
      <c r="O179" s="10">
        <v>1539</v>
      </c>
      <c r="P179" s="10">
        <v>30452</v>
      </c>
      <c r="Q179" s="10">
        <v>1930</v>
      </c>
      <c r="R179" s="10">
        <v>1461</v>
      </c>
      <c r="S179" s="10">
        <v>17989</v>
      </c>
      <c r="T179" s="10">
        <v>10368</v>
      </c>
      <c r="U179" s="10">
        <v>249</v>
      </c>
      <c r="V179" s="10">
        <v>22560</v>
      </c>
      <c r="W179" s="10">
        <v>688</v>
      </c>
      <c r="X179" s="10">
        <v>750</v>
      </c>
      <c r="Y179" s="10">
        <v>6637</v>
      </c>
      <c r="Z179" s="10">
        <v>434</v>
      </c>
      <c r="AA179" s="10">
        <v>18528</v>
      </c>
      <c r="AB179" s="10">
        <v>600</v>
      </c>
      <c r="AC179" s="10">
        <v>11680</v>
      </c>
      <c r="AD179" s="10">
        <v>640</v>
      </c>
      <c r="AE179" s="10">
        <v>965</v>
      </c>
      <c r="AF179" s="10">
        <v>7062</v>
      </c>
      <c r="AG179" s="10">
        <v>9641</v>
      </c>
      <c r="AH179" s="10">
        <v>531</v>
      </c>
      <c r="AI179" s="10">
        <v>831</v>
      </c>
      <c r="AJ179" s="10">
        <v>33906</v>
      </c>
      <c r="AK179" s="10">
        <v>899</v>
      </c>
      <c r="AL179" s="10">
        <v>34269</v>
      </c>
      <c r="AM179" s="10">
        <v>607</v>
      </c>
      <c r="AN179" s="10">
        <v>16600</v>
      </c>
      <c r="AO179" s="10">
        <v>618</v>
      </c>
      <c r="AP179" s="10">
        <v>366</v>
      </c>
      <c r="AQ179" s="10">
        <v>8143</v>
      </c>
      <c r="AR179" s="10">
        <v>688</v>
      </c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</row>
    <row r="180" spans="1:81">
      <c r="A180" s="4" t="s">
        <v>1062</v>
      </c>
      <c r="B180" s="1" t="s">
        <v>1063</v>
      </c>
      <c r="C180" s="1" t="s">
        <v>159</v>
      </c>
      <c r="D180" s="1" t="str">
        <f>HYPERLINK("http://eros.fiehnlab.ucdavis.edu:8080/binbase-compound/bin/show/218728?db=rtx5","218728")</f>
        <v>218728</v>
      </c>
      <c r="E180" s="1" t="s">
        <v>1064</v>
      </c>
      <c r="F180" s="1" t="s">
        <v>0</v>
      </c>
      <c r="G180" s="1" t="s">
        <v>0</v>
      </c>
      <c r="H180" s="1"/>
      <c r="I180" s="10">
        <v>3527</v>
      </c>
      <c r="J180" s="10">
        <v>2663</v>
      </c>
      <c r="K180" s="10">
        <v>2731</v>
      </c>
      <c r="L180" s="10">
        <v>3931</v>
      </c>
      <c r="M180" s="10">
        <v>1180</v>
      </c>
      <c r="N180" s="10">
        <v>2667</v>
      </c>
      <c r="O180" s="10">
        <v>2416</v>
      </c>
      <c r="P180" s="10">
        <v>4540</v>
      </c>
      <c r="Q180" s="10">
        <v>3128</v>
      </c>
      <c r="R180" s="10">
        <v>2529</v>
      </c>
      <c r="S180" s="10">
        <v>5226</v>
      </c>
      <c r="T180" s="10">
        <v>1756</v>
      </c>
      <c r="U180" s="10">
        <v>2972</v>
      </c>
      <c r="V180" s="10">
        <v>835</v>
      </c>
      <c r="W180" s="10">
        <v>601</v>
      </c>
      <c r="X180" s="10">
        <v>3635</v>
      </c>
      <c r="Y180" s="10">
        <v>487</v>
      </c>
      <c r="Z180" s="10">
        <v>1365</v>
      </c>
      <c r="AA180" s="10">
        <v>3909</v>
      </c>
      <c r="AB180" s="10">
        <v>4852</v>
      </c>
      <c r="AC180" s="10">
        <v>2697</v>
      </c>
      <c r="AD180" s="10">
        <v>2016</v>
      </c>
      <c r="AE180" s="10">
        <v>4723</v>
      </c>
      <c r="AF180" s="10">
        <v>2000</v>
      </c>
      <c r="AG180" s="10">
        <v>2629</v>
      </c>
      <c r="AH180" s="10">
        <v>2567</v>
      </c>
      <c r="AI180" s="10">
        <v>1976</v>
      </c>
      <c r="AJ180" s="10">
        <v>1540</v>
      </c>
      <c r="AK180" s="10">
        <v>2203</v>
      </c>
      <c r="AL180" s="10">
        <v>2944</v>
      </c>
      <c r="AM180" s="10">
        <v>1730</v>
      </c>
      <c r="AN180" s="10">
        <v>563</v>
      </c>
      <c r="AO180" s="10">
        <v>1785</v>
      </c>
      <c r="AP180" s="10">
        <v>2190</v>
      </c>
      <c r="AQ180" s="10">
        <v>1397</v>
      </c>
      <c r="AR180" s="10">
        <v>944</v>
      </c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</row>
    <row r="181" spans="1:81">
      <c r="A181" s="4" t="s">
        <v>538</v>
      </c>
      <c r="B181" s="1" t="s">
        <v>539</v>
      </c>
      <c r="C181" s="1" t="s">
        <v>246</v>
      </c>
      <c r="D181" s="1" t="str">
        <f>HYPERLINK("http://eros.fiehnlab.ucdavis.edu:8080/binbase-compound/bin/show/409596?db=rtx5","409596")</f>
        <v>409596</v>
      </c>
      <c r="E181" s="1" t="s">
        <v>540</v>
      </c>
      <c r="F181" s="1" t="s">
        <v>0</v>
      </c>
      <c r="G181" s="1" t="s">
        <v>0</v>
      </c>
      <c r="H181" s="1"/>
      <c r="I181" s="10">
        <v>4906</v>
      </c>
      <c r="J181" s="10">
        <v>1479</v>
      </c>
      <c r="K181" s="10">
        <v>963</v>
      </c>
      <c r="L181" s="10">
        <v>5204</v>
      </c>
      <c r="M181" s="10">
        <v>3234</v>
      </c>
      <c r="N181" s="10">
        <v>5550</v>
      </c>
      <c r="O181" s="10">
        <v>2295</v>
      </c>
      <c r="P181" s="10">
        <v>1906</v>
      </c>
      <c r="Q181" s="10">
        <v>5226</v>
      </c>
      <c r="R181" s="10">
        <v>3401</v>
      </c>
      <c r="S181" s="10">
        <v>2272</v>
      </c>
      <c r="T181" s="10">
        <v>1198</v>
      </c>
      <c r="U181" s="10">
        <v>7226</v>
      </c>
      <c r="V181" s="10">
        <v>2193</v>
      </c>
      <c r="W181" s="10">
        <v>3631</v>
      </c>
      <c r="X181" s="10">
        <v>4241</v>
      </c>
      <c r="Y181" s="10">
        <v>4413</v>
      </c>
      <c r="Z181" s="10">
        <v>3597</v>
      </c>
      <c r="AA181" s="10">
        <v>2005</v>
      </c>
      <c r="AB181" s="10">
        <v>5794</v>
      </c>
      <c r="AC181" s="10">
        <v>739</v>
      </c>
      <c r="AD181" s="10">
        <v>3634</v>
      </c>
      <c r="AE181" s="10">
        <v>4575</v>
      </c>
      <c r="AF181" s="10">
        <v>1176</v>
      </c>
      <c r="AG181" s="10">
        <v>1295</v>
      </c>
      <c r="AH181" s="10">
        <v>5624</v>
      </c>
      <c r="AI181" s="10">
        <v>3167</v>
      </c>
      <c r="AJ181" s="10">
        <v>2105</v>
      </c>
      <c r="AK181" s="10">
        <v>3741</v>
      </c>
      <c r="AL181" s="10">
        <v>1607</v>
      </c>
      <c r="AM181" s="10">
        <v>4747</v>
      </c>
      <c r="AN181" s="10">
        <v>2252</v>
      </c>
      <c r="AO181" s="10">
        <v>4895</v>
      </c>
      <c r="AP181" s="10">
        <v>4999</v>
      </c>
      <c r="AQ181" s="10">
        <v>2445</v>
      </c>
      <c r="AR181" s="10">
        <v>3562</v>
      </c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</row>
    <row r="182" spans="1:81">
      <c r="A182" s="4" t="s">
        <v>591</v>
      </c>
      <c r="B182" s="1" t="s">
        <v>592</v>
      </c>
      <c r="C182" s="1" t="s">
        <v>193</v>
      </c>
      <c r="D182" s="1" t="str">
        <f>HYPERLINK("http://eros.fiehnlab.ucdavis.edu:8080/binbase-compound/bin/show/408849?db=rtx5","408849")</f>
        <v>408849</v>
      </c>
      <c r="E182" s="1" t="s">
        <v>593</v>
      </c>
      <c r="F182" s="1" t="s">
        <v>0</v>
      </c>
      <c r="G182" s="1" t="s">
        <v>0</v>
      </c>
      <c r="H182" s="1"/>
      <c r="I182" s="10">
        <v>8548</v>
      </c>
      <c r="J182" s="10">
        <v>2028</v>
      </c>
      <c r="K182" s="10">
        <v>1577</v>
      </c>
      <c r="L182" s="10">
        <v>6960</v>
      </c>
      <c r="M182" s="10">
        <v>9828</v>
      </c>
      <c r="N182" s="10">
        <v>10692</v>
      </c>
      <c r="O182" s="10">
        <v>3898</v>
      </c>
      <c r="P182" s="10">
        <v>3225</v>
      </c>
      <c r="Q182" s="10">
        <v>8448</v>
      </c>
      <c r="R182" s="10">
        <v>5745</v>
      </c>
      <c r="S182" s="10">
        <v>3055</v>
      </c>
      <c r="T182" s="10">
        <v>1899</v>
      </c>
      <c r="U182" s="10">
        <v>11588</v>
      </c>
      <c r="V182" s="10">
        <v>4172</v>
      </c>
      <c r="W182" s="10">
        <v>6848</v>
      </c>
      <c r="X182" s="10">
        <v>4527</v>
      </c>
      <c r="Y182" s="10">
        <v>8776</v>
      </c>
      <c r="Z182" s="10">
        <v>6988</v>
      </c>
      <c r="AA182" s="10">
        <v>3049</v>
      </c>
      <c r="AB182" s="10">
        <v>11172</v>
      </c>
      <c r="AC182" s="10">
        <v>1854</v>
      </c>
      <c r="AD182" s="10">
        <v>6737</v>
      </c>
      <c r="AE182" s="10">
        <v>7049</v>
      </c>
      <c r="AF182" s="10">
        <v>2117</v>
      </c>
      <c r="AG182" s="10">
        <v>2392</v>
      </c>
      <c r="AH182" s="10">
        <v>10143</v>
      </c>
      <c r="AI182" s="10">
        <v>4792</v>
      </c>
      <c r="AJ182" s="10">
        <v>3350</v>
      </c>
      <c r="AK182" s="10">
        <v>6859</v>
      </c>
      <c r="AL182" s="10">
        <v>2596</v>
      </c>
      <c r="AM182" s="10">
        <v>7218</v>
      </c>
      <c r="AN182" s="10">
        <v>4068</v>
      </c>
      <c r="AO182" s="10">
        <v>7835</v>
      </c>
      <c r="AP182" s="10">
        <v>8266</v>
      </c>
      <c r="AQ182" s="10">
        <v>7808</v>
      </c>
      <c r="AR182" s="10">
        <v>6843</v>
      </c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</row>
    <row r="183" spans="1:81">
      <c r="A183" s="4" t="s">
        <v>1080</v>
      </c>
      <c r="B183" s="1" t="s">
        <v>1081</v>
      </c>
      <c r="C183" s="1" t="s">
        <v>519</v>
      </c>
      <c r="D183" s="1" t="str">
        <f>HYPERLINK("http://eros.fiehnlab.ucdavis.edu:8080/binbase-compound/bin/show/214152?db=rtx5","214152")</f>
        <v>214152</v>
      </c>
      <c r="E183" s="1" t="s">
        <v>1082</v>
      </c>
      <c r="F183" s="1" t="s">
        <v>0</v>
      </c>
      <c r="G183" s="1" t="s">
        <v>0</v>
      </c>
      <c r="H183" s="1"/>
      <c r="I183" s="10">
        <v>5215</v>
      </c>
      <c r="J183" s="10">
        <v>863</v>
      </c>
      <c r="K183" s="10">
        <v>529</v>
      </c>
      <c r="L183" s="10">
        <v>2163</v>
      </c>
      <c r="M183" s="10">
        <v>8328</v>
      </c>
      <c r="N183" s="10">
        <v>5479</v>
      </c>
      <c r="O183" s="10">
        <v>2149</v>
      </c>
      <c r="P183" s="10">
        <v>974</v>
      </c>
      <c r="Q183" s="10">
        <v>4289</v>
      </c>
      <c r="R183" s="10">
        <v>1970</v>
      </c>
      <c r="S183" s="10">
        <v>605</v>
      </c>
      <c r="T183" s="10">
        <v>654</v>
      </c>
      <c r="U183" s="10">
        <v>6457</v>
      </c>
      <c r="V183" s="10">
        <v>6003</v>
      </c>
      <c r="W183" s="10">
        <v>10326</v>
      </c>
      <c r="X183" s="10">
        <v>2568</v>
      </c>
      <c r="Y183" s="10">
        <v>5984</v>
      </c>
      <c r="Z183" s="10">
        <v>11600</v>
      </c>
      <c r="AA183" s="10">
        <v>1443</v>
      </c>
      <c r="AB183" s="10">
        <v>2127</v>
      </c>
      <c r="AC183" s="10">
        <v>778</v>
      </c>
      <c r="AD183" s="10">
        <v>11220</v>
      </c>
      <c r="AE183" s="10">
        <v>6896</v>
      </c>
      <c r="AF183" s="10">
        <v>609</v>
      </c>
      <c r="AG183" s="10">
        <v>5237</v>
      </c>
      <c r="AH183" s="10">
        <v>9178</v>
      </c>
      <c r="AI183" s="10">
        <v>2137</v>
      </c>
      <c r="AJ183" s="10">
        <v>1254</v>
      </c>
      <c r="AK183" s="10">
        <v>6571</v>
      </c>
      <c r="AL183" s="10">
        <v>447</v>
      </c>
      <c r="AM183" s="10">
        <v>4400</v>
      </c>
      <c r="AN183" s="10">
        <v>2144</v>
      </c>
      <c r="AO183" s="10">
        <v>8413</v>
      </c>
      <c r="AP183" s="10">
        <v>7503</v>
      </c>
      <c r="AQ183" s="10">
        <v>2790</v>
      </c>
      <c r="AR183" s="10">
        <v>20471</v>
      </c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</row>
    <row r="184" spans="1:81">
      <c r="A184" s="4" t="s">
        <v>726</v>
      </c>
      <c r="B184" s="1" t="s">
        <v>727</v>
      </c>
      <c r="C184" s="1" t="s">
        <v>728</v>
      </c>
      <c r="D184" s="1" t="str">
        <f>HYPERLINK("http://eros.fiehnlab.ucdavis.edu:8080/binbase-compound/bin/show/352980?db=rtx5","352980")</f>
        <v>352980</v>
      </c>
      <c r="E184" s="1" t="s">
        <v>729</v>
      </c>
      <c r="F184" s="1" t="s">
        <v>0</v>
      </c>
      <c r="G184" s="1" t="s">
        <v>0</v>
      </c>
      <c r="H184" s="1"/>
      <c r="I184" s="10">
        <v>355</v>
      </c>
      <c r="J184" s="10">
        <v>811</v>
      </c>
      <c r="K184" s="10">
        <v>416</v>
      </c>
      <c r="L184" s="10">
        <v>970</v>
      </c>
      <c r="M184" s="10">
        <v>1575</v>
      </c>
      <c r="N184" s="10">
        <v>494</v>
      </c>
      <c r="O184" s="10">
        <v>564</v>
      </c>
      <c r="P184" s="10">
        <v>629</v>
      </c>
      <c r="Q184" s="10">
        <v>781</v>
      </c>
      <c r="R184" s="10">
        <v>1301</v>
      </c>
      <c r="S184" s="10">
        <v>610</v>
      </c>
      <c r="T184" s="10">
        <v>425</v>
      </c>
      <c r="U184" s="10">
        <v>1950</v>
      </c>
      <c r="V184" s="10">
        <v>5512</v>
      </c>
      <c r="W184" s="10">
        <v>2313</v>
      </c>
      <c r="X184" s="10">
        <v>633</v>
      </c>
      <c r="Y184" s="10">
        <v>2269</v>
      </c>
      <c r="Z184" s="10">
        <v>1970</v>
      </c>
      <c r="AA184" s="10">
        <v>779</v>
      </c>
      <c r="AB184" s="10">
        <v>1090</v>
      </c>
      <c r="AC184" s="10">
        <v>577</v>
      </c>
      <c r="AD184" s="10">
        <v>2172</v>
      </c>
      <c r="AE184" s="10">
        <v>526</v>
      </c>
      <c r="AF184" s="10">
        <v>599</v>
      </c>
      <c r="AG184" s="10">
        <v>1610</v>
      </c>
      <c r="AH184" s="10">
        <v>1526</v>
      </c>
      <c r="AI184" s="10">
        <v>970</v>
      </c>
      <c r="AJ184" s="10">
        <v>2235</v>
      </c>
      <c r="AK184" s="10">
        <v>1163</v>
      </c>
      <c r="AL184" s="10">
        <v>695</v>
      </c>
      <c r="AM184" s="10">
        <v>2219</v>
      </c>
      <c r="AN184" s="10">
        <v>4935</v>
      </c>
      <c r="AO184" s="10">
        <v>1620</v>
      </c>
      <c r="AP184" s="10">
        <v>1827</v>
      </c>
      <c r="AQ184" s="10">
        <v>1116</v>
      </c>
      <c r="AR184" s="10">
        <v>2192</v>
      </c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</row>
    <row r="185" spans="1:81">
      <c r="A185" s="4" t="s">
        <v>908</v>
      </c>
      <c r="B185" s="1" t="s">
        <v>909</v>
      </c>
      <c r="C185" s="1" t="s">
        <v>115</v>
      </c>
      <c r="D185" s="1" t="str">
        <f>HYPERLINK("http://eros.fiehnlab.ucdavis.edu:8080/binbase-compound/bin/show/240551?db=rtx5","240551")</f>
        <v>240551</v>
      </c>
      <c r="E185" s="1" t="s">
        <v>910</v>
      </c>
      <c r="F185" s="1" t="s">
        <v>0</v>
      </c>
      <c r="G185" s="1" t="s">
        <v>0</v>
      </c>
      <c r="H185" s="1"/>
      <c r="I185" s="10">
        <v>1875</v>
      </c>
      <c r="J185" s="10">
        <v>556</v>
      </c>
      <c r="K185" s="10">
        <v>586</v>
      </c>
      <c r="L185" s="10">
        <v>2132</v>
      </c>
      <c r="M185" s="10">
        <v>1130</v>
      </c>
      <c r="N185" s="10">
        <v>2226</v>
      </c>
      <c r="O185" s="10">
        <v>1008</v>
      </c>
      <c r="P185" s="10">
        <v>1499</v>
      </c>
      <c r="Q185" s="10">
        <v>1883</v>
      </c>
      <c r="R185" s="10">
        <v>1186</v>
      </c>
      <c r="S185" s="10">
        <v>743</v>
      </c>
      <c r="T185" s="10">
        <v>724</v>
      </c>
      <c r="U185" s="10">
        <v>2755</v>
      </c>
      <c r="V185" s="10">
        <v>685</v>
      </c>
      <c r="W185" s="10">
        <v>1468</v>
      </c>
      <c r="X185" s="10">
        <v>2087</v>
      </c>
      <c r="Y185" s="10">
        <v>1800</v>
      </c>
      <c r="Z185" s="10">
        <v>1366</v>
      </c>
      <c r="AA185" s="10">
        <v>1077</v>
      </c>
      <c r="AB185" s="10">
        <v>2371</v>
      </c>
      <c r="AC185" s="10">
        <v>670</v>
      </c>
      <c r="AD185" s="10">
        <v>1343</v>
      </c>
      <c r="AE185" s="10">
        <v>2323</v>
      </c>
      <c r="AF185" s="10">
        <v>852</v>
      </c>
      <c r="AG185" s="10">
        <v>635</v>
      </c>
      <c r="AH185" s="10">
        <v>2562</v>
      </c>
      <c r="AI185" s="10">
        <v>1145</v>
      </c>
      <c r="AJ185" s="10">
        <v>1281</v>
      </c>
      <c r="AK185" s="10">
        <v>1560</v>
      </c>
      <c r="AL185" s="10">
        <v>929</v>
      </c>
      <c r="AM185" s="10">
        <v>1553</v>
      </c>
      <c r="AN185" s="10">
        <v>1042</v>
      </c>
      <c r="AO185" s="10">
        <v>1764</v>
      </c>
      <c r="AP185" s="10">
        <v>1913</v>
      </c>
      <c r="AQ185" s="10">
        <v>1359</v>
      </c>
      <c r="AR185" s="10">
        <v>1295</v>
      </c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</row>
    <row r="186" spans="1:81">
      <c r="A186" s="4" t="s">
        <v>887</v>
      </c>
      <c r="B186" s="1" t="s">
        <v>888</v>
      </c>
      <c r="C186" s="1" t="s">
        <v>193</v>
      </c>
      <c r="D186" s="1" t="str">
        <f>HYPERLINK("http://eros.fiehnlab.ucdavis.edu:8080/binbase-compound/bin/show/241059?db=rtx5","241059")</f>
        <v>241059</v>
      </c>
      <c r="E186" s="1" t="s">
        <v>889</v>
      </c>
      <c r="F186" s="1" t="s">
        <v>0</v>
      </c>
      <c r="G186" s="1" t="s">
        <v>0</v>
      </c>
      <c r="H186" s="1"/>
      <c r="I186" s="10">
        <v>1703</v>
      </c>
      <c r="J186" s="10">
        <v>1029</v>
      </c>
      <c r="K186" s="10">
        <v>1040</v>
      </c>
      <c r="L186" s="10">
        <v>1459</v>
      </c>
      <c r="M186" s="10">
        <v>2193</v>
      </c>
      <c r="N186" s="10">
        <v>1492</v>
      </c>
      <c r="O186" s="10">
        <v>1097</v>
      </c>
      <c r="P186" s="10">
        <v>1630</v>
      </c>
      <c r="Q186" s="10">
        <v>2176</v>
      </c>
      <c r="R186" s="10">
        <v>1530</v>
      </c>
      <c r="S186" s="10">
        <v>1635</v>
      </c>
      <c r="T186" s="10">
        <v>946</v>
      </c>
      <c r="U186" s="10">
        <v>2913</v>
      </c>
      <c r="V186" s="10">
        <v>1325</v>
      </c>
      <c r="W186" s="10">
        <v>1833</v>
      </c>
      <c r="X186" s="10">
        <v>1408</v>
      </c>
      <c r="Y186" s="10">
        <v>1704</v>
      </c>
      <c r="Z186" s="10">
        <v>1310</v>
      </c>
      <c r="AA186" s="10">
        <v>1289</v>
      </c>
      <c r="AB186" s="10">
        <v>2185</v>
      </c>
      <c r="AC186" s="10">
        <v>816</v>
      </c>
      <c r="AD186" s="10">
        <v>1436</v>
      </c>
      <c r="AE186" s="10">
        <v>1464</v>
      </c>
      <c r="AF186" s="10">
        <v>650</v>
      </c>
      <c r="AG186" s="10">
        <v>1190</v>
      </c>
      <c r="AH186" s="10">
        <v>2481</v>
      </c>
      <c r="AI186" s="10">
        <v>1537</v>
      </c>
      <c r="AJ186" s="10">
        <v>1611</v>
      </c>
      <c r="AK186" s="10">
        <v>1687</v>
      </c>
      <c r="AL186" s="10">
        <v>1440</v>
      </c>
      <c r="AM186" s="10">
        <v>2131</v>
      </c>
      <c r="AN186" s="10">
        <v>1650</v>
      </c>
      <c r="AO186" s="10">
        <v>2157</v>
      </c>
      <c r="AP186" s="10">
        <v>1871</v>
      </c>
      <c r="AQ186" s="10">
        <v>1979</v>
      </c>
      <c r="AR186" s="10">
        <v>1298</v>
      </c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</row>
    <row r="187" spans="1:81">
      <c r="A187" s="4" t="s">
        <v>759</v>
      </c>
      <c r="B187" s="1" t="s">
        <v>760</v>
      </c>
      <c r="C187" s="1" t="s">
        <v>159</v>
      </c>
      <c r="D187" s="1" t="str">
        <f>HYPERLINK("http://eros.fiehnlab.ucdavis.edu:8080/binbase-compound/bin/show/308198?db=rtx5","308198")</f>
        <v>308198</v>
      </c>
      <c r="E187" s="1" t="s">
        <v>761</v>
      </c>
      <c r="F187" s="1" t="s">
        <v>0</v>
      </c>
      <c r="G187" s="1" t="s">
        <v>0</v>
      </c>
      <c r="H187" s="1"/>
      <c r="I187" s="10">
        <v>765</v>
      </c>
      <c r="J187" s="10">
        <v>378</v>
      </c>
      <c r="K187" s="10">
        <v>514</v>
      </c>
      <c r="L187" s="10">
        <v>1592</v>
      </c>
      <c r="M187" s="10">
        <v>738</v>
      </c>
      <c r="N187" s="10">
        <v>1100</v>
      </c>
      <c r="O187" s="10">
        <v>482</v>
      </c>
      <c r="P187" s="10">
        <v>763</v>
      </c>
      <c r="Q187" s="10">
        <v>1015</v>
      </c>
      <c r="R187" s="10">
        <v>494</v>
      </c>
      <c r="S187" s="10">
        <v>547</v>
      </c>
      <c r="T187" s="10">
        <v>405</v>
      </c>
      <c r="U187" s="10">
        <v>1398</v>
      </c>
      <c r="V187" s="10">
        <v>1010</v>
      </c>
      <c r="W187" s="10">
        <v>966</v>
      </c>
      <c r="X187" s="10">
        <v>1469</v>
      </c>
      <c r="Y187" s="10">
        <v>1045</v>
      </c>
      <c r="Z187" s="10">
        <v>724</v>
      </c>
      <c r="AA187" s="10">
        <v>621</v>
      </c>
      <c r="AB187" s="10">
        <v>900</v>
      </c>
      <c r="AC187" s="10">
        <v>449</v>
      </c>
      <c r="AD187" s="10">
        <v>607</v>
      </c>
      <c r="AE187" s="10">
        <v>1322</v>
      </c>
      <c r="AF187" s="10">
        <v>380</v>
      </c>
      <c r="AG187" s="10">
        <v>484</v>
      </c>
      <c r="AH187" s="10">
        <v>1782</v>
      </c>
      <c r="AI187" s="10">
        <v>556</v>
      </c>
      <c r="AJ187" s="10">
        <v>848</v>
      </c>
      <c r="AK187" s="10">
        <v>1340</v>
      </c>
      <c r="AL187" s="10">
        <v>741</v>
      </c>
      <c r="AM187" s="10">
        <v>657</v>
      </c>
      <c r="AN187" s="10">
        <v>602</v>
      </c>
      <c r="AO187" s="10">
        <v>877</v>
      </c>
      <c r="AP187" s="10">
        <v>1121</v>
      </c>
      <c r="AQ187" s="10">
        <v>807</v>
      </c>
      <c r="AR187" s="10">
        <v>843</v>
      </c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</row>
    <row r="188" spans="1:81">
      <c r="A188" s="4" t="s">
        <v>1015</v>
      </c>
      <c r="B188" s="1" t="s">
        <v>1016</v>
      </c>
      <c r="C188" s="1" t="s">
        <v>1017</v>
      </c>
      <c r="D188" s="1" t="str">
        <f>HYPERLINK("http://eros.fiehnlab.ucdavis.edu:8080/binbase-compound/bin/show/225867?db=rtx5","225867")</f>
        <v>225867</v>
      </c>
      <c r="E188" s="1" t="s">
        <v>1018</v>
      </c>
      <c r="F188" s="1" t="s">
        <v>0</v>
      </c>
      <c r="G188" s="1" t="s">
        <v>0</v>
      </c>
      <c r="H188" s="1"/>
      <c r="I188" s="10">
        <v>1003</v>
      </c>
      <c r="J188" s="10">
        <v>702</v>
      </c>
      <c r="K188" s="10">
        <v>245</v>
      </c>
      <c r="L188" s="10">
        <v>919</v>
      </c>
      <c r="M188" s="10">
        <v>715</v>
      </c>
      <c r="N188" s="10">
        <v>805</v>
      </c>
      <c r="O188" s="10">
        <v>698</v>
      </c>
      <c r="P188" s="10">
        <v>495</v>
      </c>
      <c r="Q188" s="10">
        <v>923</v>
      </c>
      <c r="R188" s="10">
        <v>715</v>
      </c>
      <c r="S188" s="10">
        <v>423</v>
      </c>
      <c r="T188" s="10">
        <v>767</v>
      </c>
      <c r="U188" s="10">
        <v>1067</v>
      </c>
      <c r="V188" s="10">
        <v>335</v>
      </c>
      <c r="W188" s="10">
        <v>691</v>
      </c>
      <c r="X188" s="10">
        <v>842</v>
      </c>
      <c r="Y188" s="10">
        <v>940</v>
      </c>
      <c r="Z188" s="10">
        <v>735</v>
      </c>
      <c r="AA188" s="10">
        <v>434</v>
      </c>
      <c r="AB188" s="10">
        <v>1282</v>
      </c>
      <c r="AC188" s="10">
        <v>272</v>
      </c>
      <c r="AD188" s="10">
        <v>918</v>
      </c>
      <c r="AE188" s="10">
        <v>825</v>
      </c>
      <c r="AF188" s="10">
        <v>393</v>
      </c>
      <c r="AG188" s="10">
        <v>573</v>
      </c>
      <c r="AH188" s="10">
        <v>1038</v>
      </c>
      <c r="AI188" s="10">
        <v>677</v>
      </c>
      <c r="AJ188" s="10">
        <v>418</v>
      </c>
      <c r="AK188" s="10">
        <v>663</v>
      </c>
      <c r="AL188" s="10">
        <v>234</v>
      </c>
      <c r="AM188" s="10">
        <v>827</v>
      </c>
      <c r="AN188" s="10">
        <v>489</v>
      </c>
      <c r="AO188" s="10">
        <v>890</v>
      </c>
      <c r="AP188" s="10">
        <v>955</v>
      </c>
      <c r="AQ188" s="10">
        <v>554</v>
      </c>
      <c r="AR188" s="10">
        <v>822</v>
      </c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</row>
    <row r="189" spans="1:81">
      <c r="A189" s="4" t="s">
        <v>1004</v>
      </c>
      <c r="B189" s="1" t="s">
        <v>1005</v>
      </c>
      <c r="C189" s="1" t="s">
        <v>1006</v>
      </c>
      <c r="D189" s="1" t="str">
        <f>HYPERLINK("http://eros.fiehnlab.ucdavis.edu:8080/binbase-compound/bin/show/227816?db=rtx5","227816")</f>
        <v>227816</v>
      </c>
      <c r="E189" s="1" t="s">
        <v>1007</v>
      </c>
      <c r="F189" s="1" t="s">
        <v>0</v>
      </c>
      <c r="G189" s="1" t="s">
        <v>0</v>
      </c>
      <c r="H189" s="1"/>
      <c r="I189" s="10">
        <v>517</v>
      </c>
      <c r="J189" s="10">
        <v>893</v>
      </c>
      <c r="K189" s="10">
        <v>890</v>
      </c>
      <c r="L189" s="10">
        <v>353</v>
      </c>
      <c r="M189" s="10">
        <v>879</v>
      </c>
      <c r="N189" s="10">
        <v>292</v>
      </c>
      <c r="O189" s="10">
        <v>487</v>
      </c>
      <c r="P189" s="10">
        <v>1292</v>
      </c>
      <c r="Q189" s="10">
        <v>611</v>
      </c>
      <c r="R189" s="10">
        <v>222</v>
      </c>
      <c r="S189" s="10">
        <v>754</v>
      </c>
      <c r="T189" s="10">
        <v>495</v>
      </c>
      <c r="U189" s="10">
        <v>636</v>
      </c>
      <c r="V189" s="10">
        <v>1938</v>
      </c>
      <c r="W189" s="10">
        <v>1140</v>
      </c>
      <c r="X189" s="10">
        <v>863</v>
      </c>
      <c r="Y189" s="10">
        <v>602</v>
      </c>
      <c r="Z189" s="10">
        <v>696</v>
      </c>
      <c r="AA189" s="10">
        <v>1291</v>
      </c>
      <c r="AB189" s="10">
        <v>231</v>
      </c>
      <c r="AC189" s="10">
        <v>1044</v>
      </c>
      <c r="AD189" s="10">
        <v>523</v>
      </c>
      <c r="AE189" s="10">
        <v>658</v>
      </c>
      <c r="AF189" s="10">
        <v>738</v>
      </c>
      <c r="AG189" s="10">
        <v>1345</v>
      </c>
      <c r="AH189" s="10">
        <v>781</v>
      </c>
      <c r="AI189" s="10">
        <v>837</v>
      </c>
      <c r="AJ189" s="10">
        <v>1013</v>
      </c>
      <c r="AK189" s="10">
        <v>878</v>
      </c>
      <c r="AL189" s="10">
        <v>979</v>
      </c>
      <c r="AM189" s="10">
        <v>411</v>
      </c>
      <c r="AN189" s="10">
        <v>546</v>
      </c>
      <c r="AO189" s="10">
        <v>714</v>
      </c>
      <c r="AP189" s="10">
        <v>463</v>
      </c>
      <c r="AQ189" s="10">
        <v>945</v>
      </c>
      <c r="AR189" s="10">
        <v>573</v>
      </c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</row>
    <row r="190" spans="1:81">
      <c r="A190" s="4" t="s">
        <v>976</v>
      </c>
      <c r="B190" s="1" t="s">
        <v>977</v>
      </c>
      <c r="C190" s="1" t="s">
        <v>447</v>
      </c>
      <c r="D190" s="1" t="str">
        <f>HYPERLINK("http://eros.fiehnlab.ucdavis.edu:8080/binbase-compound/bin/show/232087?db=rtx5","232087")</f>
        <v>232087</v>
      </c>
      <c r="E190" s="1" t="s">
        <v>978</v>
      </c>
      <c r="F190" s="1" t="s">
        <v>0</v>
      </c>
      <c r="G190" s="1" t="s">
        <v>0</v>
      </c>
      <c r="H190" s="1"/>
      <c r="I190" s="10">
        <v>15691</v>
      </c>
      <c r="J190" s="10">
        <v>9454</v>
      </c>
      <c r="K190" s="10">
        <v>21527</v>
      </c>
      <c r="L190" s="10">
        <v>12683</v>
      </c>
      <c r="M190" s="10">
        <v>6628</v>
      </c>
      <c r="N190" s="10">
        <v>10143</v>
      </c>
      <c r="O190" s="10">
        <v>6046</v>
      </c>
      <c r="P190" s="10">
        <v>6347</v>
      </c>
      <c r="Q190" s="10">
        <v>20734</v>
      </c>
      <c r="R190" s="10">
        <v>6425</v>
      </c>
      <c r="S190" s="10">
        <v>9003</v>
      </c>
      <c r="T190" s="10">
        <v>12492</v>
      </c>
      <c r="U190" s="10">
        <v>20985</v>
      </c>
      <c r="V190" s="10">
        <v>32294</v>
      </c>
      <c r="W190" s="10">
        <v>54445</v>
      </c>
      <c r="X190" s="10">
        <v>9858</v>
      </c>
      <c r="Y190" s="10">
        <v>12879</v>
      </c>
      <c r="Z190" s="10">
        <v>21433</v>
      </c>
      <c r="AA190" s="10">
        <v>8293</v>
      </c>
      <c r="AB190" s="10">
        <v>14005</v>
      </c>
      <c r="AC190" s="10">
        <v>6578</v>
      </c>
      <c r="AD190" s="10">
        <v>36859</v>
      </c>
      <c r="AE190" s="10">
        <v>23019</v>
      </c>
      <c r="AF190" s="10">
        <v>8309</v>
      </c>
      <c r="AG190" s="10">
        <v>21675</v>
      </c>
      <c r="AH190" s="10">
        <v>32723</v>
      </c>
      <c r="AI190" s="10">
        <v>28176</v>
      </c>
      <c r="AJ190" s="10">
        <v>34366</v>
      </c>
      <c r="AK190" s="10">
        <v>19723</v>
      </c>
      <c r="AL190" s="10">
        <v>60852</v>
      </c>
      <c r="AM190" s="10">
        <v>25947</v>
      </c>
      <c r="AN190" s="10">
        <v>23020</v>
      </c>
      <c r="AO190" s="10">
        <v>13381</v>
      </c>
      <c r="AP190" s="10">
        <v>40006</v>
      </c>
      <c r="AQ190" s="10">
        <v>31966</v>
      </c>
      <c r="AR190" s="10">
        <v>20170</v>
      </c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</row>
    <row r="191" spans="1:81">
      <c r="A191" s="4" t="s">
        <v>1104</v>
      </c>
      <c r="B191" s="1" t="s">
        <v>1105</v>
      </c>
      <c r="C191" s="1" t="s">
        <v>115</v>
      </c>
      <c r="D191" s="1" t="str">
        <f>HYPERLINK("http://eros.fiehnlab.ucdavis.edu:8080/binbase-compound/bin/show/213185?db=rtx5","213185")</f>
        <v>213185</v>
      </c>
      <c r="E191" s="1" t="s">
        <v>1106</v>
      </c>
      <c r="F191" s="1" t="s">
        <v>0</v>
      </c>
      <c r="G191" s="1" t="s">
        <v>0</v>
      </c>
      <c r="H191" s="1"/>
      <c r="I191" s="10">
        <v>5264</v>
      </c>
      <c r="J191" s="10">
        <v>2831</v>
      </c>
      <c r="K191" s="10">
        <v>516</v>
      </c>
      <c r="L191" s="10">
        <v>4732</v>
      </c>
      <c r="M191" s="10">
        <v>2335</v>
      </c>
      <c r="N191" s="10">
        <v>4689</v>
      </c>
      <c r="O191" s="10">
        <v>2598</v>
      </c>
      <c r="P191" s="10">
        <v>1937</v>
      </c>
      <c r="Q191" s="10">
        <v>5392</v>
      </c>
      <c r="R191" s="10">
        <v>2322</v>
      </c>
      <c r="S191" s="10">
        <v>737</v>
      </c>
      <c r="T191" s="10">
        <v>757</v>
      </c>
      <c r="U191" s="10">
        <v>4070</v>
      </c>
      <c r="V191" s="10">
        <v>1086</v>
      </c>
      <c r="W191" s="10">
        <v>2773</v>
      </c>
      <c r="X191" s="10">
        <v>4192</v>
      </c>
      <c r="Y191" s="10">
        <v>2623</v>
      </c>
      <c r="Z191" s="10">
        <v>2305</v>
      </c>
      <c r="AA191" s="10">
        <v>1289</v>
      </c>
      <c r="AB191" s="10">
        <v>2386</v>
      </c>
      <c r="AC191" s="10">
        <v>557</v>
      </c>
      <c r="AD191" s="10">
        <v>1364</v>
      </c>
      <c r="AE191" s="10">
        <v>5159</v>
      </c>
      <c r="AF191" s="10">
        <v>538</v>
      </c>
      <c r="AG191" s="10">
        <v>1246</v>
      </c>
      <c r="AH191" s="10">
        <v>5458</v>
      </c>
      <c r="AI191" s="10">
        <v>1378</v>
      </c>
      <c r="AJ191" s="10">
        <v>2144</v>
      </c>
      <c r="AK191" s="10">
        <v>3668</v>
      </c>
      <c r="AL191" s="10">
        <v>642</v>
      </c>
      <c r="AM191" s="10">
        <v>2011</v>
      </c>
      <c r="AN191" s="10">
        <v>2287</v>
      </c>
      <c r="AO191" s="10">
        <v>2063</v>
      </c>
      <c r="AP191" s="10">
        <v>2432</v>
      </c>
      <c r="AQ191" s="10">
        <v>1502</v>
      </c>
      <c r="AR191" s="10">
        <v>2141</v>
      </c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</row>
    <row r="192" spans="1:81">
      <c r="A192" s="4" t="s">
        <v>1083</v>
      </c>
      <c r="B192" s="1" t="s">
        <v>1084</v>
      </c>
      <c r="C192" s="1" t="s">
        <v>193</v>
      </c>
      <c r="D192" s="1" t="str">
        <f>HYPERLINK("http://eros.fiehnlab.ucdavis.edu:8080/binbase-compound/bin/show/214151?db=rtx5","214151")</f>
        <v>214151</v>
      </c>
      <c r="E192" s="1" t="s">
        <v>1085</v>
      </c>
      <c r="F192" s="1" t="s">
        <v>0</v>
      </c>
      <c r="G192" s="1" t="s">
        <v>0</v>
      </c>
      <c r="H192" s="1"/>
      <c r="I192" s="10">
        <v>5975</v>
      </c>
      <c r="J192" s="10">
        <v>3803</v>
      </c>
      <c r="K192" s="10">
        <v>2527</v>
      </c>
      <c r="L192" s="10">
        <v>2760</v>
      </c>
      <c r="M192" s="10">
        <v>5456</v>
      </c>
      <c r="N192" s="10">
        <v>5100</v>
      </c>
      <c r="O192" s="10">
        <v>2539</v>
      </c>
      <c r="P192" s="10">
        <v>1427</v>
      </c>
      <c r="Q192" s="10">
        <v>2507</v>
      </c>
      <c r="R192" s="10">
        <v>1553</v>
      </c>
      <c r="S192" s="10">
        <v>1281</v>
      </c>
      <c r="T192" s="10">
        <v>1982</v>
      </c>
      <c r="U192" s="10">
        <v>3232</v>
      </c>
      <c r="V192" s="10">
        <v>3742</v>
      </c>
      <c r="W192" s="10">
        <v>5698</v>
      </c>
      <c r="X192" s="10">
        <v>1778</v>
      </c>
      <c r="Y192" s="10">
        <v>3884</v>
      </c>
      <c r="Z192" s="10">
        <v>10853</v>
      </c>
      <c r="AA192" s="10">
        <v>2319</v>
      </c>
      <c r="AB192" s="10">
        <v>1253</v>
      </c>
      <c r="AC192" s="10">
        <v>2156</v>
      </c>
      <c r="AD192" s="10">
        <v>9319</v>
      </c>
      <c r="AE192" s="10">
        <v>2960</v>
      </c>
      <c r="AF192" s="10">
        <v>2468</v>
      </c>
      <c r="AG192" s="10">
        <v>5464</v>
      </c>
      <c r="AH192" s="10">
        <v>7349</v>
      </c>
      <c r="AI192" s="10">
        <v>5354</v>
      </c>
      <c r="AJ192" s="10">
        <v>3185</v>
      </c>
      <c r="AK192" s="10">
        <v>5510</v>
      </c>
      <c r="AL192" s="10">
        <v>880</v>
      </c>
      <c r="AM192" s="10">
        <v>7043</v>
      </c>
      <c r="AN192" s="10">
        <v>14998</v>
      </c>
      <c r="AO192" s="10">
        <v>5565</v>
      </c>
      <c r="AP192" s="10">
        <v>4349</v>
      </c>
      <c r="AQ192" s="10">
        <v>2924</v>
      </c>
      <c r="AR192" s="10">
        <v>10720</v>
      </c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</row>
    <row r="193" spans="1:81">
      <c r="A193" s="4" t="s">
        <v>684</v>
      </c>
      <c r="B193" s="1" t="s">
        <v>685</v>
      </c>
      <c r="C193" s="1" t="s">
        <v>246</v>
      </c>
      <c r="D193" s="1" t="str">
        <f>HYPERLINK("http://eros.fiehnlab.ucdavis.edu:8080/binbase-compound/bin/show/362010?db=rtx5","362010")</f>
        <v>362010</v>
      </c>
      <c r="E193" s="1" t="s">
        <v>686</v>
      </c>
      <c r="F193" s="1" t="s">
        <v>0</v>
      </c>
      <c r="G193" s="1" t="s">
        <v>0</v>
      </c>
      <c r="H193" s="1"/>
      <c r="I193" s="10">
        <v>16685</v>
      </c>
      <c r="J193" s="10">
        <v>3882</v>
      </c>
      <c r="K193" s="10">
        <v>2315</v>
      </c>
      <c r="L193" s="10">
        <v>15641</v>
      </c>
      <c r="M193" s="10">
        <v>11894</v>
      </c>
      <c r="N193" s="10">
        <v>19316</v>
      </c>
      <c r="O193" s="10">
        <v>5771</v>
      </c>
      <c r="P193" s="10">
        <v>6109</v>
      </c>
      <c r="Q193" s="10">
        <v>16232</v>
      </c>
      <c r="R193" s="10">
        <v>9161</v>
      </c>
      <c r="S193" s="10">
        <v>5591</v>
      </c>
      <c r="T193" s="10">
        <v>2988</v>
      </c>
      <c r="U193" s="10">
        <v>24137</v>
      </c>
      <c r="V193" s="10">
        <v>4532</v>
      </c>
      <c r="W193" s="10">
        <v>11221</v>
      </c>
      <c r="X193" s="10">
        <v>8462</v>
      </c>
      <c r="Y193" s="10">
        <v>14938</v>
      </c>
      <c r="Z193" s="10">
        <v>12723</v>
      </c>
      <c r="AA193" s="10">
        <v>4598</v>
      </c>
      <c r="AB193" s="10">
        <v>20812</v>
      </c>
      <c r="AC193" s="10">
        <v>1727</v>
      </c>
      <c r="AD193" s="10">
        <v>11592</v>
      </c>
      <c r="AE193" s="10">
        <v>15026</v>
      </c>
      <c r="AF193" s="10">
        <v>3590</v>
      </c>
      <c r="AG193" s="10">
        <v>2767</v>
      </c>
      <c r="AH193" s="10">
        <v>19953</v>
      </c>
      <c r="AI193" s="10">
        <v>10697</v>
      </c>
      <c r="AJ193" s="10">
        <v>4771</v>
      </c>
      <c r="AK193" s="10">
        <v>12630</v>
      </c>
      <c r="AL193" s="10">
        <v>3625</v>
      </c>
      <c r="AM193" s="10">
        <v>16889</v>
      </c>
      <c r="AN193" s="10">
        <v>6450</v>
      </c>
      <c r="AO193" s="10">
        <v>16207</v>
      </c>
      <c r="AP193" s="10">
        <v>17107</v>
      </c>
      <c r="AQ193" s="10">
        <v>6227</v>
      </c>
      <c r="AR193" s="10">
        <v>13017</v>
      </c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</row>
    <row r="194" spans="1:81">
      <c r="A194" s="4" t="s">
        <v>1107</v>
      </c>
      <c r="B194" s="1" t="s">
        <v>1108</v>
      </c>
      <c r="C194" s="1" t="s">
        <v>1103</v>
      </c>
      <c r="D194" s="1" t="str">
        <f>HYPERLINK("http://eros.fiehnlab.ucdavis.edu:8080/binbase-compound/bin/show/213143?db=rtx5","213143")</f>
        <v>213143</v>
      </c>
      <c r="E194" s="1" t="s">
        <v>1109</v>
      </c>
      <c r="F194" s="1" t="s">
        <v>0</v>
      </c>
      <c r="G194" s="1" t="s">
        <v>0</v>
      </c>
      <c r="H194" s="1"/>
      <c r="I194" s="10">
        <v>447</v>
      </c>
      <c r="J194" s="10">
        <v>408</v>
      </c>
      <c r="K194" s="10">
        <v>292</v>
      </c>
      <c r="L194" s="10">
        <v>731</v>
      </c>
      <c r="M194" s="10">
        <v>556</v>
      </c>
      <c r="N194" s="10">
        <v>522</v>
      </c>
      <c r="O194" s="10">
        <v>431</v>
      </c>
      <c r="P194" s="10">
        <v>445</v>
      </c>
      <c r="Q194" s="10">
        <v>519</v>
      </c>
      <c r="R194" s="10">
        <v>514</v>
      </c>
      <c r="S194" s="10">
        <v>579</v>
      </c>
      <c r="T194" s="10">
        <v>378</v>
      </c>
      <c r="U194" s="10">
        <v>593</v>
      </c>
      <c r="V194" s="10">
        <v>360</v>
      </c>
      <c r="W194" s="10">
        <v>364</v>
      </c>
      <c r="X194" s="10">
        <v>431</v>
      </c>
      <c r="Y194" s="10">
        <v>627</v>
      </c>
      <c r="Z194" s="10">
        <v>371</v>
      </c>
      <c r="AA194" s="10">
        <v>399</v>
      </c>
      <c r="AB194" s="10">
        <v>263</v>
      </c>
      <c r="AC194" s="10">
        <v>226</v>
      </c>
      <c r="AD194" s="10">
        <v>440</v>
      </c>
      <c r="AE194" s="10">
        <v>454</v>
      </c>
      <c r="AF194" s="10">
        <v>332</v>
      </c>
      <c r="AG194" s="10">
        <v>360</v>
      </c>
      <c r="AH194" s="10">
        <v>608</v>
      </c>
      <c r="AI194" s="10">
        <v>437</v>
      </c>
      <c r="AJ194" s="10">
        <v>334</v>
      </c>
      <c r="AK194" s="10">
        <v>380</v>
      </c>
      <c r="AL194" s="10">
        <v>404</v>
      </c>
      <c r="AM194" s="10">
        <v>489</v>
      </c>
      <c r="AN194" s="10">
        <v>492</v>
      </c>
      <c r="AO194" s="10">
        <v>536</v>
      </c>
      <c r="AP194" s="10">
        <v>486</v>
      </c>
      <c r="AQ194" s="10">
        <v>375</v>
      </c>
      <c r="AR194" s="10">
        <v>474</v>
      </c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</row>
    <row r="195" spans="1:81">
      <c r="A195" s="4" t="s">
        <v>864</v>
      </c>
      <c r="B195" s="1" t="s">
        <v>865</v>
      </c>
      <c r="C195" s="1" t="s">
        <v>115</v>
      </c>
      <c r="D195" s="1" t="str">
        <f>HYPERLINK("http://eros.fiehnlab.ucdavis.edu:8080/binbase-compound/bin/show/241652?db=rtx5","241652")</f>
        <v>241652</v>
      </c>
      <c r="E195" s="1" t="s">
        <v>866</v>
      </c>
      <c r="F195" s="1" t="s">
        <v>0</v>
      </c>
      <c r="G195" s="1" t="s">
        <v>0</v>
      </c>
      <c r="H195" s="1"/>
      <c r="I195" s="10">
        <v>1439</v>
      </c>
      <c r="J195" s="10">
        <v>779</v>
      </c>
      <c r="K195" s="10">
        <v>1339</v>
      </c>
      <c r="L195" s="10">
        <v>954</v>
      </c>
      <c r="M195" s="10">
        <v>396</v>
      </c>
      <c r="N195" s="10">
        <v>398</v>
      </c>
      <c r="O195" s="10">
        <v>663</v>
      </c>
      <c r="P195" s="10">
        <v>717</v>
      </c>
      <c r="Q195" s="10">
        <v>830</v>
      </c>
      <c r="R195" s="10">
        <v>2631</v>
      </c>
      <c r="S195" s="10">
        <v>1252</v>
      </c>
      <c r="T195" s="10">
        <v>1232</v>
      </c>
      <c r="U195" s="10">
        <v>487</v>
      </c>
      <c r="V195" s="10">
        <v>831</v>
      </c>
      <c r="W195" s="10">
        <v>423</v>
      </c>
      <c r="X195" s="10">
        <v>597</v>
      </c>
      <c r="Y195" s="10">
        <v>383</v>
      </c>
      <c r="Z195" s="10">
        <v>923</v>
      </c>
      <c r="AA195" s="10">
        <v>760</v>
      </c>
      <c r="AB195" s="10">
        <v>1605</v>
      </c>
      <c r="AC195" s="10">
        <v>1429</v>
      </c>
      <c r="AD195" s="10">
        <v>1474</v>
      </c>
      <c r="AE195" s="10">
        <v>407</v>
      </c>
      <c r="AF195" s="10">
        <v>1046</v>
      </c>
      <c r="AG195" s="10">
        <v>1052</v>
      </c>
      <c r="AH195" s="10">
        <v>589</v>
      </c>
      <c r="AI195" s="10">
        <v>1782</v>
      </c>
      <c r="AJ195" s="10">
        <v>880</v>
      </c>
      <c r="AK195" s="10">
        <v>476</v>
      </c>
      <c r="AL195" s="10">
        <v>819</v>
      </c>
      <c r="AM195" s="10">
        <v>1001</v>
      </c>
      <c r="AN195" s="10">
        <v>2252</v>
      </c>
      <c r="AO195" s="10">
        <v>898</v>
      </c>
      <c r="AP195" s="10">
        <v>1324</v>
      </c>
      <c r="AQ195" s="10">
        <v>627</v>
      </c>
      <c r="AR195" s="10">
        <v>691</v>
      </c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</row>
    <row r="196" spans="1:81">
      <c r="A196" s="4" t="s">
        <v>918</v>
      </c>
      <c r="B196" s="1" t="s">
        <v>919</v>
      </c>
      <c r="C196" s="1" t="s">
        <v>115</v>
      </c>
      <c r="D196" s="1" t="str">
        <f>HYPERLINK("http://eros.fiehnlab.ucdavis.edu:8080/binbase-compound/bin/show/238437?db=rtx5","238437")</f>
        <v>238437</v>
      </c>
      <c r="E196" s="1" t="s">
        <v>920</v>
      </c>
      <c r="F196" s="1" t="s">
        <v>0</v>
      </c>
      <c r="G196" s="1" t="s">
        <v>0</v>
      </c>
      <c r="H196" s="1"/>
      <c r="I196" s="10">
        <v>3915</v>
      </c>
      <c r="J196" s="10">
        <v>2846</v>
      </c>
      <c r="K196" s="10">
        <v>2343</v>
      </c>
      <c r="L196" s="10">
        <v>3215</v>
      </c>
      <c r="M196" s="10">
        <v>2664</v>
      </c>
      <c r="N196" s="10">
        <v>5231</v>
      </c>
      <c r="O196" s="10">
        <v>2342</v>
      </c>
      <c r="P196" s="10">
        <v>4203</v>
      </c>
      <c r="Q196" s="10">
        <v>4918</v>
      </c>
      <c r="R196" s="10">
        <v>2424</v>
      </c>
      <c r="S196" s="10">
        <v>3222</v>
      </c>
      <c r="T196" s="10">
        <v>2467</v>
      </c>
      <c r="U196" s="10">
        <v>6252</v>
      </c>
      <c r="V196" s="10">
        <v>5045</v>
      </c>
      <c r="W196" s="10">
        <v>3437</v>
      </c>
      <c r="X196" s="10">
        <v>3144</v>
      </c>
      <c r="Y196" s="10">
        <v>3013</v>
      </c>
      <c r="Z196" s="10">
        <v>2364</v>
      </c>
      <c r="AA196" s="10">
        <v>2808</v>
      </c>
      <c r="AB196" s="10">
        <v>6701</v>
      </c>
      <c r="AC196" s="10">
        <v>2692</v>
      </c>
      <c r="AD196" s="10">
        <v>2856</v>
      </c>
      <c r="AE196" s="10">
        <v>4775</v>
      </c>
      <c r="AF196" s="10">
        <v>2183</v>
      </c>
      <c r="AG196" s="10">
        <v>3664</v>
      </c>
      <c r="AH196" s="10">
        <v>5273</v>
      </c>
      <c r="AI196" s="10">
        <v>3295</v>
      </c>
      <c r="AJ196" s="10">
        <v>4151</v>
      </c>
      <c r="AK196" s="10">
        <v>2671</v>
      </c>
      <c r="AL196" s="10">
        <v>1284</v>
      </c>
      <c r="AM196" s="10">
        <v>4039</v>
      </c>
      <c r="AN196" s="10">
        <v>2395</v>
      </c>
      <c r="AO196" s="10">
        <v>3984</v>
      </c>
      <c r="AP196" s="10">
        <v>3827</v>
      </c>
      <c r="AQ196" s="10">
        <v>2990</v>
      </c>
      <c r="AR196" s="10">
        <v>2816</v>
      </c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</row>
    <row r="197" spans="1:81">
      <c r="A197" s="4" t="s">
        <v>601</v>
      </c>
      <c r="B197" s="1" t="s">
        <v>602</v>
      </c>
      <c r="C197" s="1" t="s">
        <v>603</v>
      </c>
      <c r="D197" s="1" t="str">
        <f>HYPERLINK("http://eros.fiehnlab.ucdavis.edu:8080/binbase-compound/bin/show/408797?db=rtx5","408797")</f>
        <v>408797</v>
      </c>
      <c r="E197" s="1" t="s">
        <v>604</v>
      </c>
      <c r="F197" s="1" t="s">
        <v>0</v>
      </c>
      <c r="G197" s="1" t="s">
        <v>0</v>
      </c>
      <c r="H197" s="1"/>
      <c r="I197" s="10">
        <v>4667</v>
      </c>
      <c r="J197" s="10">
        <v>2025</v>
      </c>
      <c r="K197" s="10">
        <v>1370</v>
      </c>
      <c r="L197" s="10">
        <v>406</v>
      </c>
      <c r="M197" s="10">
        <v>2390</v>
      </c>
      <c r="N197" s="10">
        <v>3811</v>
      </c>
      <c r="O197" s="10">
        <v>5616</v>
      </c>
      <c r="P197" s="10">
        <v>1591</v>
      </c>
      <c r="Q197" s="10">
        <v>1982</v>
      </c>
      <c r="R197" s="10">
        <v>359</v>
      </c>
      <c r="S197" s="10">
        <v>3187</v>
      </c>
      <c r="T197" s="10">
        <v>1653</v>
      </c>
      <c r="U197" s="10">
        <v>553</v>
      </c>
      <c r="V197" s="10">
        <v>376</v>
      </c>
      <c r="W197" s="10">
        <v>493</v>
      </c>
      <c r="X197" s="10">
        <v>5710</v>
      </c>
      <c r="Y197" s="10">
        <v>485</v>
      </c>
      <c r="Z197" s="10">
        <v>381</v>
      </c>
      <c r="AA197" s="10">
        <v>3220</v>
      </c>
      <c r="AB197" s="10">
        <v>300</v>
      </c>
      <c r="AC197" s="10">
        <v>1708</v>
      </c>
      <c r="AD197" s="10">
        <v>582</v>
      </c>
      <c r="AE197" s="10">
        <v>2880</v>
      </c>
      <c r="AF197" s="10">
        <v>1700</v>
      </c>
      <c r="AG197" s="10">
        <v>2614</v>
      </c>
      <c r="AH197" s="10">
        <v>823</v>
      </c>
      <c r="AI197" s="10">
        <v>3216</v>
      </c>
      <c r="AJ197" s="10">
        <v>1650</v>
      </c>
      <c r="AK197" s="10">
        <v>1920</v>
      </c>
      <c r="AL197" s="10">
        <v>3862</v>
      </c>
      <c r="AM197" s="10">
        <v>714</v>
      </c>
      <c r="AN197" s="10">
        <v>429</v>
      </c>
      <c r="AO197" s="10">
        <v>526</v>
      </c>
      <c r="AP197" s="10">
        <v>547</v>
      </c>
      <c r="AQ197" s="10">
        <v>3763</v>
      </c>
      <c r="AR197" s="10">
        <v>501</v>
      </c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</row>
    <row r="198" spans="1:81">
      <c r="A198" s="4" t="s">
        <v>677</v>
      </c>
      <c r="B198" s="1" t="s">
        <v>678</v>
      </c>
      <c r="C198" s="1" t="s">
        <v>91</v>
      </c>
      <c r="D198" s="1" t="str">
        <f>HYPERLINK("http://eros.fiehnlab.ucdavis.edu:8080/binbase-compound/bin/show/362036?db=rtx5","362036")</f>
        <v>362036</v>
      </c>
      <c r="E198" s="1" t="s">
        <v>679</v>
      </c>
      <c r="F198" s="1" t="s">
        <v>0</v>
      </c>
      <c r="G198" s="1" t="s">
        <v>0</v>
      </c>
      <c r="H198" s="1"/>
      <c r="I198" s="10">
        <v>809</v>
      </c>
      <c r="J198" s="10">
        <v>450</v>
      </c>
      <c r="K198" s="10">
        <v>550</v>
      </c>
      <c r="L198" s="10">
        <v>1192</v>
      </c>
      <c r="M198" s="10">
        <v>699</v>
      </c>
      <c r="N198" s="10">
        <v>637</v>
      </c>
      <c r="O198" s="10">
        <v>498</v>
      </c>
      <c r="P198" s="10">
        <v>813</v>
      </c>
      <c r="Q198" s="10">
        <v>1236</v>
      </c>
      <c r="R198" s="10">
        <v>386</v>
      </c>
      <c r="S198" s="10">
        <v>613</v>
      </c>
      <c r="T198" s="10">
        <v>681</v>
      </c>
      <c r="U198" s="10">
        <v>1496</v>
      </c>
      <c r="V198" s="10">
        <v>973</v>
      </c>
      <c r="W198" s="10">
        <v>811</v>
      </c>
      <c r="X198" s="10">
        <v>1126</v>
      </c>
      <c r="Y198" s="10">
        <v>741</v>
      </c>
      <c r="Z198" s="10">
        <v>575</v>
      </c>
      <c r="AA198" s="10">
        <v>578</v>
      </c>
      <c r="AB198" s="10">
        <v>1090</v>
      </c>
      <c r="AC198" s="10">
        <v>519</v>
      </c>
      <c r="AD198" s="10">
        <v>591</v>
      </c>
      <c r="AE198" s="10">
        <v>746</v>
      </c>
      <c r="AF198" s="10">
        <v>424</v>
      </c>
      <c r="AG198" s="10">
        <v>383</v>
      </c>
      <c r="AH198" s="10">
        <v>1425</v>
      </c>
      <c r="AI198" s="10">
        <v>719</v>
      </c>
      <c r="AJ198" s="10">
        <v>561</v>
      </c>
      <c r="AK198" s="10">
        <v>1027</v>
      </c>
      <c r="AL198" s="10">
        <v>770</v>
      </c>
      <c r="AM198" s="10">
        <v>457</v>
      </c>
      <c r="AN198" s="10">
        <v>385</v>
      </c>
      <c r="AO198" s="10">
        <v>850</v>
      </c>
      <c r="AP198" s="10">
        <v>932</v>
      </c>
      <c r="AQ198" s="10">
        <v>748</v>
      </c>
      <c r="AR198" s="10">
        <v>791</v>
      </c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</row>
    <row r="199" spans="1:81">
      <c r="A199" s="4" t="s">
        <v>594</v>
      </c>
      <c r="B199" s="1" t="s">
        <v>595</v>
      </c>
      <c r="C199" s="1" t="s">
        <v>193</v>
      </c>
      <c r="D199" s="1" t="str">
        <f>HYPERLINK("http://eros.fiehnlab.ucdavis.edu:8080/binbase-compound/bin/show/408836?db=rtx5","408836")</f>
        <v>408836</v>
      </c>
      <c r="E199" s="1" t="s">
        <v>596</v>
      </c>
      <c r="F199" s="1" t="s">
        <v>0</v>
      </c>
      <c r="G199" s="1" t="s">
        <v>0</v>
      </c>
      <c r="H199" s="1"/>
      <c r="I199" s="10">
        <v>3478</v>
      </c>
      <c r="J199" s="10">
        <v>1167</v>
      </c>
      <c r="K199" s="10">
        <v>1453</v>
      </c>
      <c r="L199" s="10">
        <v>4028</v>
      </c>
      <c r="M199" s="10">
        <v>3171</v>
      </c>
      <c r="N199" s="10">
        <v>3585</v>
      </c>
      <c r="O199" s="10">
        <v>2009</v>
      </c>
      <c r="P199" s="10">
        <v>2661</v>
      </c>
      <c r="Q199" s="10">
        <v>3097</v>
      </c>
      <c r="R199" s="10">
        <v>2415</v>
      </c>
      <c r="S199" s="10">
        <v>2200</v>
      </c>
      <c r="T199" s="10">
        <v>1534</v>
      </c>
      <c r="U199" s="10">
        <v>4463</v>
      </c>
      <c r="V199" s="10">
        <v>3248</v>
      </c>
      <c r="W199" s="10">
        <v>3645</v>
      </c>
      <c r="X199" s="10">
        <v>3768</v>
      </c>
      <c r="Y199" s="10">
        <v>3591</v>
      </c>
      <c r="Z199" s="10">
        <v>2811</v>
      </c>
      <c r="AA199" s="10">
        <v>2216</v>
      </c>
      <c r="AB199" s="10">
        <v>3788</v>
      </c>
      <c r="AC199" s="10">
        <v>1511</v>
      </c>
      <c r="AD199" s="10">
        <v>2359</v>
      </c>
      <c r="AE199" s="10">
        <v>3627</v>
      </c>
      <c r="AF199" s="10">
        <v>1640</v>
      </c>
      <c r="AG199" s="10">
        <v>1894</v>
      </c>
      <c r="AH199" s="10">
        <v>4220</v>
      </c>
      <c r="AI199" s="10">
        <v>2451</v>
      </c>
      <c r="AJ199" s="10">
        <v>2363</v>
      </c>
      <c r="AK199" s="10">
        <v>3452</v>
      </c>
      <c r="AL199" s="10">
        <v>3128</v>
      </c>
      <c r="AM199" s="10">
        <v>3418</v>
      </c>
      <c r="AN199" s="10">
        <v>2109</v>
      </c>
      <c r="AO199" s="10">
        <v>3245</v>
      </c>
      <c r="AP199" s="10">
        <v>3623</v>
      </c>
      <c r="AQ199" s="10">
        <v>4072</v>
      </c>
      <c r="AR199" s="10">
        <v>3550</v>
      </c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</row>
    <row r="200" spans="1:81">
      <c r="A200" s="4" t="s">
        <v>868</v>
      </c>
      <c r="B200" s="1" t="s">
        <v>869</v>
      </c>
      <c r="C200" s="1" t="s">
        <v>115</v>
      </c>
      <c r="D200" s="1" t="str">
        <f>HYPERLINK("http://eros.fiehnlab.ucdavis.edu:8080/binbase-compound/bin/show/241319?db=rtx5","241319")</f>
        <v>241319</v>
      </c>
      <c r="E200" s="1" t="s">
        <v>870</v>
      </c>
      <c r="F200" s="1" t="s">
        <v>0</v>
      </c>
      <c r="G200" s="1" t="s">
        <v>0</v>
      </c>
      <c r="H200" s="1"/>
      <c r="I200" s="10">
        <v>1949</v>
      </c>
      <c r="J200" s="10">
        <v>707</v>
      </c>
      <c r="K200" s="10">
        <v>1267</v>
      </c>
      <c r="L200" s="10">
        <v>3430</v>
      </c>
      <c r="M200" s="10">
        <v>773</v>
      </c>
      <c r="N200" s="10">
        <v>919</v>
      </c>
      <c r="O200" s="10">
        <v>630</v>
      </c>
      <c r="P200" s="10">
        <v>1005</v>
      </c>
      <c r="Q200" s="10">
        <v>1659</v>
      </c>
      <c r="R200" s="10">
        <v>2720</v>
      </c>
      <c r="S200" s="10">
        <v>1034</v>
      </c>
      <c r="T200" s="10">
        <v>1437</v>
      </c>
      <c r="U200" s="10">
        <v>961</v>
      </c>
      <c r="V200" s="10">
        <v>2714</v>
      </c>
      <c r="W200" s="10">
        <v>882</v>
      </c>
      <c r="X200" s="10">
        <v>1498</v>
      </c>
      <c r="Y200" s="10">
        <v>593</v>
      </c>
      <c r="Z200" s="10">
        <v>1320</v>
      </c>
      <c r="AA200" s="10">
        <v>589</v>
      </c>
      <c r="AB200" s="10">
        <v>2024</v>
      </c>
      <c r="AC200" s="10">
        <v>2101</v>
      </c>
      <c r="AD200" s="10">
        <v>1955</v>
      </c>
      <c r="AE200" s="10">
        <v>908</v>
      </c>
      <c r="AF200" s="10">
        <v>1164</v>
      </c>
      <c r="AG200" s="10">
        <v>932</v>
      </c>
      <c r="AH200" s="10">
        <v>1035</v>
      </c>
      <c r="AI200" s="10">
        <v>2486</v>
      </c>
      <c r="AJ200" s="10">
        <v>1844</v>
      </c>
      <c r="AK200" s="10">
        <v>1244</v>
      </c>
      <c r="AL200" s="10">
        <v>1273</v>
      </c>
      <c r="AM200" s="10">
        <v>2106</v>
      </c>
      <c r="AN200" s="10">
        <v>2321</v>
      </c>
      <c r="AO200" s="10">
        <v>1514</v>
      </c>
      <c r="AP200" s="10">
        <v>2558</v>
      </c>
      <c r="AQ200" s="10">
        <v>1353</v>
      </c>
      <c r="AR200" s="10">
        <v>1324</v>
      </c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</row>
    <row r="201" spans="1:81">
      <c r="A201" s="4" t="s">
        <v>1137</v>
      </c>
      <c r="B201" s="1" t="s">
        <v>1138</v>
      </c>
      <c r="C201" s="1" t="s">
        <v>1139</v>
      </c>
      <c r="D201" s="1" t="str">
        <f>HYPERLINK("http://eros.fiehnlab.ucdavis.edu:8080/binbase-compound/bin/show/206256?db=rtx5","206256")</f>
        <v>206256</v>
      </c>
      <c r="E201" s="1" t="s">
        <v>1140</v>
      </c>
      <c r="F201" s="1" t="s">
        <v>0</v>
      </c>
      <c r="G201" s="1" t="s">
        <v>0</v>
      </c>
      <c r="H201" s="1"/>
      <c r="I201" s="10">
        <v>1692</v>
      </c>
      <c r="J201" s="10">
        <v>5984</v>
      </c>
      <c r="K201" s="10">
        <v>2909</v>
      </c>
      <c r="L201" s="10">
        <v>2672</v>
      </c>
      <c r="M201" s="10">
        <v>7523</v>
      </c>
      <c r="N201" s="10">
        <v>5843</v>
      </c>
      <c r="O201" s="10">
        <v>4502</v>
      </c>
      <c r="P201" s="10">
        <v>5752</v>
      </c>
      <c r="Q201" s="10">
        <v>3554</v>
      </c>
      <c r="R201" s="10">
        <v>4205</v>
      </c>
      <c r="S201" s="10">
        <v>4399</v>
      </c>
      <c r="T201" s="10">
        <v>3572</v>
      </c>
      <c r="U201" s="10">
        <v>2514</v>
      </c>
      <c r="V201" s="10">
        <v>3520</v>
      </c>
      <c r="W201" s="10">
        <v>2645</v>
      </c>
      <c r="X201" s="10">
        <v>3093</v>
      </c>
      <c r="Y201" s="10">
        <v>5206</v>
      </c>
      <c r="Z201" s="10">
        <v>2805</v>
      </c>
      <c r="AA201" s="10">
        <v>4943</v>
      </c>
      <c r="AB201" s="10">
        <v>4346</v>
      </c>
      <c r="AC201" s="10">
        <v>4501</v>
      </c>
      <c r="AD201" s="10">
        <v>3129</v>
      </c>
      <c r="AE201" s="10">
        <v>4680</v>
      </c>
      <c r="AF201" s="10">
        <v>3556</v>
      </c>
      <c r="AG201" s="10">
        <v>4096</v>
      </c>
      <c r="AH201" s="10">
        <v>3075</v>
      </c>
      <c r="AI201" s="10">
        <v>4137</v>
      </c>
      <c r="AJ201" s="10">
        <v>4203</v>
      </c>
      <c r="AK201" s="10">
        <v>3414</v>
      </c>
      <c r="AL201" s="10">
        <v>3146</v>
      </c>
      <c r="AM201" s="10">
        <v>4714</v>
      </c>
      <c r="AN201" s="10">
        <v>4696</v>
      </c>
      <c r="AO201" s="10">
        <v>3577</v>
      </c>
      <c r="AP201" s="10">
        <v>2444</v>
      </c>
      <c r="AQ201" s="10">
        <v>3952</v>
      </c>
      <c r="AR201" s="10">
        <v>2057</v>
      </c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</row>
    <row r="202" spans="1:81">
      <c r="A202" s="4" t="s">
        <v>1168</v>
      </c>
      <c r="B202" s="1" t="s">
        <v>1169</v>
      </c>
      <c r="C202" s="1" t="s">
        <v>159</v>
      </c>
      <c r="D202" s="1" t="str">
        <f>HYPERLINK("http://eros.fiehnlab.ucdavis.edu:8080/binbase-compound/bin/show/200655?db=rtx5","200655")</f>
        <v>200655</v>
      </c>
      <c r="E202" s="1" t="s">
        <v>1170</v>
      </c>
      <c r="F202" s="1" t="s">
        <v>0</v>
      </c>
      <c r="G202" s="1" t="s">
        <v>0</v>
      </c>
      <c r="H202" s="1"/>
      <c r="I202" s="10">
        <v>1115</v>
      </c>
      <c r="J202" s="10">
        <v>1328</v>
      </c>
      <c r="K202" s="10">
        <v>1770</v>
      </c>
      <c r="L202" s="10">
        <v>1596</v>
      </c>
      <c r="M202" s="10">
        <v>1990</v>
      </c>
      <c r="N202" s="10">
        <v>1181</v>
      </c>
      <c r="O202" s="10">
        <v>1292</v>
      </c>
      <c r="P202" s="10">
        <v>1994</v>
      </c>
      <c r="Q202" s="10">
        <v>1250</v>
      </c>
      <c r="R202" s="10">
        <v>1997</v>
      </c>
      <c r="S202" s="10">
        <v>1961</v>
      </c>
      <c r="T202" s="10">
        <v>1099</v>
      </c>
      <c r="U202" s="10">
        <v>1311</v>
      </c>
      <c r="V202" s="10">
        <v>1693</v>
      </c>
      <c r="W202" s="10">
        <v>1402</v>
      </c>
      <c r="X202" s="10">
        <v>2329</v>
      </c>
      <c r="Y202" s="10">
        <v>1797</v>
      </c>
      <c r="Z202" s="10">
        <v>1444</v>
      </c>
      <c r="AA202" s="10">
        <v>1611</v>
      </c>
      <c r="AB202" s="10">
        <v>1317</v>
      </c>
      <c r="AC202" s="10">
        <v>2904</v>
      </c>
      <c r="AD202" s="10">
        <v>1839</v>
      </c>
      <c r="AE202" s="10">
        <v>2374</v>
      </c>
      <c r="AF202" s="10">
        <v>984</v>
      </c>
      <c r="AG202" s="10">
        <v>1211</v>
      </c>
      <c r="AH202" s="10">
        <v>1365</v>
      </c>
      <c r="AI202" s="10">
        <v>2167</v>
      </c>
      <c r="AJ202" s="10">
        <v>3018</v>
      </c>
      <c r="AK202" s="10">
        <v>1140</v>
      </c>
      <c r="AL202" s="10">
        <v>1451</v>
      </c>
      <c r="AM202" s="10">
        <v>1313</v>
      </c>
      <c r="AN202" s="10">
        <v>1451</v>
      </c>
      <c r="AO202" s="10">
        <v>959</v>
      </c>
      <c r="AP202" s="10">
        <v>1706</v>
      </c>
      <c r="AQ202" s="10">
        <v>2100</v>
      </c>
      <c r="AR202" s="10">
        <v>1417</v>
      </c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</row>
    <row r="203" spans="1:81">
      <c r="A203" s="4" t="s">
        <v>696</v>
      </c>
      <c r="B203" s="1" t="s">
        <v>697</v>
      </c>
      <c r="C203" s="1" t="s">
        <v>115</v>
      </c>
      <c r="D203" s="1" t="str">
        <f>HYPERLINK("http://eros.fiehnlab.ucdavis.edu:8080/binbase-compound/bin/show/359687?db=rtx5","359687")</f>
        <v>359687</v>
      </c>
      <c r="E203" s="1" t="s">
        <v>698</v>
      </c>
      <c r="F203" s="1" t="s">
        <v>0</v>
      </c>
      <c r="G203" s="1" t="s">
        <v>0</v>
      </c>
      <c r="H203" s="1"/>
      <c r="I203" s="10">
        <v>2099</v>
      </c>
      <c r="J203" s="10">
        <v>890</v>
      </c>
      <c r="K203" s="10">
        <v>994</v>
      </c>
      <c r="L203" s="10">
        <v>1714</v>
      </c>
      <c r="M203" s="10">
        <v>2049</v>
      </c>
      <c r="N203" s="10">
        <v>1889</v>
      </c>
      <c r="O203" s="10">
        <v>1089</v>
      </c>
      <c r="P203" s="10">
        <v>1960</v>
      </c>
      <c r="Q203" s="10">
        <v>2573</v>
      </c>
      <c r="R203" s="10">
        <v>1255</v>
      </c>
      <c r="S203" s="10">
        <v>979</v>
      </c>
      <c r="T203" s="10">
        <v>1049</v>
      </c>
      <c r="U203" s="10">
        <v>3585</v>
      </c>
      <c r="V203" s="10">
        <v>1570</v>
      </c>
      <c r="W203" s="10">
        <v>2270</v>
      </c>
      <c r="X203" s="10">
        <v>2318</v>
      </c>
      <c r="Y203" s="10">
        <v>3088</v>
      </c>
      <c r="Z203" s="10">
        <v>2089</v>
      </c>
      <c r="AA203" s="10">
        <v>1717</v>
      </c>
      <c r="AB203" s="10">
        <v>2943</v>
      </c>
      <c r="AC203" s="10">
        <v>1210</v>
      </c>
      <c r="AD203" s="10">
        <v>2279</v>
      </c>
      <c r="AE203" s="10">
        <v>3580</v>
      </c>
      <c r="AF203" s="10">
        <v>966</v>
      </c>
      <c r="AG203" s="10">
        <v>1079</v>
      </c>
      <c r="AH203" s="10">
        <v>3605</v>
      </c>
      <c r="AI203" s="10">
        <v>1748</v>
      </c>
      <c r="AJ203" s="10">
        <v>1778</v>
      </c>
      <c r="AK203" s="10">
        <v>1954</v>
      </c>
      <c r="AL203" s="10">
        <v>1373</v>
      </c>
      <c r="AM203" s="10">
        <v>2716</v>
      </c>
      <c r="AN203" s="10">
        <v>1381</v>
      </c>
      <c r="AO203" s="10">
        <v>3089</v>
      </c>
      <c r="AP203" s="10">
        <v>2843</v>
      </c>
      <c r="AQ203" s="10">
        <v>1796</v>
      </c>
      <c r="AR203" s="10">
        <v>2385</v>
      </c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</row>
    <row r="204" spans="1:81">
      <c r="A204" s="4" t="s">
        <v>735</v>
      </c>
      <c r="B204" s="1" t="s">
        <v>736</v>
      </c>
      <c r="C204" s="1" t="s">
        <v>185</v>
      </c>
      <c r="D204" s="1" t="str">
        <f>HYPERLINK("http://eros.fiehnlab.ucdavis.edu:8080/binbase-compound/bin/show/330609?db=rtx5","330609")</f>
        <v>330609</v>
      </c>
      <c r="E204" s="1" t="s">
        <v>737</v>
      </c>
      <c r="F204" s="1" t="s">
        <v>0</v>
      </c>
      <c r="G204" s="1" t="s">
        <v>0</v>
      </c>
      <c r="H204" s="1"/>
      <c r="I204" s="10">
        <v>2092</v>
      </c>
      <c r="J204" s="10">
        <v>13462</v>
      </c>
      <c r="K204" s="10">
        <v>8357</v>
      </c>
      <c r="L204" s="10">
        <v>1240</v>
      </c>
      <c r="M204" s="10">
        <v>8223</v>
      </c>
      <c r="N204" s="10">
        <v>1139</v>
      </c>
      <c r="O204" s="10">
        <v>2764</v>
      </c>
      <c r="P204" s="10">
        <v>5047</v>
      </c>
      <c r="Q204" s="10">
        <v>3332</v>
      </c>
      <c r="R204" s="10">
        <v>2026</v>
      </c>
      <c r="S204" s="10">
        <v>8922</v>
      </c>
      <c r="T204" s="10">
        <v>1374</v>
      </c>
      <c r="U204" s="10">
        <v>1781</v>
      </c>
      <c r="V204" s="10">
        <v>4789</v>
      </c>
      <c r="W204" s="10">
        <v>2430</v>
      </c>
      <c r="X204" s="10">
        <v>1090</v>
      </c>
      <c r="Y204" s="10">
        <v>1563</v>
      </c>
      <c r="Z204" s="10">
        <v>1487</v>
      </c>
      <c r="AA204" s="10">
        <v>12481</v>
      </c>
      <c r="AB204" s="10">
        <v>793</v>
      </c>
      <c r="AC204" s="10">
        <v>2339</v>
      </c>
      <c r="AD204" s="10">
        <v>3951</v>
      </c>
      <c r="AE204" s="10">
        <v>582</v>
      </c>
      <c r="AF204" s="10">
        <v>1588</v>
      </c>
      <c r="AG204" s="10">
        <v>9769</v>
      </c>
      <c r="AH204" s="10">
        <v>3433</v>
      </c>
      <c r="AI204" s="10">
        <v>6101</v>
      </c>
      <c r="AJ204" s="10">
        <v>7159</v>
      </c>
      <c r="AK204" s="10">
        <v>3732</v>
      </c>
      <c r="AL204" s="10">
        <v>6498</v>
      </c>
      <c r="AM204" s="10">
        <v>1090</v>
      </c>
      <c r="AN204" s="10">
        <v>6115</v>
      </c>
      <c r="AO204" s="10">
        <v>2336</v>
      </c>
      <c r="AP204" s="10">
        <v>3257</v>
      </c>
      <c r="AQ204" s="10">
        <v>1613</v>
      </c>
      <c r="AR204" s="10">
        <v>1983</v>
      </c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</row>
    <row r="205" spans="1:81">
      <c r="A205" s="4" t="s">
        <v>1165</v>
      </c>
      <c r="B205" s="1" t="s">
        <v>1166</v>
      </c>
      <c r="C205" s="1" t="s">
        <v>835</v>
      </c>
      <c r="D205" s="1" t="str">
        <f>HYPERLINK("http://eros.fiehnlab.ucdavis.edu:8080/binbase-compound/bin/show/201005?db=rtx5","201005")</f>
        <v>201005</v>
      </c>
      <c r="E205" s="1" t="s">
        <v>1167</v>
      </c>
      <c r="F205" s="1" t="s">
        <v>0</v>
      </c>
      <c r="G205" s="1" t="s">
        <v>0</v>
      </c>
      <c r="H205" s="1"/>
      <c r="I205" s="10">
        <v>178</v>
      </c>
      <c r="J205" s="10">
        <v>252</v>
      </c>
      <c r="K205" s="10">
        <v>243</v>
      </c>
      <c r="L205" s="10">
        <v>483</v>
      </c>
      <c r="M205" s="10">
        <v>238</v>
      </c>
      <c r="N205" s="10">
        <v>360</v>
      </c>
      <c r="O205" s="10">
        <v>149</v>
      </c>
      <c r="P205" s="10">
        <v>418</v>
      </c>
      <c r="Q205" s="10">
        <v>236</v>
      </c>
      <c r="R205" s="10">
        <v>195</v>
      </c>
      <c r="S205" s="10">
        <v>302</v>
      </c>
      <c r="T205" s="10">
        <v>428</v>
      </c>
      <c r="U205" s="10">
        <v>377</v>
      </c>
      <c r="V205" s="10">
        <v>477</v>
      </c>
      <c r="W205" s="10">
        <v>387</v>
      </c>
      <c r="X205" s="10">
        <v>474</v>
      </c>
      <c r="Y205" s="10">
        <v>299</v>
      </c>
      <c r="Z205" s="10">
        <v>321</v>
      </c>
      <c r="AA205" s="10">
        <v>420</v>
      </c>
      <c r="AB205" s="10">
        <v>212</v>
      </c>
      <c r="AC205" s="10">
        <v>180</v>
      </c>
      <c r="AD205" s="10">
        <v>205</v>
      </c>
      <c r="AE205" s="10">
        <v>275</v>
      </c>
      <c r="AF205" s="10">
        <v>157</v>
      </c>
      <c r="AG205" s="10">
        <v>185</v>
      </c>
      <c r="AH205" s="10">
        <v>487</v>
      </c>
      <c r="AI205" s="10">
        <v>150</v>
      </c>
      <c r="AJ205" s="10">
        <v>364</v>
      </c>
      <c r="AK205" s="10">
        <v>397</v>
      </c>
      <c r="AL205" s="10">
        <v>387</v>
      </c>
      <c r="AM205" s="10">
        <v>300</v>
      </c>
      <c r="AN205" s="10">
        <v>370</v>
      </c>
      <c r="AO205" s="10">
        <v>184</v>
      </c>
      <c r="AP205" s="10">
        <v>280</v>
      </c>
      <c r="AQ205" s="10">
        <v>218</v>
      </c>
      <c r="AR205" s="10">
        <v>168</v>
      </c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</row>
    <row r="206" spans="1:81">
      <c r="A206" s="4" t="s">
        <v>554</v>
      </c>
      <c r="B206" s="1" t="s">
        <v>555</v>
      </c>
      <c r="C206" s="1" t="s">
        <v>363</v>
      </c>
      <c r="D206" s="1" t="str">
        <f>HYPERLINK("http://eros.fiehnlab.ucdavis.edu:8080/binbase-compound/bin/show/409212?db=rtx5","409212")</f>
        <v>409212</v>
      </c>
      <c r="E206" s="1" t="s">
        <v>556</v>
      </c>
      <c r="F206" s="1" t="s">
        <v>0</v>
      </c>
      <c r="G206" s="1" t="s">
        <v>0</v>
      </c>
      <c r="H206" s="1"/>
      <c r="I206" s="10">
        <v>1205</v>
      </c>
      <c r="J206" s="10">
        <v>2752</v>
      </c>
      <c r="K206" s="10">
        <v>2405</v>
      </c>
      <c r="L206" s="10">
        <v>1634</v>
      </c>
      <c r="M206" s="10">
        <v>1781</v>
      </c>
      <c r="N206" s="10">
        <v>617</v>
      </c>
      <c r="O206" s="10">
        <v>1212</v>
      </c>
      <c r="P206" s="10">
        <v>3091</v>
      </c>
      <c r="Q206" s="10">
        <v>941</v>
      </c>
      <c r="R206" s="10">
        <v>656</v>
      </c>
      <c r="S206" s="10">
        <v>2709</v>
      </c>
      <c r="T206" s="10">
        <v>2809</v>
      </c>
      <c r="U206" s="10">
        <v>849</v>
      </c>
      <c r="V206" s="10">
        <v>2977</v>
      </c>
      <c r="W206" s="10">
        <v>3999</v>
      </c>
      <c r="X206" s="10">
        <v>2097</v>
      </c>
      <c r="Y206" s="10">
        <v>988</v>
      </c>
      <c r="Z206" s="10">
        <v>1197</v>
      </c>
      <c r="AA206" s="10">
        <v>3440</v>
      </c>
      <c r="AB206" s="10">
        <v>543</v>
      </c>
      <c r="AC206" s="10">
        <v>1681</v>
      </c>
      <c r="AD206" s="10">
        <v>1987</v>
      </c>
      <c r="AE206" s="10">
        <v>650</v>
      </c>
      <c r="AF206" s="10">
        <v>1243</v>
      </c>
      <c r="AG206" s="10">
        <v>2838</v>
      </c>
      <c r="AH206" s="10">
        <v>1679</v>
      </c>
      <c r="AI206" s="10">
        <v>1891</v>
      </c>
      <c r="AJ206" s="10">
        <v>6507</v>
      </c>
      <c r="AK206" s="10">
        <v>3769</v>
      </c>
      <c r="AL206" s="10">
        <v>5959</v>
      </c>
      <c r="AM206" s="10">
        <v>2093</v>
      </c>
      <c r="AN206" s="10">
        <v>2027</v>
      </c>
      <c r="AO206" s="10">
        <v>1799</v>
      </c>
      <c r="AP206" s="10">
        <v>2706</v>
      </c>
      <c r="AQ206" s="10">
        <v>3045</v>
      </c>
      <c r="AR206" s="10">
        <v>1178</v>
      </c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</row>
    <row r="207" spans="1:81">
      <c r="A207" s="4" t="s">
        <v>924</v>
      </c>
      <c r="B207" s="1" t="s">
        <v>925</v>
      </c>
      <c r="C207" s="1" t="s">
        <v>115</v>
      </c>
      <c r="D207" s="1" t="str">
        <f>HYPERLINK("http://eros.fiehnlab.ucdavis.edu:8080/binbase-compound/bin/show/238149?db=rtx5","238149")</f>
        <v>238149</v>
      </c>
      <c r="E207" s="1" t="s">
        <v>926</v>
      </c>
      <c r="F207" s="1" t="s">
        <v>0</v>
      </c>
      <c r="G207" s="1" t="s">
        <v>0</v>
      </c>
      <c r="H207" s="1"/>
      <c r="I207" s="10">
        <v>623</v>
      </c>
      <c r="J207" s="10">
        <v>636</v>
      </c>
      <c r="K207" s="10">
        <v>965</v>
      </c>
      <c r="L207" s="10">
        <v>1001</v>
      </c>
      <c r="M207" s="10">
        <v>628</v>
      </c>
      <c r="N207" s="10">
        <v>830</v>
      </c>
      <c r="O207" s="10">
        <v>616</v>
      </c>
      <c r="P207" s="10">
        <v>828</v>
      </c>
      <c r="Q207" s="10">
        <v>873</v>
      </c>
      <c r="R207" s="10">
        <v>686</v>
      </c>
      <c r="S207" s="10">
        <v>895</v>
      </c>
      <c r="T207" s="10">
        <v>1052</v>
      </c>
      <c r="U207" s="10">
        <v>1065</v>
      </c>
      <c r="V207" s="10">
        <v>874</v>
      </c>
      <c r="W207" s="10">
        <v>669</v>
      </c>
      <c r="X207" s="10">
        <v>929</v>
      </c>
      <c r="Y207" s="10">
        <v>920</v>
      </c>
      <c r="Z207" s="10">
        <v>537</v>
      </c>
      <c r="AA207" s="10">
        <v>613</v>
      </c>
      <c r="AB207" s="10">
        <v>980</v>
      </c>
      <c r="AC207" s="10">
        <v>826</v>
      </c>
      <c r="AD207" s="10">
        <v>552</v>
      </c>
      <c r="AE207" s="10">
        <v>898</v>
      </c>
      <c r="AF207" s="10">
        <v>630</v>
      </c>
      <c r="AG207" s="10">
        <v>539</v>
      </c>
      <c r="AH207" s="10">
        <v>886</v>
      </c>
      <c r="AI207" s="10">
        <v>642</v>
      </c>
      <c r="AJ207" s="10">
        <v>821</v>
      </c>
      <c r="AK207" s="10">
        <v>746</v>
      </c>
      <c r="AL207" s="10">
        <v>904</v>
      </c>
      <c r="AM207" s="10">
        <v>821</v>
      </c>
      <c r="AN207" s="10">
        <v>465</v>
      </c>
      <c r="AO207" s="10">
        <v>735</v>
      </c>
      <c r="AP207" s="10">
        <v>851</v>
      </c>
      <c r="AQ207" s="10">
        <v>606</v>
      </c>
      <c r="AR207" s="10">
        <v>473</v>
      </c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</row>
    <row r="208" spans="1:81">
      <c r="A208" s="4" t="s">
        <v>730</v>
      </c>
      <c r="B208" s="1" t="s">
        <v>731</v>
      </c>
      <c r="C208" s="1" t="s">
        <v>153</v>
      </c>
      <c r="D208" s="1" t="str">
        <f>HYPERLINK("http://eros.fiehnlab.ucdavis.edu:8080/binbase-compound/bin/show/352812?db=rtx5","352812")</f>
        <v>352812</v>
      </c>
      <c r="E208" s="1" t="s">
        <v>732</v>
      </c>
      <c r="F208" s="1" t="s">
        <v>0</v>
      </c>
      <c r="G208" s="1" t="s">
        <v>0</v>
      </c>
      <c r="H208" s="1"/>
      <c r="I208" s="10">
        <v>6221</v>
      </c>
      <c r="J208" s="10">
        <v>15999</v>
      </c>
      <c r="K208" s="10">
        <v>17994</v>
      </c>
      <c r="L208" s="10">
        <v>10587</v>
      </c>
      <c r="M208" s="10">
        <v>13012</v>
      </c>
      <c r="N208" s="10">
        <v>9828</v>
      </c>
      <c r="O208" s="10">
        <v>8204</v>
      </c>
      <c r="P208" s="10">
        <v>15263</v>
      </c>
      <c r="Q208" s="10">
        <v>6049</v>
      </c>
      <c r="R208" s="10">
        <v>6545</v>
      </c>
      <c r="S208" s="10">
        <v>28978</v>
      </c>
      <c r="T208" s="10">
        <v>8140</v>
      </c>
      <c r="U208" s="10">
        <v>8756</v>
      </c>
      <c r="V208" s="10">
        <v>18699</v>
      </c>
      <c r="W208" s="10">
        <v>12846</v>
      </c>
      <c r="X208" s="10">
        <v>7795</v>
      </c>
      <c r="Y208" s="10">
        <v>12491</v>
      </c>
      <c r="Z208" s="10">
        <v>12966</v>
      </c>
      <c r="AA208" s="10">
        <v>11263</v>
      </c>
      <c r="AB208" s="10">
        <v>6239</v>
      </c>
      <c r="AC208" s="10">
        <v>12192</v>
      </c>
      <c r="AD208" s="10">
        <v>12730</v>
      </c>
      <c r="AE208" s="10">
        <v>7135</v>
      </c>
      <c r="AF208" s="10">
        <v>8476</v>
      </c>
      <c r="AG208" s="10">
        <v>26688</v>
      </c>
      <c r="AH208" s="10">
        <v>11624</v>
      </c>
      <c r="AI208" s="10">
        <v>7349</v>
      </c>
      <c r="AJ208" s="10">
        <v>13782</v>
      </c>
      <c r="AK208" s="10">
        <v>9562</v>
      </c>
      <c r="AL208" s="10">
        <v>29421</v>
      </c>
      <c r="AM208" s="10">
        <v>10535</v>
      </c>
      <c r="AN208" s="10">
        <v>14308</v>
      </c>
      <c r="AO208" s="10">
        <v>7351</v>
      </c>
      <c r="AP208" s="10">
        <v>9309</v>
      </c>
      <c r="AQ208" s="10">
        <v>17543</v>
      </c>
      <c r="AR208" s="10">
        <v>12676</v>
      </c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</row>
    <row r="209" spans="1:81">
      <c r="A209" s="4" t="s">
        <v>815</v>
      </c>
      <c r="B209" s="1" t="s">
        <v>816</v>
      </c>
      <c r="C209" s="1" t="s">
        <v>246</v>
      </c>
      <c r="D209" s="1" t="str">
        <f>HYPERLINK("http://eros.fiehnlab.ucdavis.edu:8080/binbase-compound/bin/show/269272?db=rtx5","269272")</f>
        <v>269272</v>
      </c>
      <c r="E209" s="1" t="s">
        <v>817</v>
      </c>
      <c r="F209" s="1" t="s">
        <v>0</v>
      </c>
      <c r="G209" s="1" t="s">
        <v>0</v>
      </c>
      <c r="H209" s="1"/>
      <c r="I209" s="10">
        <v>4067</v>
      </c>
      <c r="J209" s="10">
        <v>2421</v>
      </c>
      <c r="K209" s="10">
        <v>2274</v>
      </c>
      <c r="L209" s="10">
        <v>1552</v>
      </c>
      <c r="M209" s="10">
        <v>5286</v>
      </c>
      <c r="N209" s="10">
        <v>6897</v>
      </c>
      <c r="O209" s="10">
        <v>1795</v>
      </c>
      <c r="P209" s="10">
        <v>3325</v>
      </c>
      <c r="Q209" s="10">
        <v>8236</v>
      </c>
      <c r="R209" s="10">
        <v>4700</v>
      </c>
      <c r="S209" s="10">
        <v>5597</v>
      </c>
      <c r="T209" s="10">
        <v>2115</v>
      </c>
      <c r="U209" s="10">
        <v>13152</v>
      </c>
      <c r="V209" s="10">
        <v>1967</v>
      </c>
      <c r="W209" s="10">
        <v>4450</v>
      </c>
      <c r="X209" s="10">
        <v>1618</v>
      </c>
      <c r="Y209" s="10">
        <v>4218</v>
      </c>
      <c r="Z209" s="10">
        <v>4845</v>
      </c>
      <c r="AA209" s="10">
        <v>2987</v>
      </c>
      <c r="AB209" s="10">
        <v>11003</v>
      </c>
      <c r="AC209" s="10">
        <v>1573</v>
      </c>
      <c r="AD209" s="10">
        <v>3460</v>
      </c>
      <c r="AE209" s="10">
        <v>6348</v>
      </c>
      <c r="AF209" s="10">
        <v>2183</v>
      </c>
      <c r="AG209" s="10">
        <v>852</v>
      </c>
      <c r="AH209" s="10">
        <v>7958</v>
      </c>
      <c r="AI209" s="10">
        <v>2979</v>
      </c>
      <c r="AJ209" s="10">
        <v>1665</v>
      </c>
      <c r="AK209" s="10">
        <v>5210</v>
      </c>
      <c r="AL209" s="10">
        <v>2717</v>
      </c>
      <c r="AM209" s="10">
        <v>8814</v>
      </c>
      <c r="AN209" s="10">
        <v>2176</v>
      </c>
      <c r="AO209" s="10">
        <v>9121</v>
      </c>
      <c r="AP209" s="10">
        <v>6396</v>
      </c>
      <c r="AQ209" s="10">
        <v>1851</v>
      </c>
      <c r="AR209" s="10">
        <v>2734</v>
      </c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</row>
    <row r="210" spans="1:81">
      <c r="A210" s="4" t="s">
        <v>1156</v>
      </c>
      <c r="B210" s="1" t="s">
        <v>1157</v>
      </c>
      <c r="C210" s="1" t="s">
        <v>101</v>
      </c>
      <c r="D210" s="1" t="str">
        <f>HYPERLINK("http://eros.fiehnlab.ucdavis.edu:8080/binbase-compound/bin/show/201862?db=rtx5","201862")</f>
        <v>201862</v>
      </c>
      <c r="E210" s="1" t="s">
        <v>1158</v>
      </c>
      <c r="F210" s="1" t="s">
        <v>0</v>
      </c>
      <c r="G210" s="1" t="s">
        <v>0</v>
      </c>
      <c r="H210" s="1"/>
      <c r="I210" s="10">
        <v>71</v>
      </c>
      <c r="J210" s="10">
        <v>747</v>
      </c>
      <c r="K210" s="10">
        <v>253</v>
      </c>
      <c r="L210" s="10">
        <v>65</v>
      </c>
      <c r="M210" s="10">
        <v>191</v>
      </c>
      <c r="N210" s="10">
        <v>232</v>
      </c>
      <c r="O210" s="10">
        <v>168</v>
      </c>
      <c r="P210" s="10">
        <v>1208</v>
      </c>
      <c r="Q210" s="10">
        <v>380</v>
      </c>
      <c r="R210" s="10">
        <v>322</v>
      </c>
      <c r="S210" s="10">
        <v>1062</v>
      </c>
      <c r="T210" s="10">
        <v>515</v>
      </c>
      <c r="U210" s="10">
        <v>303</v>
      </c>
      <c r="V210" s="10">
        <v>265</v>
      </c>
      <c r="W210" s="10">
        <v>129</v>
      </c>
      <c r="X210" s="10">
        <v>81</v>
      </c>
      <c r="Y210" s="10">
        <v>99</v>
      </c>
      <c r="Z210" s="10">
        <v>280</v>
      </c>
      <c r="AA210" s="10">
        <v>429</v>
      </c>
      <c r="AB210" s="10">
        <v>105</v>
      </c>
      <c r="AC210" s="10">
        <v>601</v>
      </c>
      <c r="AD210" s="10">
        <v>102</v>
      </c>
      <c r="AE210" s="10">
        <v>93</v>
      </c>
      <c r="AF210" s="10">
        <v>191</v>
      </c>
      <c r="AG210" s="10">
        <v>209</v>
      </c>
      <c r="AH210" s="10">
        <v>62</v>
      </c>
      <c r="AI210" s="10">
        <v>171</v>
      </c>
      <c r="AJ210" s="10">
        <v>957</v>
      </c>
      <c r="AK210" s="10">
        <v>355</v>
      </c>
      <c r="AL210" s="10">
        <v>787</v>
      </c>
      <c r="AM210" s="10">
        <v>108</v>
      </c>
      <c r="AN210" s="10">
        <v>684</v>
      </c>
      <c r="AO210" s="10">
        <v>99</v>
      </c>
      <c r="AP210" s="10">
        <v>277</v>
      </c>
      <c r="AQ210" s="10">
        <v>406</v>
      </c>
      <c r="AR210" s="10">
        <v>94</v>
      </c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</row>
    <row r="211" spans="1:81">
      <c r="A211" s="4" t="s">
        <v>708</v>
      </c>
      <c r="B211" s="1" t="s">
        <v>709</v>
      </c>
      <c r="C211" s="1" t="s">
        <v>203</v>
      </c>
      <c r="D211" s="1" t="str">
        <f>HYPERLINK("http://eros.fiehnlab.ucdavis.edu:8080/binbase-compound/bin/show/359483?db=rtx5","359483")</f>
        <v>359483</v>
      </c>
      <c r="E211" s="1" t="s">
        <v>710</v>
      </c>
      <c r="F211" s="1" t="s">
        <v>0</v>
      </c>
      <c r="G211" s="1" t="s">
        <v>0</v>
      </c>
      <c r="H211" s="1"/>
      <c r="I211" s="10">
        <v>3318</v>
      </c>
      <c r="J211" s="10">
        <v>2028</v>
      </c>
      <c r="K211" s="10">
        <v>2269</v>
      </c>
      <c r="L211" s="10">
        <v>2895</v>
      </c>
      <c r="M211" s="10">
        <v>3077</v>
      </c>
      <c r="N211" s="10">
        <v>3847</v>
      </c>
      <c r="O211" s="10">
        <v>1777</v>
      </c>
      <c r="P211" s="10">
        <v>3156</v>
      </c>
      <c r="Q211" s="10">
        <v>3439</v>
      </c>
      <c r="R211" s="10">
        <v>2338</v>
      </c>
      <c r="S211" s="10">
        <v>3844</v>
      </c>
      <c r="T211" s="10">
        <v>3662</v>
      </c>
      <c r="U211" s="10">
        <v>5019</v>
      </c>
      <c r="V211" s="10">
        <v>1724</v>
      </c>
      <c r="W211" s="10">
        <v>3087</v>
      </c>
      <c r="X211" s="10">
        <v>2259</v>
      </c>
      <c r="Y211" s="10">
        <v>3443</v>
      </c>
      <c r="Z211" s="10">
        <v>3040</v>
      </c>
      <c r="AA211" s="10">
        <v>2528</v>
      </c>
      <c r="AB211" s="10">
        <v>4270</v>
      </c>
      <c r="AC211" s="10">
        <v>2928</v>
      </c>
      <c r="AD211" s="10">
        <v>2889</v>
      </c>
      <c r="AE211" s="10">
        <v>3178</v>
      </c>
      <c r="AF211" s="10">
        <v>1418</v>
      </c>
      <c r="AG211" s="10">
        <v>1887</v>
      </c>
      <c r="AH211" s="10">
        <v>4310</v>
      </c>
      <c r="AI211" s="10">
        <v>2345</v>
      </c>
      <c r="AJ211" s="10">
        <v>3404</v>
      </c>
      <c r="AK211" s="10">
        <v>3446</v>
      </c>
      <c r="AL211" s="10">
        <v>3224</v>
      </c>
      <c r="AM211" s="10">
        <v>3484</v>
      </c>
      <c r="AN211" s="10">
        <v>2011</v>
      </c>
      <c r="AO211" s="10">
        <v>3570</v>
      </c>
      <c r="AP211" s="10">
        <v>3614</v>
      </c>
      <c r="AQ211" s="10">
        <v>3051</v>
      </c>
      <c r="AR211" s="10">
        <v>2886</v>
      </c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</row>
    <row r="212" spans="1:81">
      <c r="A212" s="4" t="s">
        <v>651</v>
      </c>
      <c r="B212" s="1" t="s">
        <v>652</v>
      </c>
      <c r="C212" s="1" t="s">
        <v>653</v>
      </c>
      <c r="D212" s="1" t="str">
        <f>HYPERLINK("http://eros.fiehnlab.ucdavis.edu:8080/binbase-compound/bin/show/398950?db=rtx5","398950")</f>
        <v>398950</v>
      </c>
      <c r="E212" s="1" t="s">
        <v>654</v>
      </c>
      <c r="F212" s="1" t="s">
        <v>0</v>
      </c>
      <c r="G212" s="1" t="s">
        <v>0</v>
      </c>
      <c r="H212" s="1"/>
      <c r="I212" s="10">
        <v>275</v>
      </c>
      <c r="J212" s="10">
        <v>329</v>
      </c>
      <c r="K212" s="10">
        <v>550</v>
      </c>
      <c r="L212" s="10">
        <v>381</v>
      </c>
      <c r="M212" s="10">
        <v>181</v>
      </c>
      <c r="N212" s="10">
        <v>138</v>
      </c>
      <c r="O212" s="10">
        <v>389</v>
      </c>
      <c r="P212" s="10">
        <v>667</v>
      </c>
      <c r="Q212" s="10">
        <v>351</v>
      </c>
      <c r="R212" s="10">
        <v>184</v>
      </c>
      <c r="S212" s="10">
        <v>559</v>
      </c>
      <c r="T212" s="10">
        <v>584</v>
      </c>
      <c r="U212" s="10">
        <v>270</v>
      </c>
      <c r="V212" s="10">
        <v>407</v>
      </c>
      <c r="W212" s="10">
        <v>314</v>
      </c>
      <c r="X212" s="10">
        <v>318</v>
      </c>
      <c r="Y212" s="10">
        <v>237</v>
      </c>
      <c r="Z212" s="10">
        <v>636</v>
      </c>
      <c r="AA212" s="10">
        <v>499</v>
      </c>
      <c r="AB212" s="10">
        <v>386</v>
      </c>
      <c r="AC212" s="10">
        <v>322</v>
      </c>
      <c r="AD212" s="10">
        <v>304</v>
      </c>
      <c r="AE212" s="10">
        <v>111</v>
      </c>
      <c r="AF212" s="10">
        <v>408</v>
      </c>
      <c r="AG212" s="10">
        <v>230</v>
      </c>
      <c r="AH212" s="10">
        <v>185</v>
      </c>
      <c r="AI212" s="10">
        <v>160</v>
      </c>
      <c r="AJ212" s="10">
        <v>507</v>
      </c>
      <c r="AK212" s="10">
        <v>426</v>
      </c>
      <c r="AL212" s="10">
        <v>947</v>
      </c>
      <c r="AM212" s="10">
        <v>310</v>
      </c>
      <c r="AN212" s="10">
        <v>440</v>
      </c>
      <c r="AO212" s="10">
        <v>346</v>
      </c>
      <c r="AP212" s="10">
        <v>351</v>
      </c>
      <c r="AQ212" s="10">
        <v>1678</v>
      </c>
      <c r="AR212" s="10">
        <v>598</v>
      </c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</row>
    <row r="213" spans="1:81">
      <c r="A213" s="4" t="s">
        <v>585</v>
      </c>
      <c r="B213" s="1" t="s">
        <v>586</v>
      </c>
      <c r="C213" s="1" t="s">
        <v>165</v>
      </c>
      <c r="D213" s="1" t="str">
        <f>HYPERLINK("http://eros.fiehnlab.ucdavis.edu:8080/binbase-compound/bin/show/408855?db=rtx5","408855")</f>
        <v>408855</v>
      </c>
      <c r="E213" s="1" t="s">
        <v>587</v>
      </c>
      <c r="F213" s="1" t="s">
        <v>0</v>
      </c>
      <c r="G213" s="1" t="s">
        <v>0</v>
      </c>
      <c r="H213" s="1"/>
      <c r="I213" s="10">
        <v>2016</v>
      </c>
      <c r="J213" s="10">
        <v>190</v>
      </c>
      <c r="K213" s="10">
        <v>372</v>
      </c>
      <c r="L213" s="10">
        <v>5346</v>
      </c>
      <c r="M213" s="10">
        <v>1999</v>
      </c>
      <c r="N213" s="10">
        <v>3279</v>
      </c>
      <c r="O213" s="10">
        <v>822</v>
      </c>
      <c r="P213" s="10">
        <v>759</v>
      </c>
      <c r="Q213" s="10">
        <v>2735</v>
      </c>
      <c r="R213" s="10">
        <v>3839</v>
      </c>
      <c r="S213" s="10">
        <v>426</v>
      </c>
      <c r="T213" s="10">
        <v>478</v>
      </c>
      <c r="U213" s="10">
        <v>7231</v>
      </c>
      <c r="V213" s="10">
        <v>2757</v>
      </c>
      <c r="W213" s="10">
        <v>3394</v>
      </c>
      <c r="X213" s="10">
        <v>884</v>
      </c>
      <c r="Y213" s="10">
        <v>5050</v>
      </c>
      <c r="Z213" s="10">
        <v>4148</v>
      </c>
      <c r="AA213" s="10">
        <v>266</v>
      </c>
      <c r="AB213" s="10">
        <v>6141</v>
      </c>
      <c r="AC213" s="10">
        <v>487</v>
      </c>
      <c r="AD213" s="10">
        <v>3827</v>
      </c>
      <c r="AE213" s="10">
        <v>1789</v>
      </c>
      <c r="AF213" s="10">
        <v>685</v>
      </c>
      <c r="AG213" s="10">
        <v>860</v>
      </c>
      <c r="AH213" s="10">
        <v>5494</v>
      </c>
      <c r="AI213" s="10">
        <v>1000</v>
      </c>
      <c r="AJ213" s="10">
        <v>1434</v>
      </c>
      <c r="AK213" s="10">
        <v>1470</v>
      </c>
      <c r="AL213" s="10">
        <v>706</v>
      </c>
      <c r="AM213" s="10">
        <v>3678</v>
      </c>
      <c r="AN213" s="10">
        <v>4114</v>
      </c>
      <c r="AO213" s="10">
        <v>4142</v>
      </c>
      <c r="AP213" s="10">
        <v>4901</v>
      </c>
      <c r="AQ213" s="10">
        <v>1263</v>
      </c>
      <c r="AR213" s="10">
        <v>4003</v>
      </c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</row>
    <row r="214" spans="1:81">
      <c r="A214" s="4" t="s">
        <v>1125</v>
      </c>
      <c r="B214" s="1" t="s">
        <v>1126</v>
      </c>
      <c r="C214" s="1" t="s">
        <v>185</v>
      </c>
      <c r="D214" s="1" t="str">
        <f>HYPERLINK("http://eros.fiehnlab.ucdavis.edu:8080/binbase-compound/bin/show/210557?db=rtx5","210557")</f>
        <v>210557</v>
      </c>
      <c r="E214" s="1" t="s">
        <v>1127</v>
      </c>
      <c r="F214" s="1" t="s">
        <v>0</v>
      </c>
      <c r="G214" s="1" t="s">
        <v>0</v>
      </c>
      <c r="H214" s="1"/>
      <c r="I214" s="10">
        <v>319</v>
      </c>
      <c r="J214" s="10">
        <v>2090</v>
      </c>
      <c r="K214" s="10">
        <v>1990</v>
      </c>
      <c r="L214" s="10">
        <v>276</v>
      </c>
      <c r="M214" s="10">
        <v>1177</v>
      </c>
      <c r="N214" s="10">
        <v>267</v>
      </c>
      <c r="O214" s="10">
        <v>838</v>
      </c>
      <c r="P214" s="10">
        <v>2635</v>
      </c>
      <c r="Q214" s="10">
        <v>520</v>
      </c>
      <c r="R214" s="10">
        <v>799</v>
      </c>
      <c r="S214" s="10">
        <v>2660</v>
      </c>
      <c r="T214" s="10">
        <v>1457</v>
      </c>
      <c r="U214" s="10">
        <v>313</v>
      </c>
      <c r="V214" s="10">
        <v>889</v>
      </c>
      <c r="W214" s="10">
        <v>695</v>
      </c>
      <c r="X214" s="10">
        <v>570</v>
      </c>
      <c r="Y214" s="10">
        <v>588</v>
      </c>
      <c r="Z214" s="10">
        <v>433</v>
      </c>
      <c r="AA214" s="10">
        <v>2686</v>
      </c>
      <c r="AB214" s="10">
        <v>578</v>
      </c>
      <c r="AC214" s="10">
        <v>2543</v>
      </c>
      <c r="AD214" s="10">
        <v>832</v>
      </c>
      <c r="AE214" s="10">
        <v>499</v>
      </c>
      <c r="AF214" s="10">
        <v>1505</v>
      </c>
      <c r="AG214" s="10">
        <v>10678</v>
      </c>
      <c r="AH214" s="10">
        <v>1647</v>
      </c>
      <c r="AI214" s="10">
        <v>4623</v>
      </c>
      <c r="AJ214" s="10">
        <v>7235</v>
      </c>
      <c r="AK214" s="10">
        <v>1940</v>
      </c>
      <c r="AL214" s="10">
        <v>9048</v>
      </c>
      <c r="AM214" s="10">
        <v>681</v>
      </c>
      <c r="AN214" s="10">
        <v>1134</v>
      </c>
      <c r="AO214" s="10">
        <v>627</v>
      </c>
      <c r="AP214" s="10">
        <v>697</v>
      </c>
      <c r="AQ214" s="10">
        <v>939</v>
      </c>
      <c r="AR214" s="10">
        <v>629</v>
      </c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</row>
    <row r="215" spans="1:81">
      <c r="A215" s="4" t="s">
        <v>871</v>
      </c>
      <c r="B215" s="1" t="s">
        <v>872</v>
      </c>
      <c r="C215" s="1" t="s">
        <v>265</v>
      </c>
      <c r="D215" s="1" t="str">
        <f>HYPERLINK("http://eros.fiehnlab.ucdavis.edu:8080/binbase-compound/bin/show/241271?db=rtx5","241271")</f>
        <v>241271</v>
      </c>
      <c r="E215" s="1" t="s">
        <v>873</v>
      </c>
      <c r="F215" s="1" t="s">
        <v>0</v>
      </c>
      <c r="G215" s="1" t="s">
        <v>0</v>
      </c>
      <c r="H215" s="1"/>
      <c r="I215" s="10">
        <v>731</v>
      </c>
      <c r="J215" s="10">
        <v>96</v>
      </c>
      <c r="K215" s="10">
        <v>206</v>
      </c>
      <c r="L215" s="10">
        <v>311</v>
      </c>
      <c r="M215" s="10">
        <v>170</v>
      </c>
      <c r="N215" s="10">
        <v>552</v>
      </c>
      <c r="O215" s="10">
        <v>407</v>
      </c>
      <c r="P215" s="10">
        <v>291</v>
      </c>
      <c r="Q215" s="10">
        <v>1165</v>
      </c>
      <c r="R215" s="10">
        <v>719</v>
      </c>
      <c r="S215" s="10">
        <v>389</v>
      </c>
      <c r="T215" s="10">
        <v>305</v>
      </c>
      <c r="U215" s="10">
        <v>1644</v>
      </c>
      <c r="V215" s="10">
        <v>514</v>
      </c>
      <c r="W215" s="10">
        <v>511</v>
      </c>
      <c r="X215" s="10">
        <v>411</v>
      </c>
      <c r="Y215" s="10">
        <v>262</v>
      </c>
      <c r="Z215" s="10">
        <v>390</v>
      </c>
      <c r="AA215" s="10">
        <v>288</v>
      </c>
      <c r="AB215" s="10">
        <v>1552</v>
      </c>
      <c r="AC215" s="10">
        <v>315</v>
      </c>
      <c r="AD215" s="10">
        <v>371</v>
      </c>
      <c r="AE215" s="10">
        <v>855</v>
      </c>
      <c r="AF215" s="10">
        <v>532</v>
      </c>
      <c r="AG215" s="10">
        <v>54</v>
      </c>
      <c r="AH215" s="10">
        <v>1069</v>
      </c>
      <c r="AI215" s="10">
        <v>593</v>
      </c>
      <c r="AJ215" s="10">
        <v>585</v>
      </c>
      <c r="AK215" s="10">
        <v>449</v>
      </c>
      <c r="AL215" s="10">
        <v>174</v>
      </c>
      <c r="AM215" s="10">
        <v>1269</v>
      </c>
      <c r="AN215" s="10">
        <v>277</v>
      </c>
      <c r="AO215" s="10">
        <v>1126</v>
      </c>
      <c r="AP215" s="10">
        <v>710</v>
      </c>
      <c r="AQ215" s="10">
        <v>353</v>
      </c>
      <c r="AR215" s="10">
        <v>222</v>
      </c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</row>
    <row r="216" spans="1:81">
      <c r="A216" s="4" t="s">
        <v>521</v>
      </c>
      <c r="B216" s="1" t="s">
        <v>522</v>
      </c>
      <c r="C216" s="1" t="s">
        <v>201</v>
      </c>
      <c r="D216" s="1" t="str">
        <f>HYPERLINK("http://eros.fiehnlab.ucdavis.edu:8080/binbase-compound/bin/show/410624?db=rtx5","410624")</f>
        <v>410624</v>
      </c>
      <c r="E216" s="1" t="s">
        <v>523</v>
      </c>
      <c r="F216" s="1" t="s">
        <v>0</v>
      </c>
      <c r="G216" s="1" t="s">
        <v>0</v>
      </c>
      <c r="H216" s="1"/>
      <c r="I216" s="10">
        <v>211674</v>
      </c>
      <c r="J216" s="10">
        <v>212200</v>
      </c>
      <c r="K216" s="10">
        <v>161117</v>
      </c>
      <c r="L216" s="10">
        <v>220505</v>
      </c>
      <c r="M216" s="10">
        <v>144020</v>
      </c>
      <c r="N216" s="10">
        <v>196021</v>
      </c>
      <c r="O216" s="10">
        <v>260984</v>
      </c>
      <c r="P216" s="10">
        <v>118650</v>
      </c>
      <c r="Q216" s="10">
        <v>380389</v>
      </c>
      <c r="R216" s="10">
        <v>345524</v>
      </c>
      <c r="S216" s="10">
        <v>202529</v>
      </c>
      <c r="T216" s="10">
        <v>208097</v>
      </c>
      <c r="U216" s="10">
        <v>278781</v>
      </c>
      <c r="V216" s="10">
        <v>320319</v>
      </c>
      <c r="W216" s="10">
        <v>363603</v>
      </c>
      <c r="X216" s="10">
        <v>323970</v>
      </c>
      <c r="Y216" s="10">
        <v>258147</v>
      </c>
      <c r="Z216" s="10">
        <v>297024</v>
      </c>
      <c r="AA216" s="10">
        <v>279867</v>
      </c>
      <c r="AB216" s="10">
        <v>373816</v>
      </c>
      <c r="AC216" s="10">
        <v>377166</v>
      </c>
      <c r="AD216" s="10">
        <v>369956</v>
      </c>
      <c r="AE216" s="10">
        <v>339095</v>
      </c>
      <c r="AF216" s="10">
        <v>334853</v>
      </c>
      <c r="AG216" s="10">
        <v>435130</v>
      </c>
      <c r="AH216" s="10">
        <v>231504</v>
      </c>
      <c r="AI216" s="10">
        <v>389670</v>
      </c>
      <c r="AJ216" s="10">
        <v>276763</v>
      </c>
      <c r="AK216" s="10">
        <v>273390</v>
      </c>
      <c r="AL216" s="10">
        <v>158680</v>
      </c>
      <c r="AM216" s="10">
        <v>296582</v>
      </c>
      <c r="AN216" s="10">
        <v>369978</v>
      </c>
      <c r="AO216" s="10">
        <v>325808</v>
      </c>
      <c r="AP216" s="10">
        <v>336891</v>
      </c>
      <c r="AQ216" s="10">
        <v>244169</v>
      </c>
      <c r="AR216" s="10">
        <v>262970</v>
      </c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</row>
    <row r="217" spans="1:81">
      <c r="A217" s="4" t="s">
        <v>982</v>
      </c>
      <c r="B217" s="1" t="s">
        <v>983</v>
      </c>
      <c r="C217" s="1" t="s">
        <v>159</v>
      </c>
      <c r="D217" s="1" t="str">
        <f>HYPERLINK("http://eros.fiehnlab.ucdavis.edu:8080/binbase-compound/bin/show/231802?db=rtx5","231802")</f>
        <v>231802</v>
      </c>
      <c r="E217" s="1" t="s">
        <v>984</v>
      </c>
      <c r="F217" s="1" t="s">
        <v>0</v>
      </c>
      <c r="G217" s="1" t="s">
        <v>0</v>
      </c>
      <c r="H217" s="1"/>
      <c r="I217" s="10">
        <v>4556</v>
      </c>
      <c r="J217" s="10">
        <v>1466</v>
      </c>
      <c r="K217" s="10">
        <v>1440</v>
      </c>
      <c r="L217" s="10">
        <v>5524</v>
      </c>
      <c r="M217" s="10">
        <v>3739</v>
      </c>
      <c r="N217" s="10">
        <v>5394</v>
      </c>
      <c r="O217" s="10">
        <v>3644</v>
      </c>
      <c r="P217" s="10">
        <v>2999</v>
      </c>
      <c r="Q217" s="10">
        <v>4371</v>
      </c>
      <c r="R217" s="10">
        <v>4065</v>
      </c>
      <c r="S217" s="10">
        <v>1989</v>
      </c>
      <c r="T217" s="10">
        <v>1985</v>
      </c>
      <c r="U217" s="10">
        <v>6138</v>
      </c>
      <c r="V217" s="10">
        <v>2125</v>
      </c>
      <c r="W217" s="10">
        <v>3636</v>
      </c>
      <c r="X217" s="10">
        <v>4857</v>
      </c>
      <c r="Y217" s="10">
        <v>4762</v>
      </c>
      <c r="Z217" s="10">
        <v>3843</v>
      </c>
      <c r="AA217" s="10">
        <v>2645</v>
      </c>
      <c r="AB217" s="10">
        <v>6363</v>
      </c>
      <c r="AC217" s="10">
        <v>1696</v>
      </c>
      <c r="AD217" s="10">
        <v>3908</v>
      </c>
      <c r="AE217" s="10">
        <v>5283</v>
      </c>
      <c r="AF217" s="10">
        <v>2342</v>
      </c>
      <c r="AG217" s="10">
        <v>1693</v>
      </c>
      <c r="AH217" s="10">
        <v>5412</v>
      </c>
      <c r="AI217" s="10">
        <v>3485</v>
      </c>
      <c r="AJ217" s="10">
        <v>2624</v>
      </c>
      <c r="AK217" s="10">
        <v>3555</v>
      </c>
      <c r="AL217" s="10">
        <v>2313</v>
      </c>
      <c r="AM217" s="10">
        <v>4215</v>
      </c>
      <c r="AN217" s="10">
        <v>2191</v>
      </c>
      <c r="AO217" s="10">
        <v>4566</v>
      </c>
      <c r="AP217" s="10">
        <v>5137</v>
      </c>
      <c r="AQ217" s="10">
        <v>3053</v>
      </c>
      <c r="AR217" s="10">
        <v>4372</v>
      </c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</row>
    <row r="218" spans="1:81">
      <c r="A218" s="4" t="s">
        <v>899</v>
      </c>
      <c r="B218" s="1" t="s">
        <v>900</v>
      </c>
      <c r="C218" s="1" t="s">
        <v>518</v>
      </c>
      <c r="D218" s="1" t="str">
        <f>HYPERLINK("http://eros.fiehnlab.ucdavis.edu:8080/binbase-compound/bin/show/241039?db=rtx5","241039")</f>
        <v>241039</v>
      </c>
      <c r="E218" s="1" t="s">
        <v>901</v>
      </c>
      <c r="F218" s="1" t="s">
        <v>0</v>
      </c>
      <c r="G218" s="1" t="s">
        <v>0</v>
      </c>
      <c r="H218" s="1"/>
      <c r="I218" s="10">
        <v>227</v>
      </c>
      <c r="J218" s="10">
        <v>415</v>
      </c>
      <c r="K218" s="10">
        <v>439</v>
      </c>
      <c r="L218" s="10">
        <v>414</v>
      </c>
      <c r="M218" s="10">
        <v>346</v>
      </c>
      <c r="N218" s="10">
        <v>430</v>
      </c>
      <c r="O218" s="10">
        <v>293</v>
      </c>
      <c r="P218" s="10">
        <v>629</v>
      </c>
      <c r="Q218" s="10">
        <v>169</v>
      </c>
      <c r="R218" s="10">
        <v>279</v>
      </c>
      <c r="S218" s="10">
        <v>495</v>
      </c>
      <c r="T218" s="10">
        <v>375</v>
      </c>
      <c r="U218" s="10">
        <v>394</v>
      </c>
      <c r="V218" s="10">
        <v>331</v>
      </c>
      <c r="W218" s="10">
        <v>334</v>
      </c>
      <c r="X218" s="10">
        <v>247</v>
      </c>
      <c r="Y218" s="10">
        <v>316</v>
      </c>
      <c r="Z218" s="10">
        <v>178</v>
      </c>
      <c r="AA218" s="10">
        <v>415</v>
      </c>
      <c r="AB218" s="10">
        <v>299</v>
      </c>
      <c r="AC218" s="10">
        <v>204</v>
      </c>
      <c r="AD218" s="10">
        <v>251</v>
      </c>
      <c r="AE218" s="10">
        <v>259</v>
      </c>
      <c r="AF218" s="10">
        <v>270</v>
      </c>
      <c r="AG218" s="10">
        <v>239</v>
      </c>
      <c r="AH218" s="10">
        <v>409</v>
      </c>
      <c r="AI218" s="10">
        <v>229</v>
      </c>
      <c r="AJ218" s="10">
        <v>352</v>
      </c>
      <c r="AK218" s="10">
        <v>230</v>
      </c>
      <c r="AL218" s="10">
        <v>553</v>
      </c>
      <c r="AM218" s="10">
        <v>341</v>
      </c>
      <c r="AN218" s="10">
        <v>307</v>
      </c>
      <c r="AO218" s="10">
        <v>252</v>
      </c>
      <c r="AP218" s="10">
        <v>244</v>
      </c>
      <c r="AQ218" s="10">
        <v>340</v>
      </c>
      <c r="AR218" s="10">
        <v>206</v>
      </c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</row>
    <row r="219" spans="1:81">
      <c r="A219" s="4" t="s">
        <v>855</v>
      </c>
      <c r="B219" s="1" t="s">
        <v>856</v>
      </c>
      <c r="C219" s="1" t="s">
        <v>137</v>
      </c>
      <c r="D219" s="1" t="str">
        <f>HYPERLINK("http://eros.fiehnlab.ucdavis.edu:8080/binbase-compound/bin/show/241666?db=rtx5","241666")</f>
        <v>241666</v>
      </c>
      <c r="E219" s="1" t="s">
        <v>857</v>
      </c>
      <c r="F219" s="1" t="s">
        <v>0</v>
      </c>
      <c r="G219" s="1" t="s">
        <v>0</v>
      </c>
      <c r="H219" s="1"/>
      <c r="I219" s="10">
        <v>277</v>
      </c>
      <c r="J219" s="10">
        <v>297</v>
      </c>
      <c r="K219" s="10">
        <v>328</v>
      </c>
      <c r="L219" s="10">
        <v>239</v>
      </c>
      <c r="M219" s="10">
        <v>264</v>
      </c>
      <c r="N219" s="10">
        <v>280</v>
      </c>
      <c r="O219" s="10">
        <v>286</v>
      </c>
      <c r="P219" s="10">
        <v>422</v>
      </c>
      <c r="Q219" s="10">
        <v>206</v>
      </c>
      <c r="R219" s="10">
        <v>219</v>
      </c>
      <c r="S219" s="10">
        <v>374</v>
      </c>
      <c r="T219" s="10">
        <v>481</v>
      </c>
      <c r="U219" s="10">
        <v>284</v>
      </c>
      <c r="V219" s="10">
        <v>327</v>
      </c>
      <c r="W219" s="10">
        <v>240</v>
      </c>
      <c r="X219" s="10">
        <v>238</v>
      </c>
      <c r="Y219" s="10">
        <v>235</v>
      </c>
      <c r="Z219" s="10">
        <v>270</v>
      </c>
      <c r="AA219" s="10">
        <v>380</v>
      </c>
      <c r="AB219" s="10">
        <v>292</v>
      </c>
      <c r="AC219" s="10">
        <v>209</v>
      </c>
      <c r="AD219" s="10">
        <v>305</v>
      </c>
      <c r="AE219" s="10">
        <v>208</v>
      </c>
      <c r="AF219" s="10">
        <v>253</v>
      </c>
      <c r="AG219" s="10">
        <v>213</v>
      </c>
      <c r="AH219" s="10">
        <v>227</v>
      </c>
      <c r="AI219" s="10">
        <v>278</v>
      </c>
      <c r="AJ219" s="10">
        <v>494</v>
      </c>
      <c r="AK219" s="10">
        <v>291</v>
      </c>
      <c r="AL219" s="10">
        <v>404</v>
      </c>
      <c r="AM219" s="10">
        <v>205</v>
      </c>
      <c r="AN219" s="10">
        <v>292</v>
      </c>
      <c r="AO219" s="10">
        <v>172</v>
      </c>
      <c r="AP219" s="10">
        <v>248</v>
      </c>
      <c r="AQ219" s="10">
        <v>105</v>
      </c>
      <c r="AR219" s="10">
        <v>198</v>
      </c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</row>
    <row r="220" spans="1:81">
      <c r="A220" s="4" t="s">
        <v>1094</v>
      </c>
      <c r="B220" s="1" t="s">
        <v>1095</v>
      </c>
      <c r="C220" s="1" t="s">
        <v>466</v>
      </c>
      <c r="D220" s="1" t="str">
        <f>HYPERLINK("http://eros.fiehnlab.ucdavis.edu:8080/binbase-compound/bin/show/213697?db=rtx5","213697")</f>
        <v>213697</v>
      </c>
      <c r="E220" s="1" t="s">
        <v>1096</v>
      </c>
      <c r="F220" s="1" t="s">
        <v>0</v>
      </c>
      <c r="G220" s="1" t="s">
        <v>0</v>
      </c>
      <c r="H220" s="1"/>
      <c r="I220" s="10">
        <v>1238</v>
      </c>
      <c r="J220" s="10">
        <v>1093</v>
      </c>
      <c r="K220" s="10">
        <v>927</v>
      </c>
      <c r="L220" s="10">
        <v>566</v>
      </c>
      <c r="M220" s="10">
        <v>1145</v>
      </c>
      <c r="N220" s="10">
        <v>907</v>
      </c>
      <c r="O220" s="10">
        <v>948</v>
      </c>
      <c r="P220" s="10">
        <v>767</v>
      </c>
      <c r="Q220" s="10">
        <v>869</v>
      </c>
      <c r="R220" s="10">
        <v>1113</v>
      </c>
      <c r="S220" s="10">
        <v>1275</v>
      </c>
      <c r="T220" s="10">
        <v>614</v>
      </c>
      <c r="U220" s="10">
        <v>513</v>
      </c>
      <c r="V220" s="10">
        <v>426</v>
      </c>
      <c r="W220" s="10">
        <v>578</v>
      </c>
      <c r="X220" s="10">
        <v>482</v>
      </c>
      <c r="Y220" s="10">
        <v>786</v>
      </c>
      <c r="Z220" s="10">
        <v>566</v>
      </c>
      <c r="AA220" s="10">
        <v>722</v>
      </c>
      <c r="AB220" s="10">
        <v>2032</v>
      </c>
      <c r="AC220" s="10">
        <v>735</v>
      </c>
      <c r="AD220" s="10">
        <v>744</v>
      </c>
      <c r="AE220" s="10">
        <v>486</v>
      </c>
      <c r="AF220" s="10">
        <v>908</v>
      </c>
      <c r="AG220" s="10">
        <v>563</v>
      </c>
      <c r="AH220" s="10">
        <v>930</v>
      </c>
      <c r="AI220" s="10">
        <v>872</v>
      </c>
      <c r="AJ220" s="10">
        <v>568</v>
      </c>
      <c r="AK220" s="10">
        <v>315</v>
      </c>
      <c r="AL220" s="10">
        <v>599</v>
      </c>
      <c r="AM220" s="10">
        <v>348</v>
      </c>
      <c r="AN220" s="10">
        <v>413</v>
      </c>
      <c r="AO220" s="10">
        <v>723</v>
      </c>
      <c r="AP220" s="10">
        <v>957</v>
      </c>
      <c r="AQ220" s="10">
        <v>544</v>
      </c>
      <c r="AR220" s="10">
        <v>619</v>
      </c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</row>
    <row r="221" spans="1:81">
      <c r="A221" s="4" t="s">
        <v>541</v>
      </c>
      <c r="B221" s="1" t="s">
        <v>542</v>
      </c>
      <c r="C221" s="1" t="s">
        <v>165</v>
      </c>
      <c r="D221" s="1" t="str">
        <f>HYPERLINK("http://eros.fiehnlab.ucdavis.edu:8080/binbase-compound/bin/show/409593?db=rtx5","409593")</f>
        <v>409593</v>
      </c>
      <c r="E221" s="1" t="s">
        <v>543</v>
      </c>
      <c r="F221" s="1" t="s">
        <v>0</v>
      </c>
      <c r="G221" s="1" t="s">
        <v>0</v>
      </c>
      <c r="H221" s="1"/>
      <c r="I221" s="10">
        <v>5435</v>
      </c>
      <c r="J221" s="10">
        <v>2698</v>
      </c>
      <c r="K221" s="10">
        <v>1574</v>
      </c>
      <c r="L221" s="10">
        <v>2607</v>
      </c>
      <c r="M221" s="10">
        <v>4762</v>
      </c>
      <c r="N221" s="10">
        <v>10335</v>
      </c>
      <c r="O221" s="10">
        <v>7303</v>
      </c>
      <c r="P221" s="10">
        <v>1871</v>
      </c>
      <c r="Q221" s="10">
        <v>9347</v>
      </c>
      <c r="R221" s="10">
        <v>948</v>
      </c>
      <c r="S221" s="10">
        <v>3740</v>
      </c>
      <c r="T221" s="10">
        <v>2384</v>
      </c>
      <c r="U221" s="10">
        <v>11941</v>
      </c>
      <c r="V221" s="10">
        <v>6102</v>
      </c>
      <c r="W221" s="10">
        <v>5298</v>
      </c>
      <c r="X221" s="10">
        <v>3278</v>
      </c>
      <c r="Y221" s="10">
        <v>5983</v>
      </c>
      <c r="Z221" s="10">
        <v>8012</v>
      </c>
      <c r="AA221" s="10">
        <v>4533</v>
      </c>
      <c r="AB221" s="10">
        <v>3465</v>
      </c>
      <c r="AC221" s="10">
        <v>2970</v>
      </c>
      <c r="AD221" s="10">
        <v>9763</v>
      </c>
      <c r="AE221" s="10">
        <v>6180</v>
      </c>
      <c r="AF221" s="10">
        <v>4438</v>
      </c>
      <c r="AG221" s="10">
        <v>14231</v>
      </c>
      <c r="AH221" s="10">
        <v>11712</v>
      </c>
      <c r="AI221" s="10">
        <v>6195</v>
      </c>
      <c r="AJ221" s="10">
        <v>2349</v>
      </c>
      <c r="AK221" s="10">
        <v>4442</v>
      </c>
      <c r="AL221" s="10">
        <v>1029</v>
      </c>
      <c r="AM221" s="10">
        <v>5257</v>
      </c>
      <c r="AN221" s="10">
        <v>17072</v>
      </c>
      <c r="AO221" s="10">
        <v>7559</v>
      </c>
      <c r="AP221" s="10">
        <v>5993</v>
      </c>
      <c r="AQ221" s="10">
        <v>3097</v>
      </c>
      <c r="AR221" s="10">
        <v>8038</v>
      </c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</row>
    <row r="222" spans="1:81">
      <c r="A222" s="4" t="s">
        <v>1131</v>
      </c>
      <c r="B222" s="1" t="s">
        <v>1132</v>
      </c>
      <c r="C222" s="1" t="s">
        <v>165</v>
      </c>
      <c r="D222" s="1" t="str">
        <f>HYPERLINK("http://eros.fiehnlab.ucdavis.edu:8080/binbase-compound/bin/show/207729?db=rtx5","207729")</f>
        <v>207729</v>
      </c>
      <c r="E222" s="1" t="s">
        <v>1133</v>
      </c>
      <c r="F222" s="1" t="s">
        <v>0</v>
      </c>
      <c r="G222" s="1" t="s">
        <v>0</v>
      </c>
      <c r="H222" s="1"/>
      <c r="I222" s="10">
        <v>29642</v>
      </c>
      <c r="J222" s="10">
        <v>12372</v>
      </c>
      <c r="K222" s="10">
        <v>7882</v>
      </c>
      <c r="L222" s="10">
        <v>33360</v>
      </c>
      <c r="M222" s="10">
        <v>24767</v>
      </c>
      <c r="N222" s="10">
        <v>32870</v>
      </c>
      <c r="O222" s="10">
        <v>28634</v>
      </c>
      <c r="P222" s="10">
        <v>18396</v>
      </c>
      <c r="Q222" s="10">
        <v>29544</v>
      </c>
      <c r="R222" s="10">
        <v>21489</v>
      </c>
      <c r="S222" s="10">
        <v>14116</v>
      </c>
      <c r="T222" s="10">
        <v>9232</v>
      </c>
      <c r="U222" s="10">
        <v>42844</v>
      </c>
      <c r="V222" s="10">
        <v>18322</v>
      </c>
      <c r="W222" s="10">
        <v>26320</v>
      </c>
      <c r="X222" s="10">
        <v>30618</v>
      </c>
      <c r="Y222" s="10">
        <v>31335</v>
      </c>
      <c r="Z222" s="10">
        <v>25924</v>
      </c>
      <c r="AA222" s="10">
        <v>18317</v>
      </c>
      <c r="AB222" s="10">
        <v>40077</v>
      </c>
      <c r="AC222" s="10">
        <v>8653</v>
      </c>
      <c r="AD222" s="10">
        <v>25047</v>
      </c>
      <c r="AE222" s="10">
        <v>31338</v>
      </c>
      <c r="AF222" s="10">
        <v>14604</v>
      </c>
      <c r="AG222" s="10">
        <v>15084</v>
      </c>
      <c r="AH222" s="10">
        <v>36588</v>
      </c>
      <c r="AI222" s="10">
        <v>22078</v>
      </c>
      <c r="AJ222" s="10">
        <v>18137</v>
      </c>
      <c r="AK222" s="10">
        <v>27199</v>
      </c>
      <c r="AL222" s="10">
        <v>12985</v>
      </c>
      <c r="AM222" s="10">
        <v>25849</v>
      </c>
      <c r="AN222" s="10">
        <v>20805</v>
      </c>
      <c r="AO222" s="10">
        <v>29641</v>
      </c>
      <c r="AP222" s="10">
        <v>31535</v>
      </c>
      <c r="AQ222" s="10">
        <v>19944</v>
      </c>
      <c r="AR222" s="10">
        <v>25737</v>
      </c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</row>
    <row r="223" spans="1:81">
      <c r="A223" s="4" t="s">
        <v>845</v>
      </c>
      <c r="B223" s="1" t="s">
        <v>846</v>
      </c>
      <c r="C223" s="1" t="s">
        <v>165</v>
      </c>
      <c r="D223" s="1" t="str">
        <f>HYPERLINK("http://eros.fiehnlab.ucdavis.edu:8080/binbase-compound/bin/show/267692?db=rtx5","267692")</f>
        <v>267692</v>
      </c>
      <c r="E223" s="1" t="s">
        <v>847</v>
      </c>
      <c r="F223" s="1" t="s">
        <v>0</v>
      </c>
      <c r="G223" s="1" t="s">
        <v>0</v>
      </c>
      <c r="H223" s="1"/>
      <c r="I223" s="10">
        <v>19017</v>
      </c>
      <c r="J223" s="10">
        <v>15186</v>
      </c>
      <c r="K223" s="10">
        <v>10416</v>
      </c>
      <c r="L223" s="10">
        <v>4912</v>
      </c>
      <c r="M223" s="10">
        <v>15655</v>
      </c>
      <c r="N223" s="10">
        <v>25246</v>
      </c>
      <c r="O223" s="10">
        <v>23573</v>
      </c>
      <c r="P223" s="10">
        <v>30759</v>
      </c>
      <c r="Q223" s="10">
        <v>19850</v>
      </c>
      <c r="R223" s="10">
        <v>3968</v>
      </c>
      <c r="S223" s="10">
        <v>29418</v>
      </c>
      <c r="T223" s="10">
        <v>11015</v>
      </c>
      <c r="U223" s="10">
        <v>26928</v>
      </c>
      <c r="V223" s="10">
        <v>21608</v>
      </c>
      <c r="W223" s="10">
        <v>20089</v>
      </c>
      <c r="X223" s="10">
        <v>21365</v>
      </c>
      <c r="Y223" s="10">
        <v>19090</v>
      </c>
      <c r="Z223" s="10">
        <v>17763</v>
      </c>
      <c r="AA223" s="10">
        <v>29102</v>
      </c>
      <c r="AB223" s="10">
        <v>23949</v>
      </c>
      <c r="AC223" s="10">
        <v>15749</v>
      </c>
      <c r="AD223" s="10">
        <v>15017</v>
      </c>
      <c r="AE223" s="10">
        <v>19878</v>
      </c>
      <c r="AF223" s="10">
        <v>14644</v>
      </c>
      <c r="AG223" s="10">
        <v>30092</v>
      </c>
      <c r="AH223" s="10">
        <v>22971</v>
      </c>
      <c r="AI223" s="10">
        <v>13505</v>
      </c>
      <c r="AJ223" s="10">
        <v>18686</v>
      </c>
      <c r="AK223" s="10">
        <v>18328</v>
      </c>
      <c r="AL223" s="10">
        <v>13492</v>
      </c>
      <c r="AM223" s="10">
        <v>14767</v>
      </c>
      <c r="AN223" s="10">
        <v>19335</v>
      </c>
      <c r="AO223" s="10">
        <v>16714</v>
      </c>
      <c r="AP223" s="10">
        <v>18912</v>
      </c>
      <c r="AQ223" s="10">
        <v>17152</v>
      </c>
      <c r="AR223" s="10">
        <v>17697</v>
      </c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</row>
    <row r="224" spans="1:81">
      <c r="A224" s="4" t="s">
        <v>622</v>
      </c>
      <c r="B224" s="1" t="s">
        <v>623</v>
      </c>
      <c r="C224" s="1" t="s">
        <v>624</v>
      </c>
      <c r="D224" s="1" t="str">
        <f>HYPERLINK("http://eros.fiehnlab.ucdavis.edu:8080/binbase-compound/bin/show/408611?db=rtx5","408611")</f>
        <v>408611</v>
      </c>
      <c r="E224" s="1" t="s">
        <v>625</v>
      </c>
      <c r="F224" s="1" t="s">
        <v>0</v>
      </c>
      <c r="G224" s="1" t="s">
        <v>0</v>
      </c>
      <c r="H224" s="1"/>
      <c r="I224" s="10">
        <v>14246</v>
      </c>
      <c r="J224" s="10">
        <v>3019</v>
      </c>
      <c r="K224" s="10">
        <v>1394</v>
      </c>
      <c r="L224" s="10">
        <v>12722</v>
      </c>
      <c r="M224" s="10">
        <v>7943</v>
      </c>
      <c r="N224" s="10">
        <v>11657</v>
      </c>
      <c r="O224" s="10">
        <v>11138</v>
      </c>
      <c r="P224" s="10">
        <v>2669</v>
      </c>
      <c r="Q224" s="10">
        <v>13185</v>
      </c>
      <c r="R224" s="10">
        <v>9020</v>
      </c>
      <c r="S224" s="10">
        <v>3688</v>
      </c>
      <c r="T224" s="10">
        <v>6155</v>
      </c>
      <c r="U224" s="10">
        <v>15836</v>
      </c>
      <c r="V224" s="10">
        <v>6764</v>
      </c>
      <c r="W224" s="10">
        <v>9712</v>
      </c>
      <c r="X224" s="10">
        <v>11653</v>
      </c>
      <c r="Y224" s="10">
        <v>10954</v>
      </c>
      <c r="Z224" s="10">
        <v>9191</v>
      </c>
      <c r="AA224" s="10">
        <v>7683</v>
      </c>
      <c r="AB224" s="10">
        <v>12546</v>
      </c>
      <c r="AC224" s="10">
        <v>5238</v>
      </c>
      <c r="AD224" s="10">
        <v>10633</v>
      </c>
      <c r="AE224" s="10">
        <v>11916</v>
      </c>
      <c r="AF224" s="10">
        <v>6900</v>
      </c>
      <c r="AG224" s="10">
        <v>7601</v>
      </c>
      <c r="AH224" s="10">
        <v>17888</v>
      </c>
      <c r="AI224" s="10">
        <v>9919</v>
      </c>
      <c r="AJ224" s="10">
        <v>5701</v>
      </c>
      <c r="AK224" s="10">
        <v>8117</v>
      </c>
      <c r="AL224" s="10">
        <v>2774</v>
      </c>
      <c r="AM224" s="10">
        <v>12756</v>
      </c>
      <c r="AN224" s="10">
        <v>7364</v>
      </c>
      <c r="AO224" s="10">
        <v>11834</v>
      </c>
      <c r="AP224" s="10">
        <v>12302</v>
      </c>
      <c r="AQ224" s="10">
        <v>7041</v>
      </c>
      <c r="AR224" s="10">
        <v>11628</v>
      </c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</row>
    <row r="225" spans="1:81">
      <c r="A225" s="4" t="s">
        <v>1047</v>
      </c>
      <c r="B225" s="1" t="s">
        <v>1048</v>
      </c>
      <c r="C225" s="1" t="s">
        <v>624</v>
      </c>
      <c r="D225" s="1" t="str">
        <f>HYPERLINK("http://eros.fiehnlab.ucdavis.edu:8080/binbase-compound/bin/show/222065?db=rtx5","222065")</f>
        <v>222065</v>
      </c>
      <c r="E225" s="1" t="s">
        <v>1049</v>
      </c>
      <c r="F225" s="1" t="s">
        <v>0</v>
      </c>
      <c r="G225" s="1" t="s">
        <v>0</v>
      </c>
      <c r="H225" s="1"/>
      <c r="I225" s="10">
        <v>389</v>
      </c>
      <c r="J225" s="10">
        <v>1034</v>
      </c>
      <c r="K225" s="10">
        <v>836</v>
      </c>
      <c r="L225" s="10">
        <v>771</v>
      </c>
      <c r="M225" s="10">
        <v>2508</v>
      </c>
      <c r="N225" s="10">
        <v>1360</v>
      </c>
      <c r="O225" s="10">
        <v>1278</v>
      </c>
      <c r="P225" s="10">
        <v>3302</v>
      </c>
      <c r="Q225" s="10">
        <v>744</v>
      </c>
      <c r="R225" s="10">
        <v>1056</v>
      </c>
      <c r="S225" s="10">
        <v>1514</v>
      </c>
      <c r="T225" s="10">
        <v>7536</v>
      </c>
      <c r="U225" s="10">
        <v>523</v>
      </c>
      <c r="V225" s="10">
        <v>1389</v>
      </c>
      <c r="W225" s="10">
        <v>753</v>
      </c>
      <c r="X225" s="10">
        <v>1379</v>
      </c>
      <c r="Y225" s="10">
        <v>284</v>
      </c>
      <c r="Z225" s="10">
        <v>284</v>
      </c>
      <c r="AA225" s="10">
        <v>11920</v>
      </c>
      <c r="AB225" s="10">
        <v>2834</v>
      </c>
      <c r="AC225" s="10">
        <v>12026</v>
      </c>
      <c r="AD225" s="10">
        <v>301</v>
      </c>
      <c r="AE225" s="10">
        <v>1830</v>
      </c>
      <c r="AF225" s="10">
        <v>2794</v>
      </c>
      <c r="AG225" s="10">
        <v>1084</v>
      </c>
      <c r="AH225" s="10">
        <v>400</v>
      </c>
      <c r="AI225" s="10">
        <v>6214</v>
      </c>
      <c r="AJ225" s="10">
        <v>5147</v>
      </c>
      <c r="AK225" s="10">
        <v>2039</v>
      </c>
      <c r="AL225" s="10">
        <v>7083</v>
      </c>
      <c r="AM225" s="10">
        <v>1564</v>
      </c>
      <c r="AN225" s="10">
        <v>2379</v>
      </c>
      <c r="AO225" s="10">
        <v>755</v>
      </c>
      <c r="AP225" s="10">
        <v>914</v>
      </c>
      <c r="AQ225" s="10">
        <v>2682</v>
      </c>
      <c r="AR225" s="10">
        <v>1501</v>
      </c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</row>
    <row r="226" spans="1:81">
      <c r="A226" s="4" t="s">
        <v>1171</v>
      </c>
      <c r="B226" s="1" t="s">
        <v>1172</v>
      </c>
      <c r="C226" s="1" t="s">
        <v>1014</v>
      </c>
      <c r="D226" s="1" t="str">
        <f>HYPERLINK("http://eros.fiehnlab.ucdavis.edu:8080/binbase-compound/bin/show/200624?db=rtx5","200624")</f>
        <v>200624</v>
      </c>
      <c r="E226" s="1" t="s">
        <v>1173</v>
      </c>
      <c r="F226" s="1" t="s">
        <v>0</v>
      </c>
      <c r="G226" s="1" t="s">
        <v>0</v>
      </c>
      <c r="H226" s="1"/>
      <c r="I226" s="10">
        <v>698</v>
      </c>
      <c r="J226" s="10">
        <v>1231</v>
      </c>
      <c r="K226" s="10">
        <v>994</v>
      </c>
      <c r="L226" s="10">
        <v>355</v>
      </c>
      <c r="M226" s="10">
        <v>400</v>
      </c>
      <c r="N226" s="10">
        <v>301</v>
      </c>
      <c r="O226" s="10">
        <v>790</v>
      </c>
      <c r="P226" s="10">
        <v>1254</v>
      </c>
      <c r="Q226" s="10">
        <v>801</v>
      </c>
      <c r="R226" s="10">
        <v>509</v>
      </c>
      <c r="S226" s="10">
        <v>985</v>
      </c>
      <c r="T226" s="10">
        <v>1155</v>
      </c>
      <c r="U226" s="10">
        <v>450</v>
      </c>
      <c r="V226" s="10">
        <v>572</v>
      </c>
      <c r="W226" s="10">
        <v>712</v>
      </c>
      <c r="X226" s="10">
        <v>454</v>
      </c>
      <c r="Y226" s="10">
        <v>450</v>
      </c>
      <c r="Z226" s="10">
        <v>730</v>
      </c>
      <c r="AA226" s="10">
        <v>1096</v>
      </c>
      <c r="AB226" s="10">
        <v>334</v>
      </c>
      <c r="AC226" s="10">
        <v>886</v>
      </c>
      <c r="AD226" s="10">
        <v>962</v>
      </c>
      <c r="AE226" s="10">
        <v>615</v>
      </c>
      <c r="AF226" s="10">
        <v>613</v>
      </c>
      <c r="AG226" s="10">
        <v>949</v>
      </c>
      <c r="AH226" s="10">
        <v>457</v>
      </c>
      <c r="AI226" s="10">
        <v>747</v>
      </c>
      <c r="AJ226" s="10">
        <v>996</v>
      </c>
      <c r="AK226" s="10">
        <v>312</v>
      </c>
      <c r="AL226" s="10">
        <v>830</v>
      </c>
      <c r="AM226" s="10">
        <v>668</v>
      </c>
      <c r="AN226" s="10">
        <v>1002</v>
      </c>
      <c r="AO226" s="10">
        <v>648</v>
      </c>
      <c r="AP226" s="10">
        <v>647</v>
      </c>
      <c r="AQ226" s="10">
        <v>387</v>
      </c>
      <c r="AR226" s="10">
        <v>614</v>
      </c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</row>
    <row r="227" spans="1:81">
      <c r="A227" s="4" t="s">
        <v>786</v>
      </c>
      <c r="B227" s="1" t="s">
        <v>787</v>
      </c>
      <c r="C227" s="1" t="s">
        <v>676</v>
      </c>
      <c r="D227" s="1" t="str">
        <f>HYPERLINK("http://eros.fiehnlab.ucdavis.edu:8080/binbase-compound/bin/show/289052?db=rtx5","289052")</f>
        <v>289052</v>
      </c>
      <c r="E227" s="1" t="s">
        <v>788</v>
      </c>
      <c r="F227" s="1" t="s">
        <v>0</v>
      </c>
      <c r="G227" s="1" t="s">
        <v>0</v>
      </c>
      <c r="H227" s="1"/>
      <c r="I227" s="10">
        <v>673</v>
      </c>
      <c r="J227" s="10">
        <v>762</v>
      </c>
      <c r="K227" s="10">
        <v>764</v>
      </c>
      <c r="L227" s="10">
        <v>817</v>
      </c>
      <c r="M227" s="10">
        <v>907</v>
      </c>
      <c r="N227" s="10">
        <v>805</v>
      </c>
      <c r="O227" s="10">
        <v>460</v>
      </c>
      <c r="P227" s="10">
        <v>656</v>
      </c>
      <c r="Q227" s="10">
        <v>580</v>
      </c>
      <c r="R227" s="10">
        <v>882</v>
      </c>
      <c r="S227" s="10">
        <v>918</v>
      </c>
      <c r="T227" s="10">
        <v>491</v>
      </c>
      <c r="U227" s="10">
        <v>345</v>
      </c>
      <c r="V227" s="10">
        <v>543</v>
      </c>
      <c r="W227" s="10">
        <v>362</v>
      </c>
      <c r="X227" s="10">
        <v>426</v>
      </c>
      <c r="Y227" s="10">
        <v>291</v>
      </c>
      <c r="Z227" s="10">
        <v>287</v>
      </c>
      <c r="AA227" s="10">
        <v>513</v>
      </c>
      <c r="AB227" s="10">
        <v>2051</v>
      </c>
      <c r="AC227" s="10">
        <v>367</v>
      </c>
      <c r="AD227" s="10">
        <v>570</v>
      </c>
      <c r="AE227" s="10">
        <v>646</v>
      </c>
      <c r="AF227" s="10">
        <v>512</v>
      </c>
      <c r="AG227" s="10">
        <v>607</v>
      </c>
      <c r="AH227" s="10">
        <v>592</v>
      </c>
      <c r="AI227" s="10">
        <v>335</v>
      </c>
      <c r="AJ227" s="10">
        <v>664</v>
      </c>
      <c r="AK227" s="10">
        <v>584</v>
      </c>
      <c r="AL227" s="10">
        <v>784</v>
      </c>
      <c r="AM227" s="10">
        <v>542</v>
      </c>
      <c r="AN227" s="10">
        <v>533</v>
      </c>
      <c r="AO227" s="10">
        <v>453</v>
      </c>
      <c r="AP227" s="10">
        <v>769</v>
      </c>
      <c r="AQ227" s="10">
        <v>189</v>
      </c>
      <c r="AR227" s="10">
        <v>369</v>
      </c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</row>
    <row r="228" spans="1:81">
      <c r="A228" s="4" t="s">
        <v>1086</v>
      </c>
      <c r="B228" s="1" t="s">
        <v>1087</v>
      </c>
      <c r="C228" s="1" t="s">
        <v>165</v>
      </c>
      <c r="D228" s="1" t="str">
        <f>HYPERLINK("http://eros.fiehnlab.ucdavis.edu:8080/binbase-compound/bin/show/214148?db=rtx5","214148")</f>
        <v>214148</v>
      </c>
      <c r="E228" s="1" t="s">
        <v>1088</v>
      </c>
      <c r="F228" s="1" t="s">
        <v>0</v>
      </c>
      <c r="G228" s="1" t="s">
        <v>0</v>
      </c>
      <c r="H228" s="1"/>
      <c r="I228" s="10">
        <v>20236</v>
      </c>
      <c r="J228" s="10">
        <v>7920</v>
      </c>
      <c r="K228" s="10">
        <v>8930</v>
      </c>
      <c r="L228" s="10">
        <v>16993</v>
      </c>
      <c r="M228" s="10">
        <v>23864</v>
      </c>
      <c r="N228" s="10">
        <v>16043</v>
      </c>
      <c r="O228" s="10">
        <v>4244</v>
      </c>
      <c r="P228" s="10">
        <v>2408</v>
      </c>
      <c r="Q228" s="10">
        <v>11199</v>
      </c>
      <c r="R228" s="10">
        <v>6016</v>
      </c>
      <c r="S228" s="10">
        <v>1635</v>
      </c>
      <c r="T228" s="10">
        <v>5049</v>
      </c>
      <c r="U228" s="10">
        <v>14626</v>
      </c>
      <c r="V228" s="10">
        <v>21371</v>
      </c>
      <c r="W228" s="10">
        <v>27408</v>
      </c>
      <c r="X228" s="10">
        <v>11221</v>
      </c>
      <c r="Y228" s="10">
        <v>20240</v>
      </c>
      <c r="Z228" s="10">
        <v>35689</v>
      </c>
      <c r="AA228" s="10">
        <v>6483</v>
      </c>
      <c r="AB228" s="10">
        <v>6145</v>
      </c>
      <c r="AC228" s="10">
        <v>11774</v>
      </c>
      <c r="AD228" s="10">
        <v>41464</v>
      </c>
      <c r="AE228" s="10">
        <v>21068</v>
      </c>
      <c r="AF228" s="10">
        <v>9666</v>
      </c>
      <c r="AG228" s="10">
        <v>22316</v>
      </c>
      <c r="AH228" s="10">
        <v>33529</v>
      </c>
      <c r="AI228" s="10">
        <v>21743</v>
      </c>
      <c r="AJ228" s="10">
        <v>17830</v>
      </c>
      <c r="AK228" s="10">
        <v>24003</v>
      </c>
      <c r="AL228" s="10">
        <v>2348</v>
      </c>
      <c r="AM228" s="10">
        <v>27967</v>
      </c>
      <c r="AN228" s="10">
        <v>9319</v>
      </c>
      <c r="AO228" s="10">
        <v>23633</v>
      </c>
      <c r="AP228" s="10">
        <v>26339</v>
      </c>
      <c r="AQ228" s="10">
        <v>20468</v>
      </c>
      <c r="AR228" s="10">
        <v>43330</v>
      </c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</row>
    <row r="229" spans="1:81">
      <c r="A229" s="4" t="s">
        <v>1159</v>
      </c>
      <c r="B229" s="1" t="s">
        <v>1160</v>
      </c>
      <c r="C229" s="1" t="s">
        <v>185</v>
      </c>
      <c r="D229" s="1" t="str">
        <f>HYPERLINK("http://eros.fiehnlab.ucdavis.edu:8080/binbase-compound/bin/show/201845?db=rtx5","201845")</f>
        <v>201845</v>
      </c>
      <c r="E229" s="1" t="s">
        <v>1161</v>
      </c>
      <c r="F229" s="1" t="s">
        <v>0</v>
      </c>
      <c r="G229" s="1" t="s">
        <v>0</v>
      </c>
      <c r="H229" s="1"/>
      <c r="I229" s="10">
        <v>461</v>
      </c>
      <c r="J229" s="10">
        <v>757</v>
      </c>
      <c r="K229" s="10">
        <v>699</v>
      </c>
      <c r="L229" s="10">
        <v>281</v>
      </c>
      <c r="M229" s="10">
        <v>599</v>
      </c>
      <c r="N229" s="10">
        <v>396</v>
      </c>
      <c r="O229" s="10">
        <v>402</v>
      </c>
      <c r="P229" s="10">
        <v>663</v>
      </c>
      <c r="Q229" s="10">
        <v>540</v>
      </c>
      <c r="R229" s="10">
        <v>245</v>
      </c>
      <c r="S229" s="10">
        <v>619</v>
      </c>
      <c r="T229" s="10">
        <v>661</v>
      </c>
      <c r="U229" s="10">
        <v>625</v>
      </c>
      <c r="V229" s="10">
        <v>582</v>
      </c>
      <c r="W229" s="10">
        <v>500</v>
      </c>
      <c r="X229" s="10">
        <v>383</v>
      </c>
      <c r="Y229" s="10">
        <v>483</v>
      </c>
      <c r="Z229" s="10">
        <v>416</v>
      </c>
      <c r="AA229" s="10">
        <v>1139</v>
      </c>
      <c r="AB229" s="10">
        <v>532</v>
      </c>
      <c r="AC229" s="10">
        <v>615</v>
      </c>
      <c r="AD229" s="10">
        <v>547</v>
      </c>
      <c r="AE229" s="10">
        <v>587</v>
      </c>
      <c r="AF229" s="10">
        <v>457</v>
      </c>
      <c r="AG229" s="10">
        <v>527</v>
      </c>
      <c r="AH229" s="10">
        <v>447</v>
      </c>
      <c r="AI229" s="10">
        <v>591</v>
      </c>
      <c r="AJ229" s="10">
        <v>607</v>
      </c>
      <c r="AK229" s="10">
        <v>540</v>
      </c>
      <c r="AL229" s="10">
        <v>1043</v>
      </c>
      <c r="AM229" s="10">
        <v>522</v>
      </c>
      <c r="AN229" s="10">
        <v>595</v>
      </c>
      <c r="AO229" s="10">
        <v>410</v>
      </c>
      <c r="AP229" s="10">
        <v>478</v>
      </c>
      <c r="AQ229" s="10">
        <v>522</v>
      </c>
      <c r="AR229" s="10">
        <v>346</v>
      </c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</row>
    <row r="230" spans="1:81">
      <c r="A230" s="4" t="s">
        <v>1035</v>
      </c>
      <c r="B230" s="1" t="s">
        <v>1036</v>
      </c>
      <c r="C230" s="1" t="s">
        <v>165</v>
      </c>
      <c r="D230" s="1" t="str">
        <f>HYPERLINK("http://eros.fiehnlab.ucdavis.edu:8080/binbase-compound/bin/show/223566?db=rtx5","223566")</f>
        <v>223566</v>
      </c>
      <c r="E230" s="1" t="s">
        <v>1037</v>
      </c>
      <c r="F230" s="1" t="s">
        <v>0</v>
      </c>
      <c r="G230" s="1" t="s">
        <v>0</v>
      </c>
      <c r="H230" s="1"/>
      <c r="I230" s="10">
        <v>6905</v>
      </c>
      <c r="J230" s="10">
        <v>2052</v>
      </c>
      <c r="K230" s="10">
        <v>2292</v>
      </c>
      <c r="L230" s="10">
        <v>8039</v>
      </c>
      <c r="M230" s="10">
        <v>6293</v>
      </c>
      <c r="N230" s="10">
        <v>6856</v>
      </c>
      <c r="O230" s="10">
        <v>4412</v>
      </c>
      <c r="P230" s="10">
        <v>3693</v>
      </c>
      <c r="Q230" s="10">
        <v>7486</v>
      </c>
      <c r="R230" s="10">
        <v>4495</v>
      </c>
      <c r="S230" s="10">
        <v>3374</v>
      </c>
      <c r="T230" s="10">
        <v>2241</v>
      </c>
      <c r="U230" s="10">
        <v>9764</v>
      </c>
      <c r="V230" s="10">
        <v>5131</v>
      </c>
      <c r="W230" s="10">
        <v>6457</v>
      </c>
      <c r="X230" s="10">
        <v>8180</v>
      </c>
      <c r="Y230" s="10">
        <v>8949</v>
      </c>
      <c r="Z230" s="10">
        <v>5842</v>
      </c>
      <c r="AA230" s="10">
        <v>4582</v>
      </c>
      <c r="AB230" s="10">
        <v>10595</v>
      </c>
      <c r="AC230" s="10">
        <v>3084</v>
      </c>
      <c r="AD230" s="10">
        <v>5881</v>
      </c>
      <c r="AE230" s="10">
        <v>9269</v>
      </c>
      <c r="AF230" s="10">
        <v>2828</v>
      </c>
      <c r="AG230" s="10">
        <v>3669</v>
      </c>
      <c r="AH230" s="10">
        <v>10116</v>
      </c>
      <c r="AI230" s="10">
        <v>4715</v>
      </c>
      <c r="AJ230" s="10">
        <v>5019</v>
      </c>
      <c r="AK230" s="10">
        <v>7052</v>
      </c>
      <c r="AL230" s="10">
        <v>3678</v>
      </c>
      <c r="AM230" s="10">
        <v>7599</v>
      </c>
      <c r="AN230" s="10">
        <v>4367</v>
      </c>
      <c r="AO230" s="10">
        <v>7724</v>
      </c>
      <c r="AP230" s="10">
        <v>8685</v>
      </c>
      <c r="AQ230" s="10">
        <v>6029</v>
      </c>
      <c r="AR230" s="10">
        <v>6538</v>
      </c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</row>
    <row r="231" spans="1:81">
      <c r="A231" s="4" t="s">
        <v>681</v>
      </c>
      <c r="B231" s="1" t="s">
        <v>682</v>
      </c>
      <c r="C231" s="1" t="s">
        <v>112</v>
      </c>
      <c r="D231" s="1" t="str">
        <f>HYPERLINK("http://eros.fiehnlab.ucdavis.edu:8080/binbase-compound/bin/show/362023?db=rtx5","362023")</f>
        <v>362023</v>
      </c>
      <c r="E231" s="1" t="s">
        <v>683</v>
      </c>
      <c r="F231" s="1" t="s">
        <v>0</v>
      </c>
      <c r="G231" s="1" t="s">
        <v>0</v>
      </c>
      <c r="H231" s="1"/>
      <c r="I231" s="10">
        <v>2184</v>
      </c>
      <c r="J231" s="10">
        <v>806</v>
      </c>
      <c r="K231" s="10">
        <v>601</v>
      </c>
      <c r="L231" s="10">
        <v>2343</v>
      </c>
      <c r="M231" s="10">
        <v>1824</v>
      </c>
      <c r="N231" s="10">
        <v>2399</v>
      </c>
      <c r="O231" s="10">
        <v>927</v>
      </c>
      <c r="P231" s="10">
        <v>1216</v>
      </c>
      <c r="Q231" s="10">
        <v>2254</v>
      </c>
      <c r="R231" s="10">
        <v>1380</v>
      </c>
      <c r="S231" s="10">
        <v>996</v>
      </c>
      <c r="T231" s="10">
        <v>777</v>
      </c>
      <c r="U231" s="10">
        <v>3029</v>
      </c>
      <c r="V231" s="10">
        <v>944</v>
      </c>
      <c r="W231" s="10">
        <v>1765</v>
      </c>
      <c r="X231" s="10">
        <v>1450</v>
      </c>
      <c r="Y231" s="10">
        <v>2097</v>
      </c>
      <c r="Z231" s="10">
        <v>1733</v>
      </c>
      <c r="AA231" s="10">
        <v>841</v>
      </c>
      <c r="AB231" s="10">
        <v>2495</v>
      </c>
      <c r="AC231" s="10">
        <v>374</v>
      </c>
      <c r="AD231" s="10">
        <v>1578</v>
      </c>
      <c r="AE231" s="10">
        <v>1827</v>
      </c>
      <c r="AF231" s="10">
        <v>614</v>
      </c>
      <c r="AG231" s="10">
        <v>636</v>
      </c>
      <c r="AH231" s="10">
        <v>2597</v>
      </c>
      <c r="AI231" s="10">
        <v>1319</v>
      </c>
      <c r="AJ231" s="10">
        <v>890</v>
      </c>
      <c r="AK231" s="10">
        <v>1796</v>
      </c>
      <c r="AL231" s="10">
        <v>979</v>
      </c>
      <c r="AM231" s="10">
        <v>2245</v>
      </c>
      <c r="AN231" s="10">
        <v>1050</v>
      </c>
      <c r="AO231" s="10">
        <v>2160</v>
      </c>
      <c r="AP231" s="10">
        <v>2304</v>
      </c>
      <c r="AQ231" s="10">
        <v>1101</v>
      </c>
      <c r="AR231" s="10">
        <v>1873</v>
      </c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</row>
    <row r="232" spans="1:81">
      <c r="A232" s="4" t="s">
        <v>932</v>
      </c>
      <c r="B232" s="1" t="s">
        <v>933</v>
      </c>
      <c r="C232" s="1" t="s">
        <v>383</v>
      </c>
      <c r="D232" s="1" t="str">
        <f>HYPERLINK("http://eros.fiehnlab.ucdavis.edu:8080/binbase-compound/bin/show/237154?db=rtx5","237154")</f>
        <v>237154</v>
      </c>
      <c r="E232" s="1" t="s">
        <v>934</v>
      </c>
      <c r="F232" s="1" t="s">
        <v>0</v>
      </c>
      <c r="G232" s="1" t="s">
        <v>0</v>
      </c>
      <c r="H232" s="1"/>
      <c r="I232" s="10">
        <v>208</v>
      </c>
      <c r="J232" s="10">
        <v>1491</v>
      </c>
      <c r="K232" s="10">
        <v>707</v>
      </c>
      <c r="L232" s="10">
        <v>585</v>
      </c>
      <c r="M232" s="10">
        <v>1761</v>
      </c>
      <c r="N232" s="10">
        <v>702</v>
      </c>
      <c r="O232" s="10">
        <v>300</v>
      </c>
      <c r="P232" s="10">
        <v>1764</v>
      </c>
      <c r="Q232" s="10">
        <v>333</v>
      </c>
      <c r="R232" s="10">
        <v>451</v>
      </c>
      <c r="S232" s="10">
        <v>1854</v>
      </c>
      <c r="T232" s="10">
        <v>551</v>
      </c>
      <c r="U232" s="10">
        <v>221</v>
      </c>
      <c r="V232" s="10">
        <v>309</v>
      </c>
      <c r="W232" s="10">
        <v>350</v>
      </c>
      <c r="X232" s="10">
        <v>342</v>
      </c>
      <c r="Y232" s="10">
        <v>3886</v>
      </c>
      <c r="Z232" s="10">
        <v>284</v>
      </c>
      <c r="AA232" s="10">
        <v>621</v>
      </c>
      <c r="AB232" s="10">
        <v>570</v>
      </c>
      <c r="AC232" s="10">
        <v>643</v>
      </c>
      <c r="AD232" s="10">
        <v>717</v>
      </c>
      <c r="AE232" s="10">
        <v>591</v>
      </c>
      <c r="AF232" s="10">
        <v>391</v>
      </c>
      <c r="AG232" s="10">
        <v>409</v>
      </c>
      <c r="AH232" s="10">
        <v>713</v>
      </c>
      <c r="AI232" s="10">
        <v>230</v>
      </c>
      <c r="AJ232" s="10">
        <v>666</v>
      </c>
      <c r="AK232" s="10">
        <v>1387</v>
      </c>
      <c r="AL232" s="10">
        <v>497</v>
      </c>
      <c r="AM232" s="10">
        <v>524</v>
      </c>
      <c r="AN232" s="10">
        <v>234</v>
      </c>
      <c r="AO232" s="10">
        <v>600</v>
      </c>
      <c r="AP232" s="10">
        <v>331</v>
      </c>
      <c r="AQ232" s="10">
        <v>594</v>
      </c>
      <c r="AR232" s="10">
        <v>783</v>
      </c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</row>
    <row r="233" spans="1:81">
      <c r="A233" s="4" t="s">
        <v>874</v>
      </c>
      <c r="B233" s="1" t="s">
        <v>875</v>
      </c>
      <c r="C233" s="1" t="s">
        <v>876</v>
      </c>
      <c r="D233" s="1" t="str">
        <f>HYPERLINK("http://eros.fiehnlab.ucdavis.edu:8080/binbase-compound/bin/show/241269?db=rtx5","241269")</f>
        <v>241269</v>
      </c>
      <c r="E233" s="1" t="s">
        <v>877</v>
      </c>
      <c r="F233" s="1" t="s">
        <v>0</v>
      </c>
      <c r="G233" s="1" t="s">
        <v>0</v>
      </c>
      <c r="H233" s="1"/>
      <c r="I233" s="10">
        <v>463</v>
      </c>
      <c r="J233" s="10">
        <v>368</v>
      </c>
      <c r="K233" s="10">
        <v>217</v>
      </c>
      <c r="L233" s="10">
        <v>492</v>
      </c>
      <c r="M233" s="10">
        <v>413</v>
      </c>
      <c r="N233" s="10">
        <v>512</v>
      </c>
      <c r="O233" s="10">
        <v>355</v>
      </c>
      <c r="P233" s="10">
        <v>479</v>
      </c>
      <c r="Q233" s="10">
        <v>341</v>
      </c>
      <c r="R233" s="10">
        <v>412</v>
      </c>
      <c r="S233" s="10">
        <v>406</v>
      </c>
      <c r="T233" s="10">
        <v>448</v>
      </c>
      <c r="U233" s="10">
        <v>701</v>
      </c>
      <c r="V233" s="10">
        <v>492</v>
      </c>
      <c r="W233" s="10">
        <v>419</v>
      </c>
      <c r="X233" s="10">
        <v>550</v>
      </c>
      <c r="Y233" s="10">
        <v>381</v>
      </c>
      <c r="Z233" s="10">
        <v>336</v>
      </c>
      <c r="AA233" s="10">
        <v>404</v>
      </c>
      <c r="AB233" s="10">
        <v>529</v>
      </c>
      <c r="AC233" s="10">
        <v>218</v>
      </c>
      <c r="AD233" s="10">
        <v>425</v>
      </c>
      <c r="AE233" s="10">
        <v>444</v>
      </c>
      <c r="AF233" s="10">
        <v>300</v>
      </c>
      <c r="AG233" s="10">
        <v>242</v>
      </c>
      <c r="AH233" s="10">
        <v>551</v>
      </c>
      <c r="AI233" s="10">
        <v>333</v>
      </c>
      <c r="AJ233" s="10">
        <v>433</v>
      </c>
      <c r="AK233" s="10">
        <v>469</v>
      </c>
      <c r="AL233" s="10">
        <v>401</v>
      </c>
      <c r="AM233" s="10">
        <v>388</v>
      </c>
      <c r="AN233" s="10">
        <v>422</v>
      </c>
      <c r="AO233" s="10">
        <v>392</v>
      </c>
      <c r="AP233" s="10">
        <v>484</v>
      </c>
      <c r="AQ233" s="10">
        <v>399</v>
      </c>
      <c r="AR233" s="10">
        <v>344</v>
      </c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</row>
    <row r="234" spans="1:81">
      <c r="A234" s="4" t="s">
        <v>576</v>
      </c>
      <c r="B234" s="1" t="s">
        <v>577</v>
      </c>
      <c r="C234" s="1" t="s">
        <v>193</v>
      </c>
      <c r="D234" s="1" t="str">
        <f>HYPERLINK("http://eros.fiehnlab.ucdavis.edu:8080/binbase-compound/bin/show/408892?db=rtx5","408892")</f>
        <v>408892</v>
      </c>
      <c r="E234" s="1" t="s">
        <v>578</v>
      </c>
      <c r="F234" s="1" t="s">
        <v>0</v>
      </c>
      <c r="G234" s="1" t="s">
        <v>0</v>
      </c>
      <c r="H234" s="1"/>
      <c r="I234" s="10">
        <v>11518</v>
      </c>
      <c r="J234" s="10">
        <v>3803</v>
      </c>
      <c r="K234" s="10">
        <v>2965</v>
      </c>
      <c r="L234" s="10">
        <v>13259</v>
      </c>
      <c r="M234" s="10">
        <v>17426</v>
      </c>
      <c r="N234" s="10">
        <v>15193</v>
      </c>
      <c r="O234" s="10">
        <v>7077</v>
      </c>
      <c r="P234" s="10">
        <v>5185</v>
      </c>
      <c r="Q234" s="10">
        <v>12614</v>
      </c>
      <c r="R234" s="10">
        <v>9585</v>
      </c>
      <c r="S234" s="10">
        <v>6371</v>
      </c>
      <c r="T234" s="10">
        <v>3496</v>
      </c>
      <c r="U234" s="10">
        <v>18959</v>
      </c>
      <c r="V234" s="10">
        <v>8096</v>
      </c>
      <c r="W234" s="10">
        <v>11948</v>
      </c>
      <c r="X234" s="10">
        <v>10848</v>
      </c>
      <c r="Y234" s="10">
        <v>15843</v>
      </c>
      <c r="Z234" s="10">
        <v>12543</v>
      </c>
      <c r="AA234" s="10">
        <v>4821</v>
      </c>
      <c r="AB234" s="10">
        <v>17989</v>
      </c>
      <c r="AC234" s="10">
        <v>2639</v>
      </c>
      <c r="AD234" s="10">
        <v>11224</v>
      </c>
      <c r="AE234" s="10">
        <v>14638</v>
      </c>
      <c r="AF234" s="10">
        <v>4518</v>
      </c>
      <c r="AG234" s="10">
        <v>5286</v>
      </c>
      <c r="AH234" s="10">
        <v>16989</v>
      </c>
      <c r="AI234" s="10">
        <v>8223</v>
      </c>
      <c r="AJ234" s="10">
        <v>7420</v>
      </c>
      <c r="AK234" s="10">
        <v>12881</v>
      </c>
      <c r="AL234" s="10">
        <v>5345</v>
      </c>
      <c r="AM234" s="10">
        <v>12835</v>
      </c>
      <c r="AN234" s="10">
        <v>7453</v>
      </c>
      <c r="AO234" s="10">
        <v>13006</v>
      </c>
      <c r="AP234" s="10">
        <v>14917</v>
      </c>
      <c r="AQ234" s="10">
        <v>13716</v>
      </c>
      <c r="AR234" s="10">
        <v>12516</v>
      </c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</row>
    <row r="235" spans="1:81">
      <c r="A235" s="4" t="s">
        <v>657</v>
      </c>
      <c r="B235" s="1" t="s">
        <v>658</v>
      </c>
      <c r="C235" s="1" t="s">
        <v>659</v>
      </c>
      <c r="D235" s="1" t="str">
        <f>HYPERLINK("http://eros.fiehnlab.ucdavis.edu:8080/binbase-compound/bin/show/379862?db=rtx5","379862")</f>
        <v>379862</v>
      </c>
      <c r="E235" s="1" t="s">
        <v>660</v>
      </c>
      <c r="F235" s="1" t="s">
        <v>0</v>
      </c>
      <c r="G235" s="1" t="s">
        <v>0</v>
      </c>
      <c r="H235" s="1"/>
      <c r="I235" s="10">
        <v>364</v>
      </c>
      <c r="J235" s="10">
        <v>410</v>
      </c>
      <c r="K235" s="10">
        <v>369</v>
      </c>
      <c r="L235" s="10">
        <v>1156</v>
      </c>
      <c r="M235" s="10">
        <v>230</v>
      </c>
      <c r="N235" s="10">
        <v>1569</v>
      </c>
      <c r="O235" s="10">
        <v>1301</v>
      </c>
      <c r="P235" s="10">
        <v>859</v>
      </c>
      <c r="Q235" s="10">
        <v>337</v>
      </c>
      <c r="R235" s="10">
        <v>1114</v>
      </c>
      <c r="S235" s="10">
        <v>1203</v>
      </c>
      <c r="T235" s="10">
        <v>754</v>
      </c>
      <c r="U235" s="10">
        <v>1209</v>
      </c>
      <c r="V235" s="10">
        <v>767</v>
      </c>
      <c r="W235" s="10">
        <v>903</v>
      </c>
      <c r="X235" s="10">
        <v>257</v>
      </c>
      <c r="Y235" s="10">
        <v>678</v>
      </c>
      <c r="Z235" s="10">
        <v>857</v>
      </c>
      <c r="AA235" s="10">
        <v>713</v>
      </c>
      <c r="AB235" s="10">
        <v>1256</v>
      </c>
      <c r="AC235" s="10">
        <v>680</v>
      </c>
      <c r="AD235" s="10">
        <v>825</v>
      </c>
      <c r="AE235" s="10">
        <v>343</v>
      </c>
      <c r="AF235" s="10">
        <v>1215</v>
      </c>
      <c r="AG235" s="10">
        <v>1045</v>
      </c>
      <c r="AH235" s="10">
        <v>1187</v>
      </c>
      <c r="AI235" s="10">
        <v>1131</v>
      </c>
      <c r="AJ235" s="10">
        <v>848</v>
      </c>
      <c r="AK235" s="10">
        <v>746</v>
      </c>
      <c r="AL235" s="10">
        <v>1454</v>
      </c>
      <c r="AM235" s="10">
        <v>699</v>
      </c>
      <c r="AN235" s="10">
        <v>710</v>
      </c>
      <c r="AO235" s="10">
        <v>586</v>
      </c>
      <c r="AP235" s="10">
        <v>592</v>
      </c>
      <c r="AQ235" s="10">
        <v>1375</v>
      </c>
      <c r="AR235" s="10">
        <v>609</v>
      </c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</row>
    <row r="236" spans="1:81">
      <c r="A236" s="4" t="s">
        <v>1113</v>
      </c>
      <c r="B236" s="1" t="s">
        <v>1114</v>
      </c>
      <c r="C236" s="1" t="s">
        <v>185</v>
      </c>
      <c r="D236" s="1" t="str">
        <f>HYPERLINK("http://eros.fiehnlab.ucdavis.edu:8080/binbase-compound/bin/show/212274?db=rtx5","212274")</f>
        <v>212274</v>
      </c>
      <c r="E236" s="1" t="s">
        <v>1115</v>
      </c>
      <c r="F236" s="1" t="s">
        <v>0</v>
      </c>
      <c r="G236" s="1" t="s">
        <v>0</v>
      </c>
      <c r="H236" s="1"/>
      <c r="I236" s="10">
        <v>17367</v>
      </c>
      <c r="J236" s="10">
        <v>4538</v>
      </c>
      <c r="K236" s="10">
        <v>5980</v>
      </c>
      <c r="L236" s="10">
        <v>15927</v>
      </c>
      <c r="M236" s="10">
        <v>22349</v>
      </c>
      <c r="N236" s="10">
        <v>19149</v>
      </c>
      <c r="O236" s="10">
        <v>20964</v>
      </c>
      <c r="P236" s="10">
        <v>10419</v>
      </c>
      <c r="Q236" s="10">
        <v>12276</v>
      </c>
      <c r="R236" s="10">
        <v>16487</v>
      </c>
      <c r="S236" s="10">
        <v>15155</v>
      </c>
      <c r="T236" s="10">
        <v>6158</v>
      </c>
      <c r="U236" s="10">
        <v>10707</v>
      </c>
      <c r="V236" s="10">
        <v>10924</v>
      </c>
      <c r="W236" s="10">
        <v>11864</v>
      </c>
      <c r="X236" s="10">
        <v>17277</v>
      </c>
      <c r="Y236" s="10">
        <v>9227</v>
      </c>
      <c r="Z236" s="10">
        <v>12168</v>
      </c>
      <c r="AA236" s="10">
        <v>11280</v>
      </c>
      <c r="AB236" s="10">
        <v>2128</v>
      </c>
      <c r="AC236" s="10">
        <v>9892</v>
      </c>
      <c r="AD236" s="10">
        <v>13236</v>
      </c>
      <c r="AE236" s="10">
        <v>9470</v>
      </c>
      <c r="AF236" s="10">
        <v>19246</v>
      </c>
      <c r="AG236" s="10">
        <v>16434</v>
      </c>
      <c r="AH236" s="10">
        <v>39450</v>
      </c>
      <c r="AI236" s="10">
        <v>18332</v>
      </c>
      <c r="AJ236" s="10">
        <v>9358</v>
      </c>
      <c r="AK236" s="10">
        <v>11014</v>
      </c>
      <c r="AL236" s="10">
        <v>20713</v>
      </c>
      <c r="AM236" s="10">
        <v>23411</v>
      </c>
      <c r="AN236" s="10">
        <v>9917</v>
      </c>
      <c r="AO236" s="10">
        <v>21416</v>
      </c>
      <c r="AP236" s="10">
        <v>11948</v>
      </c>
      <c r="AQ236" s="10">
        <v>20453</v>
      </c>
      <c r="AR236" s="10">
        <v>17620</v>
      </c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</row>
    <row r="237" spans="1:81">
      <c r="A237" s="4" t="s">
        <v>1068</v>
      </c>
      <c r="B237" s="1" t="s">
        <v>1069</v>
      </c>
      <c r="C237" s="1" t="s">
        <v>201</v>
      </c>
      <c r="D237" s="1" t="str">
        <f>HYPERLINK("http://eros.fiehnlab.ucdavis.edu:8080/binbase-compound/bin/show/218597?db=rtx5","218597")</f>
        <v>218597</v>
      </c>
      <c r="E237" s="1" t="s">
        <v>1070</v>
      </c>
      <c r="F237" s="1" t="s">
        <v>0</v>
      </c>
      <c r="G237" s="1" t="s">
        <v>0</v>
      </c>
      <c r="H237" s="1"/>
      <c r="I237" s="10">
        <v>2831</v>
      </c>
      <c r="J237" s="10">
        <v>3583</v>
      </c>
      <c r="K237" s="10">
        <v>3670</v>
      </c>
      <c r="L237" s="10">
        <v>1658</v>
      </c>
      <c r="M237" s="10">
        <v>2319</v>
      </c>
      <c r="N237" s="10">
        <v>2407</v>
      </c>
      <c r="O237" s="10">
        <v>2835</v>
      </c>
      <c r="P237" s="10">
        <v>4483</v>
      </c>
      <c r="Q237" s="10">
        <v>2911</v>
      </c>
      <c r="R237" s="10">
        <v>2625</v>
      </c>
      <c r="S237" s="10">
        <v>3484</v>
      </c>
      <c r="T237" s="10">
        <v>3612</v>
      </c>
      <c r="U237" s="10">
        <v>2310</v>
      </c>
      <c r="V237" s="10">
        <v>1792</v>
      </c>
      <c r="W237" s="10">
        <v>2167</v>
      </c>
      <c r="X237" s="10">
        <v>1904</v>
      </c>
      <c r="Y237" s="10">
        <v>2460</v>
      </c>
      <c r="Z237" s="10">
        <v>1683</v>
      </c>
      <c r="AA237" s="10">
        <v>4308</v>
      </c>
      <c r="AB237" s="10">
        <v>2936</v>
      </c>
      <c r="AC237" s="10">
        <v>2874</v>
      </c>
      <c r="AD237" s="10">
        <v>2521</v>
      </c>
      <c r="AE237" s="10">
        <v>2154</v>
      </c>
      <c r="AF237" s="10">
        <v>2541</v>
      </c>
      <c r="AG237" s="10">
        <v>2746</v>
      </c>
      <c r="AH237" s="10">
        <v>2860</v>
      </c>
      <c r="AI237" s="10">
        <v>2611</v>
      </c>
      <c r="AJ237" s="10">
        <v>2462</v>
      </c>
      <c r="AK237" s="10">
        <v>1499</v>
      </c>
      <c r="AL237" s="10">
        <v>2479</v>
      </c>
      <c r="AM237" s="10">
        <v>2231</v>
      </c>
      <c r="AN237" s="10">
        <v>2470</v>
      </c>
      <c r="AO237" s="10">
        <v>2519</v>
      </c>
      <c r="AP237" s="10">
        <v>2445</v>
      </c>
      <c r="AQ237" s="10">
        <v>2370</v>
      </c>
      <c r="AR237" s="10">
        <v>1929</v>
      </c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</row>
    <row r="238" spans="1:81">
      <c r="A238" s="4" t="s">
        <v>1053</v>
      </c>
      <c r="B238" s="1" t="s">
        <v>1054</v>
      </c>
      <c r="C238" s="1" t="s">
        <v>283</v>
      </c>
      <c r="D238" s="1" t="str">
        <f>HYPERLINK("http://eros.fiehnlab.ucdavis.edu:8080/binbase-compound/bin/show/218790?db=rtx5","218790")</f>
        <v>218790</v>
      </c>
      <c r="E238" s="1" t="s">
        <v>1055</v>
      </c>
      <c r="F238" s="1" t="s">
        <v>0</v>
      </c>
      <c r="G238" s="1" t="s">
        <v>0</v>
      </c>
      <c r="H238" s="1"/>
      <c r="I238" s="10">
        <v>953</v>
      </c>
      <c r="J238" s="10">
        <v>576</v>
      </c>
      <c r="K238" s="10">
        <v>423</v>
      </c>
      <c r="L238" s="10">
        <v>777</v>
      </c>
      <c r="M238" s="10">
        <v>792</v>
      </c>
      <c r="N238" s="10">
        <v>1060</v>
      </c>
      <c r="O238" s="10">
        <v>541</v>
      </c>
      <c r="P238" s="10">
        <v>686</v>
      </c>
      <c r="Q238" s="10">
        <v>957</v>
      </c>
      <c r="R238" s="10">
        <v>805</v>
      </c>
      <c r="S238" s="10">
        <v>659</v>
      </c>
      <c r="T238" s="10">
        <v>691</v>
      </c>
      <c r="U238" s="10">
        <v>1645</v>
      </c>
      <c r="V238" s="10">
        <v>566</v>
      </c>
      <c r="W238" s="10">
        <v>938</v>
      </c>
      <c r="X238" s="10">
        <v>910</v>
      </c>
      <c r="Y238" s="10">
        <v>918</v>
      </c>
      <c r="Z238" s="10">
        <v>768</v>
      </c>
      <c r="AA238" s="10">
        <v>589</v>
      </c>
      <c r="AB238" s="10">
        <v>1267</v>
      </c>
      <c r="AC238" s="10">
        <v>296</v>
      </c>
      <c r="AD238" s="10">
        <v>1054</v>
      </c>
      <c r="AE238" s="10">
        <v>831</v>
      </c>
      <c r="AF238" s="10">
        <v>542</v>
      </c>
      <c r="AG238" s="10">
        <v>393</v>
      </c>
      <c r="AH238" s="10">
        <v>1483</v>
      </c>
      <c r="AI238" s="10">
        <v>831</v>
      </c>
      <c r="AJ238" s="10">
        <v>571</v>
      </c>
      <c r="AK238" s="10">
        <v>851</v>
      </c>
      <c r="AL238" s="10">
        <v>582</v>
      </c>
      <c r="AM238" s="10">
        <v>862</v>
      </c>
      <c r="AN238" s="10">
        <v>712</v>
      </c>
      <c r="AO238" s="10">
        <v>993</v>
      </c>
      <c r="AP238" s="10">
        <v>907</v>
      </c>
      <c r="AQ238" s="10">
        <v>635</v>
      </c>
      <c r="AR238" s="10">
        <v>775</v>
      </c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</row>
    <row r="239" spans="1:81">
      <c r="A239" s="4" t="s">
        <v>1032</v>
      </c>
      <c r="B239" s="1" t="s">
        <v>1033</v>
      </c>
      <c r="C239" s="1" t="s">
        <v>914</v>
      </c>
      <c r="D239" s="1" t="str">
        <f>HYPERLINK("http://eros.fiehnlab.ucdavis.edu:8080/binbase-compound/bin/show/223675?db=rtx5","223675")</f>
        <v>223675</v>
      </c>
      <c r="E239" s="1" t="s">
        <v>1034</v>
      </c>
      <c r="F239" s="1" t="s">
        <v>0</v>
      </c>
      <c r="G239" s="1" t="s">
        <v>0</v>
      </c>
      <c r="H239" s="1"/>
      <c r="I239" s="10">
        <v>2070</v>
      </c>
      <c r="J239" s="10">
        <v>1548</v>
      </c>
      <c r="K239" s="10">
        <v>1554</v>
      </c>
      <c r="L239" s="10">
        <v>2371</v>
      </c>
      <c r="M239" s="10">
        <v>1709</v>
      </c>
      <c r="N239" s="10">
        <v>2519</v>
      </c>
      <c r="O239" s="10">
        <v>2298</v>
      </c>
      <c r="P239" s="10">
        <v>2286</v>
      </c>
      <c r="Q239" s="10">
        <v>2836</v>
      </c>
      <c r="R239" s="10">
        <v>2016</v>
      </c>
      <c r="S239" s="10">
        <v>1860</v>
      </c>
      <c r="T239" s="10">
        <v>1527</v>
      </c>
      <c r="U239" s="10">
        <v>2480</v>
      </c>
      <c r="V239" s="10">
        <v>1891</v>
      </c>
      <c r="W239" s="10">
        <v>1966</v>
      </c>
      <c r="X239" s="10">
        <v>2548</v>
      </c>
      <c r="Y239" s="10">
        <v>2351</v>
      </c>
      <c r="Z239" s="10">
        <v>1974</v>
      </c>
      <c r="AA239" s="10">
        <v>2094</v>
      </c>
      <c r="AB239" s="10">
        <v>2743</v>
      </c>
      <c r="AC239" s="10">
        <v>1369</v>
      </c>
      <c r="AD239" s="10">
        <v>2113</v>
      </c>
      <c r="AE239" s="10">
        <v>2386</v>
      </c>
      <c r="AF239" s="10">
        <v>1719</v>
      </c>
      <c r="AG239" s="10">
        <v>1516</v>
      </c>
      <c r="AH239" s="10">
        <v>2698</v>
      </c>
      <c r="AI239" s="10">
        <v>1941</v>
      </c>
      <c r="AJ239" s="10">
        <v>2078</v>
      </c>
      <c r="AK239" s="10">
        <v>2192</v>
      </c>
      <c r="AL239" s="10">
        <v>1334</v>
      </c>
      <c r="AM239" s="10">
        <v>1293</v>
      </c>
      <c r="AN239" s="10">
        <v>2005</v>
      </c>
      <c r="AO239" s="10">
        <v>2229</v>
      </c>
      <c r="AP239" s="10">
        <v>2523</v>
      </c>
      <c r="AQ239" s="10">
        <v>1663</v>
      </c>
      <c r="AR239" s="10">
        <v>2135</v>
      </c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</row>
    <row r="240" spans="1:81">
      <c r="A240" s="4" t="s">
        <v>969</v>
      </c>
      <c r="B240" s="1" t="s">
        <v>970</v>
      </c>
      <c r="C240" s="1" t="s">
        <v>971</v>
      </c>
      <c r="D240" s="1" t="str">
        <f>HYPERLINK("http://eros.fiehnlab.ucdavis.edu:8080/binbase-compound/bin/show/233298?db=rtx5","233298")</f>
        <v>233298</v>
      </c>
      <c r="E240" s="1" t="s">
        <v>972</v>
      </c>
      <c r="F240" s="1" t="s">
        <v>0</v>
      </c>
      <c r="G240" s="1" t="s">
        <v>0</v>
      </c>
      <c r="H240" s="1"/>
      <c r="I240" s="10">
        <v>1007</v>
      </c>
      <c r="J240" s="10">
        <v>722</v>
      </c>
      <c r="K240" s="10">
        <v>413</v>
      </c>
      <c r="L240" s="10">
        <v>869</v>
      </c>
      <c r="M240" s="10">
        <v>1721</v>
      </c>
      <c r="N240" s="10">
        <v>694</v>
      </c>
      <c r="O240" s="10">
        <v>722</v>
      </c>
      <c r="P240" s="10">
        <v>759</v>
      </c>
      <c r="Q240" s="10">
        <v>2005</v>
      </c>
      <c r="R240" s="10">
        <v>1549</v>
      </c>
      <c r="S240" s="10">
        <v>648</v>
      </c>
      <c r="T240" s="10">
        <v>983</v>
      </c>
      <c r="U240" s="10">
        <v>2025</v>
      </c>
      <c r="V240" s="10">
        <v>3004</v>
      </c>
      <c r="W240" s="10">
        <v>4458</v>
      </c>
      <c r="X240" s="10">
        <v>1877</v>
      </c>
      <c r="Y240" s="10">
        <v>2062</v>
      </c>
      <c r="Z240" s="10">
        <v>2378</v>
      </c>
      <c r="AA240" s="10">
        <v>1223</v>
      </c>
      <c r="AB240" s="10">
        <v>857</v>
      </c>
      <c r="AC240" s="10">
        <v>1528</v>
      </c>
      <c r="AD240" s="10">
        <v>4726</v>
      </c>
      <c r="AE240" s="10">
        <v>2832</v>
      </c>
      <c r="AF240" s="10">
        <v>1085</v>
      </c>
      <c r="AG240" s="10">
        <v>3320</v>
      </c>
      <c r="AH240" s="10">
        <v>2848</v>
      </c>
      <c r="AI240" s="10">
        <v>1931</v>
      </c>
      <c r="AJ240" s="10">
        <v>1397</v>
      </c>
      <c r="AK240" s="10">
        <v>1887</v>
      </c>
      <c r="AL240" s="10">
        <v>536</v>
      </c>
      <c r="AM240" s="10">
        <v>4940</v>
      </c>
      <c r="AN240" s="10">
        <v>435</v>
      </c>
      <c r="AO240" s="10">
        <v>2826</v>
      </c>
      <c r="AP240" s="10">
        <v>2623</v>
      </c>
      <c r="AQ240" s="10">
        <v>1857</v>
      </c>
      <c r="AR240" s="10">
        <v>3475</v>
      </c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</row>
    <row r="241" spans="1:81">
      <c r="A241" s="4" t="s">
        <v>988</v>
      </c>
      <c r="B241" s="1" t="s">
        <v>989</v>
      </c>
      <c r="C241" s="1" t="s">
        <v>269</v>
      </c>
      <c r="D241" s="1" t="str">
        <f>HYPERLINK("http://eros.fiehnlab.ucdavis.edu:8080/binbase-compound/bin/show/231223?db=rtx5","231223")</f>
        <v>231223</v>
      </c>
      <c r="E241" s="1" t="s">
        <v>990</v>
      </c>
      <c r="F241" s="1" t="s">
        <v>0</v>
      </c>
      <c r="G241" s="1" t="s">
        <v>0</v>
      </c>
      <c r="H241" s="1"/>
      <c r="I241" s="10">
        <v>432</v>
      </c>
      <c r="J241" s="10">
        <v>1308</v>
      </c>
      <c r="K241" s="10">
        <v>769</v>
      </c>
      <c r="L241" s="10">
        <v>346</v>
      </c>
      <c r="M241" s="10">
        <v>331</v>
      </c>
      <c r="N241" s="10">
        <v>184</v>
      </c>
      <c r="O241" s="10">
        <v>1637</v>
      </c>
      <c r="P241" s="10">
        <v>2819</v>
      </c>
      <c r="Q241" s="10">
        <v>934</v>
      </c>
      <c r="R241" s="10">
        <v>1182</v>
      </c>
      <c r="S241" s="10">
        <v>3475</v>
      </c>
      <c r="T241" s="10">
        <v>687</v>
      </c>
      <c r="U241" s="10">
        <v>640</v>
      </c>
      <c r="V241" s="10">
        <v>1417</v>
      </c>
      <c r="W241" s="10">
        <v>1173</v>
      </c>
      <c r="X241" s="10">
        <v>2385</v>
      </c>
      <c r="Y241" s="10">
        <v>337</v>
      </c>
      <c r="Z241" s="10">
        <v>543</v>
      </c>
      <c r="AA241" s="10">
        <v>3280</v>
      </c>
      <c r="AB241" s="10">
        <v>417</v>
      </c>
      <c r="AC241" s="10">
        <v>802</v>
      </c>
      <c r="AD241" s="10">
        <v>482</v>
      </c>
      <c r="AE241" s="10">
        <v>448</v>
      </c>
      <c r="AF241" s="10">
        <v>631</v>
      </c>
      <c r="AG241" s="10">
        <v>1964</v>
      </c>
      <c r="AH241" s="10">
        <v>568</v>
      </c>
      <c r="AI241" s="10">
        <v>862</v>
      </c>
      <c r="AJ241" s="10">
        <v>730</v>
      </c>
      <c r="AK241" s="10">
        <v>943</v>
      </c>
      <c r="AL241" s="10">
        <v>904</v>
      </c>
      <c r="AM241" s="10">
        <v>791</v>
      </c>
      <c r="AN241" s="10">
        <v>1245</v>
      </c>
      <c r="AO241" s="10">
        <v>818</v>
      </c>
      <c r="AP241" s="10">
        <v>983</v>
      </c>
      <c r="AQ241" s="10">
        <v>919</v>
      </c>
      <c r="AR241" s="10">
        <v>395</v>
      </c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</row>
    <row r="242" spans="1:81">
      <c r="A242" s="4" t="s">
        <v>825</v>
      </c>
      <c r="B242" s="1" t="s">
        <v>826</v>
      </c>
      <c r="C242" s="1" t="s">
        <v>827</v>
      </c>
      <c r="D242" s="1" t="str">
        <f>HYPERLINK("http://eros.fiehnlab.ucdavis.edu:8080/binbase-compound/bin/show/268399?db=rtx5","268399")</f>
        <v>268399</v>
      </c>
      <c r="E242" s="1" t="s">
        <v>828</v>
      </c>
      <c r="F242" s="1" t="s">
        <v>0</v>
      </c>
      <c r="G242" s="1" t="s">
        <v>0</v>
      </c>
      <c r="H242" s="1"/>
      <c r="I242" s="10">
        <v>902</v>
      </c>
      <c r="J242" s="10">
        <v>1583</v>
      </c>
      <c r="K242" s="10">
        <v>1332</v>
      </c>
      <c r="L242" s="10">
        <v>507</v>
      </c>
      <c r="M242" s="10">
        <v>462</v>
      </c>
      <c r="N242" s="10">
        <v>660</v>
      </c>
      <c r="O242" s="10">
        <v>678</v>
      </c>
      <c r="P242" s="10">
        <v>832</v>
      </c>
      <c r="Q242" s="10">
        <v>716</v>
      </c>
      <c r="R242" s="10">
        <v>723</v>
      </c>
      <c r="S242" s="10">
        <v>584</v>
      </c>
      <c r="T242" s="10">
        <v>498</v>
      </c>
      <c r="U242" s="10">
        <v>718</v>
      </c>
      <c r="V242" s="10">
        <v>496</v>
      </c>
      <c r="W242" s="10">
        <v>680</v>
      </c>
      <c r="X242" s="10">
        <v>414</v>
      </c>
      <c r="Y242" s="10">
        <v>499</v>
      </c>
      <c r="Z242" s="10">
        <v>742</v>
      </c>
      <c r="AA242" s="10">
        <v>692</v>
      </c>
      <c r="AB242" s="10">
        <v>388</v>
      </c>
      <c r="AC242" s="10">
        <v>807</v>
      </c>
      <c r="AD242" s="10">
        <v>743</v>
      </c>
      <c r="AE242" s="10">
        <v>523</v>
      </c>
      <c r="AF242" s="10">
        <v>512</v>
      </c>
      <c r="AG242" s="10">
        <v>979</v>
      </c>
      <c r="AH242" s="10">
        <v>901</v>
      </c>
      <c r="AI242" s="10">
        <v>449</v>
      </c>
      <c r="AJ242" s="10">
        <v>625</v>
      </c>
      <c r="AK242" s="10">
        <v>316</v>
      </c>
      <c r="AL242" s="10">
        <v>848</v>
      </c>
      <c r="AM242" s="10">
        <v>488</v>
      </c>
      <c r="AN242" s="10">
        <v>859</v>
      </c>
      <c r="AO242" s="10">
        <v>490</v>
      </c>
      <c r="AP242" s="10">
        <v>657</v>
      </c>
      <c r="AQ242" s="10">
        <v>461</v>
      </c>
      <c r="AR242" s="10">
        <v>629</v>
      </c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</row>
    <row r="243" spans="1:81">
      <c r="A243" s="4" t="s">
        <v>881</v>
      </c>
      <c r="B243" s="1" t="s">
        <v>882</v>
      </c>
      <c r="C243" s="1" t="s">
        <v>203</v>
      </c>
      <c r="D243" s="1" t="str">
        <f>HYPERLINK("http://eros.fiehnlab.ucdavis.edu:8080/binbase-compound/bin/show/241065?db=rtx5","241065")</f>
        <v>241065</v>
      </c>
      <c r="E243" s="1" t="s">
        <v>883</v>
      </c>
      <c r="F243" s="1" t="s">
        <v>0</v>
      </c>
      <c r="G243" s="1" t="s">
        <v>0</v>
      </c>
      <c r="H243" s="1"/>
      <c r="I243" s="10">
        <v>3058</v>
      </c>
      <c r="J243" s="10">
        <v>1496</v>
      </c>
      <c r="K243" s="10">
        <v>1068</v>
      </c>
      <c r="L243" s="10">
        <v>1455</v>
      </c>
      <c r="M243" s="10">
        <v>1484</v>
      </c>
      <c r="N243" s="10">
        <v>3209</v>
      </c>
      <c r="O243" s="10">
        <v>1688</v>
      </c>
      <c r="P243" s="10">
        <v>2589</v>
      </c>
      <c r="Q243" s="10">
        <v>3547</v>
      </c>
      <c r="R243" s="10">
        <v>1598</v>
      </c>
      <c r="S243" s="10">
        <v>1825</v>
      </c>
      <c r="T243" s="10">
        <v>2181</v>
      </c>
      <c r="U243" s="10">
        <v>4027</v>
      </c>
      <c r="V243" s="10">
        <v>1166</v>
      </c>
      <c r="W243" s="10">
        <v>1219</v>
      </c>
      <c r="X243" s="10">
        <v>1091</v>
      </c>
      <c r="Y243" s="10">
        <v>1374</v>
      </c>
      <c r="Z243" s="10">
        <v>1702</v>
      </c>
      <c r="AA243" s="10">
        <v>1959</v>
      </c>
      <c r="AB243" s="10">
        <v>4743</v>
      </c>
      <c r="AC243" s="10">
        <v>2610</v>
      </c>
      <c r="AD243" s="10">
        <v>1627</v>
      </c>
      <c r="AE243" s="10">
        <v>3253</v>
      </c>
      <c r="AF243" s="10">
        <v>1967</v>
      </c>
      <c r="AG243" s="10">
        <v>1345</v>
      </c>
      <c r="AH243" s="10">
        <v>3142</v>
      </c>
      <c r="AI243" s="10">
        <v>1554</v>
      </c>
      <c r="AJ243" s="10">
        <v>1367</v>
      </c>
      <c r="AK243" s="10">
        <v>2024</v>
      </c>
      <c r="AL243" s="10">
        <v>1291</v>
      </c>
      <c r="AM243" s="10">
        <v>2741</v>
      </c>
      <c r="AN243" s="10">
        <v>946</v>
      </c>
      <c r="AO243" s="10">
        <v>2361</v>
      </c>
      <c r="AP243" s="10">
        <v>2094</v>
      </c>
      <c r="AQ243" s="10">
        <v>793</v>
      </c>
      <c r="AR243" s="10">
        <v>1330</v>
      </c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</row>
    <row r="244" spans="1:81">
      <c r="A244" s="4" t="s">
        <v>927</v>
      </c>
      <c r="B244" s="1" t="s">
        <v>928</v>
      </c>
      <c r="C244" s="1" t="s">
        <v>929</v>
      </c>
      <c r="D244" s="1" t="str">
        <f>HYPERLINK("http://eros.fiehnlab.ucdavis.edu:8080/binbase-compound/bin/show/237731?db=rtx5","237731")</f>
        <v>237731</v>
      </c>
      <c r="E244" s="1" t="s">
        <v>930</v>
      </c>
      <c r="F244" s="1" t="s">
        <v>0</v>
      </c>
      <c r="G244" s="1" t="s">
        <v>0</v>
      </c>
      <c r="H244" s="1"/>
      <c r="I244" s="10">
        <v>4146</v>
      </c>
      <c r="J244" s="10">
        <v>5049</v>
      </c>
      <c r="K244" s="10">
        <v>8452</v>
      </c>
      <c r="L244" s="10">
        <v>4251</v>
      </c>
      <c r="M244" s="10">
        <v>3223</v>
      </c>
      <c r="N244" s="10">
        <v>1320</v>
      </c>
      <c r="O244" s="10">
        <v>5851</v>
      </c>
      <c r="P244" s="10">
        <v>6734</v>
      </c>
      <c r="Q244" s="10">
        <v>3515</v>
      </c>
      <c r="R244" s="10">
        <v>2228</v>
      </c>
      <c r="S244" s="10">
        <v>11519</v>
      </c>
      <c r="T244" s="10">
        <v>2022</v>
      </c>
      <c r="U244" s="10">
        <v>3305</v>
      </c>
      <c r="V244" s="10">
        <v>13356</v>
      </c>
      <c r="W244" s="10">
        <v>12454</v>
      </c>
      <c r="X244" s="10">
        <v>2962</v>
      </c>
      <c r="Y244" s="10">
        <v>3704</v>
      </c>
      <c r="Z244" s="10">
        <v>5885</v>
      </c>
      <c r="AA244" s="10">
        <v>6649</v>
      </c>
      <c r="AB244" s="10">
        <v>1928</v>
      </c>
      <c r="AC244" s="10">
        <v>6361</v>
      </c>
      <c r="AD244" s="10">
        <v>6253</v>
      </c>
      <c r="AE244" s="10">
        <v>2608</v>
      </c>
      <c r="AF244" s="10">
        <v>3831</v>
      </c>
      <c r="AG244" s="10">
        <v>15011</v>
      </c>
      <c r="AH244" s="10">
        <v>3970</v>
      </c>
      <c r="AI244" s="10">
        <v>7511</v>
      </c>
      <c r="AJ244" s="10">
        <v>11239</v>
      </c>
      <c r="AK244" s="10">
        <v>8055</v>
      </c>
      <c r="AL244" s="10">
        <v>12130</v>
      </c>
      <c r="AM244" s="10">
        <v>4989</v>
      </c>
      <c r="AN244" s="10">
        <v>10793</v>
      </c>
      <c r="AO244" s="10">
        <v>3480</v>
      </c>
      <c r="AP244" s="10">
        <v>5591</v>
      </c>
      <c r="AQ244" s="10">
        <v>8692</v>
      </c>
      <c r="AR244" s="10">
        <v>5039</v>
      </c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</row>
    <row r="245" spans="1:81">
      <c r="A245" s="4" t="s">
        <v>1041</v>
      </c>
      <c r="B245" s="1" t="s">
        <v>1042</v>
      </c>
      <c r="C245" s="1" t="s">
        <v>374</v>
      </c>
      <c r="D245" s="1" t="str">
        <f>HYPERLINK("http://eros.fiehnlab.ucdavis.edu:8080/binbase-compound/bin/show/223505?db=rtx5","223505")</f>
        <v>223505</v>
      </c>
      <c r="E245" s="1" t="s">
        <v>1043</v>
      </c>
      <c r="F245" s="1" t="s">
        <v>0</v>
      </c>
      <c r="G245" s="1" t="s">
        <v>0</v>
      </c>
      <c r="H245" s="1"/>
      <c r="I245" s="10">
        <v>296</v>
      </c>
      <c r="J245" s="10">
        <v>386</v>
      </c>
      <c r="K245" s="10">
        <v>379</v>
      </c>
      <c r="L245" s="10">
        <v>353</v>
      </c>
      <c r="M245" s="10">
        <v>364</v>
      </c>
      <c r="N245" s="10">
        <v>267</v>
      </c>
      <c r="O245" s="10">
        <v>243</v>
      </c>
      <c r="P245" s="10">
        <v>495</v>
      </c>
      <c r="Q245" s="10">
        <v>369</v>
      </c>
      <c r="R245" s="10">
        <v>233</v>
      </c>
      <c r="S245" s="10">
        <v>403</v>
      </c>
      <c r="T245" s="10">
        <v>412</v>
      </c>
      <c r="U245" s="10">
        <v>439</v>
      </c>
      <c r="V245" s="10">
        <v>352</v>
      </c>
      <c r="W245" s="10">
        <v>241</v>
      </c>
      <c r="X245" s="10">
        <v>184</v>
      </c>
      <c r="Y245" s="10">
        <v>466</v>
      </c>
      <c r="Z245" s="10">
        <v>269</v>
      </c>
      <c r="AA245" s="10">
        <v>288</v>
      </c>
      <c r="AB245" s="10">
        <v>425</v>
      </c>
      <c r="AC245" s="10">
        <v>307</v>
      </c>
      <c r="AD245" s="10">
        <v>235</v>
      </c>
      <c r="AE245" s="10">
        <v>323</v>
      </c>
      <c r="AF245" s="10">
        <v>234</v>
      </c>
      <c r="AG245" s="10">
        <v>200</v>
      </c>
      <c r="AH245" s="10">
        <v>358</v>
      </c>
      <c r="AI245" s="10">
        <v>126</v>
      </c>
      <c r="AJ245" s="10">
        <v>416</v>
      </c>
      <c r="AK245" s="10">
        <v>177</v>
      </c>
      <c r="AL245" s="10">
        <v>582</v>
      </c>
      <c r="AM245" s="10">
        <v>381</v>
      </c>
      <c r="AN245" s="10">
        <v>323</v>
      </c>
      <c r="AO245" s="10">
        <v>386</v>
      </c>
      <c r="AP245" s="10">
        <v>221</v>
      </c>
      <c r="AQ245" s="10">
        <v>181</v>
      </c>
      <c r="AR245" s="10">
        <v>372</v>
      </c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</row>
    <row r="246" spans="1:81">
      <c r="A246" s="4" t="s">
        <v>1153</v>
      </c>
      <c r="B246" s="1" t="s">
        <v>1154</v>
      </c>
      <c r="C246" s="1" t="s">
        <v>968</v>
      </c>
      <c r="D246" s="1" t="str">
        <f>HYPERLINK("http://eros.fiehnlab.ucdavis.edu:8080/binbase-compound/bin/show/201887?db=rtx5","201887")</f>
        <v>201887</v>
      </c>
      <c r="E246" s="1" t="s">
        <v>1155</v>
      </c>
      <c r="F246" s="1" t="s">
        <v>0</v>
      </c>
      <c r="G246" s="1" t="s">
        <v>0</v>
      </c>
      <c r="H246" s="1"/>
      <c r="I246" s="10">
        <v>341</v>
      </c>
      <c r="J246" s="10">
        <v>1031</v>
      </c>
      <c r="K246" s="10">
        <v>1154</v>
      </c>
      <c r="L246" s="10">
        <v>149</v>
      </c>
      <c r="M246" s="10">
        <v>415</v>
      </c>
      <c r="N246" s="10">
        <v>231</v>
      </c>
      <c r="O246" s="10">
        <v>626</v>
      </c>
      <c r="P246" s="10">
        <v>1461</v>
      </c>
      <c r="Q246" s="10">
        <v>280</v>
      </c>
      <c r="R246" s="10">
        <v>410</v>
      </c>
      <c r="S246" s="10">
        <v>1071</v>
      </c>
      <c r="T246" s="10">
        <v>1557</v>
      </c>
      <c r="U246" s="10">
        <v>161</v>
      </c>
      <c r="V246" s="10">
        <v>607</v>
      </c>
      <c r="W246" s="10">
        <v>319</v>
      </c>
      <c r="X246" s="10">
        <v>230</v>
      </c>
      <c r="Y246" s="10">
        <v>311</v>
      </c>
      <c r="Z246" s="10">
        <v>284</v>
      </c>
      <c r="AA246" s="10">
        <v>1077</v>
      </c>
      <c r="AB246" s="10">
        <v>128</v>
      </c>
      <c r="AC246" s="10">
        <v>545</v>
      </c>
      <c r="AD246" s="10">
        <v>260</v>
      </c>
      <c r="AE246" s="10">
        <v>272</v>
      </c>
      <c r="AF246" s="10">
        <v>851</v>
      </c>
      <c r="AG246" s="10">
        <v>805</v>
      </c>
      <c r="AH246" s="10">
        <v>264</v>
      </c>
      <c r="AI246" s="10">
        <v>566</v>
      </c>
      <c r="AJ246" s="10">
        <v>721</v>
      </c>
      <c r="AK246" s="10">
        <v>233</v>
      </c>
      <c r="AL246" s="10">
        <v>755</v>
      </c>
      <c r="AM246" s="10">
        <v>347</v>
      </c>
      <c r="AN246" s="10">
        <v>695</v>
      </c>
      <c r="AO246" s="10">
        <v>335</v>
      </c>
      <c r="AP246" s="10">
        <v>184</v>
      </c>
      <c r="AQ246" s="10">
        <v>292</v>
      </c>
      <c r="AR246" s="10">
        <v>264</v>
      </c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</row>
    <row r="247" spans="1:81">
      <c r="A247" s="4" t="s">
        <v>1071</v>
      </c>
      <c r="B247" s="1" t="s">
        <v>1072</v>
      </c>
      <c r="C247" s="1" t="s">
        <v>426</v>
      </c>
      <c r="D247" s="1" t="str">
        <f>HYPERLINK("http://eros.fiehnlab.ucdavis.edu:8080/binbase-compound/bin/show/217893?db=rtx5","217893")</f>
        <v>217893</v>
      </c>
      <c r="E247" s="1" t="s">
        <v>1073</v>
      </c>
      <c r="F247" s="1" t="s">
        <v>0</v>
      </c>
      <c r="G247" s="1" t="s">
        <v>0</v>
      </c>
      <c r="H247" s="1"/>
      <c r="I247" s="10">
        <v>369</v>
      </c>
      <c r="J247" s="10">
        <v>952</v>
      </c>
      <c r="K247" s="10">
        <v>792</v>
      </c>
      <c r="L247" s="10">
        <v>467</v>
      </c>
      <c r="M247" s="10">
        <v>527</v>
      </c>
      <c r="N247" s="10">
        <v>223</v>
      </c>
      <c r="O247" s="10">
        <v>337</v>
      </c>
      <c r="P247" s="10">
        <v>1066</v>
      </c>
      <c r="Q247" s="10">
        <v>799</v>
      </c>
      <c r="R247" s="10">
        <v>340</v>
      </c>
      <c r="S247" s="10">
        <v>2263</v>
      </c>
      <c r="T247" s="10">
        <v>959</v>
      </c>
      <c r="U247" s="10">
        <v>758</v>
      </c>
      <c r="V247" s="10">
        <v>329</v>
      </c>
      <c r="W247" s="10">
        <v>368</v>
      </c>
      <c r="X247" s="10">
        <v>421</v>
      </c>
      <c r="Y247" s="10">
        <v>297</v>
      </c>
      <c r="Z247" s="10">
        <v>1046</v>
      </c>
      <c r="AA247" s="10">
        <v>5556</v>
      </c>
      <c r="AB247" s="10">
        <v>897</v>
      </c>
      <c r="AC247" s="10">
        <v>619</v>
      </c>
      <c r="AD247" s="10">
        <v>180</v>
      </c>
      <c r="AE247" s="10">
        <v>589</v>
      </c>
      <c r="AF247" s="10">
        <v>2132</v>
      </c>
      <c r="AG247" s="10">
        <v>747</v>
      </c>
      <c r="AH247" s="10">
        <v>254</v>
      </c>
      <c r="AI247" s="10">
        <v>722</v>
      </c>
      <c r="AJ247" s="10">
        <v>937</v>
      </c>
      <c r="AK247" s="10">
        <v>306</v>
      </c>
      <c r="AL247" s="10">
        <v>2660</v>
      </c>
      <c r="AM247" s="10">
        <v>906</v>
      </c>
      <c r="AN247" s="10">
        <v>2726</v>
      </c>
      <c r="AO247" s="10">
        <v>485</v>
      </c>
      <c r="AP247" s="10">
        <v>670</v>
      </c>
      <c r="AQ247" s="10">
        <v>189</v>
      </c>
      <c r="AR247" s="10">
        <v>233</v>
      </c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</row>
    <row r="248" spans="1:81">
      <c r="A248" s="4" t="s">
        <v>664</v>
      </c>
      <c r="B248" s="1" t="s">
        <v>665</v>
      </c>
      <c r="C248" s="1" t="s">
        <v>363</v>
      </c>
      <c r="D248" s="1" t="str">
        <f>HYPERLINK("http://eros.fiehnlab.ucdavis.edu:8080/binbase-compound/bin/show/369728?db=rtx5","369728")</f>
        <v>369728</v>
      </c>
      <c r="E248" s="1" t="s">
        <v>666</v>
      </c>
      <c r="F248" s="1" t="s">
        <v>0</v>
      </c>
      <c r="G248" s="1" t="s">
        <v>0</v>
      </c>
      <c r="H248" s="1"/>
      <c r="I248" s="10">
        <v>3088</v>
      </c>
      <c r="J248" s="10">
        <v>5178</v>
      </c>
      <c r="K248" s="10">
        <v>6824</v>
      </c>
      <c r="L248" s="10">
        <v>2608</v>
      </c>
      <c r="M248" s="10">
        <v>2429</v>
      </c>
      <c r="N248" s="10">
        <v>1420</v>
      </c>
      <c r="O248" s="10">
        <v>4409</v>
      </c>
      <c r="P248" s="10">
        <v>8115</v>
      </c>
      <c r="Q248" s="10">
        <v>3441</v>
      </c>
      <c r="R248" s="10">
        <v>2024</v>
      </c>
      <c r="S248" s="10">
        <v>10065</v>
      </c>
      <c r="T248" s="10">
        <v>2370</v>
      </c>
      <c r="U248" s="10">
        <v>2707</v>
      </c>
      <c r="V248" s="10">
        <v>8995</v>
      </c>
      <c r="W248" s="10">
        <v>8191</v>
      </c>
      <c r="X248" s="10">
        <v>3134</v>
      </c>
      <c r="Y248" s="10">
        <v>3294</v>
      </c>
      <c r="Z248" s="10">
        <v>3845</v>
      </c>
      <c r="AA248" s="10">
        <v>6112</v>
      </c>
      <c r="AB248" s="10">
        <v>2552</v>
      </c>
      <c r="AC248" s="10">
        <v>6001</v>
      </c>
      <c r="AD248" s="10">
        <v>4353</v>
      </c>
      <c r="AE248" s="10">
        <v>3013</v>
      </c>
      <c r="AF248" s="10">
        <v>3574</v>
      </c>
      <c r="AG248" s="10">
        <v>10242</v>
      </c>
      <c r="AH248" s="10">
        <v>3174</v>
      </c>
      <c r="AI248" s="10">
        <v>5762</v>
      </c>
      <c r="AJ248" s="10">
        <v>7427</v>
      </c>
      <c r="AK248" s="10">
        <v>5555</v>
      </c>
      <c r="AL248" s="10">
        <v>9821</v>
      </c>
      <c r="AM248" s="10">
        <v>3635</v>
      </c>
      <c r="AN248" s="10">
        <v>6071</v>
      </c>
      <c r="AO248" s="10">
        <v>2941</v>
      </c>
      <c r="AP248" s="10">
        <v>3685</v>
      </c>
      <c r="AQ248" s="10">
        <v>6002</v>
      </c>
      <c r="AR248" s="10">
        <v>3160</v>
      </c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</row>
    <row r="249" spans="1:81">
      <c r="A249" s="4" t="s">
        <v>1000</v>
      </c>
      <c r="B249" s="1" t="s">
        <v>1001</v>
      </c>
      <c r="C249" s="1" t="s">
        <v>133</v>
      </c>
      <c r="D249" s="1" t="str">
        <f>HYPERLINK("http://eros.fiehnlab.ucdavis.edu:8080/binbase-compound/bin/show/228279?db=rtx5","228279")</f>
        <v>228279</v>
      </c>
      <c r="E249" s="1" t="s">
        <v>1002</v>
      </c>
      <c r="F249" s="1" t="s">
        <v>0</v>
      </c>
      <c r="G249" s="1" t="s">
        <v>0</v>
      </c>
      <c r="H249" s="1"/>
      <c r="I249" s="10">
        <v>106</v>
      </c>
      <c r="J249" s="10">
        <v>287</v>
      </c>
      <c r="K249" s="10">
        <v>315</v>
      </c>
      <c r="L249" s="10">
        <v>241</v>
      </c>
      <c r="M249" s="10">
        <v>222</v>
      </c>
      <c r="N249" s="10">
        <v>180</v>
      </c>
      <c r="O249" s="10">
        <v>306</v>
      </c>
      <c r="P249" s="10">
        <v>441</v>
      </c>
      <c r="Q249" s="10">
        <v>360</v>
      </c>
      <c r="R249" s="10">
        <v>203</v>
      </c>
      <c r="S249" s="10">
        <v>366</v>
      </c>
      <c r="T249" s="10">
        <v>309</v>
      </c>
      <c r="U249" s="10">
        <v>319</v>
      </c>
      <c r="V249" s="10">
        <v>309</v>
      </c>
      <c r="W249" s="10">
        <v>223</v>
      </c>
      <c r="X249" s="10">
        <v>194</v>
      </c>
      <c r="Y249" s="10">
        <v>233</v>
      </c>
      <c r="Z249" s="10">
        <v>302</v>
      </c>
      <c r="AA249" s="10">
        <v>385</v>
      </c>
      <c r="AB249" s="10">
        <v>328</v>
      </c>
      <c r="AC249" s="10">
        <v>146</v>
      </c>
      <c r="AD249" s="10">
        <v>389</v>
      </c>
      <c r="AE249" s="10">
        <v>219</v>
      </c>
      <c r="AF249" s="10">
        <v>287</v>
      </c>
      <c r="AG249" s="10">
        <v>367</v>
      </c>
      <c r="AH249" s="10">
        <v>701</v>
      </c>
      <c r="AI249" s="10">
        <v>303</v>
      </c>
      <c r="AJ249" s="10">
        <v>391</v>
      </c>
      <c r="AK249" s="10">
        <v>275</v>
      </c>
      <c r="AL249" s="10">
        <v>426</v>
      </c>
      <c r="AM249" s="10">
        <v>516</v>
      </c>
      <c r="AN249" s="10">
        <v>301</v>
      </c>
      <c r="AO249" s="10">
        <v>322</v>
      </c>
      <c r="AP249" s="10">
        <v>447</v>
      </c>
      <c r="AQ249" s="10">
        <v>338</v>
      </c>
      <c r="AR249" s="10">
        <v>302</v>
      </c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</row>
    <row r="250" spans="1:81">
      <c r="A250" s="4" t="s">
        <v>956</v>
      </c>
      <c r="B250" s="1" t="s">
        <v>957</v>
      </c>
      <c r="C250" s="1" t="s">
        <v>115</v>
      </c>
      <c r="D250" s="1" t="str">
        <f>HYPERLINK("http://eros.fiehnlab.ucdavis.edu:8080/binbase-compound/bin/show/235449?db=rtx5","235449")</f>
        <v>235449</v>
      </c>
      <c r="E250" s="1" t="s">
        <v>958</v>
      </c>
      <c r="F250" s="1" t="s">
        <v>0</v>
      </c>
      <c r="G250" s="1" t="s">
        <v>0</v>
      </c>
      <c r="H250" s="1"/>
      <c r="I250" s="10">
        <v>15970</v>
      </c>
      <c r="J250" s="10">
        <v>8746</v>
      </c>
      <c r="K250" s="10">
        <v>5330</v>
      </c>
      <c r="L250" s="10">
        <v>11848</v>
      </c>
      <c r="M250" s="10">
        <v>12893</v>
      </c>
      <c r="N250" s="10">
        <v>22217</v>
      </c>
      <c r="O250" s="10">
        <v>10800</v>
      </c>
      <c r="P250" s="10">
        <v>8912</v>
      </c>
      <c r="Q250" s="10">
        <v>18939</v>
      </c>
      <c r="R250" s="10">
        <v>13857</v>
      </c>
      <c r="S250" s="10">
        <v>12181</v>
      </c>
      <c r="T250" s="10">
        <v>6022</v>
      </c>
      <c r="U250" s="10">
        <v>22597</v>
      </c>
      <c r="V250" s="10">
        <v>15276</v>
      </c>
      <c r="W250" s="10">
        <v>12678</v>
      </c>
      <c r="X250" s="10">
        <v>12561</v>
      </c>
      <c r="Y250" s="10">
        <v>14560</v>
      </c>
      <c r="Z250" s="10">
        <v>12289</v>
      </c>
      <c r="AA250" s="10">
        <v>15021</v>
      </c>
      <c r="AB250" s="10">
        <v>19465</v>
      </c>
      <c r="AC250" s="10">
        <v>7454</v>
      </c>
      <c r="AD250" s="10">
        <v>10956</v>
      </c>
      <c r="AE250" s="10">
        <v>12544</v>
      </c>
      <c r="AF250" s="10">
        <v>9629</v>
      </c>
      <c r="AG250" s="10">
        <v>7759</v>
      </c>
      <c r="AH250" s="10">
        <v>16791</v>
      </c>
      <c r="AI250" s="10">
        <v>11353</v>
      </c>
      <c r="AJ250" s="10">
        <v>10828</v>
      </c>
      <c r="AK250" s="10">
        <v>11901</v>
      </c>
      <c r="AL250" s="10">
        <v>5831</v>
      </c>
      <c r="AM250" s="10">
        <v>9810</v>
      </c>
      <c r="AN250" s="10">
        <v>4854</v>
      </c>
      <c r="AO250" s="10">
        <v>12677</v>
      </c>
      <c r="AP250" s="10">
        <v>14129</v>
      </c>
      <c r="AQ250" s="10">
        <v>10053</v>
      </c>
      <c r="AR250" s="10">
        <v>11135</v>
      </c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</row>
    <row r="251" spans="1:81">
      <c r="A251" s="4" t="s">
        <v>943</v>
      </c>
      <c r="B251" s="1" t="s">
        <v>944</v>
      </c>
      <c r="C251" s="1" t="s">
        <v>259</v>
      </c>
      <c r="D251" s="1" t="str">
        <f>HYPERLINK("http://eros.fiehnlab.ucdavis.edu:8080/binbase-compound/bin/show/236828?db=rtx5","236828")</f>
        <v>236828</v>
      </c>
      <c r="E251" s="1" t="s">
        <v>945</v>
      </c>
      <c r="F251" s="1" t="s">
        <v>0</v>
      </c>
      <c r="G251" s="1" t="s">
        <v>0</v>
      </c>
      <c r="H251" s="1"/>
      <c r="I251" s="10">
        <v>3549</v>
      </c>
      <c r="J251" s="10">
        <v>4842</v>
      </c>
      <c r="K251" s="10">
        <v>4197</v>
      </c>
      <c r="L251" s="10">
        <v>6746</v>
      </c>
      <c r="M251" s="10">
        <v>5955</v>
      </c>
      <c r="N251" s="10">
        <v>3711</v>
      </c>
      <c r="O251" s="10">
        <v>4899</v>
      </c>
      <c r="P251" s="10">
        <v>4675</v>
      </c>
      <c r="Q251" s="10">
        <v>4046</v>
      </c>
      <c r="R251" s="10">
        <v>5800</v>
      </c>
      <c r="S251" s="10">
        <v>6636</v>
      </c>
      <c r="T251" s="10">
        <v>4771</v>
      </c>
      <c r="U251" s="10">
        <v>4624</v>
      </c>
      <c r="V251" s="10">
        <v>5505</v>
      </c>
      <c r="W251" s="10">
        <v>4377</v>
      </c>
      <c r="X251" s="10">
        <v>5941</v>
      </c>
      <c r="Y251" s="10">
        <v>4532</v>
      </c>
      <c r="Z251" s="10">
        <v>4776</v>
      </c>
      <c r="AA251" s="10">
        <v>6817</v>
      </c>
      <c r="AB251" s="10">
        <v>3959</v>
      </c>
      <c r="AC251" s="10">
        <v>8196</v>
      </c>
      <c r="AD251" s="10">
        <v>6420</v>
      </c>
      <c r="AE251" s="10">
        <v>4980</v>
      </c>
      <c r="AF251" s="10">
        <v>5432</v>
      </c>
      <c r="AG251" s="10">
        <v>3140</v>
      </c>
      <c r="AH251" s="10">
        <v>5133</v>
      </c>
      <c r="AI251" s="10">
        <v>3490</v>
      </c>
      <c r="AJ251" s="10">
        <v>4033</v>
      </c>
      <c r="AK251" s="10">
        <v>5091</v>
      </c>
      <c r="AL251" s="10">
        <v>2710</v>
      </c>
      <c r="AM251" s="10">
        <v>4433</v>
      </c>
      <c r="AN251" s="10">
        <v>6602</v>
      </c>
      <c r="AO251" s="10">
        <v>3271</v>
      </c>
      <c r="AP251" s="10">
        <v>6017</v>
      </c>
      <c r="AQ251" s="10">
        <v>4148</v>
      </c>
      <c r="AR251" s="10">
        <v>5937</v>
      </c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</row>
    <row r="252" spans="1:81">
      <c r="A252" s="4" t="s">
        <v>702</v>
      </c>
      <c r="B252" s="1" t="s">
        <v>703</v>
      </c>
      <c r="C252" s="1" t="s">
        <v>165</v>
      </c>
      <c r="D252" s="1" t="str">
        <f>HYPERLINK("http://eros.fiehnlab.ucdavis.edu:8080/binbase-compound/bin/show/359513?db=rtx5","359513")</f>
        <v>359513</v>
      </c>
      <c r="E252" s="1" t="s">
        <v>704</v>
      </c>
      <c r="F252" s="1" t="s">
        <v>0</v>
      </c>
      <c r="G252" s="1" t="s">
        <v>0</v>
      </c>
      <c r="H252" s="1"/>
      <c r="I252" s="10">
        <v>39433</v>
      </c>
      <c r="J252" s="10">
        <v>14671</v>
      </c>
      <c r="K252" s="10">
        <v>9165</v>
      </c>
      <c r="L252" s="10">
        <v>48883</v>
      </c>
      <c r="M252" s="10">
        <v>31709</v>
      </c>
      <c r="N252" s="10">
        <v>44207</v>
      </c>
      <c r="O252" s="10">
        <v>31467</v>
      </c>
      <c r="P252" s="10">
        <v>20758</v>
      </c>
      <c r="Q252" s="10">
        <v>38262</v>
      </c>
      <c r="R252" s="10">
        <v>28417</v>
      </c>
      <c r="S252" s="10">
        <v>18561</v>
      </c>
      <c r="T252" s="10">
        <v>10876</v>
      </c>
      <c r="U252" s="10">
        <v>55297</v>
      </c>
      <c r="V252" s="10">
        <v>21441</v>
      </c>
      <c r="W252" s="10">
        <v>36238</v>
      </c>
      <c r="X252" s="10">
        <v>40420</v>
      </c>
      <c r="Y252" s="10">
        <v>42635</v>
      </c>
      <c r="Z252" s="10">
        <v>35691</v>
      </c>
      <c r="AA252" s="10">
        <v>23094</v>
      </c>
      <c r="AB252" s="10">
        <v>52045</v>
      </c>
      <c r="AC252" s="10">
        <v>11393</v>
      </c>
      <c r="AD252" s="10">
        <v>35002</v>
      </c>
      <c r="AE252" s="10">
        <v>41529</v>
      </c>
      <c r="AF252" s="10">
        <v>19617</v>
      </c>
      <c r="AG252" s="10">
        <v>18005</v>
      </c>
      <c r="AH252" s="10">
        <v>45058</v>
      </c>
      <c r="AI252" s="10">
        <v>27057</v>
      </c>
      <c r="AJ252" s="10">
        <v>20688</v>
      </c>
      <c r="AK252" s="10">
        <v>34507</v>
      </c>
      <c r="AL252" s="10">
        <v>16014</v>
      </c>
      <c r="AM252" s="10">
        <v>34336</v>
      </c>
      <c r="AN252" s="10">
        <v>22750</v>
      </c>
      <c r="AO252" s="10">
        <v>39524</v>
      </c>
      <c r="AP252" s="10">
        <v>45008</v>
      </c>
      <c r="AQ252" s="10">
        <v>28331</v>
      </c>
      <c r="AR252" s="10">
        <v>37349</v>
      </c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</row>
    <row r="253" spans="1:81">
      <c r="A253" s="4" t="s">
        <v>796</v>
      </c>
      <c r="B253" s="1" t="s">
        <v>797</v>
      </c>
      <c r="C253" s="1" t="s">
        <v>123</v>
      </c>
      <c r="D253" s="1" t="str">
        <f>HYPERLINK("http://eros.fiehnlab.ucdavis.edu:8080/binbase-compound/bin/show/280564?db=rtx5","280564")</f>
        <v>280564</v>
      </c>
      <c r="E253" s="1" t="s">
        <v>798</v>
      </c>
      <c r="F253" s="1" t="s">
        <v>0</v>
      </c>
      <c r="G253" s="1" t="s">
        <v>0</v>
      </c>
      <c r="H253" s="1"/>
      <c r="I253" s="10">
        <v>5390</v>
      </c>
      <c r="J253" s="10">
        <v>8051</v>
      </c>
      <c r="K253" s="10">
        <v>5546</v>
      </c>
      <c r="L253" s="10">
        <v>2123</v>
      </c>
      <c r="M253" s="10">
        <v>5358</v>
      </c>
      <c r="N253" s="10">
        <v>3176</v>
      </c>
      <c r="O253" s="10">
        <v>4711</v>
      </c>
      <c r="P253" s="10">
        <v>5952</v>
      </c>
      <c r="Q253" s="10">
        <v>4367</v>
      </c>
      <c r="R253" s="10">
        <v>4334</v>
      </c>
      <c r="S253" s="10">
        <v>5807</v>
      </c>
      <c r="T253" s="10">
        <v>4289</v>
      </c>
      <c r="U253" s="10">
        <v>3426</v>
      </c>
      <c r="V253" s="10">
        <v>1800</v>
      </c>
      <c r="W253" s="10">
        <v>2252</v>
      </c>
      <c r="X253" s="10">
        <v>2335</v>
      </c>
      <c r="Y253" s="10">
        <v>3683</v>
      </c>
      <c r="Z253" s="10">
        <v>3096</v>
      </c>
      <c r="AA253" s="10">
        <v>5976</v>
      </c>
      <c r="AB253" s="10">
        <v>2999</v>
      </c>
      <c r="AC253" s="10">
        <v>4493</v>
      </c>
      <c r="AD253" s="10">
        <v>2622</v>
      </c>
      <c r="AE253" s="10">
        <v>2724</v>
      </c>
      <c r="AF253" s="10">
        <v>4329</v>
      </c>
      <c r="AG253" s="10">
        <v>3210</v>
      </c>
      <c r="AH253" s="10">
        <v>2969</v>
      </c>
      <c r="AI253" s="10">
        <v>3878</v>
      </c>
      <c r="AJ253" s="10">
        <v>4043</v>
      </c>
      <c r="AK253" s="10">
        <v>2609</v>
      </c>
      <c r="AL253" s="10">
        <v>3330</v>
      </c>
      <c r="AM253" s="10">
        <v>4057</v>
      </c>
      <c r="AN253" s="10">
        <v>3733</v>
      </c>
      <c r="AO253" s="10">
        <v>3014</v>
      </c>
      <c r="AP253" s="10">
        <v>2840</v>
      </c>
      <c r="AQ253" s="10">
        <v>2644</v>
      </c>
      <c r="AR253" s="10">
        <v>3672</v>
      </c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</row>
    <row r="254" spans="1:81">
      <c r="A254" s="4" t="s">
        <v>1008</v>
      </c>
      <c r="B254" s="1" t="s">
        <v>1009</v>
      </c>
      <c r="C254" s="1" t="s">
        <v>680</v>
      </c>
      <c r="D254" s="1" t="str">
        <f>HYPERLINK("http://eros.fiehnlab.ucdavis.edu:8080/binbase-compound/bin/show/227767?db=rtx5","227767")</f>
        <v>227767</v>
      </c>
      <c r="E254" s="1" t="s">
        <v>1010</v>
      </c>
      <c r="F254" s="1" t="s">
        <v>0</v>
      </c>
      <c r="G254" s="1" t="s">
        <v>0</v>
      </c>
      <c r="H254" s="1"/>
      <c r="I254" s="10">
        <v>699</v>
      </c>
      <c r="J254" s="10">
        <v>3032</v>
      </c>
      <c r="K254" s="10">
        <v>3882</v>
      </c>
      <c r="L254" s="10">
        <v>858</v>
      </c>
      <c r="M254" s="10">
        <v>2200</v>
      </c>
      <c r="N254" s="10">
        <v>425</v>
      </c>
      <c r="O254" s="10">
        <v>1078</v>
      </c>
      <c r="P254" s="10">
        <v>3793</v>
      </c>
      <c r="Q254" s="10">
        <v>1355</v>
      </c>
      <c r="R254" s="10">
        <v>1274</v>
      </c>
      <c r="S254" s="10">
        <v>3101</v>
      </c>
      <c r="T254" s="10">
        <v>2892</v>
      </c>
      <c r="U254" s="10">
        <v>548</v>
      </c>
      <c r="V254" s="10">
        <v>1930</v>
      </c>
      <c r="W254" s="10">
        <v>1454</v>
      </c>
      <c r="X254" s="10">
        <v>1406</v>
      </c>
      <c r="Y254" s="10">
        <v>934</v>
      </c>
      <c r="Z254" s="10">
        <v>930</v>
      </c>
      <c r="AA254" s="10">
        <v>4075</v>
      </c>
      <c r="AB254" s="10">
        <v>1261</v>
      </c>
      <c r="AC254" s="10">
        <v>3323</v>
      </c>
      <c r="AD254" s="10">
        <v>1441</v>
      </c>
      <c r="AE254" s="10">
        <v>1314</v>
      </c>
      <c r="AF254" s="10">
        <v>2242</v>
      </c>
      <c r="AG254" s="10">
        <v>2548</v>
      </c>
      <c r="AH254" s="10">
        <v>742</v>
      </c>
      <c r="AI254" s="10">
        <v>1944</v>
      </c>
      <c r="AJ254" s="10">
        <v>2995</v>
      </c>
      <c r="AK254" s="10">
        <v>1504</v>
      </c>
      <c r="AL254" s="10">
        <v>4022</v>
      </c>
      <c r="AM254" s="10">
        <v>1414</v>
      </c>
      <c r="AN254" s="10">
        <v>1578</v>
      </c>
      <c r="AO254" s="10">
        <v>1218</v>
      </c>
      <c r="AP254" s="10">
        <v>1391</v>
      </c>
      <c r="AQ254" s="10">
        <v>2040</v>
      </c>
      <c r="AR254" s="10">
        <v>1014</v>
      </c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</row>
    <row r="255" spans="1:81">
      <c r="A255" s="4" t="s">
        <v>915</v>
      </c>
      <c r="B255" s="1" t="s">
        <v>916</v>
      </c>
      <c r="C255" s="1" t="s">
        <v>109</v>
      </c>
      <c r="D255" s="1" t="str">
        <f>HYPERLINK("http://eros.fiehnlab.ucdavis.edu:8080/binbase-compound/bin/show/239305?db=rtx5","239305")</f>
        <v>239305</v>
      </c>
      <c r="E255" s="1" t="s">
        <v>917</v>
      </c>
      <c r="F255" s="1" t="s">
        <v>0</v>
      </c>
      <c r="G255" s="1" t="s">
        <v>0</v>
      </c>
      <c r="H255" s="1"/>
      <c r="I255" s="10">
        <v>1644</v>
      </c>
      <c r="J255" s="10">
        <v>1147</v>
      </c>
      <c r="K255" s="10">
        <v>1409</v>
      </c>
      <c r="L255" s="10">
        <v>2583</v>
      </c>
      <c r="M255" s="10">
        <v>1230</v>
      </c>
      <c r="N255" s="10">
        <v>2082</v>
      </c>
      <c r="O255" s="10">
        <v>1151</v>
      </c>
      <c r="P255" s="10">
        <v>2297</v>
      </c>
      <c r="Q255" s="10">
        <v>1630</v>
      </c>
      <c r="R255" s="10">
        <v>1196</v>
      </c>
      <c r="S255" s="10">
        <v>1290</v>
      </c>
      <c r="T255" s="10">
        <v>1394</v>
      </c>
      <c r="U255" s="10">
        <v>2762</v>
      </c>
      <c r="V255" s="10">
        <v>994</v>
      </c>
      <c r="W255" s="10">
        <v>1485</v>
      </c>
      <c r="X255" s="10">
        <v>2078</v>
      </c>
      <c r="Y255" s="10">
        <v>1979</v>
      </c>
      <c r="Z255" s="10">
        <v>1658</v>
      </c>
      <c r="AA255" s="10">
        <v>1750</v>
      </c>
      <c r="AB255" s="10">
        <v>2493</v>
      </c>
      <c r="AC255" s="10">
        <v>1088</v>
      </c>
      <c r="AD255" s="10">
        <v>1471</v>
      </c>
      <c r="AE255" s="10">
        <v>2268</v>
      </c>
      <c r="AF255" s="10">
        <v>954</v>
      </c>
      <c r="AG255" s="10">
        <v>1193</v>
      </c>
      <c r="AH255" s="10">
        <v>2439</v>
      </c>
      <c r="AI255" s="10">
        <v>1059</v>
      </c>
      <c r="AJ255" s="10">
        <v>1313</v>
      </c>
      <c r="AK255" s="10">
        <v>1450</v>
      </c>
      <c r="AL255" s="10">
        <v>1408</v>
      </c>
      <c r="AM255" s="10">
        <v>1901</v>
      </c>
      <c r="AN255" s="10">
        <v>1399</v>
      </c>
      <c r="AO255" s="10">
        <v>1797</v>
      </c>
      <c r="AP255" s="10">
        <v>2123</v>
      </c>
      <c r="AQ255" s="10">
        <v>1463</v>
      </c>
      <c r="AR255" s="10">
        <v>1742</v>
      </c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</row>
    <row r="256" spans="1:81">
      <c r="A256" s="4" t="s">
        <v>994</v>
      </c>
      <c r="B256" s="1" t="s">
        <v>995</v>
      </c>
      <c r="C256" s="1" t="s">
        <v>655</v>
      </c>
      <c r="D256" s="1" t="str">
        <f>HYPERLINK("http://eros.fiehnlab.ucdavis.edu:8080/binbase-compound/bin/show/228872?db=rtx5","228872")</f>
        <v>228872</v>
      </c>
      <c r="E256" s="1" t="s">
        <v>996</v>
      </c>
      <c r="F256" s="1" t="s">
        <v>0</v>
      </c>
      <c r="G256" s="1" t="s">
        <v>0</v>
      </c>
      <c r="H256" s="1"/>
      <c r="I256" s="10">
        <v>1037</v>
      </c>
      <c r="J256" s="10">
        <v>3398</v>
      </c>
      <c r="K256" s="10">
        <v>2947</v>
      </c>
      <c r="L256" s="10">
        <v>432</v>
      </c>
      <c r="M256" s="10">
        <v>837</v>
      </c>
      <c r="N256" s="10">
        <v>449</v>
      </c>
      <c r="O256" s="10">
        <v>2109</v>
      </c>
      <c r="P256" s="10">
        <v>3831</v>
      </c>
      <c r="Q256" s="10">
        <v>807</v>
      </c>
      <c r="R256" s="10">
        <v>461</v>
      </c>
      <c r="S256" s="10">
        <v>3308</v>
      </c>
      <c r="T256" s="10">
        <v>2111</v>
      </c>
      <c r="U256" s="10">
        <v>464</v>
      </c>
      <c r="V256" s="10">
        <v>619</v>
      </c>
      <c r="W256" s="10">
        <v>552</v>
      </c>
      <c r="X256" s="10">
        <v>833</v>
      </c>
      <c r="Y256" s="10">
        <v>433</v>
      </c>
      <c r="Z256" s="10">
        <v>400</v>
      </c>
      <c r="AA256" s="10">
        <v>1809</v>
      </c>
      <c r="AB256" s="10">
        <v>510</v>
      </c>
      <c r="AC256" s="10">
        <v>1122</v>
      </c>
      <c r="AD256" s="10">
        <v>459</v>
      </c>
      <c r="AE256" s="10">
        <v>381</v>
      </c>
      <c r="AF256" s="10">
        <v>1653</v>
      </c>
      <c r="AG256" s="10">
        <v>1847</v>
      </c>
      <c r="AH256" s="10">
        <v>484</v>
      </c>
      <c r="AI256" s="10">
        <v>1320</v>
      </c>
      <c r="AJ256" s="10">
        <v>1439</v>
      </c>
      <c r="AK256" s="10">
        <v>879</v>
      </c>
      <c r="AL256" s="10">
        <v>2199</v>
      </c>
      <c r="AM256" s="10">
        <v>493</v>
      </c>
      <c r="AN256" s="10">
        <v>548</v>
      </c>
      <c r="AO256" s="10">
        <v>449</v>
      </c>
      <c r="AP256" s="10">
        <v>458</v>
      </c>
      <c r="AQ256" s="10">
        <v>1407</v>
      </c>
      <c r="AR256" s="10">
        <v>402</v>
      </c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</row>
    <row r="257" spans="1:81">
      <c r="A257" s="4" t="s">
        <v>991</v>
      </c>
      <c r="B257" s="1" t="s">
        <v>992</v>
      </c>
      <c r="C257" s="1" t="s">
        <v>520</v>
      </c>
      <c r="D257" s="1" t="str">
        <f>HYPERLINK("http://eros.fiehnlab.ucdavis.edu:8080/binbase-compound/bin/show/229201?db=rtx5","229201")</f>
        <v>229201</v>
      </c>
      <c r="E257" s="1" t="s">
        <v>993</v>
      </c>
      <c r="F257" s="1" t="s">
        <v>0</v>
      </c>
      <c r="G257" s="1" t="s">
        <v>0</v>
      </c>
      <c r="H257" s="1"/>
      <c r="I257" s="10">
        <v>332</v>
      </c>
      <c r="J257" s="10">
        <v>1103</v>
      </c>
      <c r="K257" s="10">
        <v>741</v>
      </c>
      <c r="L257" s="10">
        <v>250</v>
      </c>
      <c r="M257" s="10">
        <v>523</v>
      </c>
      <c r="N257" s="10">
        <v>171</v>
      </c>
      <c r="O257" s="10">
        <v>1017</v>
      </c>
      <c r="P257" s="10">
        <v>1400</v>
      </c>
      <c r="Q257" s="10">
        <v>300</v>
      </c>
      <c r="R257" s="10">
        <v>261</v>
      </c>
      <c r="S257" s="10">
        <v>982</v>
      </c>
      <c r="T257" s="10">
        <v>1640</v>
      </c>
      <c r="U257" s="10">
        <v>121</v>
      </c>
      <c r="V257" s="10">
        <v>650</v>
      </c>
      <c r="W257" s="10">
        <v>369</v>
      </c>
      <c r="X257" s="10">
        <v>325</v>
      </c>
      <c r="Y257" s="10">
        <v>534</v>
      </c>
      <c r="Z257" s="10">
        <v>125</v>
      </c>
      <c r="AA257" s="10">
        <v>1169</v>
      </c>
      <c r="AB257" s="10">
        <v>117</v>
      </c>
      <c r="AC257" s="10">
        <v>826</v>
      </c>
      <c r="AD257" s="10">
        <v>168</v>
      </c>
      <c r="AE257" s="10">
        <v>370</v>
      </c>
      <c r="AF257" s="10">
        <v>504</v>
      </c>
      <c r="AG257" s="10">
        <v>706</v>
      </c>
      <c r="AH257" s="10">
        <v>244</v>
      </c>
      <c r="AI257" s="10">
        <v>373</v>
      </c>
      <c r="AJ257" s="10">
        <v>738</v>
      </c>
      <c r="AK257" s="10">
        <v>304</v>
      </c>
      <c r="AL257" s="10">
        <v>734</v>
      </c>
      <c r="AM257" s="10">
        <v>213</v>
      </c>
      <c r="AN257" s="10">
        <v>617</v>
      </c>
      <c r="AO257" s="10">
        <v>232</v>
      </c>
      <c r="AP257" s="10">
        <v>142</v>
      </c>
      <c r="AQ257" s="10">
        <v>390</v>
      </c>
      <c r="AR257" s="10">
        <v>319</v>
      </c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</row>
    <row r="258" spans="1:81">
      <c r="A258" s="4" t="s">
        <v>1074</v>
      </c>
      <c r="B258" s="1" t="s">
        <v>1075</v>
      </c>
      <c r="C258" s="1" t="s">
        <v>426</v>
      </c>
      <c r="D258" s="1" t="str">
        <f>HYPERLINK("http://eros.fiehnlab.ucdavis.edu:8080/binbase-compound/bin/show/216428?db=rtx5","216428")</f>
        <v>216428</v>
      </c>
      <c r="E258" s="1" t="s">
        <v>1076</v>
      </c>
      <c r="F258" s="1" t="s">
        <v>0</v>
      </c>
      <c r="G258" s="1" t="s">
        <v>0</v>
      </c>
      <c r="H258" s="1"/>
      <c r="I258" s="10">
        <v>4315</v>
      </c>
      <c r="J258" s="10">
        <v>22686</v>
      </c>
      <c r="K258" s="10">
        <v>14623</v>
      </c>
      <c r="L258" s="10">
        <v>3589</v>
      </c>
      <c r="M258" s="10">
        <v>7188</v>
      </c>
      <c r="N258" s="10">
        <v>3808</v>
      </c>
      <c r="O258" s="10">
        <v>8679</v>
      </c>
      <c r="P258" s="10">
        <v>19178</v>
      </c>
      <c r="Q258" s="10">
        <v>7382</v>
      </c>
      <c r="R258" s="10">
        <v>4700</v>
      </c>
      <c r="S258" s="10">
        <v>22489</v>
      </c>
      <c r="T258" s="10">
        <v>15337</v>
      </c>
      <c r="U258" s="10">
        <v>4654</v>
      </c>
      <c r="V258" s="10">
        <v>5865</v>
      </c>
      <c r="W258" s="10">
        <v>5776</v>
      </c>
      <c r="X258" s="10">
        <v>5676</v>
      </c>
      <c r="Y258" s="10">
        <v>4533</v>
      </c>
      <c r="Z258" s="10">
        <v>9967</v>
      </c>
      <c r="AA258" s="10">
        <v>26864</v>
      </c>
      <c r="AB258" s="10">
        <v>6470</v>
      </c>
      <c r="AC258" s="10">
        <v>18200</v>
      </c>
      <c r="AD258" s="10">
        <v>3569</v>
      </c>
      <c r="AE258" s="10">
        <v>5801</v>
      </c>
      <c r="AF258" s="10">
        <v>17570</v>
      </c>
      <c r="AG258" s="10">
        <v>11381</v>
      </c>
      <c r="AH258" s="10">
        <v>2193</v>
      </c>
      <c r="AI258" s="10">
        <v>10709</v>
      </c>
      <c r="AJ258" s="10">
        <v>7717</v>
      </c>
      <c r="AK258" s="10">
        <v>5094</v>
      </c>
      <c r="AL258" s="10">
        <v>31230</v>
      </c>
      <c r="AM258" s="10">
        <v>8015</v>
      </c>
      <c r="AN258" s="10">
        <v>18843</v>
      </c>
      <c r="AO258" s="10">
        <v>3950</v>
      </c>
      <c r="AP258" s="10">
        <v>9024</v>
      </c>
      <c r="AQ258" s="10">
        <v>3535</v>
      </c>
      <c r="AR258" s="10">
        <v>2553</v>
      </c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</row>
    <row r="259" spans="1:81">
      <c r="A259" s="4" t="s">
        <v>711</v>
      </c>
      <c r="B259" s="1" t="s">
        <v>712</v>
      </c>
      <c r="C259" s="1" t="s">
        <v>128</v>
      </c>
      <c r="D259" s="1" t="str">
        <f>HYPERLINK("http://eros.fiehnlab.ucdavis.edu:8080/binbase-compound/bin/show/357162?db=rtx5","357162")</f>
        <v>357162</v>
      </c>
      <c r="E259" s="1" t="s">
        <v>713</v>
      </c>
      <c r="F259" s="1" t="s">
        <v>0</v>
      </c>
      <c r="G259" s="1" t="s">
        <v>0</v>
      </c>
      <c r="H259" s="1"/>
      <c r="I259" s="10">
        <v>2720</v>
      </c>
      <c r="J259" s="10">
        <v>2510</v>
      </c>
      <c r="K259" s="10">
        <v>2098</v>
      </c>
      <c r="L259" s="10">
        <v>1442</v>
      </c>
      <c r="M259" s="10">
        <v>1239</v>
      </c>
      <c r="N259" s="10">
        <v>1707</v>
      </c>
      <c r="O259" s="10">
        <v>4802</v>
      </c>
      <c r="P259" s="10">
        <v>4920</v>
      </c>
      <c r="Q259" s="10">
        <v>1578</v>
      </c>
      <c r="R259" s="10">
        <v>1772</v>
      </c>
      <c r="S259" s="10">
        <v>4909</v>
      </c>
      <c r="T259" s="10">
        <v>3795</v>
      </c>
      <c r="U259" s="10">
        <v>2261</v>
      </c>
      <c r="V259" s="10">
        <v>6592</v>
      </c>
      <c r="W259" s="10">
        <v>1493</v>
      </c>
      <c r="X259" s="10">
        <v>1867</v>
      </c>
      <c r="Y259" s="10">
        <v>1702</v>
      </c>
      <c r="Z259" s="10">
        <v>1745</v>
      </c>
      <c r="AA259" s="10">
        <v>5651</v>
      </c>
      <c r="AB259" s="10">
        <v>3508</v>
      </c>
      <c r="AC259" s="10">
        <v>1878</v>
      </c>
      <c r="AD259" s="10">
        <v>2208</v>
      </c>
      <c r="AE259" s="10">
        <v>1457</v>
      </c>
      <c r="AF259" s="10">
        <v>3424</v>
      </c>
      <c r="AG259" s="10">
        <v>3578</v>
      </c>
      <c r="AH259" s="10">
        <v>1837</v>
      </c>
      <c r="AI259" s="10">
        <v>1077</v>
      </c>
      <c r="AJ259" s="10">
        <v>4200</v>
      </c>
      <c r="AK259" s="10">
        <v>1158</v>
      </c>
      <c r="AL259" s="10">
        <v>4437</v>
      </c>
      <c r="AM259" s="10">
        <v>1907</v>
      </c>
      <c r="AN259" s="10">
        <v>3625</v>
      </c>
      <c r="AO259" s="10">
        <v>1768</v>
      </c>
      <c r="AP259" s="10">
        <v>2276</v>
      </c>
      <c r="AQ259" s="10">
        <v>7303</v>
      </c>
      <c r="AR259" s="10">
        <v>1672</v>
      </c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</row>
    <row r="260" spans="1:81">
      <c r="A260" s="4" t="s">
        <v>946</v>
      </c>
      <c r="B260" s="1" t="s">
        <v>947</v>
      </c>
      <c r="C260" s="1" t="s">
        <v>430</v>
      </c>
      <c r="D260" s="1" t="str">
        <f>HYPERLINK("http://eros.fiehnlab.ucdavis.edu:8080/binbase-compound/bin/show/236821?db=rtx5","236821")</f>
        <v>236821</v>
      </c>
      <c r="E260" s="1" t="s">
        <v>948</v>
      </c>
      <c r="F260" s="1" t="s">
        <v>0</v>
      </c>
      <c r="G260" s="1" t="s">
        <v>0</v>
      </c>
      <c r="H260" s="1"/>
      <c r="I260" s="10">
        <v>547</v>
      </c>
      <c r="J260" s="10">
        <v>1024</v>
      </c>
      <c r="K260" s="10">
        <v>800</v>
      </c>
      <c r="L260" s="10">
        <v>650</v>
      </c>
      <c r="M260" s="10">
        <v>700</v>
      </c>
      <c r="N260" s="10">
        <v>139</v>
      </c>
      <c r="O260" s="10">
        <v>627</v>
      </c>
      <c r="P260" s="10">
        <v>913</v>
      </c>
      <c r="Q260" s="10">
        <v>195</v>
      </c>
      <c r="R260" s="10">
        <v>492</v>
      </c>
      <c r="S260" s="10">
        <v>953</v>
      </c>
      <c r="T260" s="10">
        <v>518</v>
      </c>
      <c r="U260" s="10">
        <v>731</v>
      </c>
      <c r="V260" s="10">
        <v>632</v>
      </c>
      <c r="W260" s="10">
        <v>660</v>
      </c>
      <c r="X260" s="10">
        <v>366</v>
      </c>
      <c r="Y260" s="10">
        <v>394</v>
      </c>
      <c r="Z260" s="10">
        <v>291</v>
      </c>
      <c r="AA260" s="10">
        <v>654</v>
      </c>
      <c r="AB260" s="10">
        <v>328</v>
      </c>
      <c r="AC260" s="10">
        <v>543</v>
      </c>
      <c r="AD260" s="10">
        <v>369</v>
      </c>
      <c r="AE260" s="10">
        <v>227</v>
      </c>
      <c r="AF260" s="10">
        <v>340</v>
      </c>
      <c r="AG260" s="10">
        <v>612</v>
      </c>
      <c r="AH260" s="10">
        <v>582</v>
      </c>
      <c r="AI260" s="10">
        <v>598</v>
      </c>
      <c r="AJ260" s="10">
        <v>787</v>
      </c>
      <c r="AK260" s="10">
        <v>538</v>
      </c>
      <c r="AL260" s="10">
        <v>851</v>
      </c>
      <c r="AM260" s="10">
        <v>383</v>
      </c>
      <c r="AN260" s="10">
        <v>143</v>
      </c>
      <c r="AO260" s="10">
        <v>107</v>
      </c>
      <c r="AP260" s="10">
        <v>516</v>
      </c>
      <c r="AQ260" s="10">
        <v>220</v>
      </c>
      <c r="AR260" s="10">
        <v>481</v>
      </c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</row>
    <row r="261" spans="1:81">
      <c r="A261" s="4" t="s">
        <v>608</v>
      </c>
      <c r="B261" s="1" t="s">
        <v>609</v>
      </c>
      <c r="C261" s="1" t="s">
        <v>86</v>
      </c>
      <c r="D261" s="1" t="str">
        <f>HYPERLINK("http://eros.fiehnlab.ucdavis.edu:8080/binbase-compound/bin/show/408756?db=rtx5","408756")</f>
        <v>408756</v>
      </c>
      <c r="E261" s="1" t="s">
        <v>610</v>
      </c>
      <c r="F261" s="1" t="s">
        <v>0</v>
      </c>
      <c r="G261" s="1" t="s">
        <v>0</v>
      </c>
      <c r="H261" s="1"/>
      <c r="I261" s="10">
        <v>804</v>
      </c>
      <c r="J261" s="10">
        <v>1644</v>
      </c>
      <c r="K261" s="10">
        <v>2777</v>
      </c>
      <c r="L261" s="10">
        <v>465</v>
      </c>
      <c r="M261" s="10">
        <v>1202</v>
      </c>
      <c r="N261" s="10">
        <v>531</v>
      </c>
      <c r="O261" s="10">
        <v>2453</v>
      </c>
      <c r="P261" s="10">
        <v>2121</v>
      </c>
      <c r="Q261" s="10">
        <v>1141</v>
      </c>
      <c r="R261" s="10">
        <v>1151</v>
      </c>
      <c r="S261" s="10">
        <v>1923</v>
      </c>
      <c r="T261" s="10">
        <v>2792</v>
      </c>
      <c r="U261" s="10">
        <v>799</v>
      </c>
      <c r="V261" s="10">
        <v>1644</v>
      </c>
      <c r="W261" s="10">
        <v>761</v>
      </c>
      <c r="X261" s="10">
        <v>1813</v>
      </c>
      <c r="Y261" s="10">
        <v>1146</v>
      </c>
      <c r="Z261" s="10">
        <v>1397</v>
      </c>
      <c r="AA261" s="10">
        <v>3272</v>
      </c>
      <c r="AB261" s="10">
        <v>1396</v>
      </c>
      <c r="AC261" s="10">
        <v>3525</v>
      </c>
      <c r="AD261" s="10">
        <v>1300</v>
      </c>
      <c r="AE261" s="10">
        <v>1573</v>
      </c>
      <c r="AF261" s="10">
        <v>1478</v>
      </c>
      <c r="AG261" s="10">
        <v>1047</v>
      </c>
      <c r="AH261" s="10">
        <v>812</v>
      </c>
      <c r="AI261" s="10">
        <v>1031</v>
      </c>
      <c r="AJ261" s="10">
        <v>1505</v>
      </c>
      <c r="AK261" s="10">
        <v>1312</v>
      </c>
      <c r="AL261" s="10">
        <v>2086</v>
      </c>
      <c r="AM261" s="10">
        <v>1064</v>
      </c>
      <c r="AN261" s="10">
        <v>1037</v>
      </c>
      <c r="AO261" s="10">
        <v>855</v>
      </c>
      <c r="AP261" s="10">
        <v>1572</v>
      </c>
      <c r="AQ261" s="10">
        <v>4232</v>
      </c>
      <c r="AR261" s="10">
        <v>1346</v>
      </c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</row>
    <row r="262" spans="1:81">
      <c r="A262" s="4" t="s">
        <v>1162</v>
      </c>
      <c r="B262" s="1" t="s">
        <v>1163</v>
      </c>
      <c r="C262" s="1" t="s">
        <v>156</v>
      </c>
      <c r="D262" s="1" t="str">
        <f>HYPERLINK("http://eros.fiehnlab.ucdavis.edu:8080/binbase-compound/bin/show/201042?db=rtx5","201042")</f>
        <v>201042</v>
      </c>
      <c r="E262" s="1" t="s">
        <v>1164</v>
      </c>
      <c r="F262" s="1" t="s">
        <v>0</v>
      </c>
      <c r="G262" s="1" t="s">
        <v>0</v>
      </c>
      <c r="H262" s="1"/>
      <c r="I262" s="10">
        <v>3577</v>
      </c>
      <c r="J262" s="10">
        <v>8178</v>
      </c>
      <c r="K262" s="10">
        <v>9412</v>
      </c>
      <c r="L262" s="10">
        <v>1624</v>
      </c>
      <c r="M262" s="10">
        <v>3247</v>
      </c>
      <c r="N262" s="10">
        <v>2907</v>
      </c>
      <c r="O262" s="10">
        <v>6344</v>
      </c>
      <c r="P262" s="10">
        <v>11754</v>
      </c>
      <c r="Q262" s="10">
        <v>2845</v>
      </c>
      <c r="R262" s="10">
        <v>2238</v>
      </c>
      <c r="S262" s="10">
        <v>9616</v>
      </c>
      <c r="T262" s="10">
        <v>8870</v>
      </c>
      <c r="U262" s="10">
        <v>1364</v>
      </c>
      <c r="V262" s="10">
        <v>9237</v>
      </c>
      <c r="W262" s="10">
        <v>2989</v>
      </c>
      <c r="X262" s="10">
        <v>4225</v>
      </c>
      <c r="Y262" s="10">
        <v>2180</v>
      </c>
      <c r="Z262" s="10">
        <v>1568</v>
      </c>
      <c r="AA262" s="10">
        <v>11752</v>
      </c>
      <c r="AB262" s="10">
        <v>1725</v>
      </c>
      <c r="AC262" s="10">
        <v>6618</v>
      </c>
      <c r="AD262" s="10">
        <v>2289</v>
      </c>
      <c r="AE262" s="10">
        <v>2845</v>
      </c>
      <c r="AF262" s="10">
        <v>5299</v>
      </c>
      <c r="AG262" s="10">
        <v>6895</v>
      </c>
      <c r="AH262" s="10">
        <v>2119</v>
      </c>
      <c r="AI262" s="10">
        <v>4162</v>
      </c>
      <c r="AJ262" s="10">
        <v>9859</v>
      </c>
      <c r="AK262" s="10">
        <v>2701</v>
      </c>
      <c r="AL262" s="10">
        <v>10445</v>
      </c>
      <c r="AM262" s="10">
        <v>1840</v>
      </c>
      <c r="AN262" s="10">
        <v>7242</v>
      </c>
      <c r="AO262" s="10">
        <v>1580</v>
      </c>
      <c r="AP262" s="10">
        <v>1829</v>
      </c>
      <c r="AQ262" s="10">
        <v>5677</v>
      </c>
      <c r="AR262" s="10">
        <v>2069</v>
      </c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</row>
    <row r="263" spans="1:81">
      <c r="A263" s="4" t="s">
        <v>564</v>
      </c>
      <c r="B263" s="1" t="s">
        <v>565</v>
      </c>
      <c r="C263" s="1" t="s">
        <v>383</v>
      </c>
      <c r="D263" s="1" t="str">
        <f>HYPERLINK("http://eros.fiehnlab.ucdavis.edu:8080/binbase-compound/bin/show/409045?db=rtx5","409045")</f>
        <v>409045</v>
      </c>
      <c r="E263" s="1" t="s">
        <v>566</v>
      </c>
      <c r="F263" s="1" t="s">
        <v>0</v>
      </c>
      <c r="G263" s="1" t="s">
        <v>0</v>
      </c>
      <c r="H263" s="1"/>
      <c r="I263" s="10">
        <v>1261</v>
      </c>
      <c r="J263" s="10">
        <v>4681</v>
      </c>
      <c r="K263" s="10">
        <v>4984</v>
      </c>
      <c r="L263" s="10">
        <v>1547</v>
      </c>
      <c r="M263" s="10">
        <v>4101</v>
      </c>
      <c r="N263" s="10">
        <v>1001</v>
      </c>
      <c r="O263" s="10">
        <v>2553</v>
      </c>
      <c r="P263" s="10">
        <v>6136</v>
      </c>
      <c r="Q263" s="10">
        <v>1588</v>
      </c>
      <c r="R263" s="10">
        <v>1822</v>
      </c>
      <c r="S263" s="10">
        <v>8306</v>
      </c>
      <c r="T263" s="10">
        <v>3413</v>
      </c>
      <c r="U263" s="10">
        <v>1387</v>
      </c>
      <c r="V263" s="10">
        <v>5119</v>
      </c>
      <c r="W263" s="10">
        <v>3544</v>
      </c>
      <c r="X263" s="10">
        <v>2345</v>
      </c>
      <c r="Y263" s="10">
        <v>1511</v>
      </c>
      <c r="Z263" s="10">
        <v>1848</v>
      </c>
      <c r="AA263" s="10">
        <v>6258</v>
      </c>
      <c r="AB263" s="10">
        <v>1604</v>
      </c>
      <c r="AC263" s="10">
        <v>6419</v>
      </c>
      <c r="AD263" s="10">
        <v>1760</v>
      </c>
      <c r="AE263" s="10">
        <v>1470</v>
      </c>
      <c r="AF263" s="10">
        <v>3723</v>
      </c>
      <c r="AG263" s="10">
        <v>5248</v>
      </c>
      <c r="AH263" s="10">
        <v>1609</v>
      </c>
      <c r="AI263" s="10">
        <v>1976</v>
      </c>
      <c r="AJ263" s="10">
        <v>3686</v>
      </c>
      <c r="AK263" s="10">
        <v>3210</v>
      </c>
      <c r="AL263" s="10">
        <v>5607</v>
      </c>
      <c r="AM263" s="10">
        <v>1831</v>
      </c>
      <c r="AN263" s="10">
        <v>3257</v>
      </c>
      <c r="AO263" s="10">
        <v>1399</v>
      </c>
      <c r="AP263" s="10">
        <v>1613</v>
      </c>
      <c r="AQ263" s="10">
        <v>3741</v>
      </c>
      <c r="AR263" s="10">
        <v>1933</v>
      </c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</row>
    <row r="264" spans="1:81">
      <c r="A264" s="4" t="s">
        <v>1025</v>
      </c>
      <c r="B264" s="1" t="s">
        <v>1026</v>
      </c>
      <c r="C264" s="1" t="s">
        <v>728</v>
      </c>
      <c r="D264" s="1" t="str">
        <f>HYPERLINK("http://eros.fiehnlab.ucdavis.edu:8080/binbase-compound/bin/show/224632?db=rtx5","224632")</f>
        <v>224632</v>
      </c>
      <c r="E264" s="1" t="s">
        <v>1027</v>
      </c>
      <c r="F264" s="1" t="s">
        <v>0</v>
      </c>
      <c r="G264" s="1" t="s">
        <v>0</v>
      </c>
      <c r="H264" s="1"/>
      <c r="I264" s="10">
        <v>364</v>
      </c>
      <c r="J264" s="10">
        <v>1019</v>
      </c>
      <c r="K264" s="10">
        <v>467</v>
      </c>
      <c r="L264" s="10">
        <v>192</v>
      </c>
      <c r="M264" s="10">
        <v>485</v>
      </c>
      <c r="N264" s="10">
        <v>372</v>
      </c>
      <c r="O264" s="10">
        <v>447</v>
      </c>
      <c r="P264" s="10">
        <v>836</v>
      </c>
      <c r="Q264" s="10">
        <v>318</v>
      </c>
      <c r="R264" s="10">
        <v>726</v>
      </c>
      <c r="S264" s="10">
        <v>1019</v>
      </c>
      <c r="T264" s="10">
        <v>783</v>
      </c>
      <c r="U264" s="10">
        <v>64</v>
      </c>
      <c r="V264" s="10">
        <v>274</v>
      </c>
      <c r="W264" s="10">
        <v>286</v>
      </c>
      <c r="X264" s="10">
        <v>286</v>
      </c>
      <c r="Y264" s="10">
        <v>289</v>
      </c>
      <c r="Z264" s="10">
        <v>336</v>
      </c>
      <c r="AA264" s="10">
        <v>892</v>
      </c>
      <c r="AB264" s="10">
        <v>323</v>
      </c>
      <c r="AC264" s="10">
        <v>699</v>
      </c>
      <c r="AD264" s="10">
        <v>261</v>
      </c>
      <c r="AE264" s="10">
        <v>261</v>
      </c>
      <c r="AF264" s="10">
        <v>686</v>
      </c>
      <c r="AG264" s="10">
        <v>664</v>
      </c>
      <c r="AH264" s="10">
        <v>455</v>
      </c>
      <c r="AI264" s="10">
        <v>274</v>
      </c>
      <c r="AJ264" s="10">
        <v>401</v>
      </c>
      <c r="AK264" s="10">
        <v>212</v>
      </c>
      <c r="AL264" s="10">
        <v>826</v>
      </c>
      <c r="AM264" s="10">
        <v>338</v>
      </c>
      <c r="AN264" s="10">
        <v>188</v>
      </c>
      <c r="AO264" s="10">
        <v>172</v>
      </c>
      <c r="AP264" s="10">
        <v>220</v>
      </c>
      <c r="AQ264" s="10">
        <v>363</v>
      </c>
      <c r="AR264" s="10">
        <v>210</v>
      </c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</row>
    <row r="265" spans="1:81">
      <c r="A265" s="4" t="s">
        <v>935</v>
      </c>
      <c r="B265" s="1" t="s">
        <v>936</v>
      </c>
      <c r="C265" s="1" t="s">
        <v>937</v>
      </c>
      <c r="D265" s="1" t="str">
        <f>HYPERLINK("http://eros.fiehnlab.ucdavis.edu:8080/binbase-compound/bin/show/237138?db=rtx5","237138")</f>
        <v>237138</v>
      </c>
      <c r="E265" s="1" t="s">
        <v>938</v>
      </c>
      <c r="F265" s="1" t="s">
        <v>0</v>
      </c>
      <c r="G265" s="1" t="s">
        <v>0</v>
      </c>
      <c r="H265" s="1"/>
      <c r="I265" s="10">
        <v>776</v>
      </c>
      <c r="J265" s="10">
        <v>1546</v>
      </c>
      <c r="K265" s="10">
        <v>2643</v>
      </c>
      <c r="L265" s="10">
        <v>638</v>
      </c>
      <c r="M265" s="10">
        <v>495</v>
      </c>
      <c r="N265" s="10">
        <v>556</v>
      </c>
      <c r="O265" s="10">
        <v>1647</v>
      </c>
      <c r="P265" s="10">
        <v>2646</v>
      </c>
      <c r="Q265" s="10">
        <v>865</v>
      </c>
      <c r="R265" s="10">
        <v>1302</v>
      </c>
      <c r="S265" s="10">
        <v>1883</v>
      </c>
      <c r="T265" s="10">
        <v>4190</v>
      </c>
      <c r="U265" s="10">
        <v>268</v>
      </c>
      <c r="V265" s="10">
        <v>850</v>
      </c>
      <c r="W265" s="10">
        <v>490</v>
      </c>
      <c r="X265" s="10">
        <v>800</v>
      </c>
      <c r="Y265" s="10">
        <v>375</v>
      </c>
      <c r="Z265" s="10">
        <v>576</v>
      </c>
      <c r="AA265" s="10">
        <v>1622</v>
      </c>
      <c r="AB265" s="10">
        <v>820</v>
      </c>
      <c r="AC265" s="10">
        <v>2162</v>
      </c>
      <c r="AD265" s="10">
        <v>583</v>
      </c>
      <c r="AE265" s="10">
        <v>685</v>
      </c>
      <c r="AF265" s="10">
        <v>2128</v>
      </c>
      <c r="AG265" s="10">
        <v>940</v>
      </c>
      <c r="AH265" s="10">
        <v>474</v>
      </c>
      <c r="AI265" s="10">
        <v>780</v>
      </c>
      <c r="AJ265" s="10">
        <v>969</v>
      </c>
      <c r="AK265" s="10">
        <v>592</v>
      </c>
      <c r="AL265" s="10">
        <v>2862</v>
      </c>
      <c r="AM265" s="10">
        <v>536</v>
      </c>
      <c r="AN265" s="10">
        <v>641</v>
      </c>
      <c r="AO265" s="10">
        <v>433</v>
      </c>
      <c r="AP265" s="10">
        <v>441</v>
      </c>
      <c r="AQ265" s="10">
        <v>838</v>
      </c>
      <c r="AR265" s="10">
        <v>483</v>
      </c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</row>
    <row r="266" spans="1:81">
      <c r="A266" s="4" t="s">
        <v>965</v>
      </c>
      <c r="B266" s="1" t="s">
        <v>966</v>
      </c>
      <c r="C266" s="1" t="s">
        <v>414</v>
      </c>
      <c r="D266" s="1" t="str">
        <f>HYPERLINK("http://eros.fiehnlab.ucdavis.edu:8080/binbase-compound/bin/show/234677?db=rtx5","234677")</f>
        <v>234677</v>
      </c>
      <c r="E266" s="1" t="s">
        <v>967</v>
      </c>
      <c r="F266" s="1" t="s">
        <v>0</v>
      </c>
      <c r="G266" s="1" t="s">
        <v>0</v>
      </c>
      <c r="H266" s="1"/>
      <c r="I266" s="10">
        <v>788</v>
      </c>
      <c r="J266" s="10">
        <v>3939</v>
      </c>
      <c r="K266" s="10">
        <v>4036</v>
      </c>
      <c r="L266" s="10">
        <v>483</v>
      </c>
      <c r="M266" s="10">
        <v>2530</v>
      </c>
      <c r="N266" s="10">
        <v>920</v>
      </c>
      <c r="O266" s="10">
        <v>1350</v>
      </c>
      <c r="P266" s="10">
        <v>4073</v>
      </c>
      <c r="Q266" s="10">
        <v>1510</v>
      </c>
      <c r="R266" s="10">
        <v>1521</v>
      </c>
      <c r="S266" s="10">
        <v>5194</v>
      </c>
      <c r="T266" s="10">
        <v>2085</v>
      </c>
      <c r="U266" s="10">
        <v>857</v>
      </c>
      <c r="V266" s="10">
        <v>2691</v>
      </c>
      <c r="W266" s="10">
        <v>1307</v>
      </c>
      <c r="X266" s="10">
        <v>773</v>
      </c>
      <c r="Y266" s="10">
        <v>940</v>
      </c>
      <c r="Z266" s="10">
        <v>976</v>
      </c>
      <c r="AA266" s="10">
        <v>5103</v>
      </c>
      <c r="AB266" s="10">
        <v>941</v>
      </c>
      <c r="AC266" s="10">
        <v>4056</v>
      </c>
      <c r="AD266" s="10">
        <v>1100</v>
      </c>
      <c r="AE266" s="10">
        <v>804</v>
      </c>
      <c r="AF266" s="10">
        <v>3233</v>
      </c>
      <c r="AG266" s="10">
        <v>3645</v>
      </c>
      <c r="AH266" s="10">
        <v>826</v>
      </c>
      <c r="AI266" s="10">
        <v>1969</v>
      </c>
      <c r="AJ266" s="10">
        <v>2752</v>
      </c>
      <c r="AK266" s="10">
        <v>1075</v>
      </c>
      <c r="AL266" s="10">
        <v>3643</v>
      </c>
      <c r="AM266" s="10">
        <v>1214</v>
      </c>
      <c r="AN266" s="10">
        <v>3103</v>
      </c>
      <c r="AO266" s="10">
        <v>1247</v>
      </c>
      <c r="AP266" s="10">
        <v>969</v>
      </c>
      <c r="AQ266" s="10">
        <v>1610</v>
      </c>
      <c r="AR266" s="10">
        <v>1098</v>
      </c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</row>
    <row r="267" spans="1:81">
      <c r="A267" s="4" t="s">
        <v>670</v>
      </c>
      <c r="B267" s="1" t="s">
        <v>671</v>
      </c>
      <c r="C267" s="1" t="s">
        <v>511</v>
      </c>
      <c r="D267" s="1" t="str">
        <f>HYPERLINK("http://eros.fiehnlab.ucdavis.edu:8080/binbase-compound/bin/show/367932?db=rtx5","367932")</f>
        <v>367932</v>
      </c>
      <c r="E267" s="1" t="s">
        <v>672</v>
      </c>
      <c r="F267" s="1" t="s">
        <v>0</v>
      </c>
      <c r="G267" s="1" t="s">
        <v>0</v>
      </c>
      <c r="H267" s="1"/>
      <c r="I267" s="10">
        <v>13685</v>
      </c>
      <c r="J267" s="10">
        <v>44706</v>
      </c>
      <c r="K267" s="10">
        <v>43256</v>
      </c>
      <c r="L267" s="10">
        <v>2479</v>
      </c>
      <c r="M267" s="10">
        <v>15161</v>
      </c>
      <c r="N267" s="10">
        <v>9953</v>
      </c>
      <c r="O267" s="10">
        <v>22285</v>
      </c>
      <c r="P267" s="10">
        <v>49945</v>
      </c>
      <c r="Q267" s="10">
        <v>14833</v>
      </c>
      <c r="R267" s="10">
        <v>17800</v>
      </c>
      <c r="S267" s="10">
        <v>46540</v>
      </c>
      <c r="T267" s="10">
        <v>47224</v>
      </c>
      <c r="U267" s="10">
        <v>8198</v>
      </c>
      <c r="V267" s="10">
        <v>24515</v>
      </c>
      <c r="W267" s="10">
        <v>15677</v>
      </c>
      <c r="X267" s="10">
        <v>12717</v>
      </c>
      <c r="Y267" s="10">
        <v>11432</v>
      </c>
      <c r="Z267" s="10">
        <v>12808</v>
      </c>
      <c r="AA267" s="10">
        <v>37151</v>
      </c>
      <c r="AB267" s="10">
        <v>10535</v>
      </c>
      <c r="AC267" s="10">
        <v>30426</v>
      </c>
      <c r="AD267" s="10">
        <v>14894</v>
      </c>
      <c r="AE267" s="10">
        <v>10478</v>
      </c>
      <c r="AF267" s="10">
        <v>24125</v>
      </c>
      <c r="AG267" s="10">
        <v>25975</v>
      </c>
      <c r="AH267" s="10">
        <v>8858</v>
      </c>
      <c r="AI267" s="10">
        <v>20787</v>
      </c>
      <c r="AJ267" s="10">
        <v>29039</v>
      </c>
      <c r="AK267" s="10">
        <v>13180</v>
      </c>
      <c r="AL267" s="10">
        <v>47275</v>
      </c>
      <c r="AM267" s="10">
        <v>15303</v>
      </c>
      <c r="AN267" s="10">
        <v>27413</v>
      </c>
      <c r="AO267" s="10">
        <v>11953</v>
      </c>
      <c r="AP267" s="10">
        <v>12023</v>
      </c>
      <c r="AQ267" s="10">
        <v>16276</v>
      </c>
      <c r="AR267" s="10">
        <v>11903</v>
      </c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</row>
    <row r="268" spans="1:81">
      <c r="A268" s="4" t="s">
        <v>896</v>
      </c>
      <c r="B268" s="1" t="s">
        <v>897</v>
      </c>
      <c r="C268" s="1" t="s">
        <v>193</v>
      </c>
      <c r="D268" s="1" t="str">
        <f>HYPERLINK("http://eros.fiehnlab.ucdavis.edu:8080/binbase-compound/bin/show/241041?db=rtx5","241041")</f>
        <v>241041</v>
      </c>
      <c r="E268" s="1" t="s">
        <v>898</v>
      </c>
      <c r="F268" s="1" t="s">
        <v>0</v>
      </c>
      <c r="G268" s="1" t="s">
        <v>0</v>
      </c>
      <c r="H268" s="1"/>
      <c r="I268" s="10">
        <v>1441</v>
      </c>
      <c r="J268" s="10">
        <v>1053</v>
      </c>
      <c r="K268" s="10">
        <v>650</v>
      </c>
      <c r="L268" s="10">
        <v>1565</v>
      </c>
      <c r="M268" s="10">
        <v>2045</v>
      </c>
      <c r="N268" s="10">
        <v>1490</v>
      </c>
      <c r="O268" s="10">
        <v>1071</v>
      </c>
      <c r="P268" s="10">
        <v>1388</v>
      </c>
      <c r="Q268" s="10">
        <v>2030</v>
      </c>
      <c r="R268" s="10">
        <v>1231</v>
      </c>
      <c r="S268" s="10">
        <v>1189</v>
      </c>
      <c r="T268" s="10">
        <v>999</v>
      </c>
      <c r="U268" s="10">
        <v>2330</v>
      </c>
      <c r="V268" s="10">
        <v>1615</v>
      </c>
      <c r="W268" s="10">
        <v>1595</v>
      </c>
      <c r="X268" s="10">
        <v>1416</v>
      </c>
      <c r="Y268" s="10">
        <v>1831</v>
      </c>
      <c r="Z268" s="10">
        <v>1316</v>
      </c>
      <c r="AA268" s="10">
        <v>1459</v>
      </c>
      <c r="AB268" s="10">
        <v>1925</v>
      </c>
      <c r="AC268" s="10">
        <v>814</v>
      </c>
      <c r="AD268" s="10">
        <v>1464</v>
      </c>
      <c r="AE268" s="10">
        <v>1400</v>
      </c>
      <c r="AF268" s="10">
        <v>602</v>
      </c>
      <c r="AG268" s="10">
        <v>656</v>
      </c>
      <c r="AH268" s="10">
        <v>2423</v>
      </c>
      <c r="AI268" s="10">
        <v>1326</v>
      </c>
      <c r="AJ268" s="10">
        <v>1677</v>
      </c>
      <c r="AK268" s="10">
        <v>1724</v>
      </c>
      <c r="AL268" s="10">
        <v>1358</v>
      </c>
      <c r="AM268" s="10">
        <v>2099</v>
      </c>
      <c r="AN268" s="10">
        <v>1611</v>
      </c>
      <c r="AO268" s="10">
        <v>2036</v>
      </c>
      <c r="AP268" s="10">
        <v>1854</v>
      </c>
      <c r="AQ268" s="10">
        <v>2309</v>
      </c>
      <c r="AR268" s="10">
        <v>1396</v>
      </c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</row>
    <row r="269" spans="1:81">
      <c r="A269" s="4" t="s">
        <v>705</v>
      </c>
      <c r="B269" s="1" t="s">
        <v>706</v>
      </c>
      <c r="C269" s="1" t="s">
        <v>91</v>
      </c>
      <c r="D269" s="1" t="str">
        <f>HYPERLINK("http://eros.fiehnlab.ucdavis.edu:8080/binbase-compound/bin/show/359486?db=rtx5","359486")</f>
        <v>359486</v>
      </c>
      <c r="E269" s="1" t="s">
        <v>707</v>
      </c>
      <c r="F269" s="1" t="s">
        <v>0</v>
      </c>
      <c r="G269" s="1" t="s">
        <v>0</v>
      </c>
      <c r="H269" s="1"/>
      <c r="I269" s="10">
        <v>3976</v>
      </c>
      <c r="J269" s="10">
        <v>1753</v>
      </c>
      <c r="K269" s="10">
        <v>1262</v>
      </c>
      <c r="L269" s="10">
        <v>3874</v>
      </c>
      <c r="M269" s="10">
        <v>3434</v>
      </c>
      <c r="N269" s="10">
        <v>4029</v>
      </c>
      <c r="O269" s="10">
        <v>2189</v>
      </c>
      <c r="P269" s="10">
        <v>2707</v>
      </c>
      <c r="Q269" s="10">
        <v>3780</v>
      </c>
      <c r="R269" s="10">
        <v>2956</v>
      </c>
      <c r="S269" s="10">
        <v>1727</v>
      </c>
      <c r="T269" s="10">
        <v>1185</v>
      </c>
      <c r="U269" s="10">
        <v>5947</v>
      </c>
      <c r="V269" s="10">
        <v>1786</v>
      </c>
      <c r="W269" s="10">
        <v>3521</v>
      </c>
      <c r="X269" s="10">
        <v>2725</v>
      </c>
      <c r="Y269" s="10">
        <v>3842</v>
      </c>
      <c r="Z269" s="10">
        <v>3434</v>
      </c>
      <c r="AA269" s="10">
        <v>1373</v>
      </c>
      <c r="AB269" s="10">
        <v>4650</v>
      </c>
      <c r="AC269" s="10">
        <v>896</v>
      </c>
      <c r="AD269" s="10">
        <v>3273</v>
      </c>
      <c r="AE269" s="10">
        <v>3278</v>
      </c>
      <c r="AF269" s="10">
        <v>1211</v>
      </c>
      <c r="AG269" s="10">
        <v>909</v>
      </c>
      <c r="AH269" s="10">
        <v>4751</v>
      </c>
      <c r="AI269" s="10">
        <v>2853</v>
      </c>
      <c r="AJ269" s="10">
        <v>1581</v>
      </c>
      <c r="AK269" s="10">
        <v>3240</v>
      </c>
      <c r="AL269" s="10">
        <v>1092</v>
      </c>
      <c r="AM269" s="10">
        <v>3904</v>
      </c>
      <c r="AN269" s="10">
        <v>2078</v>
      </c>
      <c r="AO269" s="10">
        <v>3937</v>
      </c>
      <c r="AP269" s="10">
        <v>4424</v>
      </c>
      <c r="AQ269" s="10">
        <v>1999</v>
      </c>
      <c r="AR269" s="10">
        <v>2940</v>
      </c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</row>
    <row r="270" spans="1:81">
      <c r="A270" s="4" t="s">
        <v>1029</v>
      </c>
      <c r="B270" s="1" t="s">
        <v>1030</v>
      </c>
      <c r="C270" s="1" t="s">
        <v>680</v>
      </c>
      <c r="D270" s="1" t="str">
        <f>HYPERLINK("http://eros.fiehnlab.ucdavis.edu:8080/binbase-compound/bin/show/223747?db=rtx5","223747")</f>
        <v>223747</v>
      </c>
      <c r="E270" s="1" t="s">
        <v>1031</v>
      </c>
      <c r="F270" s="1" t="s">
        <v>0</v>
      </c>
      <c r="G270" s="1" t="s">
        <v>0</v>
      </c>
      <c r="H270" s="1"/>
      <c r="I270" s="10">
        <v>670</v>
      </c>
      <c r="J270" s="10">
        <v>846</v>
      </c>
      <c r="K270" s="10">
        <v>1019</v>
      </c>
      <c r="L270" s="10">
        <v>1005</v>
      </c>
      <c r="M270" s="10">
        <v>606</v>
      </c>
      <c r="N270" s="10">
        <v>764</v>
      </c>
      <c r="O270" s="10">
        <v>1107</v>
      </c>
      <c r="P270" s="10">
        <v>1480</v>
      </c>
      <c r="Q270" s="10">
        <v>1020</v>
      </c>
      <c r="R270" s="10">
        <v>1264</v>
      </c>
      <c r="S270" s="10">
        <v>1100</v>
      </c>
      <c r="T270" s="10">
        <v>979</v>
      </c>
      <c r="U270" s="10">
        <v>740</v>
      </c>
      <c r="V270" s="10">
        <v>866</v>
      </c>
      <c r="W270" s="10">
        <v>1100</v>
      </c>
      <c r="X270" s="10">
        <v>1237</v>
      </c>
      <c r="Y270" s="10">
        <v>1002</v>
      </c>
      <c r="Z270" s="10">
        <v>1336</v>
      </c>
      <c r="AA270" s="10">
        <v>1164</v>
      </c>
      <c r="AB270" s="10">
        <v>724</v>
      </c>
      <c r="AC270" s="10">
        <v>780</v>
      </c>
      <c r="AD270" s="10">
        <v>1152</v>
      </c>
      <c r="AE270" s="10">
        <v>894</v>
      </c>
      <c r="AF270" s="10">
        <v>1079</v>
      </c>
      <c r="AG270" s="10">
        <v>1050</v>
      </c>
      <c r="AH270" s="10">
        <v>819</v>
      </c>
      <c r="AI270" s="10">
        <v>1573</v>
      </c>
      <c r="AJ270" s="10">
        <v>1235</v>
      </c>
      <c r="AK270" s="10">
        <v>786</v>
      </c>
      <c r="AL270" s="10">
        <v>1475</v>
      </c>
      <c r="AM270" s="10">
        <v>1099</v>
      </c>
      <c r="AN270" s="10">
        <v>3841</v>
      </c>
      <c r="AO270" s="10">
        <v>742</v>
      </c>
      <c r="AP270" s="10">
        <v>1080</v>
      </c>
      <c r="AQ270" s="10">
        <v>887</v>
      </c>
      <c r="AR270" s="10">
        <v>854</v>
      </c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</row>
    <row r="271" spans="1:81">
      <c r="A271" s="4" t="s">
        <v>1089</v>
      </c>
      <c r="B271" s="1" t="s">
        <v>1090</v>
      </c>
      <c r="C271" s="1" t="s">
        <v>1091</v>
      </c>
      <c r="D271" s="1" t="str">
        <f>HYPERLINK("http://eros.fiehnlab.ucdavis.edu:8080/binbase-compound/bin/show/214011?db=rtx5","214011")</f>
        <v>214011</v>
      </c>
      <c r="E271" s="1" t="s">
        <v>1092</v>
      </c>
      <c r="F271" s="1" t="s">
        <v>0</v>
      </c>
      <c r="G271" s="1" t="s">
        <v>0</v>
      </c>
      <c r="H271" s="1"/>
      <c r="I271" s="10">
        <v>869</v>
      </c>
      <c r="J271" s="10">
        <v>1684</v>
      </c>
      <c r="K271" s="10">
        <v>1817</v>
      </c>
      <c r="L271" s="10">
        <v>301</v>
      </c>
      <c r="M271" s="10">
        <v>873</v>
      </c>
      <c r="N271" s="10">
        <v>566</v>
      </c>
      <c r="O271" s="10">
        <v>859</v>
      </c>
      <c r="P271" s="10">
        <v>1837</v>
      </c>
      <c r="Q271" s="10">
        <v>697</v>
      </c>
      <c r="R271" s="10">
        <v>957</v>
      </c>
      <c r="S271" s="10">
        <v>2669</v>
      </c>
      <c r="T271" s="10">
        <v>1846</v>
      </c>
      <c r="U271" s="10">
        <v>364</v>
      </c>
      <c r="V271" s="10">
        <v>835</v>
      </c>
      <c r="W271" s="10">
        <v>483</v>
      </c>
      <c r="X271" s="10">
        <v>569</v>
      </c>
      <c r="Y271" s="10">
        <v>596</v>
      </c>
      <c r="Z271" s="10">
        <v>505</v>
      </c>
      <c r="AA271" s="10">
        <v>1877</v>
      </c>
      <c r="AB271" s="10">
        <v>254</v>
      </c>
      <c r="AC271" s="10">
        <v>1921</v>
      </c>
      <c r="AD271" s="10">
        <v>749</v>
      </c>
      <c r="AE271" s="10">
        <v>531</v>
      </c>
      <c r="AF271" s="10">
        <v>1913</v>
      </c>
      <c r="AG271" s="10">
        <v>944</v>
      </c>
      <c r="AH271" s="10">
        <v>688</v>
      </c>
      <c r="AI271" s="10">
        <v>1478</v>
      </c>
      <c r="AJ271" s="10">
        <v>1030</v>
      </c>
      <c r="AK271" s="10">
        <v>497</v>
      </c>
      <c r="AL271" s="10">
        <v>1784</v>
      </c>
      <c r="AM271" s="10">
        <v>488</v>
      </c>
      <c r="AN271" s="10">
        <v>1002</v>
      </c>
      <c r="AO271" s="10">
        <v>502</v>
      </c>
      <c r="AP271" s="10">
        <v>645</v>
      </c>
      <c r="AQ271" s="10">
        <v>728</v>
      </c>
      <c r="AR271" s="10">
        <v>418</v>
      </c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</row>
    <row r="272" spans="1:81">
      <c r="A272" s="4" t="s">
        <v>1065</v>
      </c>
      <c r="B272" s="1" t="s">
        <v>1066</v>
      </c>
      <c r="C272" s="1" t="s">
        <v>128</v>
      </c>
      <c r="D272" s="1" t="str">
        <f>HYPERLINK("http://eros.fiehnlab.ucdavis.edu:8080/binbase-compound/bin/show/218694?db=rtx5","218694")</f>
        <v>218694</v>
      </c>
      <c r="E272" s="1" t="s">
        <v>1067</v>
      </c>
      <c r="F272" s="1" t="s">
        <v>0</v>
      </c>
      <c r="G272" s="1" t="s">
        <v>0</v>
      </c>
      <c r="H272" s="1"/>
      <c r="I272" s="10">
        <v>1792</v>
      </c>
      <c r="J272" s="10">
        <v>2562</v>
      </c>
      <c r="K272" s="10">
        <v>2201</v>
      </c>
      <c r="L272" s="10">
        <v>1941</v>
      </c>
      <c r="M272" s="10">
        <v>1714</v>
      </c>
      <c r="N272" s="10">
        <v>1832</v>
      </c>
      <c r="O272" s="10">
        <v>5476</v>
      </c>
      <c r="P272" s="10">
        <v>6719</v>
      </c>
      <c r="Q272" s="10">
        <v>2268</v>
      </c>
      <c r="R272" s="10">
        <v>1791</v>
      </c>
      <c r="S272" s="10">
        <v>7630</v>
      </c>
      <c r="T272" s="10">
        <v>3652</v>
      </c>
      <c r="U272" s="10">
        <v>2388</v>
      </c>
      <c r="V272" s="10">
        <v>3236</v>
      </c>
      <c r="W272" s="10">
        <v>1845</v>
      </c>
      <c r="X272" s="10">
        <v>1725</v>
      </c>
      <c r="Y272" s="10">
        <v>2056</v>
      </c>
      <c r="Z272" s="10">
        <v>1718</v>
      </c>
      <c r="AA272" s="10">
        <v>4644</v>
      </c>
      <c r="AB272" s="10">
        <v>2219</v>
      </c>
      <c r="AC272" s="10">
        <v>3275</v>
      </c>
      <c r="AD272" s="10">
        <v>2381</v>
      </c>
      <c r="AE272" s="10">
        <v>1625</v>
      </c>
      <c r="AF272" s="10">
        <v>2272</v>
      </c>
      <c r="AG272" s="10">
        <v>1267</v>
      </c>
      <c r="AH272" s="10">
        <v>2173</v>
      </c>
      <c r="AI272" s="10">
        <v>1508</v>
      </c>
      <c r="AJ272" s="10">
        <v>1817</v>
      </c>
      <c r="AK272" s="10">
        <v>1884</v>
      </c>
      <c r="AL272" s="10">
        <v>3518</v>
      </c>
      <c r="AM272" s="10">
        <v>1910</v>
      </c>
      <c r="AN272" s="10">
        <v>2051</v>
      </c>
      <c r="AO272" s="10">
        <v>1842</v>
      </c>
      <c r="AP272" s="10">
        <v>2495</v>
      </c>
      <c r="AQ272" s="10">
        <v>1370</v>
      </c>
      <c r="AR272" s="10">
        <v>2388</v>
      </c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</row>
    <row r="273" spans="1:81">
      <c r="A273" s="4" t="s">
        <v>673</v>
      </c>
      <c r="B273" s="1" t="s">
        <v>674</v>
      </c>
      <c r="C273" s="1" t="s">
        <v>283</v>
      </c>
      <c r="D273" s="1" t="str">
        <f>HYPERLINK("http://eros.fiehnlab.ucdavis.edu:8080/binbase-compound/bin/show/367905?db=rtx5","367905")</f>
        <v>367905</v>
      </c>
      <c r="E273" s="1" t="s">
        <v>675</v>
      </c>
      <c r="F273" s="1" t="s">
        <v>0</v>
      </c>
      <c r="G273" s="1" t="s">
        <v>0</v>
      </c>
      <c r="H273" s="1"/>
      <c r="I273" s="10">
        <v>105373</v>
      </c>
      <c r="J273" s="10">
        <v>33749</v>
      </c>
      <c r="K273" s="10">
        <v>31843</v>
      </c>
      <c r="L273" s="10">
        <v>131033</v>
      </c>
      <c r="M273" s="10">
        <v>94246</v>
      </c>
      <c r="N273" s="10">
        <v>112267</v>
      </c>
      <c r="O273" s="10">
        <v>77481</v>
      </c>
      <c r="P273" s="10">
        <v>41163</v>
      </c>
      <c r="Q273" s="10">
        <v>111728</v>
      </c>
      <c r="R273" s="10">
        <v>82548</v>
      </c>
      <c r="S273" s="10">
        <v>44102</v>
      </c>
      <c r="T273" s="10">
        <v>34496</v>
      </c>
      <c r="U273" s="10">
        <v>132219</v>
      </c>
      <c r="V273" s="10">
        <v>93778</v>
      </c>
      <c r="W273" s="10">
        <v>108013</v>
      </c>
      <c r="X273" s="10">
        <v>128880</v>
      </c>
      <c r="Y273" s="10">
        <v>129662</v>
      </c>
      <c r="Z273" s="10">
        <v>87756</v>
      </c>
      <c r="AA273" s="10">
        <v>78252</v>
      </c>
      <c r="AB273" s="10">
        <v>99627</v>
      </c>
      <c r="AC273" s="10">
        <v>46559</v>
      </c>
      <c r="AD273" s="10">
        <v>88760</v>
      </c>
      <c r="AE273" s="10">
        <v>115296</v>
      </c>
      <c r="AF273" s="10">
        <v>52076</v>
      </c>
      <c r="AG273" s="10">
        <v>72223</v>
      </c>
      <c r="AH273" s="10">
        <v>126991</v>
      </c>
      <c r="AI273" s="10">
        <v>82918</v>
      </c>
      <c r="AJ273" s="10">
        <v>81334</v>
      </c>
      <c r="AK273" s="10">
        <v>99230</v>
      </c>
      <c r="AL273" s="10">
        <v>60260</v>
      </c>
      <c r="AM273" s="10">
        <v>120271</v>
      </c>
      <c r="AN273" s="10">
        <v>77840</v>
      </c>
      <c r="AO273" s="10">
        <v>96955</v>
      </c>
      <c r="AP273" s="10">
        <v>130554</v>
      </c>
      <c r="AQ273" s="10">
        <v>102136</v>
      </c>
      <c r="AR273" s="10">
        <v>95329</v>
      </c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</row>
    <row r="274" spans="1:81">
      <c r="A274" s="4" t="s">
        <v>1038</v>
      </c>
      <c r="B274" s="1" t="s">
        <v>1039</v>
      </c>
      <c r="C274" s="1" t="s">
        <v>931</v>
      </c>
      <c r="D274" s="1" t="str">
        <f>HYPERLINK("http://eros.fiehnlab.ucdavis.edu:8080/binbase-compound/bin/show/223531?db=rtx5","223531")</f>
        <v>223531</v>
      </c>
      <c r="E274" s="1" t="s">
        <v>1040</v>
      </c>
      <c r="F274" s="1" t="s">
        <v>0</v>
      </c>
      <c r="G274" s="1" t="s">
        <v>0</v>
      </c>
      <c r="H274" s="1"/>
      <c r="I274" s="10">
        <v>316</v>
      </c>
      <c r="J274" s="10">
        <v>2137</v>
      </c>
      <c r="K274" s="10">
        <v>2116</v>
      </c>
      <c r="L274" s="10">
        <v>237</v>
      </c>
      <c r="M274" s="10">
        <v>743</v>
      </c>
      <c r="N274" s="10">
        <v>287</v>
      </c>
      <c r="O274" s="10">
        <v>454</v>
      </c>
      <c r="P274" s="10">
        <v>2232</v>
      </c>
      <c r="Q274" s="10">
        <v>391</v>
      </c>
      <c r="R274" s="10">
        <v>602</v>
      </c>
      <c r="S274" s="10">
        <v>2721</v>
      </c>
      <c r="T274" s="10">
        <v>2616</v>
      </c>
      <c r="U274" s="10">
        <v>225</v>
      </c>
      <c r="V274" s="10">
        <v>531</v>
      </c>
      <c r="W274" s="10">
        <v>361</v>
      </c>
      <c r="X274" s="10">
        <v>342</v>
      </c>
      <c r="Y274" s="10">
        <v>564</v>
      </c>
      <c r="Z274" s="10">
        <v>348</v>
      </c>
      <c r="AA274" s="10">
        <v>1771</v>
      </c>
      <c r="AB274" s="10">
        <v>475</v>
      </c>
      <c r="AC274" s="10">
        <v>1787</v>
      </c>
      <c r="AD274" s="10">
        <v>463</v>
      </c>
      <c r="AE274" s="10">
        <v>249</v>
      </c>
      <c r="AF274" s="10">
        <v>994</v>
      </c>
      <c r="AG274" s="10">
        <v>1183</v>
      </c>
      <c r="AH274" s="10">
        <v>264</v>
      </c>
      <c r="AI274" s="10">
        <v>743</v>
      </c>
      <c r="AJ274" s="10">
        <v>698</v>
      </c>
      <c r="AK274" s="10">
        <v>358</v>
      </c>
      <c r="AL274" s="10">
        <v>2731</v>
      </c>
      <c r="AM274" s="10">
        <v>601</v>
      </c>
      <c r="AN274" s="10">
        <v>990</v>
      </c>
      <c r="AO274" s="10">
        <v>600</v>
      </c>
      <c r="AP274" s="10">
        <v>508</v>
      </c>
      <c r="AQ274" s="10">
        <v>654</v>
      </c>
      <c r="AR274" s="10">
        <v>463</v>
      </c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</row>
    <row r="275" spans="1:81">
      <c r="A275" s="4" t="s">
        <v>693</v>
      </c>
      <c r="B275" s="1" t="s">
        <v>694</v>
      </c>
      <c r="C275" s="1" t="s">
        <v>165</v>
      </c>
      <c r="D275" s="1" t="str">
        <f>HYPERLINK("http://eros.fiehnlab.ucdavis.edu:8080/binbase-compound/bin/show/359697?db=rtx5","359697")</f>
        <v>359697</v>
      </c>
      <c r="E275" s="1" t="s">
        <v>695</v>
      </c>
      <c r="F275" s="1" t="s">
        <v>0</v>
      </c>
      <c r="G275" s="1" t="s">
        <v>0</v>
      </c>
      <c r="H275" s="1"/>
      <c r="I275" s="10">
        <v>30075</v>
      </c>
      <c r="J275" s="10">
        <v>11857</v>
      </c>
      <c r="K275" s="10">
        <v>8073</v>
      </c>
      <c r="L275" s="10">
        <v>34698</v>
      </c>
      <c r="M275" s="10">
        <v>26486</v>
      </c>
      <c r="N275" s="10">
        <v>34288</v>
      </c>
      <c r="O275" s="10">
        <v>27354</v>
      </c>
      <c r="P275" s="10">
        <v>17878</v>
      </c>
      <c r="Q275" s="10">
        <v>28946</v>
      </c>
      <c r="R275" s="10">
        <v>22017</v>
      </c>
      <c r="S275" s="10">
        <v>15965</v>
      </c>
      <c r="T275" s="10">
        <v>9216</v>
      </c>
      <c r="U275" s="10">
        <v>40983</v>
      </c>
      <c r="V275" s="10">
        <v>16915</v>
      </c>
      <c r="W275" s="10">
        <v>24591</v>
      </c>
      <c r="X275" s="10">
        <v>30568</v>
      </c>
      <c r="Y275" s="10">
        <v>31451</v>
      </c>
      <c r="Z275" s="10">
        <v>25895</v>
      </c>
      <c r="AA275" s="10">
        <v>19014</v>
      </c>
      <c r="AB275" s="10">
        <v>40807</v>
      </c>
      <c r="AC275" s="10">
        <v>9107</v>
      </c>
      <c r="AD275" s="10">
        <v>24258</v>
      </c>
      <c r="AE275" s="10">
        <v>31050</v>
      </c>
      <c r="AF275" s="10">
        <v>15440</v>
      </c>
      <c r="AG275" s="10">
        <v>15062</v>
      </c>
      <c r="AH275" s="10">
        <v>35437</v>
      </c>
      <c r="AI275" s="10">
        <v>22242</v>
      </c>
      <c r="AJ275" s="10">
        <v>17350</v>
      </c>
      <c r="AK275" s="10">
        <v>25566</v>
      </c>
      <c r="AL275" s="10">
        <v>15269</v>
      </c>
      <c r="AM275" s="10">
        <v>27060</v>
      </c>
      <c r="AN275" s="10">
        <v>20158</v>
      </c>
      <c r="AO275" s="10">
        <v>28770</v>
      </c>
      <c r="AP275" s="10">
        <v>31847</v>
      </c>
      <c r="AQ275" s="10">
        <v>22990</v>
      </c>
      <c r="AR275" s="10">
        <v>26550</v>
      </c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</row>
    <row r="276" spans="1:81">
      <c r="A276" s="4" t="s">
        <v>661</v>
      </c>
      <c r="B276" s="1" t="s">
        <v>662</v>
      </c>
      <c r="C276" s="1" t="s">
        <v>159</v>
      </c>
      <c r="D276" s="1" t="str">
        <f>HYPERLINK("http://eros.fiehnlab.ucdavis.edu:8080/binbase-compound/bin/show/374786?db=rtx5","374786")</f>
        <v>374786</v>
      </c>
      <c r="E276" s="1" t="s">
        <v>663</v>
      </c>
      <c r="F276" s="1" t="s">
        <v>0</v>
      </c>
      <c r="G276" s="1" t="s">
        <v>0</v>
      </c>
      <c r="H276" s="1"/>
      <c r="I276" s="10">
        <v>660</v>
      </c>
      <c r="J276" s="10">
        <v>1046</v>
      </c>
      <c r="K276" s="10">
        <v>2395</v>
      </c>
      <c r="L276" s="10">
        <v>1278</v>
      </c>
      <c r="M276" s="10">
        <v>690</v>
      </c>
      <c r="N276" s="10">
        <v>952</v>
      </c>
      <c r="O276" s="10">
        <v>2013</v>
      </c>
      <c r="P276" s="10">
        <v>4828</v>
      </c>
      <c r="Q276" s="10">
        <v>550</v>
      </c>
      <c r="R276" s="10">
        <v>1329</v>
      </c>
      <c r="S276" s="10">
        <v>4388</v>
      </c>
      <c r="T276" s="10">
        <v>2593</v>
      </c>
      <c r="U276" s="10">
        <v>552</v>
      </c>
      <c r="V276" s="10">
        <v>1821</v>
      </c>
      <c r="W276" s="10">
        <v>1040</v>
      </c>
      <c r="X276" s="10">
        <v>1493</v>
      </c>
      <c r="Y276" s="10">
        <v>513</v>
      </c>
      <c r="Z276" s="10">
        <v>809</v>
      </c>
      <c r="AA276" s="10">
        <v>2322</v>
      </c>
      <c r="AB276" s="10">
        <v>736</v>
      </c>
      <c r="AC276" s="10">
        <v>3275</v>
      </c>
      <c r="AD276" s="10">
        <v>802</v>
      </c>
      <c r="AE276" s="10">
        <v>1101</v>
      </c>
      <c r="AF276" s="10">
        <v>3799</v>
      </c>
      <c r="AG276" s="10">
        <v>1035</v>
      </c>
      <c r="AH276" s="10">
        <v>1012</v>
      </c>
      <c r="AI276" s="10">
        <v>1361</v>
      </c>
      <c r="AJ276" s="10">
        <v>920</v>
      </c>
      <c r="AK276" s="10">
        <v>1033</v>
      </c>
      <c r="AL276" s="10">
        <v>3657</v>
      </c>
      <c r="AM276" s="10">
        <v>498</v>
      </c>
      <c r="AN276" s="10">
        <v>1256</v>
      </c>
      <c r="AO276" s="10">
        <v>698</v>
      </c>
      <c r="AP276" s="10">
        <v>573</v>
      </c>
      <c r="AQ276" s="10">
        <v>2069</v>
      </c>
      <c r="AR276" s="10">
        <v>733</v>
      </c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</row>
    <row r="277" spans="1:81">
      <c r="A277" s="4" t="s">
        <v>802</v>
      </c>
      <c r="B277" s="1" t="s">
        <v>803</v>
      </c>
      <c r="C277" s="1" t="s">
        <v>115</v>
      </c>
      <c r="D277" s="1" t="str">
        <f>HYPERLINK("http://eros.fiehnlab.ucdavis.edu:8080/binbase-compound/bin/show/274189?db=rtx5","274189")</f>
        <v>274189</v>
      </c>
      <c r="E277" s="1" t="s">
        <v>804</v>
      </c>
      <c r="F277" s="1" t="s">
        <v>0</v>
      </c>
      <c r="G277" s="1" t="s">
        <v>0</v>
      </c>
      <c r="H277" s="1"/>
      <c r="I277" s="10">
        <v>632</v>
      </c>
      <c r="J277" s="10">
        <v>1039</v>
      </c>
      <c r="K277" s="10">
        <v>1293</v>
      </c>
      <c r="L277" s="10">
        <v>837</v>
      </c>
      <c r="M277" s="10">
        <v>2016</v>
      </c>
      <c r="N277" s="10">
        <v>728</v>
      </c>
      <c r="O277" s="10">
        <v>1073</v>
      </c>
      <c r="P277" s="10">
        <v>1902</v>
      </c>
      <c r="Q277" s="10">
        <v>1142</v>
      </c>
      <c r="R277" s="10">
        <v>1617</v>
      </c>
      <c r="S277" s="10">
        <v>1569</v>
      </c>
      <c r="T277" s="10">
        <v>1252</v>
      </c>
      <c r="U277" s="10">
        <v>831</v>
      </c>
      <c r="V277" s="10">
        <v>6841</v>
      </c>
      <c r="W277" s="10">
        <v>1306</v>
      </c>
      <c r="X277" s="10">
        <v>1049</v>
      </c>
      <c r="Y277" s="10">
        <v>715</v>
      </c>
      <c r="Z277" s="10">
        <v>1254</v>
      </c>
      <c r="AA277" s="10">
        <v>960</v>
      </c>
      <c r="AB277" s="10">
        <v>698</v>
      </c>
      <c r="AC277" s="10">
        <v>2132</v>
      </c>
      <c r="AD277" s="10">
        <v>1309</v>
      </c>
      <c r="AE277" s="10">
        <v>1164</v>
      </c>
      <c r="AF277" s="10">
        <v>1021</v>
      </c>
      <c r="AG277" s="10">
        <v>3134</v>
      </c>
      <c r="AH277" s="10">
        <v>1149</v>
      </c>
      <c r="AI277" s="10">
        <v>1410</v>
      </c>
      <c r="AJ277" s="10">
        <v>2167</v>
      </c>
      <c r="AK277" s="10">
        <v>2262</v>
      </c>
      <c r="AL277" s="10">
        <v>2259</v>
      </c>
      <c r="AM277" s="10">
        <v>1277</v>
      </c>
      <c r="AN277" s="10">
        <v>846</v>
      </c>
      <c r="AO277" s="10">
        <v>1882</v>
      </c>
      <c r="AP277" s="10">
        <v>1066</v>
      </c>
      <c r="AQ277" s="10">
        <v>1514</v>
      </c>
      <c r="AR277" s="10">
        <v>678</v>
      </c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</row>
    <row r="278" spans="1:81">
      <c r="A278" s="4" t="s">
        <v>567</v>
      </c>
      <c r="B278" s="1" t="s">
        <v>568</v>
      </c>
      <c r="C278" s="1" t="s">
        <v>519</v>
      </c>
      <c r="D278" s="1" t="str">
        <f>HYPERLINK("http://eros.fiehnlab.ucdavis.edu:8080/binbase-compound/bin/show/409031?db=rtx5","409031")</f>
        <v>409031</v>
      </c>
      <c r="E278" s="1" t="s">
        <v>569</v>
      </c>
      <c r="F278" s="1" t="s">
        <v>0</v>
      </c>
      <c r="G278" s="1" t="s">
        <v>0</v>
      </c>
      <c r="H278" s="1"/>
      <c r="I278" s="10">
        <v>6477</v>
      </c>
      <c r="J278" s="10">
        <v>24295</v>
      </c>
      <c r="K278" s="10">
        <v>25262</v>
      </c>
      <c r="L278" s="10">
        <v>5251</v>
      </c>
      <c r="M278" s="10">
        <v>9048</v>
      </c>
      <c r="N278" s="10">
        <v>5627</v>
      </c>
      <c r="O278" s="10">
        <v>11378</v>
      </c>
      <c r="P278" s="10">
        <v>30100</v>
      </c>
      <c r="Q278" s="10">
        <v>7418</v>
      </c>
      <c r="R278" s="10">
        <v>9143</v>
      </c>
      <c r="S278" s="10">
        <v>25368</v>
      </c>
      <c r="T278" s="10">
        <v>25878</v>
      </c>
      <c r="U278" s="10">
        <v>4308</v>
      </c>
      <c r="V278" s="10">
        <v>12926</v>
      </c>
      <c r="W278" s="10">
        <v>8242</v>
      </c>
      <c r="X278" s="10">
        <v>6688</v>
      </c>
      <c r="Y278" s="10">
        <v>6833</v>
      </c>
      <c r="Z278" s="10">
        <v>7248</v>
      </c>
      <c r="AA278" s="10">
        <v>20934</v>
      </c>
      <c r="AB278" s="10">
        <v>5580</v>
      </c>
      <c r="AC278" s="10">
        <v>16748</v>
      </c>
      <c r="AD278" s="10">
        <v>8138</v>
      </c>
      <c r="AE278" s="10">
        <v>6078</v>
      </c>
      <c r="AF278" s="10">
        <v>12383</v>
      </c>
      <c r="AG278" s="10">
        <v>14903</v>
      </c>
      <c r="AH278" s="10">
        <v>5212</v>
      </c>
      <c r="AI278" s="10">
        <v>11669</v>
      </c>
      <c r="AJ278" s="10">
        <v>18024</v>
      </c>
      <c r="AK278" s="10">
        <v>8365</v>
      </c>
      <c r="AL278" s="10">
        <v>31705</v>
      </c>
      <c r="AM278" s="10">
        <v>9081</v>
      </c>
      <c r="AN278" s="10">
        <v>16626</v>
      </c>
      <c r="AO278" s="10">
        <v>6863</v>
      </c>
      <c r="AP278" s="10">
        <v>6404</v>
      </c>
      <c r="AQ278" s="10">
        <v>10251</v>
      </c>
      <c r="AR278" s="10">
        <v>5951</v>
      </c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</row>
    <row r="279" spans="1:81">
      <c r="A279" s="4" t="s">
        <v>748</v>
      </c>
      <c r="B279" s="1" t="s">
        <v>749</v>
      </c>
      <c r="C279" s="1" t="s">
        <v>115</v>
      </c>
      <c r="D279" s="1" t="str">
        <f>HYPERLINK("http://eros.fiehnlab.ucdavis.edu:8080/binbase-compound/bin/show/309703?db=rtx5","309703")</f>
        <v>309703</v>
      </c>
      <c r="E279" s="1" t="s">
        <v>750</v>
      </c>
      <c r="F279" s="1" t="s">
        <v>0</v>
      </c>
      <c r="G279" s="1" t="s">
        <v>0</v>
      </c>
      <c r="H279" s="1"/>
      <c r="I279" s="10">
        <v>1586</v>
      </c>
      <c r="J279" s="10">
        <v>3867</v>
      </c>
      <c r="K279" s="10">
        <v>4927</v>
      </c>
      <c r="L279" s="10">
        <v>822</v>
      </c>
      <c r="M279" s="10">
        <v>969</v>
      </c>
      <c r="N279" s="10">
        <v>1225</v>
      </c>
      <c r="O279" s="10">
        <v>2460</v>
      </c>
      <c r="P279" s="10">
        <v>4491</v>
      </c>
      <c r="Q279" s="10">
        <v>1861</v>
      </c>
      <c r="R279" s="10">
        <v>3341</v>
      </c>
      <c r="S279" s="10">
        <v>3127</v>
      </c>
      <c r="T279" s="10">
        <v>4502</v>
      </c>
      <c r="U279" s="10">
        <v>1044</v>
      </c>
      <c r="V279" s="10">
        <v>1948</v>
      </c>
      <c r="W279" s="10">
        <v>1275</v>
      </c>
      <c r="X279" s="10">
        <v>1575</v>
      </c>
      <c r="Y279" s="10">
        <v>1304</v>
      </c>
      <c r="Z279" s="10">
        <v>785</v>
      </c>
      <c r="AA279" s="10">
        <v>6508</v>
      </c>
      <c r="AB279" s="10">
        <v>840</v>
      </c>
      <c r="AC279" s="10">
        <v>3451</v>
      </c>
      <c r="AD279" s="10">
        <v>1648</v>
      </c>
      <c r="AE279" s="10">
        <v>2282</v>
      </c>
      <c r="AF279" s="10">
        <v>2561</v>
      </c>
      <c r="AG279" s="10">
        <v>3142</v>
      </c>
      <c r="AH279" s="10">
        <v>1227</v>
      </c>
      <c r="AI279" s="10">
        <v>2153</v>
      </c>
      <c r="AJ279" s="10">
        <v>2049</v>
      </c>
      <c r="AK279" s="10">
        <v>1079</v>
      </c>
      <c r="AL279" s="10">
        <v>2508</v>
      </c>
      <c r="AM279" s="10">
        <v>1009</v>
      </c>
      <c r="AN279" s="10">
        <v>1827</v>
      </c>
      <c r="AO279" s="10">
        <v>755</v>
      </c>
      <c r="AP279" s="10">
        <v>1438</v>
      </c>
      <c r="AQ279" s="10">
        <v>2904</v>
      </c>
      <c r="AR279" s="10">
        <v>1320</v>
      </c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</row>
    <row r="280" spans="1:81">
      <c r="A280" s="4" t="s">
        <v>588</v>
      </c>
      <c r="B280" s="1" t="s">
        <v>589</v>
      </c>
      <c r="C280" s="1" t="s">
        <v>115</v>
      </c>
      <c r="D280" s="1" t="str">
        <f>HYPERLINK("http://eros.fiehnlab.ucdavis.edu:8080/binbase-compound/bin/show/408852?db=rtx5","408852")</f>
        <v>408852</v>
      </c>
      <c r="E280" s="1" t="s">
        <v>590</v>
      </c>
      <c r="F280" s="1" t="s">
        <v>0</v>
      </c>
      <c r="G280" s="1" t="s">
        <v>0</v>
      </c>
      <c r="H280" s="1"/>
      <c r="I280" s="10">
        <v>3298</v>
      </c>
      <c r="J280" s="10">
        <v>4501</v>
      </c>
      <c r="K280" s="10">
        <v>6646</v>
      </c>
      <c r="L280" s="10">
        <v>3455</v>
      </c>
      <c r="M280" s="10">
        <v>1575</v>
      </c>
      <c r="N280" s="10">
        <v>1353</v>
      </c>
      <c r="O280" s="10">
        <v>4949</v>
      </c>
      <c r="P280" s="10">
        <v>2872</v>
      </c>
      <c r="Q280" s="10">
        <v>4061</v>
      </c>
      <c r="R280" s="10">
        <v>6158</v>
      </c>
      <c r="S280" s="10">
        <v>4155</v>
      </c>
      <c r="T280" s="10">
        <v>11666</v>
      </c>
      <c r="U280" s="10">
        <v>1647</v>
      </c>
      <c r="V280" s="10">
        <v>7003</v>
      </c>
      <c r="W280" s="10">
        <v>3449</v>
      </c>
      <c r="X280" s="10">
        <v>3986</v>
      </c>
      <c r="Y280" s="10">
        <v>1642</v>
      </c>
      <c r="Z280" s="10">
        <v>3644</v>
      </c>
      <c r="AA280" s="10">
        <v>4723</v>
      </c>
      <c r="AB280" s="10">
        <v>2623</v>
      </c>
      <c r="AC280" s="10">
        <v>8451</v>
      </c>
      <c r="AD280" s="10">
        <v>3954</v>
      </c>
      <c r="AE280" s="10">
        <v>2800</v>
      </c>
      <c r="AF280" s="10">
        <v>5132</v>
      </c>
      <c r="AG280" s="10">
        <v>5464</v>
      </c>
      <c r="AH280" s="10">
        <v>2246</v>
      </c>
      <c r="AI280" s="10">
        <v>5091</v>
      </c>
      <c r="AJ280" s="10">
        <v>5824</v>
      </c>
      <c r="AK280" s="10">
        <v>4109</v>
      </c>
      <c r="AL280" s="10">
        <v>2313</v>
      </c>
      <c r="AM280" s="10">
        <v>4208</v>
      </c>
      <c r="AN280" s="10">
        <v>7641</v>
      </c>
      <c r="AO280" s="10">
        <v>3391</v>
      </c>
      <c r="AP280" s="10">
        <v>2515</v>
      </c>
      <c r="AQ280" s="10">
        <v>2812</v>
      </c>
      <c r="AR280" s="10">
        <v>2791</v>
      </c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</row>
    <row r="281" spans="1:81">
      <c r="A281" s="4" t="s">
        <v>155</v>
      </c>
      <c r="B281" s="1" t="s">
        <v>733</v>
      </c>
      <c r="C281" s="1" t="s">
        <v>165</v>
      </c>
      <c r="D281" s="1" t="str">
        <f>HYPERLINK("http://eros.fiehnlab.ucdavis.edu:8080/binbase-compound/bin/show/339455?db=rtx5","339455")</f>
        <v>339455</v>
      </c>
      <c r="E281" s="1" t="s">
        <v>734</v>
      </c>
      <c r="F281" s="1" t="s">
        <v>0</v>
      </c>
      <c r="G281" s="1" t="s">
        <v>0</v>
      </c>
      <c r="H281" s="1"/>
      <c r="I281" s="10">
        <v>2299</v>
      </c>
      <c r="J281" s="10">
        <v>4256</v>
      </c>
      <c r="K281" s="10">
        <v>4222</v>
      </c>
      <c r="L281" s="10">
        <v>1286</v>
      </c>
      <c r="M281" s="10">
        <v>3522</v>
      </c>
      <c r="N281" s="10">
        <v>2097</v>
      </c>
      <c r="O281" s="10">
        <v>2728</v>
      </c>
      <c r="P281" s="10">
        <v>8141</v>
      </c>
      <c r="Q281" s="10">
        <v>2575</v>
      </c>
      <c r="R281" s="10">
        <v>2789</v>
      </c>
      <c r="S281" s="10">
        <v>6512</v>
      </c>
      <c r="T281" s="10">
        <v>4047</v>
      </c>
      <c r="U281" s="10">
        <v>1625</v>
      </c>
      <c r="V281" s="10">
        <v>1736</v>
      </c>
      <c r="W281" s="10">
        <v>1976</v>
      </c>
      <c r="X281" s="10">
        <v>2156</v>
      </c>
      <c r="Y281" s="10">
        <v>2299</v>
      </c>
      <c r="Z281" s="10">
        <v>1816</v>
      </c>
      <c r="AA281" s="10">
        <v>4487</v>
      </c>
      <c r="AB281" s="10">
        <v>1854</v>
      </c>
      <c r="AC281" s="10">
        <v>3261</v>
      </c>
      <c r="AD281" s="10">
        <v>2374</v>
      </c>
      <c r="AE281" s="10">
        <v>1922</v>
      </c>
      <c r="AF281" s="10">
        <v>3478</v>
      </c>
      <c r="AG281" s="10">
        <v>3398</v>
      </c>
      <c r="AH281" s="10">
        <v>2150</v>
      </c>
      <c r="AI281" s="10">
        <v>3177</v>
      </c>
      <c r="AJ281" s="10">
        <v>2489</v>
      </c>
      <c r="AK281" s="10">
        <v>1891</v>
      </c>
      <c r="AL281" s="10">
        <v>4192</v>
      </c>
      <c r="AM281" s="10">
        <v>2072</v>
      </c>
      <c r="AN281" s="10">
        <v>2884</v>
      </c>
      <c r="AO281" s="10">
        <v>2614</v>
      </c>
      <c r="AP281" s="10">
        <v>1585</v>
      </c>
      <c r="AQ281" s="10">
        <v>2555</v>
      </c>
      <c r="AR281" s="10">
        <v>1886</v>
      </c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</row>
    <row r="282" spans="1:81">
      <c r="A282" s="4" t="s">
        <v>878</v>
      </c>
      <c r="B282" s="1" t="s">
        <v>879</v>
      </c>
      <c r="C282" s="1" t="s">
        <v>503</v>
      </c>
      <c r="D282" s="1" t="str">
        <f>HYPERLINK("http://eros.fiehnlab.ucdavis.edu:8080/binbase-compound/bin/show/241090?db=rtx5","241090")</f>
        <v>241090</v>
      </c>
      <c r="E282" s="1" t="s">
        <v>880</v>
      </c>
      <c r="F282" s="1" t="s">
        <v>0</v>
      </c>
      <c r="G282" s="1" t="s">
        <v>0</v>
      </c>
      <c r="H282" s="1"/>
      <c r="I282" s="10">
        <v>226</v>
      </c>
      <c r="J282" s="10">
        <v>878</v>
      </c>
      <c r="K282" s="10">
        <v>676</v>
      </c>
      <c r="L282" s="10">
        <v>131</v>
      </c>
      <c r="M282" s="10">
        <v>157</v>
      </c>
      <c r="N282" s="10">
        <v>211</v>
      </c>
      <c r="O282" s="10">
        <v>516</v>
      </c>
      <c r="P282" s="10">
        <v>1020</v>
      </c>
      <c r="Q282" s="10">
        <v>227</v>
      </c>
      <c r="R282" s="10">
        <v>258</v>
      </c>
      <c r="S282" s="10">
        <v>337</v>
      </c>
      <c r="T282" s="10">
        <v>820</v>
      </c>
      <c r="U282" s="10">
        <v>80</v>
      </c>
      <c r="V282" s="10">
        <v>467</v>
      </c>
      <c r="W282" s="10">
        <v>290</v>
      </c>
      <c r="X282" s="10">
        <v>114</v>
      </c>
      <c r="Y282" s="10">
        <v>126</v>
      </c>
      <c r="Z282" s="10">
        <v>157</v>
      </c>
      <c r="AA282" s="10">
        <v>643</v>
      </c>
      <c r="AB282" s="10">
        <v>102</v>
      </c>
      <c r="AC282" s="10">
        <v>254</v>
      </c>
      <c r="AD282" s="10">
        <v>192</v>
      </c>
      <c r="AE282" s="10">
        <v>139</v>
      </c>
      <c r="AF282" s="10">
        <v>278</v>
      </c>
      <c r="AG282" s="10">
        <v>503</v>
      </c>
      <c r="AH282" s="10">
        <v>161</v>
      </c>
      <c r="AI282" s="10">
        <v>85</v>
      </c>
      <c r="AJ282" s="10">
        <v>662</v>
      </c>
      <c r="AK282" s="10">
        <v>79</v>
      </c>
      <c r="AL282" s="10">
        <v>603</v>
      </c>
      <c r="AM282" s="10">
        <v>284</v>
      </c>
      <c r="AN282" s="10">
        <v>281</v>
      </c>
      <c r="AO282" s="10">
        <v>103</v>
      </c>
      <c r="AP282" s="10">
        <v>180</v>
      </c>
      <c r="AQ282" s="10">
        <v>263</v>
      </c>
      <c r="AR282" s="10">
        <v>180</v>
      </c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</row>
    <row r="283" spans="1:81">
      <c r="A283" s="4" t="s">
        <v>818</v>
      </c>
      <c r="B283" s="1" t="s">
        <v>819</v>
      </c>
      <c r="C283" s="1" t="s">
        <v>820</v>
      </c>
      <c r="D283" s="1" t="str">
        <f>HYPERLINK("http://eros.fiehnlab.ucdavis.edu:8080/binbase-compound/bin/show/268585?db=rtx5","268585")</f>
        <v>268585</v>
      </c>
      <c r="E283" s="1" t="s">
        <v>821</v>
      </c>
      <c r="F283" s="1" t="s">
        <v>0</v>
      </c>
      <c r="G283" s="1" t="s">
        <v>0</v>
      </c>
      <c r="H283" s="1"/>
      <c r="I283" s="10">
        <v>5887</v>
      </c>
      <c r="J283" s="10">
        <v>24498</v>
      </c>
      <c r="K283" s="10">
        <v>24446</v>
      </c>
      <c r="L283" s="10">
        <v>3793</v>
      </c>
      <c r="M283" s="10">
        <v>7016</v>
      </c>
      <c r="N283" s="10">
        <v>4526</v>
      </c>
      <c r="O283" s="10">
        <v>11364</v>
      </c>
      <c r="P283" s="10">
        <v>25624</v>
      </c>
      <c r="Q283" s="10">
        <v>6880</v>
      </c>
      <c r="R283" s="10">
        <v>7372</v>
      </c>
      <c r="S283" s="10">
        <v>24409</v>
      </c>
      <c r="T283" s="10">
        <v>23139</v>
      </c>
      <c r="U283" s="10">
        <v>3481</v>
      </c>
      <c r="V283" s="10">
        <v>11239</v>
      </c>
      <c r="W283" s="10">
        <v>6463</v>
      </c>
      <c r="X283" s="10">
        <v>5687</v>
      </c>
      <c r="Y283" s="10">
        <v>5039</v>
      </c>
      <c r="Z283" s="10">
        <v>5552</v>
      </c>
      <c r="AA283" s="10">
        <v>16952</v>
      </c>
      <c r="AB283" s="10">
        <v>3957</v>
      </c>
      <c r="AC283" s="10">
        <v>15785</v>
      </c>
      <c r="AD283" s="10">
        <v>6061</v>
      </c>
      <c r="AE283" s="10">
        <v>4297</v>
      </c>
      <c r="AF283" s="10">
        <v>11527</v>
      </c>
      <c r="AG283" s="10">
        <v>11426</v>
      </c>
      <c r="AH283" s="10">
        <v>3958</v>
      </c>
      <c r="AI283" s="10">
        <v>10422</v>
      </c>
      <c r="AJ283" s="10">
        <v>12537</v>
      </c>
      <c r="AK283" s="10">
        <v>5559</v>
      </c>
      <c r="AL283" s="10">
        <v>25392</v>
      </c>
      <c r="AM283" s="10">
        <v>6718</v>
      </c>
      <c r="AN283" s="10">
        <v>11935</v>
      </c>
      <c r="AO283" s="10">
        <v>5398</v>
      </c>
      <c r="AP283" s="10">
        <v>4815</v>
      </c>
      <c r="AQ283" s="10">
        <v>7865</v>
      </c>
      <c r="AR283" s="10">
        <v>5023</v>
      </c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</row>
    <row r="284" spans="1:81">
      <c r="A284" s="4" t="s">
        <v>626</v>
      </c>
      <c r="B284" s="1" t="s">
        <v>627</v>
      </c>
      <c r="C284" s="1" t="s">
        <v>115</v>
      </c>
      <c r="D284" s="1" t="str">
        <f>HYPERLINK("http://eros.fiehnlab.ucdavis.edu:8080/binbase-compound/bin/show/408607?db=rtx5","408607")</f>
        <v>408607</v>
      </c>
      <c r="E284" s="1" t="s">
        <v>628</v>
      </c>
      <c r="F284" s="1" t="s">
        <v>0</v>
      </c>
      <c r="G284" s="1" t="s">
        <v>0</v>
      </c>
      <c r="H284" s="1"/>
      <c r="I284" s="10">
        <v>38913</v>
      </c>
      <c r="J284" s="10">
        <v>60319</v>
      </c>
      <c r="K284" s="10">
        <v>34824</v>
      </c>
      <c r="L284" s="10">
        <v>57199</v>
      </c>
      <c r="M284" s="10">
        <v>64247</v>
      </c>
      <c r="N284" s="10">
        <v>54574</v>
      </c>
      <c r="O284" s="10">
        <v>77392</v>
      </c>
      <c r="P284" s="10">
        <v>36600</v>
      </c>
      <c r="Q284" s="10">
        <v>91730</v>
      </c>
      <c r="R284" s="10">
        <v>89177</v>
      </c>
      <c r="S284" s="10">
        <v>54179</v>
      </c>
      <c r="T284" s="10">
        <v>84186</v>
      </c>
      <c r="U284" s="10">
        <v>42686</v>
      </c>
      <c r="V284" s="10">
        <v>150468</v>
      </c>
      <c r="W284" s="10">
        <v>90956</v>
      </c>
      <c r="X284" s="10">
        <v>90567</v>
      </c>
      <c r="Y284" s="10">
        <v>70024</v>
      </c>
      <c r="Z284" s="10">
        <v>52322</v>
      </c>
      <c r="AA284" s="10">
        <v>101454</v>
      </c>
      <c r="AB284" s="10">
        <v>85929</v>
      </c>
      <c r="AC284" s="10">
        <v>149200</v>
      </c>
      <c r="AD284" s="10">
        <v>72361</v>
      </c>
      <c r="AE284" s="10">
        <v>106980</v>
      </c>
      <c r="AF284" s="10">
        <v>105166</v>
      </c>
      <c r="AG284" s="10">
        <v>146975</v>
      </c>
      <c r="AH284" s="10">
        <v>34928</v>
      </c>
      <c r="AI284" s="10">
        <v>99645</v>
      </c>
      <c r="AJ284" s="10">
        <v>104980</v>
      </c>
      <c r="AK284" s="10">
        <v>88400</v>
      </c>
      <c r="AL284" s="10">
        <v>38589</v>
      </c>
      <c r="AM284" s="10">
        <v>101722</v>
      </c>
      <c r="AN284" s="10">
        <v>115768</v>
      </c>
      <c r="AO284" s="10">
        <v>66574</v>
      </c>
      <c r="AP284" s="10">
        <v>61029</v>
      </c>
      <c r="AQ284" s="10">
        <v>93940</v>
      </c>
      <c r="AR284" s="10">
        <v>52569</v>
      </c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</row>
    <row r="285" spans="1:81">
      <c r="A285" s="4" t="s">
        <v>1122</v>
      </c>
      <c r="B285" s="1" t="s">
        <v>1123</v>
      </c>
      <c r="C285" s="1" t="s">
        <v>418</v>
      </c>
      <c r="D285" s="1" t="str">
        <f>HYPERLINK("http://eros.fiehnlab.ucdavis.edu:8080/binbase-compound/bin/show/211972?db=rtx5","211972")</f>
        <v>211972</v>
      </c>
      <c r="E285" s="1" t="s">
        <v>1124</v>
      </c>
      <c r="F285" s="1" t="s">
        <v>0</v>
      </c>
      <c r="G285" s="1" t="s">
        <v>0</v>
      </c>
      <c r="H285" s="1"/>
      <c r="I285" s="10">
        <v>12197</v>
      </c>
      <c r="J285" s="10">
        <v>45396</v>
      </c>
      <c r="K285" s="10">
        <v>36458</v>
      </c>
      <c r="L285" s="10">
        <v>7788</v>
      </c>
      <c r="M285" s="10">
        <v>18122</v>
      </c>
      <c r="N285" s="10">
        <v>9157</v>
      </c>
      <c r="O285" s="10">
        <v>7817</v>
      </c>
      <c r="P285" s="10">
        <v>12176</v>
      </c>
      <c r="Q285" s="10">
        <v>9416</v>
      </c>
      <c r="R285" s="10">
        <v>10888</v>
      </c>
      <c r="S285" s="10">
        <v>34310</v>
      </c>
      <c r="T285" s="10">
        <v>12399</v>
      </c>
      <c r="U285" s="10">
        <v>5556</v>
      </c>
      <c r="V285" s="10">
        <v>9597</v>
      </c>
      <c r="W285" s="10">
        <v>10873</v>
      </c>
      <c r="X285" s="10">
        <v>8366</v>
      </c>
      <c r="Y285" s="10">
        <v>11378</v>
      </c>
      <c r="Z285" s="10">
        <v>13750</v>
      </c>
      <c r="AA285" s="10">
        <v>22508</v>
      </c>
      <c r="AB285" s="10">
        <v>9630</v>
      </c>
      <c r="AC285" s="10">
        <v>12128</v>
      </c>
      <c r="AD285" s="10">
        <v>10962</v>
      </c>
      <c r="AE285" s="10">
        <v>7332</v>
      </c>
      <c r="AF285" s="10">
        <v>8705</v>
      </c>
      <c r="AG285" s="10">
        <v>20206</v>
      </c>
      <c r="AH285" s="10">
        <v>7713</v>
      </c>
      <c r="AI285" s="10">
        <v>18990</v>
      </c>
      <c r="AJ285" s="10">
        <v>23186</v>
      </c>
      <c r="AK285" s="10">
        <v>10027</v>
      </c>
      <c r="AL285" s="10">
        <v>54050</v>
      </c>
      <c r="AM285" s="10">
        <v>12671</v>
      </c>
      <c r="AN285" s="10">
        <v>18317</v>
      </c>
      <c r="AO285" s="10">
        <v>9447</v>
      </c>
      <c r="AP285" s="10">
        <v>11067</v>
      </c>
      <c r="AQ285" s="10">
        <v>17393</v>
      </c>
      <c r="AR285" s="10">
        <v>11563</v>
      </c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</row>
    <row r="286" spans="1:81">
      <c r="A286" s="4" t="s">
        <v>985</v>
      </c>
      <c r="B286" s="1" t="s">
        <v>986</v>
      </c>
      <c r="C286" s="1" t="s">
        <v>778</v>
      </c>
      <c r="D286" s="1" t="str">
        <f>HYPERLINK("http://eros.fiehnlab.ucdavis.edu:8080/binbase-compound/bin/show/231260?db=rtx5","231260")</f>
        <v>231260</v>
      </c>
      <c r="E286" s="1" t="s">
        <v>987</v>
      </c>
      <c r="F286" s="1" t="s">
        <v>0</v>
      </c>
      <c r="G286" s="1" t="s">
        <v>0</v>
      </c>
      <c r="H286" s="1"/>
      <c r="I286" s="10">
        <v>636</v>
      </c>
      <c r="J286" s="10">
        <v>804</v>
      </c>
      <c r="K286" s="10">
        <v>607</v>
      </c>
      <c r="L286" s="10">
        <v>340</v>
      </c>
      <c r="M286" s="10">
        <v>481</v>
      </c>
      <c r="N286" s="10">
        <v>297</v>
      </c>
      <c r="O286" s="10">
        <v>818</v>
      </c>
      <c r="P286" s="10">
        <v>874</v>
      </c>
      <c r="Q286" s="10">
        <v>429</v>
      </c>
      <c r="R286" s="10">
        <v>332</v>
      </c>
      <c r="S286" s="10">
        <v>708</v>
      </c>
      <c r="T286" s="10">
        <v>750</v>
      </c>
      <c r="U286" s="10">
        <v>343</v>
      </c>
      <c r="V286" s="10">
        <v>706</v>
      </c>
      <c r="W286" s="10">
        <v>503</v>
      </c>
      <c r="X286" s="10">
        <v>330</v>
      </c>
      <c r="Y286" s="10">
        <v>199</v>
      </c>
      <c r="Z286" s="10">
        <v>382</v>
      </c>
      <c r="AA286" s="10">
        <v>898</v>
      </c>
      <c r="AB286" s="10">
        <v>388</v>
      </c>
      <c r="AC286" s="10">
        <v>787</v>
      </c>
      <c r="AD286" s="10">
        <v>383</v>
      </c>
      <c r="AE286" s="10">
        <v>579</v>
      </c>
      <c r="AF286" s="10">
        <v>589</v>
      </c>
      <c r="AG286" s="10">
        <v>727</v>
      </c>
      <c r="AH286" s="10">
        <v>463</v>
      </c>
      <c r="AI286" s="10">
        <v>502</v>
      </c>
      <c r="AJ286" s="10">
        <v>858</v>
      </c>
      <c r="AK286" s="10">
        <v>334</v>
      </c>
      <c r="AL286" s="10">
        <v>716</v>
      </c>
      <c r="AM286" s="10">
        <v>364</v>
      </c>
      <c r="AN286" s="10">
        <v>569</v>
      </c>
      <c r="AO286" s="10">
        <v>355</v>
      </c>
      <c r="AP286" s="10">
        <v>360</v>
      </c>
      <c r="AQ286" s="10">
        <v>340</v>
      </c>
      <c r="AR286" s="10">
        <v>493</v>
      </c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</row>
    <row r="287" spans="1:81">
      <c r="A287" s="4" t="s">
        <v>1011</v>
      </c>
      <c r="B287" s="1" t="s">
        <v>1012</v>
      </c>
      <c r="C287" s="1" t="s">
        <v>656</v>
      </c>
      <c r="D287" s="1" t="str">
        <f>HYPERLINK("http://eros.fiehnlab.ucdavis.edu:8080/binbase-compound/bin/show/227712?db=rtx5","227712")</f>
        <v>227712</v>
      </c>
      <c r="E287" s="1" t="s">
        <v>1013</v>
      </c>
      <c r="F287" s="1" t="s">
        <v>0</v>
      </c>
      <c r="G287" s="1" t="s">
        <v>0</v>
      </c>
      <c r="H287" s="1"/>
      <c r="I287" s="10">
        <v>765</v>
      </c>
      <c r="J287" s="10">
        <v>1763</v>
      </c>
      <c r="K287" s="10">
        <v>1089</v>
      </c>
      <c r="L287" s="10">
        <v>829</v>
      </c>
      <c r="M287" s="10">
        <v>1197</v>
      </c>
      <c r="N287" s="10">
        <v>610</v>
      </c>
      <c r="O287" s="10">
        <v>591</v>
      </c>
      <c r="P287" s="10">
        <v>736</v>
      </c>
      <c r="Q287" s="10">
        <v>776</v>
      </c>
      <c r="R287" s="10">
        <v>871</v>
      </c>
      <c r="S287" s="10">
        <v>1673</v>
      </c>
      <c r="T287" s="10">
        <v>697</v>
      </c>
      <c r="U287" s="10">
        <v>656</v>
      </c>
      <c r="V287" s="10">
        <v>1352</v>
      </c>
      <c r="W287" s="10">
        <v>1260</v>
      </c>
      <c r="X287" s="10">
        <v>915</v>
      </c>
      <c r="Y287" s="10">
        <v>771</v>
      </c>
      <c r="Z287" s="10">
        <v>1150</v>
      </c>
      <c r="AA287" s="10">
        <v>2539</v>
      </c>
      <c r="AB287" s="10">
        <v>572</v>
      </c>
      <c r="AC287" s="10">
        <v>944</v>
      </c>
      <c r="AD287" s="10">
        <v>750</v>
      </c>
      <c r="AE287" s="10">
        <v>727</v>
      </c>
      <c r="AF287" s="10">
        <v>966</v>
      </c>
      <c r="AG287" s="10">
        <v>1749</v>
      </c>
      <c r="AH287" s="10">
        <v>790</v>
      </c>
      <c r="AI287" s="10">
        <v>981</v>
      </c>
      <c r="AJ287" s="10">
        <v>1633</v>
      </c>
      <c r="AK287" s="10">
        <v>1292</v>
      </c>
      <c r="AL287" s="10">
        <v>1795</v>
      </c>
      <c r="AM287" s="10">
        <v>728</v>
      </c>
      <c r="AN287" s="10">
        <v>985</v>
      </c>
      <c r="AO287" s="10">
        <v>745</v>
      </c>
      <c r="AP287" s="10">
        <v>895</v>
      </c>
      <c r="AQ287" s="10">
        <v>1188</v>
      </c>
      <c r="AR287" s="10">
        <v>1257</v>
      </c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</row>
    <row r="288" spans="1:81">
      <c r="A288" s="4" t="s">
        <v>1059</v>
      </c>
      <c r="B288" s="1" t="s">
        <v>1060</v>
      </c>
      <c r="C288" s="1" t="s">
        <v>388</v>
      </c>
      <c r="D288" s="1" t="str">
        <f>HYPERLINK("http://eros.fiehnlab.ucdavis.edu:8080/binbase-compound/bin/show/218769?db=rtx5","218769")</f>
        <v>218769</v>
      </c>
      <c r="E288" s="1" t="s">
        <v>1061</v>
      </c>
      <c r="F288" s="1" t="s">
        <v>0</v>
      </c>
      <c r="G288" s="1" t="s">
        <v>0</v>
      </c>
      <c r="H288" s="1"/>
      <c r="I288" s="10">
        <v>2001</v>
      </c>
      <c r="J288" s="10">
        <v>4189</v>
      </c>
      <c r="K288" s="10">
        <v>3969</v>
      </c>
      <c r="L288" s="10">
        <v>2642</v>
      </c>
      <c r="M288" s="10">
        <v>2449</v>
      </c>
      <c r="N288" s="10">
        <v>2747</v>
      </c>
      <c r="O288" s="10">
        <v>8934</v>
      </c>
      <c r="P288" s="10">
        <v>28773</v>
      </c>
      <c r="Q288" s="10">
        <v>2792</v>
      </c>
      <c r="R288" s="10">
        <v>2473</v>
      </c>
      <c r="S288" s="10">
        <v>4488</v>
      </c>
      <c r="T288" s="10">
        <v>9820</v>
      </c>
      <c r="U288" s="10">
        <v>2497</v>
      </c>
      <c r="V288" s="10">
        <v>6956</v>
      </c>
      <c r="W288" s="10">
        <v>7013</v>
      </c>
      <c r="X288" s="10">
        <v>4482</v>
      </c>
      <c r="Y288" s="10">
        <v>2195</v>
      </c>
      <c r="Z288" s="10">
        <v>2548</v>
      </c>
      <c r="AA288" s="10">
        <v>6785</v>
      </c>
      <c r="AB288" s="10">
        <v>2189</v>
      </c>
      <c r="AC288" s="10">
        <v>6554</v>
      </c>
      <c r="AD288" s="10">
        <v>3458</v>
      </c>
      <c r="AE288" s="10">
        <v>3751</v>
      </c>
      <c r="AF288" s="10">
        <v>3468</v>
      </c>
      <c r="AG288" s="10">
        <v>5774</v>
      </c>
      <c r="AH288" s="10">
        <v>3035</v>
      </c>
      <c r="AI288" s="10">
        <v>3315</v>
      </c>
      <c r="AJ288" s="10">
        <v>5115</v>
      </c>
      <c r="AK288" s="10">
        <v>3997</v>
      </c>
      <c r="AL288" s="10">
        <v>4657</v>
      </c>
      <c r="AM288" s="10">
        <v>2818</v>
      </c>
      <c r="AN288" s="10">
        <v>4664</v>
      </c>
      <c r="AO288" s="10">
        <v>2568</v>
      </c>
      <c r="AP288" s="10">
        <v>3315</v>
      </c>
      <c r="AQ288" s="10">
        <v>3795</v>
      </c>
      <c r="AR288" s="10">
        <v>3212</v>
      </c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</row>
    <row r="289" spans="1:81">
      <c r="A289" s="4" t="s">
        <v>738</v>
      </c>
      <c r="B289" s="1" t="s">
        <v>739</v>
      </c>
      <c r="C289" s="1" t="s">
        <v>159</v>
      </c>
      <c r="D289" s="1" t="str">
        <f>HYPERLINK("http://eros.fiehnlab.ucdavis.edu:8080/binbase-compound/bin/show/314770?db=rtx5","314770")</f>
        <v>314770</v>
      </c>
      <c r="E289" s="1" t="s">
        <v>740</v>
      </c>
      <c r="F289" s="1" t="s">
        <v>0</v>
      </c>
      <c r="G289" s="1" t="s">
        <v>0</v>
      </c>
      <c r="H289" s="1"/>
      <c r="I289" s="10">
        <v>1000</v>
      </c>
      <c r="J289" s="10">
        <v>1328</v>
      </c>
      <c r="K289" s="10">
        <v>1770</v>
      </c>
      <c r="L289" s="10">
        <v>1818</v>
      </c>
      <c r="M289" s="10">
        <v>1825</v>
      </c>
      <c r="N289" s="10">
        <v>1083</v>
      </c>
      <c r="O289" s="10">
        <v>1292</v>
      </c>
      <c r="P289" s="10">
        <v>1994</v>
      </c>
      <c r="Q289" s="10">
        <v>1123</v>
      </c>
      <c r="R289" s="10">
        <v>1838</v>
      </c>
      <c r="S289" s="10">
        <v>1961</v>
      </c>
      <c r="T289" s="10">
        <v>1099</v>
      </c>
      <c r="U289" s="10">
        <v>1395</v>
      </c>
      <c r="V289" s="10">
        <v>1693</v>
      </c>
      <c r="W289" s="10">
        <v>1237</v>
      </c>
      <c r="X289" s="10">
        <v>2415</v>
      </c>
      <c r="Y289" s="10">
        <v>1911</v>
      </c>
      <c r="Z289" s="10">
        <v>1281</v>
      </c>
      <c r="AA289" s="10">
        <v>1611</v>
      </c>
      <c r="AB289" s="10">
        <v>1415</v>
      </c>
      <c r="AC289" s="10">
        <v>2527</v>
      </c>
      <c r="AD289" s="10">
        <v>1927</v>
      </c>
      <c r="AE289" s="10">
        <v>2490</v>
      </c>
      <c r="AF289" s="10">
        <v>984</v>
      </c>
      <c r="AG289" s="10">
        <v>1211</v>
      </c>
      <c r="AH289" s="10">
        <v>1469</v>
      </c>
      <c r="AI289" s="10">
        <v>1966</v>
      </c>
      <c r="AJ289" s="10">
        <v>3018</v>
      </c>
      <c r="AK289" s="10">
        <v>1140</v>
      </c>
      <c r="AL289" s="10">
        <v>1451</v>
      </c>
      <c r="AM289" s="10">
        <v>1176</v>
      </c>
      <c r="AN289" s="10">
        <v>1451</v>
      </c>
      <c r="AO289" s="10">
        <v>854</v>
      </c>
      <c r="AP289" s="10">
        <v>1917</v>
      </c>
      <c r="AQ289" s="10">
        <v>2100</v>
      </c>
      <c r="AR289" s="10">
        <v>1516</v>
      </c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</row>
    <row r="290" spans="1:81">
      <c r="A290" s="4" t="s">
        <v>841</v>
      </c>
      <c r="B290" s="1" t="s">
        <v>842</v>
      </c>
      <c r="C290" s="1" t="s">
        <v>383</v>
      </c>
      <c r="D290" s="1" t="str">
        <f>HYPERLINK("http://eros.fiehnlab.ucdavis.edu:8080/binbase-compound/bin/show/267742?db=rtx5","267742")</f>
        <v>267742</v>
      </c>
      <c r="E290" s="1" t="s">
        <v>843</v>
      </c>
      <c r="F290" s="1" t="s">
        <v>0</v>
      </c>
      <c r="G290" s="1" t="s">
        <v>0</v>
      </c>
      <c r="H290" s="1"/>
      <c r="I290" s="10">
        <v>1531</v>
      </c>
      <c r="J290" s="10">
        <v>7161</v>
      </c>
      <c r="K290" s="10">
        <v>7402</v>
      </c>
      <c r="L290" s="10">
        <v>1829</v>
      </c>
      <c r="M290" s="10">
        <v>4995</v>
      </c>
      <c r="N290" s="10">
        <v>940</v>
      </c>
      <c r="O290" s="10">
        <v>3156</v>
      </c>
      <c r="P290" s="10">
        <v>8433</v>
      </c>
      <c r="Q290" s="10">
        <v>2046</v>
      </c>
      <c r="R290" s="10">
        <v>2390</v>
      </c>
      <c r="S290" s="10">
        <v>11341</v>
      </c>
      <c r="T290" s="10">
        <v>3526</v>
      </c>
      <c r="U290" s="10">
        <v>1508</v>
      </c>
      <c r="V290" s="10">
        <v>7392</v>
      </c>
      <c r="W290" s="10">
        <v>4596</v>
      </c>
      <c r="X290" s="10">
        <v>2558</v>
      </c>
      <c r="Y290" s="10">
        <v>1825</v>
      </c>
      <c r="Z290" s="10">
        <v>2302</v>
      </c>
      <c r="AA290" s="10">
        <v>8966</v>
      </c>
      <c r="AB290" s="10">
        <v>2262</v>
      </c>
      <c r="AC290" s="10">
        <v>8384</v>
      </c>
      <c r="AD290" s="10">
        <v>2431</v>
      </c>
      <c r="AE290" s="10">
        <v>1898</v>
      </c>
      <c r="AF290" s="10">
        <v>4277</v>
      </c>
      <c r="AG290" s="10">
        <v>6759</v>
      </c>
      <c r="AH290" s="10">
        <v>1750</v>
      </c>
      <c r="AI290" s="10">
        <v>2759</v>
      </c>
      <c r="AJ290" s="10">
        <v>4486</v>
      </c>
      <c r="AK290" s="10">
        <v>4040</v>
      </c>
      <c r="AL290" s="10">
        <v>6980</v>
      </c>
      <c r="AM290" s="10">
        <v>2157</v>
      </c>
      <c r="AN290" s="10">
        <v>4495</v>
      </c>
      <c r="AO290" s="10">
        <v>1769</v>
      </c>
      <c r="AP290" s="10">
        <v>1845</v>
      </c>
      <c r="AQ290" s="10">
        <v>4205</v>
      </c>
      <c r="AR290" s="10">
        <v>2282</v>
      </c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</row>
    <row r="291" spans="1:81">
      <c r="A291" s="4" t="s">
        <v>979</v>
      </c>
      <c r="B291" s="1" t="s">
        <v>980</v>
      </c>
      <c r="C291" s="1" t="s">
        <v>827</v>
      </c>
      <c r="D291" s="1" t="str">
        <f>HYPERLINK("http://eros.fiehnlab.ucdavis.edu:8080/binbase-compound/bin/show/231947?db=rtx5","231947")</f>
        <v>231947</v>
      </c>
      <c r="E291" s="1" t="s">
        <v>981</v>
      </c>
      <c r="F291" s="1" t="s">
        <v>0</v>
      </c>
      <c r="G291" s="1" t="s">
        <v>0</v>
      </c>
      <c r="H291" s="1"/>
      <c r="I291" s="10">
        <v>484</v>
      </c>
      <c r="J291" s="10">
        <v>2119</v>
      </c>
      <c r="K291" s="10">
        <v>2183</v>
      </c>
      <c r="L291" s="10">
        <v>408</v>
      </c>
      <c r="M291" s="10">
        <v>798</v>
      </c>
      <c r="N291" s="10">
        <v>520</v>
      </c>
      <c r="O291" s="10">
        <v>1043</v>
      </c>
      <c r="P291" s="10">
        <v>2078</v>
      </c>
      <c r="Q291" s="10">
        <v>659</v>
      </c>
      <c r="R291" s="10">
        <v>885</v>
      </c>
      <c r="S291" s="10">
        <v>1817</v>
      </c>
      <c r="T291" s="10">
        <v>1945</v>
      </c>
      <c r="U291" s="10">
        <v>482</v>
      </c>
      <c r="V291" s="10">
        <v>977</v>
      </c>
      <c r="W291" s="10">
        <v>411</v>
      </c>
      <c r="X291" s="10">
        <v>624</v>
      </c>
      <c r="Y291" s="10">
        <v>506</v>
      </c>
      <c r="Z291" s="10">
        <v>447</v>
      </c>
      <c r="AA291" s="10">
        <v>2569</v>
      </c>
      <c r="AB291" s="10">
        <v>676</v>
      </c>
      <c r="AC291" s="10">
        <v>1254</v>
      </c>
      <c r="AD291" s="10">
        <v>649</v>
      </c>
      <c r="AE291" s="10">
        <v>470</v>
      </c>
      <c r="AF291" s="10">
        <v>1804</v>
      </c>
      <c r="AG291" s="10">
        <v>1574</v>
      </c>
      <c r="AH291" s="10">
        <v>502</v>
      </c>
      <c r="AI291" s="10">
        <v>1129</v>
      </c>
      <c r="AJ291" s="10">
        <v>1279</v>
      </c>
      <c r="AK291" s="10">
        <v>315</v>
      </c>
      <c r="AL291" s="10">
        <v>1937</v>
      </c>
      <c r="AM291" s="10">
        <v>698</v>
      </c>
      <c r="AN291" s="10">
        <v>1375</v>
      </c>
      <c r="AO291" s="10">
        <v>962</v>
      </c>
      <c r="AP291" s="10">
        <v>536</v>
      </c>
      <c r="AQ291" s="10">
        <v>709</v>
      </c>
      <c r="AR291" s="10">
        <v>691</v>
      </c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</row>
    <row r="292" spans="1:81">
      <c r="A292" s="4" t="s">
        <v>792</v>
      </c>
      <c r="B292" s="1" t="s">
        <v>793</v>
      </c>
      <c r="C292" s="1" t="s">
        <v>185</v>
      </c>
      <c r="D292" s="1" t="str">
        <f>HYPERLINK("http://eros.fiehnlab.ucdavis.edu:8080/binbase-compound/bin/show/284389?db=rtx5","284389")</f>
        <v>284389</v>
      </c>
      <c r="E292" s="1" t="s">
        <v>794</v>
      </c>
      <c r="F292" s="1" t="s">
        <v>0</v>
      </c>
      <c r="G292" s="1" t="s">
        <v>0</v>
      </c>
      <c r="H292" s="1"/>
      <c r="I292" s="10">
        <v>1888</v>
      </c>
      <c r="J292" s="10">
        <v>2080</v>
      </c>
      <c r="K292" s="10">
        <v>2444</v>
      </c>
      <c r="L292" s="10">
        <v>2143</v>
      </c>
      <c r="M292" s="10">
        <v>5633</v>
      </c>
      <c r="N292" s="10">
        <v>2304</v>
      </c>
      <c r="O292" s="10">
        <v>3677</v>
      </c>
      <c r="P292" s="10">
        <v>3229</v>
      </c>
      <c r="Q292" s="10">
        <v>2240</v>
      </c>
      <c r="R292" s="10">
        <v>3120</v>
      </c>
      <c r="S292" s="10">
        <v>4693</v>
      </c>
      <c r="T292" s="10">
        <v>2885</v>
      </c>
      <c r="U292" s="10">
        <v>1986</v>
      </c>
      <c r="V292" s="10">
        <v>1714</v>
      </c>
      <c r="W292" s="10">
        <v>1957</v>
      </c>
      <c r="X292" s="10">
        <v>2274</v>
      </c>
      <c r="Y292" s="10">
        <v>1314</v>
      </c>
      <c r="Z292" s="10">
        <v>1463</v>
      </c>
      <c r="AA292" s="10">
        <v>3917</v>
      </c>
      <c r="AB292" s="10">
        <v>2158</v>
      </c>
      <c r="AC292" s="10">
        <v>4070</v>
      </c>
      <c r="AD292" s="10">
        <v>2092</v>
      </c>
      <c r="AE292" s="10">
        <v>1555</v>
      </c>
      <c r="AF292" s="10">
        <v>4405</v>
      </c>
      <c r="AG292" s="10">
        <v>2215</v>
      </c>
      <c r="AH292" s="10">
        <v>2522</v>
      </c>
      <c r="AI292" s="10">
        <v>1834</v>
      </c>
      <c r="AJ292" s="10">
        <v>2346</v>
      </c>
      <c r="AK292" s="10">
        <v>1222</v>
      </c>
      <c r="AL292" s="10">
        <v>1710</v>
      </c>
      <c r="AM292" s="10">
        <v>2309</v>
      </c>
      <c r="AN292" s="10">
        <v>2479</v>
      </c>
      <c r="AO292" s="10">
        <v>1725</v>
      </c>
      <c r="AP292" s="10">
        <v>2616</v>
      </c>
      <c r="AQ292" s="10">
        <v>1886</v>
      </c>
      <c r="AR292" s="10">
        <v>2305</v>
      </c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</row>
    <row r="293" spans="1:81">
      <c r="A293" s="4" t="s">
        <v>611</v>
      </c>
      <c r="B293" s="1" t="s">
        <v>612</v>
      </c>
      <c r="C293" s="1" t="s">
        <v>613</v>
      </c>
      <c r="D293" s="1" t="str">
        <f>HYPERLINK("http://eros.fiehnlab.ucdavis.edu:8080/binbase-compound/bin/show/408731?db=rtx5","408731")</f>
        <v>408731</v>
      </c>
      <c r="E293" s="1" t="s">
        <v>614</v>
      </c>
      <c r="F293" s="1" t="s">
        <v>0</v>
      </c>
      <c r="G293" s="1" t="s">
        <v>0</v>
      </c>
      <c r="H293" s="1"/>
      <c r="I293" s="10">
        <v>13984</v>
      </c>
      <c r="J293" s="10">
        <v>51521</v>
      </c>
      <c r="K293" s="10">
        <v>48621</v>
      </c>
      <c r="L293" s="10">
        <v>10463</v>
      </c>
      <c r="M293" s="10">
        <v>17265</v>
      </c>
      <c r="N293" s="10">
        <v>11361</v>
      </c>
      <c r="O293" s="10">
        <v>24532</v>
      </c>
      <c r="P293" s="10">
        <v>59471</v>
      </c>
      <c r="Q293" s="10">
        <v>15303</v>
      </c>
      <c r="R293" s="10">
        <v>18053</v>
      </c>
      <c r="S293" s="10">
        <v>49618</v>
      </c>
      <c r="T293" s="10">
        <v>54365</v>
      </c>
      <c r="U293" s="10">
        <v>8251</v>
      </c>
      <c r="V293" s="10">
        <v>25430</v>
      </c>
      <c r="W293" s="10">
        <v>16459</v>
      </c>
      <c r="X293" s="10">
        <v>13569</v>
      </c>
      <c r="Y293" s="10">
        <v>12497</v>
      </c>
      <c r="Z293" s="10">
        <v>14880</v>
      </c>
      <c r="AA293" s="10">
        <v>40672</v>
      </c>
      <c r="AB293" s="10">
        <v>10417</v>
      </c>
      <c r="AC293" s="10">
        <v>33880</v>
      </c>
      <c r="AD293" s="10">
        <v>16234</v>
      </c>
      <c r="AE293" s="10">
        <v>11659</v>
      </c>
      <c r="AF293" s="10">
        <v>25201</v>
      </c>
      <c r="AG293" s="10">
        <v>28813</v>
      </c>
      <c r="AH293" s="10">
        <v>10396</v>
      </c>
      <c r="AI293" s="10">
        <v>23199</v>
      </c>
      <c r="AJ293" s="10">
        <v>33555</v>
      </c>
      <c r="AK293" s="10">
        <v>16991</v>
      </c>
      <c r="AL293" s="10">
        <v>60533</v>
      </c>
      <c r="AM293" s="10">
        <v>17207</v>
      </c>
      <c r="AN293" s="10">
        <v>32540</v>
      </c>
      <c r="AO293" s="10">
        <v>13886</v>
      </c>
      <c r="AP293" s="10">
        <v>11984</v>
      </c>
      <c r="AQ293" s="10">
        <v>19511</v>
      </c>
      <c r="AR293" s="10">
        <v>12429</v>
      </c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</row>
    <row r="294" spans="1:81">
      <c r="A294" s="4" t="s">
        <v>838</v>
      </c>
      <c r="B294" s="1" t="s">
        <v>839</v>
      </c>
      <c r="C294" s="1" t="s">
        <v>165</v>
      </c>
      <c r="D294" s="1" t="str">
        <f>HYPERLINK("http://eros.fiehnlab.ucdavis.edu:8080/binbase-compound/bin/show/267904?db=rtx5","267904")</f>
        <v>267904</v>
      </c>
      <c r="E294" s="1" t="s">
        <v>840</v>
      </c>
      <c r="F294" s="1" t="s">
        <v>0</v>
      </c>
      <c r="G294" s="1" t="s">
        <v>0</v>
      </c>
      <c r="H294" s="1"/>
      <c r="I294" s="10">
        <v>17206</v>
      </c>
      <c r="J294" s="10">
        <v>7819</v>
      </c>
      <c r="K294" s="10">
        <v>3941</v>
      </c>
      <c r="L294" s="10">
        <v>17182</v>
      </c>
      <c r="M294" s="10">
        <v>12695</v>
      </c>
      <c r="N294" s="10">
        <v>26512</v>
      </c>
      <c r="O294" s="10">
        <v>15404</v>
      </c>
      <c r="P294" s="10">
        <v>11666</v>
      </c>
      <c r="Q294" s="10">
        <v>16486</v>
      </c>
      <c r="R294" s="10">
        <v>12869</v>
      </c>
      <c r="S294" s="10">
        <v>9754</v>
      </c>
      <c r="T294" s="10">
        <v>3931</v>
      </c>
      <c r="U294" s="10">
        <v>23507</v>
      </c>
      <c r="V294" s="10">
        <v>12965</v>
      </c>
      <c r="W294" s="10">
        <v>12729</v>
      </c>
      <c r="X294" s="10">
        <v>14790</v>
      </c>
      <c r="Y294" s="10">
        <v>15181</v>
      </c>
      <c r="Z294" s="10">
        <v>13217</v>
      </c>
      <c r="AA294" s="10">
        <v>10653</v>
      </c>
      <c r="AB294" s="10">
        <v>19272</v>
      </c>
      <c r="AC294" s="10">
        <v>4222</v>
      </c>
      <c r="AD294" s="10">
        <v>11000</v>
      </c>
      <c r="AE294" s="10">
        <v>12888</v>
      </c>
      <c r="AF294" s="10">
        <v>6961</v>
      </c>
      <c r="AG294" s="10">
        <v>9903</v>
      </c>
      <c r="AH294" s="10">
        <v>19888</v>
      </c>
      <c r="AI294" s="10">
        <v>10151</v>
      </c>
      <c r="AJ294" s="10">
        <v>12215</v>
      </c>
      <c r="AK294" s="10">
        <v>14510</v>
      </c>
      <c r="AL294" s="10">
        <v>5866</v>
      </c>
      <c r="AM294" s="10">
        <v>11223</v>
      </c>
      <c r="AN294" s="10">
        <v>12259</v>
      </c>
      <c r="AO294" s="10">
        <v>12548</v>
      </c>
      <c r="AP294" s="10">
        <v>14811</v>
      </c>
      <c r="AQ294" s="10">
        <v>11758</v>
      </c>
      <c r="AR294" s="10">
        <v>13101</v>
      </c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</row>
    <row r="295" spans="1:81">
      <c r="A295" s="4" t="s">
        <v>822</v>
      </c>
      <c r="B295" s="1" t="s">
        <v>823</v>
      </c>
      <c r="C295" s="1" t="s">
        <v>418</v>
      </c>
      <c r="D295" s="1" t="str">
        <f>HYPERLINK("http://eros.fiehnlab.ucdavis.edu:8080/binbase-compound/bin/show/268461?db=rtx5","268461")</f>
        <v>268461</v>
      </c>
      <c r="E295" s="1" t="s">
        <v>824</v>
      </c>
      <c r="F295" s="1" t="s">
        <v>0</v>
      </c>
      <c r="G295" s="1" t="s">
        <v>0</v>
      </c>
      <c r="H295" s="1"/>
      <c r="I295" s="10">
        <v>961</v>
      </c>
      <c r="J295" s="10">
        <v>2891</v>
      </c>
      <c r="K295" s="10">
        <v>3187</v>
      </c>
      <c r="L295" s="10">
        <v>1136</v>
      </c>
      <c r="M295" s="10">
        <v>2052</v>
      </c>
      <c r="N295" s="10">
        <v>1336</v>
      </c>
      <c r="O295" s="10">
        <v>2179</v>
      </c>
      <c r="P295" s="10">
        <v>3137</v>
      </c>
      <c r="Q295" s="10">
        <v>1562</v>
      </c>
      <c r="R295" s="10">
        <v>1506</v>
      </c>
      <c r="S295" s="10">
        <v>5001</v>
      </c>
      <c r="T295" s="10">
        <v>5856</v>
      </c>
      <c r="U295" s="10">
        <v>982</v>
      </c>
      <c r="V295" s="10">
        <v>2788</v>
      </c>
      <c r="W295" s="10">
        <v>1706</v>
      </c>
      <c r="X295" s="10">
        <v>2837</v>
      </c>
      <c r="Y295" s="10">
        <v>459</v>
      </c>
      <c r="Z295" s="10">
        <v>1278</v>
      </c>
      <c r="AA295" s="10">
        <v>2045</v>
      </c>
      <c r="AB295" s="10">
        <v>913</v>
      </c>
      <c r="AC295" s="10">
        <v>2140</v>
      </c>
      <c r="AD295" s="10">
        <v>1123</v>
      </c>
      <c r="AE295" s="10">
        <v>1371</v>
      </c>
      <c r="AF295" s="10">
        <v>1949</v>
      </c>
      <c r="AG295" s="10">
        <v>2457</v>
      </c>
      <c r="AH295" s="10">
        <v>737</v>
      </c>
      <c r="AI295" s="10">
        <v>1841</v>
      </c>
      <c r="AJ295" s="10">
        <v>4483</v>
      </c>
      <c r="AK295" s="10">
        <v>1520</v>
      </c>
      <c r="AL295" s="10">
        <v>6604</v>
      </c>
      <c r="AM295" s="10">
        <v>1843</v>
      </c>
      <c r="AN295" s="10">
        <v>3220</v>
      </c>
      <c r="AO295" s="10">
        <v>1099</v>
      </c>
      <c r="AP295" s="10">
        <v>989</v>
      </c>
      <c r="AQ295" s="10">
        <v>2541</v>
      </c>
      <c r="AR295" s="10">
        <v>1195</v>
      </c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</row>
    <row r="296" spans="1:81">
      <c r="A296" s="4" t="s">
        <v>799</v>
      </c>
      <c r="B296" s="1" t="s">
        <v>800</v>
      </c>
      <c r="C296" s="1" t="s">
        <v>746</v>
      </c>
      <c r="D296" s="1" t="str">
        <f>HYPERLINK("http://eros.fiehnlab.ucdavis.edu:8080/binbase-compound/bin/show/274608?db=rtx5","274608")</f>
        <v>274608</v>
      </c>
      <c r="E296" s="1" t="s">
        <v>801</v>
      </c>
      <c r="F296" s="1" t="s">
        <v>0</v>
      </c>
      <c r="G296" s="1" t="s">
        <v>0</v>
      </c>
      <c r="H296" s="1"/>
      <c r="I296" s="10">
        <v>460</v>
      </c>
      <c r="J296" s="10">
        <v>2154</v>
      </c>
      <c r="K296" s="10">
        <v>1729</v>
      </c>
      <c r="L296" s="10">
        <v>308</v>
      </c>
      <c r="M296" s="10">
        <v>656</v>
      </c>
      <c r="N296" s="10">
        <v>429</v>
      </c>
      <c r="O296" s="10">
        <v>982</v>
      </c>
      <c r="P296" s="10">
        <v>2780</v>
      </c>
      <c r="Q296" s="10">
        <v>726</v>
      </c>
      <c r="R296" s="10">
        <v>657</v>
      </c>
      <c r="S296" s="10">
        <v>2223</v>
      </c>
      <c r="T296" s="10">
        <v>1925</v>
      </c>
      <c r="U296" s="10">
        <v>294</v>
      </c>
      <c r="V296" s="10">
        <v>1306</v>
      </c>
      <c r="W296" s="10">
        <v>618</v>
      </c>
      <c r="X296" s="10">
        <v>567</v>
      </c>
      <c r="Y296" s="10">
        <v>439</v>
      </c>
      <c r="Z296" s="10">
        <v>541</v>
      </c>
      <c r="AA296" s="10">
        <v>1961</v>
      </c>
      <c r="AB296" s="10">
        <v>440</v>
      </c>
      <c r="AC296" s="10">
        <v>1105</v>
      </c>
      <c r="AD296" s="10">
        <v>517</v>
      </c>
      <c r="AE296" s="10">
        <v>404</v>
      </c>
      <c r="AF296" s="10">
        <v>1042</v>
      </c>
      <c r="AG296" s="10">
        <v>1129</v>
      </c>
      <c r="AH296" s="10">
        <v>328</v>
      </c>
      <c r="AI296" s="10">
        <v>935</v>
      </c>
      <c r="AJ296" s="10">
        <v>1456</v>
      </c>
      <c r="AK296" s="10">
        <v>583</v>
      </c>
      <c r="AL296" s="10">
        <v>2068</v>
      </c>
      <c r="AM296" s="10">
        <v>599</v>
      </c>
      <c r="AN296" s="10">
        <v>1135</v>
      </c>
      <c r="AO296" s="10">
        <v>425</v>
      </c>
      <c r="AP296" s="10">
        <v>510</v>
      </c>
      <c r="AQ296" s="10">
        <v>865</v>
      </c>
      <c r="AR296" s="10">
        <v>471</v>
      </c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</row>
    <row r="297" spans="1:81">
      <c r="A297" s="4" t="s">
        <v>789</v>
      </c>
      <c r="B297" s="1" t="s">
        <v>790</v>
      </c>
      <c r="C297" s="1" t="s">
        <v>599</v>
      </c>
      <c r="D297" s="1" t="str">
        <f>HYPERLINK("http://eros.fiehnlab.ucdavis.edu:8080/binbase-compound/bin/show/288810?db=rtx5","288810")</f>
        <v>288810</v>
      </c>
      <c r="E297" s="1" t="s">
        <v>791</v>
      </c>
      <c r="F297" s="1" t="s">
        <v>0</v>
      </c>
      <c r="G297" s="1" t="s">
        <v>0</v>
      </c>
      <c r="H297" s="1"/>
      <c r="I297" s="10">
        <v>1011</v>
      </c>
      <c r="J297" s="10">
        <v>3361</v>
      </c>
      <c r="K297" s="10">
        <v>3551</v>
      </c>
      <c r="L297" s="10">
        <v>597</v>
      </c>
      <c r="M297" s="10">
        <v>1121</v>
      </c>
      <c r="N297" s="10">
        <v>829</v>
      </c>
      <c r="O297" s="10">
        <v>2129</v>
      </c>
      <c r="P297" s="10">
        <v>5016</v>
      </c>
      <c r="Q297" s="10">
        <v>947</v>
      </c>
      <c r="R297" s="10">
        <v>984</v>
      </c>
      <c r="S297" s="10">
        <v>5237</v>
      </c>
      <c r="T297" s="10">
        <v>4087</v>
      </c>
      <c r="U297" s="10">
        <v>514</v>
      </c>
      <c r="V297" s="10">
        <v>1094</v>
      </c>
      <c r="W297" s="10">
        <v>701</v>
      </c>
      <c r="X297" s="10">
        <v>1013</v>
      </c>
      <c r="Y297" s="10">
        <v>813</v>
      </c>
      <c r="Z297" s="10">
        <v>731</v>
      </c>
      <c r="AA297" s="10">
        <v>3608</v>
      </c>
      <c r="AB297" s="10">
        <v>678</v>
      </c>
      <c r="AC297" s="10">
        <v>3134</v>
      </c>
      <c r="AD297" s="10">
        <v>925</v>
      </c>
      <c r="AE297" s="10">
        <v>849</v>
      </c>
      <c r="AF297" s="10">
        <v>1837</v>
      </c>
      <c r="AG297" s="10">
        <v>1707</v>
      </c>
      <c r="AH297" s="10">
        <v>737</v>
      </c>
      <c r="AI297" s="10">
        <v>1570</v>
      </c>
      <c r="AJ297" s="10">
        <v>1148</v>
      </c>
      <c r="AK297" s="10">
        <v>741</v>
      </c>
      <c r="AL297" s="10">
        <v>2571</v>
      </c>
      <c r="AM297" s="10">
        <v>832</v>
      </c>
      <c r="AN297" s="10">
        <v>1147</v>
      </c>
      <c r="AO297" s="10">
        <v>900</v>
      </c>
      <c r="AP297" s="10">
        <v>739</v>
      </c>
      <c r="AQ297" s="10">
        <v>1285</v>
      </c>
      <c r="AR297" s="10">
        <v>777</v>
      </c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</row>
    <row r="298" spans="1:81">
      <c r="A298" s="4" t="s">
        <v>717</v>
      </c>
      <c r="B298" s="1" t="s">
        <v>718</v>
      </c>
      <c r="C298" s="1" t="s">
        <v>141</v>
      </c>
      <c r="D298" s="1" t="str">
        <f>HYPERLINK("http://eros.fiehnlab.ucdavis.edu:8080/binbase-compound/bin/show/356938?db=rtx5","356938")</f>
        <v>356938</v>
      </c>
      <c r="E298" s="1" t="s">
        <v>719</v>
      </c>
      <c r="F298" s="1" t="s">
        <v>0</v>
      </c>
      <c r="G298" s="1" t="s">
        <v>0</v>
      </c>
      <c r="H298" s="1"/>
      <c r="I298" s="10">
        <v>312</v>
      </c>
      <c r="J298" s="10">
        <v>873</v>
      </c>
      <c r="K298" s="10">
        <v>795</v>
      </c>
      <c r="L298" s="10">
        <v>315</v>
      </c>
      <c r="M298" s="10">
        <v>472</v>
      </c>
      <c r="N298" s="10">
        <v>323</v>
      </c>
      <c r="O298" s="10">
        <v>444</v>
      </c>
      <c r="P298" s="10">
        <v>932</v>
      </c>
      <c r="Q298" s="10">
        <v>409</v>
      </c>
      <c r="R298" s="10">
        <v>464</v>
      </c>
      <c r="S298" s="10">
        <v>809</v>
      </c>
      <c r="T298" s="10">
        <v>863</v>
      </c>
      <c r="U298" s="10">
        <v>319</v>
      </c>
      <c r="V298" s="10">
        <v>798</v>
      </c>
      <c r="W298" s="10">
        <v>412</v>
      </c>
      <c r="X298" s="10">
        <v>341</v>
      </c>
      <c r="Y298" s="10">
        <v>399</v>
      </c>
      <c r="Z298" s="10">
        <v>411</v>
      </c>
      <c r="AA298" s="10">
        <v>1129</v>
      </c>
      <c r="AB298" s="10">
        <v>332</v>
      </c>
      <c r="AC298" s="10">
        <v>752</v>
      </c>
      <c r="AD298" s="10">
        <v>399</v>
      </c>
      <c r="AE298" s="10">
        <v>370</v>
      </c>
      <c r="AF298" s="10">
        <v>606</v>
      </c>
      <c r="AG298" s="10">
        <v>711</v>
      </c>
      <c r="AH298" s="10">
        <v>333</v>
      </c>
      <c r="AI298" s="10">
        <v>558</v>
      </c>
      <c r="AJ298" s="10">
        <v>770</v>
      </c>
      <c r="AK298" s="10">
        <v>369</v>
      </c>
      <c r="AL298" s="10">
        <v>1071</v>
      </c>
      <c r="AM298" s="10">
        <v>508</v>
      </c>
      <c r="AN298" s="10">
        <v>951</v>
      </c>
      <c r="AO298" s="10">
        <v>358</v>
      </c>
      <c r="AP298" s="10">
        <v>346</v>
      </c>
      <c r="AQ298" s="10">
        <v>507</v>
      </c>
      <c r="AR298" s="10">
        <v>271</v>
      </c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</row>
    <row r="299" spans="1:81">
      <c r="A299" s="4" t="s">
        <v>544</v>
      </c>
      <c r="B299" s="1" t="s">
        <v>545</v>
      </c>
      <c r="C299" s="1" t="s">
        <v>546</v>
      </c>
      <c r="D299" s="1" t="str">
        <f>HYPERLINK("http://eros.fiehnlab.ucdavis.edu:8080/binbase-compound/bin/show/409521?db=rtx5","409521")</f>
        <v>409521</v>
      </c>
      <c r="E299" s="1" t="s">
        <v>547</v>
      </c>
      <c r="F299" s="1" t="s">
        <v>0</v>
      </c>
      <c r="G299" s="1" t="s">
        <v>0</v>
      </c>
      <c r="H299" s="1"/>
      <c r="I299" s="10">
        <v>826</v>
      </c>
      <c r="J299" s="10">
        <v>1585</v>
      </c>
      <c r="K299" s="10">
        <v>1195</v>
      </c>
      <c r="L299" s="10">
        <v>1000</v>
      </c>
      <c r="M299" s="10">
        <v>1474</v>
      </c>
      <c r="N299" s="10">
        <v>887</v>
      </c>
      <c r="O299" s="10">
        <v>804</v>
      </c>
      <c r="P299" s="10">
        <v>2117</v>
      </c>
      <c r="Q299" s="10">
        <v>1221</v>
      </c>
      <c r="R299" s="10">
        <v>1461</v>
      </c>
      <c r="S299" s="10">
        <v>1483</v>
      </c>
      <c r="T299" s="10">
        <v>817</v>
      </c>
      <c r="U299" s="10">
        <v>1435</v>
      </c>
      <c r="V299" s="10">
        <v>3057</v>
      </c>
      <c r="W299" s="10">
        <v>1281</v>
      </c>
      <c r="X299" s="10">
        <v>620</v>
      </c>
      <c r="Y299" s="10">
        <v>1584</v>
      </c>
      <c r="Z299" s="10">
        <v>1084</v>
      </c>
      <c r="AA299" s="10">
        <v>1937</v>
      </c>
      <c r="AB299" s="10">
        <v>394</v>
      </c>
      <c r="AC299" s="10">
        <v>980</v>
      </c>
      <c r="AD299" s="10">
        <v>2082</v>
      </c>
      <c r="AE299" s="10">
        <v>684</v>
      </c>
      <c r="AF299" s="10">
        <v>950</v>
      </c>
      <c r="AG299" s="10">
        <v>2176</v>
      </c>
      <c r="AH299" s="10">
        <v>1693</v>
      </c>
      <c r="AI299" s="10">
        <v>1318</v>
      </c>
      <c r="AJ299" s="10">
        <v>1495</v>
      </c>
      <c r="AK299" s="10">
        <v>1156</v>
      </c>
      <c r="AL299" s="10">
        <v>1100</v>
      </c>
      <c r="AM299" s="10">
        <v>912</v>
      </c>
      <c r="AN299" s="10">
        <v>3087</v>
      </c>
      <c r="AO299" s="10">
        <v>953</v>
      </c>
      <c r="AP299" s="10">
        <v>1945</v>
      </c>
      <c r="AQ299" s="10">
        <v>980</v>
      </c>
      <c r="AR299" s="10">
        <v>1728</v>
      </c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</row>
    <row r="300" spans="1:81">
      <c r="A300" s="4" t="s">
        <v>1097</v>
      </c>
      <c r="B300" s="1" t="s">
        <v>1098</v>
      </c>
      <c r="C300" s="1" t="s">
        <v>115</v>
      </c>
      <c r="D300" s="1" t="str">
        <f>HYPERLINK("http://eros.fiehnlab.ucdavis.edu:8080/binbase-compound/bin/show/213327?db=rtx5","213327")</f>
        <v>213327</v>
      </c>
      <c r="E300" s="1" t="s">
        <v>1099</v>
      </c>
      <c r="F300" s="1" t="s">
        <v>0</v>
      </c>
      <c r="G300" s="1" t="s">
        <v>0</v>
      </c>
      <c r="H300" s="1"/>
      <c r="I300" s="10">
        <v>181701</v>
      </c>
      <c r="J300" s="10">
        <v>200536</v>
      </c>
      <c r="K300" s="10">
        <v>298825</v>
      </c>
      <c r="L300" s="10">
        <v>181644</v>
      </c>
      <c r="M300" s="10">
        <v>110956</v>
      </c>
      <c r="N300" s="10">
        <v>84227</v>
      </c>
      <c r="O300" s="10">
        <v>80670</v>
      </c>
      <c r="P300" s="10">
        <v>42091</v>
      </c>
      <c r="Q300" s="10">
        <v>67315</v>
      </c>
      <c r="R300" s="10">
        <v>71336</v>
      </c>
      <c r="S300" s="10">
        <v>52995</v>
      </c>
      <c r="T300" s="10">
        <v>136353</v>
      </c>
      <c r="U300" s="10">
        <v>44342</v>
      </c>
      <c r="V300" s="10">
        <v>142265</v>
      </c>
      <c r="W300" s="10">
        <v>124415</v>
      </c>
      <c r="X300" s="10">
        <v>84873</v>
      </c>
      <c r="Y300" s="10">
        <v>88066</v>
      </c>
      <c r="Z300" s="10">
        <v>177552</v>
      </c>
      <c r="AA300" s="10">
        <v>103562</v>
      </c>
      <c r="AB300" s="10">
        <v>81368</v>
      </c>
      <c r="AC300" s="10">
        <v>203997</v>
      </c>
      <c r="AD300" s="10">
        <v>132093</v>
      </c>
      <c r="AE300" s="10">
        <v>94067</v>
      </c>
      <c r="AF300" s="10">
        <v>135966</v>
      </c>
      <c r="AG300" s="10">
        <v>130702</v>
      </c>
      <c r="AH300" s="10">
        <v>80624</v>
      </c>
      <c r="AI300" s="10">
        <v>170798</v>
      </c>
      <c r="AJ300" s="10">
        <v>206164</v>
      </c>
      <c r="AK300" s="10">
        <v>177201</v>
      </c>
      <c r="AL300" s="10">
        <v>124198</v>
      </c>
      <c r="AM300" s="10">
        <v>94104</v>
      </c>
      <c r="AN300" s="10">
        <v>190998</v>
      </c>
      <c r="AO300" s="10">
        <v>101094</v>
      </c>
      <c r="AP300" s="10">
        <v>101821</v>
      </c>
      <c r="AQ300" s="10">
        <v>152572</v>
      </c>
      <c r="AR300" s="10">
        <v>165917</v>
      </c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</row>
    <row r="301" spans="1:81">
      <c r="A301" s="4" t="s">
        <v>687</v>
      </c>
      <c r="B301" s="1" t="s">
        <v>688</v>
      </c>
      <c r="C301" s="1" t="s">
        <v>185</v>
      </c>
      <c r="D301" s="1" t="str">
        <f>HYPERLINK("http://eros.fiehnlab.ucdavis.edu:8080/binbase-compound/bin/show/360205?db=rtx5","360205")</f>
        <v>360205</v>
      </c>
      <c r="E301" s="1" t="s">
        <v>689</v>
      </c>
      <c r="F301" s="1" t="s">
        <v>0</v>
      </c>
      <c r="G301" s="1" t="s">
        <v>0</v>
      </c>
      <c r="H301" s="1"/>
      <c r="I301" s="10">
        <v>1683</v>
      </c>
      <c r="J301" s="10">
        <v>6209</v>
      </c>
      <c r="K301" s="10">
        <v>7477</v>
      </c>
      <c r="L301" s="10">
        <v>2157</v>
      </c>
      <c r="M301" s="10">
        <v>1943</v>
      </c>
      <c r="N301" s="10">
        <v>1531</v>
      </c>
      <c r="O301" s="10">
        <v>5462</v>
      </c>
      <c r="P301" s="10">
        <v>11416</v>
      </c>
      <c r="Q301" s="10">
        <v>1553</v>
      </c>
      <c r="R301" s="10">
        <v>1711</v>
      </c>
      <c r="S301" s="10">
        <v>8015</v>
      </c>
      <c r="T301" s="10">
        <v>6474</v>
      </c>
      <c r="U301" s="10">
        <v>1286</v>
      </c>
      <c r="V301" s="10">
        <v>6248</v>
      </c>
      <c r="W301" s="10">
        <v>5349</v>
      </c>
      <c r="X301" s="10">
        <v>1530</v>
      </c>
      <c r="Y301" s="10">
        <v>2826</v>
      </c>
      <c r="Z301" s="10">
        <v>1386</v>
      </c>
      <c r="AA301" s="10">
        <v>8852</v>
      </c>
      <c r="AB301" s="10">
        <v>3505</v>
      </c>
      <c r="AC301" s="10">
        <v>6392</v>
      </c>
      <c r="AD301" s="10">
        <v>2666</v>
      </c>
      <c r="AE301" s="10">
        <v>1813</v>
      </c>
      <c r="AF301" s="10">
        <v>4208</v>
      </c>
      <c r="AG301" s="10">
        <v>6039</v>
      </c>
      <c r="AH301" s="10">
        <v>3105</v>
      </c>
      <c r="AI301" s="10">
        <v>2340</v>
      </c>
      <c r="AJ301" s="10">
        <v>4412</v>
      </c>
      <c r="AK301" s="10">
        <v>3689</v>
      </c>
      <c r="AL301" s="10">
        <v>6530</v>
      </c>
      <c r="AM301" s="10">
        <v>2625</v>
      </c>
      <c r="AN301" s="10">
        <v>4690</v>
      </c>
      <c r="AO301" s="10">
        <v>2539</v>
      </c>
      <c r="AP301" s="10">
        <v>1605</v>
      </c>
      <c r="AQ301" s="10">
        <v>4245</v>
      </c>
      <c r="AR301" s="10">
        <v>1624</v>
      </c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</row>
    <row r="302" spans="1:81">
      <c r="A302" s="4" t="s">
        <v>1110</v>
      </c>
      <c r="B302" s="1" t="s">
        <v>1111</v>
      </c>
      <c r="C302" s="1" t="s">
        <v>201</v>
      </c>
      <c r="D302" s="1" t="str">
        <f>HYPERLINK("http://eros.fiehnlab.ucdavis.edu:8080/binbase-compound/bin/show/212793?db=rtx5","212793")</f>
        <v>212793</v>
      </c>
      <c r="E302" s="1" t="s">
        <v>1112</v>
      </c>
      <c r="F302" s="1" t="s">
        <v>0</v>
      </c>
      <c r="G302" s="1" t="s">
        <v>0</v>
      </c>
      <c r="H302" s="1"/>
      <c r="I302" s="10">
        <v>2485</v>
      </c>
      <c r="J302" s="10">
        <v>8798</v>
      </c>
      <c r="K302" s="10">
        <v>8615</v>
      </c>
      <c r="L302" s="10">
        <v>1883</v>
      </c>
      <c r="M302" s="10">
        <v>3986</v>
      </c>
      <c r="N302" s="10">
        <v>2189</v>
      </c>
      <c r="O302" s="10">
        <v>4805</v>
      </c>
      <c r="P302" s="10">
        <v>11087</v>
      </c>
      <c r="Q302" s="10">
        <v>3496</v>
      </c>
      <c r="R302" s="10">
        <v>3812</v>
      </c>
      <c r="S302" s="10">
        <v>10506</v>
      </c>
      <c r="T302" s="10">
        <v>8967</v>
      </c>
      <c r="U302" s="10">
        <v>2203</v>
      </c>
      <c r="V302" s="10">
        <v>5767</v>
      </c>
      <c r="W302" s="10">
        <v>3736</v>
      </c>
      <c r="X302" s="10">
        <v>2757</v>
      </c>
      <c r="Y302" s="10">
        <v>2537</v>
      </c>
      <c r="Z302" s="10">
        <v>2772</v>
      </c>
      <c r="AA302" s="10">
        <v>8768</v>
      </c>
      <c r="AB302" s="10">
        <v>2642</v>
      </c>
      <c r="AC302" s="10">
        <v>6912</v>
      </c>
      <c r="AD302" s="10">
        <v>3023</v>
      </c>
      <c r="AE302" s="10">
        <v>2715</v>
      </c>
      <c r="AF302" s="10">
        <v>5266</v>
      </c>
      <c r="AG302" s="10">
        <v>5182</v>
      </c>
      <c r="AH302" s="10">
        <v>2076</v>
      </c>
      <c r="AI302" s="10">
        <v>4178</v>
      </c>
      <c r="AJ302" s="10">
        <v>6192</v>
      </c>
      <c r="AK302" s="10">
        <v>3430</v>
      </c>
      <c r="AL302" s="10">
        <v>9977</v>
      </c>
      <c r="AM302" s="10">
        <v>3747</v>
      </c>
      <c r="AN302" s="10">
        <v>5567</v>
      </c>
      <c r="AO302" s="10">
        <v>3035</v>
      </c>
      <c r="AP302" s="10">
        <v>2398</v>
      </c>
      <c r="AQ302" s="10">
        <v>4339</v>
      </c>
      <c r="AR302" s="10">
        <v>2469</v>
      </c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</row>
    <row r="303" spans="1:81">
      <c r="A303" s="4" t="s">
        <v>615</v>
      </c>
      <c r="B303" s="1" t="s">
        <v>616</v>
      </c>
      <c r="C303" s="1" t="s">
        <v>617</v>
      </c>
      <c r="D303" s="1" t="str">
        <f>HYPERLINK("http://eros.fiehnlab.ucdavis.edu:8080/binbase-compound/bin/show/408701?db=rtx5","408701")</f>
        <v>408701</v>
      </c>
      <c r="E303" s="1" t="s">
        <v>618</v>
      </c>
      <c r="F303" s="1" t="s">
        <v>0</v>
      </c>
      <c r="G303" s="1" t="s">
        <v>0</v>
      </c>
      <c r="H303" s="1"/>
      <c r="I303" s="10">
        <v>1385</v>
      </c>
      <c r="J303" s="10">
        <v>4065</v>
      </c>
      <c r="K303" s="10">
        <v>3755</v>
      </c>
      <c r="L303" s="10">
        <v>1072</v>
      </c>
      <c r="M303" s="10">
        <v>1734</v>
      </c>
      <c r="N303" s="10">
        <v>1136</v>
      </c>
      <c r="O303" s="10">
        <v>2346</v>
      </c>
      <c r="P303" s="10">
        <v>4468</v>
      </c>
      <c r="Q303" s="10">
        <v>1575</v>
      </c>
      <c r="R303" s="10">
        <v>2005</v>
      </c>
      <c r="S303" s="10">
        <v>4494</v>
      </c>
      <c r="T303" s="10">
        <v>4107</v>
      </c>
      <c r="U303" s="10">
        <v>1023</v>
      </c>
      <c r="V303" s="10">
        <v>2432</v>
      </c>
      <c r="W303" s="10">
        <v>1724</v>
      </c>
      <c r="X303" s="10">
        <v>1428</v>
      </c>
      <c r="Y303" s="10">
        <v>1394</v>
      </c>
      <c r="Z303" s="10">
        <v>1452</v>
      </c>
      <c r="AA303" s="10">
        <v>3282</v>
      </c>
      <c r="AB303" s="10">
        <v>1175</v>
      </c>
      <c r="AC303" s="10">
        <v>2999</v>
      </c>
      <c r="AD303" s="10">
        <v>1718</v>
      </c>
      <c r="AE303" s="10">
        <v>1303</v>
      </c>
      <c r="AF303" s="10">
        <v>2317</v>
      </c>
      <c r="AG303" s="10">
        <v>2567</v>
      </c>
      <c r="AH303" s="10">
        <v>1142</v>
      </c>
      <c r="AI303" s="10">
        <v>2196</v>
      </c>
      <c r="AJ303" s="10">
        <v>2735</v>
      </c>
      <c r="AK303" s="10">
        <v>1488</v>
      </c>
      <c r="AL303" s="10">
        <v>4430</v>
      </c>
      <c r="AM303" s="10">
        <v>1866</v>
      </c>
      <c r="AN303" s="10">
        <v>1816</v>
      </c>
      <c r="AO303" s="10">
        <v>1280</v>
      </c>
      <c r="AP303" s="10">
        <v>1398</v>
      </c>
      <c r="AQ303" s="10">
        <v>1845</v>
      </c>
      <c r="AR303" s="10">
        <v>1368</v>
      </c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</row>
    <row r="304" spans="1:81">
      <c r="A304" s="4" t="s">
        <v>635</v>
      </c>
      <c r="B304" s="1" t="s">
        <v>636</v>
      </c>
      <c r="C304" s="1" t="s">
        <v>637</v>
      </c>
      <c r="D304" s="1" t="str">
        <f>HYPERLINK("http://eros.fiehnlab.ucdavis.edu:8080/binbase-compound/bin/show/408490?db=rtx5","408490")</f>
        <v>408490</v>
      </c>
      <c r="E304" s="1" t="s">
        <v>638</v>
      </c>
      <c r="F304" s="1" t="s">
        <v>0</v>
      </c>
      <c r="G304" s="1" t="s">
        <v>0</v>
      </c>
      <c r="H304" s="1"/>
      <c r="I304" s="10">
        <v>1183</v>
      </c>
      <c r="J304" s="10">
        <v>4461</v>
      </c>
      <c r="K304" s="10">
        <v>4181</v>
      </c>
      <c r="L304" s="10">
        <v>804</v>
      </c>
      <c r="M304" s="10">
        <v>1755</v>
      </c>
      <c r="N304" s="10">
        <v>1072</v>
      </c>
      <c r="O304" s="10">
        <v>1894</v>
      </c>
      <c r="P304" s="10">
        <v>6201</v>
      </c>
      <c r="Q304" s="10">
        <v>1355</v>
      </c>
      <c r="R304" s="10">
        <v>1692</v>
      </c>
      <c r="S304" s="10">
        <v>4362</v>
      </c>
      <c r="T304" s="10">
        <v>4266</v>
      </c>
      <c r="U304" s="10">
        <v>987</v>
      </c>
      <c r="V304" s="10">
        <v>2205</v>
      </c>
      <c r="W304" s="10">
        <v>1505</v>
      </c>
      <c r="X304" s="10">
        <v>997</v>
      </c>
      <c r="Y304" s="10">
        <v>1366</v>
      </c>
      <c r="Z304" s="10">
        <v>1359</v>
      </c>
      <c r="AA304" s="10">
        <v>3714</v>
      </c>
      <c r="AB304" s="10">
        <v>1012</v>
      </c>
      <c r="AC304" s="10">
        <v>2773</v>
      </c>
      <c r="AD304" s="10">
        <v>1388</v>
      </c>
      <c r="AE304" s="10">
        <v>1347</v>
      </c>
      <c r="AF304" s="10">
        <v>2163</v>
      </c>
      <c r="AG304" s="10">
        <v>2788</v>
      </c>
      <c r="AH304" s="10">
        <v>931</v>
      </c>
      <c r="AI304" s="10">
        <v>2402</v>
      </c>
      <c r="AJ304" s="10">
        <v>3074</v>
      </c>
      <c r="AK304" s="10">
        <v>1389</v>
      </c>
      <c r="AL304" s="10">
        <v>4238</v>
      </c>
      <c r="AM304" s="10">
        <v>1571</v>
      </c>
      <c r="AN304" s="10">
        <v>3163</v>
      </c>
      <c r="AO304" s="10">
        <v>1382</v>
      </c>
      <c r="AP304" s="10">
        <v>1144</v>
      </c>
      <c r="AQ304" s="10">
        <v>1912</v>
      </c>
      <c r="AR304" s="10">
        <v>1215</v>
      </c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</row>
    <row r="305" spans="1:81">
      <c r="A305" s="4" t="s">
        <v>833</v>
      </c>
      <c r="B305" s="1" t="s">
        <v>834</v>
      </c>
      <c r="C305" s="1" t="s">
        <v>835</v>
      </c>
      <c r="D305" s="1" t="str">
        <f>HYPERLINK("http://eros.fiehnlab.ucdavis.edu:8080/binbase-compound/bin/show/268306?db=rtx5","268306")</f>
        <v>268306</v>
      </c>
      <c r="E305" s="1" t="s">
        <v>836</v>
      </c>
      <c r="F305" s="1" t="s">
        <v>0</v>
      </c>
      <c r="G305" s="1" t="s">
        <v>0</v>
      </c>
      <c r="H305" s="1"/>
      <c r="I305" s="10">
        <v>394</v>
      </c>
      <c r="J305" s="10">
        <v>1518</v>
      </c>
      <c r="K305" s="10">
        <v>1226</v>
      </c>
      <c r="L305" s="10">
        <v>277</v>
      </c>
      <c r="M305" s="10">
        <v>333</v>
      </c>
      <c r="N305" s="10">
        <v>392</v>
      </c>
      <c r="O305" s="10">
        <v>1113</v>
      </c>
      <c r="P305" s="10">
        <v>1120</v>
      </c>
      <c r="Q305" s="10">
        <v>376</v>
      </c>
      <c r="R305" s="10">
        <v>489</v>
      </c>
      <c r="S305" s="10">
        <v>1267</v>
      </c>
      <c r="T305" s="10">
        <v>1325</v>
      </c>
      <c r="U305" s="10">
        <v>226</v>
      </c>
      <c r="V305" s="10">
        <v>1177</v>
      </c>
      <c r="W305" s="10">
        <v>457</v>
      </c>
      <c r="X305" s="10">
        <v>305</v>
      </c>
      <c r="Y305" s="10">
        <v>339</v>
      </c>
      <c r="Z305" s="10">
        <v>443</v>
      </c>
      <c r="AA305" s="10">
        <v>977</v>
      </c>
      <c r="AB305" s="10">
        <v>229</v>
      </c>
      <c r="AC305" s="10">
        <v>531</v>
      </c>
      <c r="AD305" s="10">
        <v>323</v>
      </c>
      <c r="AE305" s="10">
        <v>287</v>
      </c>
      <c r="AF305" s="10">
        <v>572</v>
      </c>
      <c r="AG305" s="10">
        <v>667</v>
      </c>
      <c r="AH305" s="10">
        <v>323</v>
      </c>
      <c r="AI305" s="10">
        <v>457</v>
      </c>
      <c r="AJ305" s="10">
        <v>912</v>
      </c>
      <c r="AK305" s="10">
        <v>442</v>
      </c>
      <c r="AL305" s="10">
        <v>997</v>
      </c>
      <c r="AM305" s="10">
        <v>426</v>
      </c>
      <c r="AN305" s="10">
        <v>801</v>
      </c>
      <c r="AO305" s="10">
        <v>388</v>
      </c>
      <c r="AP305" s="10">
        <v>247</v>
      </c>
      <c r="AQ305" s="10">
        <v>351</v>
      </c>
      <c r="AR305" s="10">
        <v>254</v>
      </c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</row>
    <row r="306" spans="1:81">
      <c r="A306" s="4" t="s">
        <v>560</v>
      </c>
      <c r="B306" s="1" t="s">
        <v>561</v>
      </c>
      <c r="C306" s="1" t="s">
        <v>562</v>
      </c>
      <c r="D306" s="1" t="str">
        <f>HYPERLINK("http://eros.fiehnlab.ucdavis.edu:8080/binbase-compound/bin/show/409052?db=rtx5","409052")</f>
        <v>409052</v>
      </c>
      <c r="E306" s="1" t="s">
        <v>563</v>
      </c>
      <c r="F306" s="1" t="s">
        <v>0</v>
      </c>
      <c r="G306" s="1" t="s">
        <v>0</v>
      </c>
      <c r="H306" s="1"/>
      <c r="I306" s="10">
        <v>1860</v>
      </c>
      <c r="J306" s="10">
        <v>3605</v>
      </c>
      <c r="K306" s="10">
        <v>2300</v>
      </c>
      <c r="L306" s="10">
        <v>1105</v>
      </c>
      <c r="M306" s="10">
        <v>3945</v>
      </c>
      <c r="N306" s="10">
        <v>1572</v>
      </c>
      <c r="O306" s="10">
        <v>1399</v>
      </c>
      <c r="P306" s="10">
        <v>2255</v>
      </c>
      <c r="Q306" s="10">
        <v>1923</v>
      </c>
      <c r="R306" s="10">
        <v>2947</v>
      </c>
      <c r="S306" s="10">
        <v>5061</v>
      </c>
      <c r="T306" s="10">
        <v>939</v>
      </c>
      <c r="U306" s="10">
        <v>1298</v>
      </c>
      <c r="V306" s="10">
        <v>2712</v>
      </c>
      <c r="W306" s="10">
        <v>1586</v>
      </c>
      <c r="X306" s="10">
        <v>1649</v>
      </c>
      <c r="Y306" s="10">
        <v>1844</v>
      </c>
      <c r="Z306" s="10">
        <v>2097</v>
      </c>
      <c r="AA306" s="10">
        <v>3486</v>
      </c>
      <c r="AB306" s="10">
        <v>1314</v>
      </c>
      <c r="AC306" s="10">
        <v>2459</v>
      </c>
      <c r="AD306" s="10">
        <v>2020</v>
      </c>
      <c r="AE306" s="10">
        <v>1077</v>
      </c>
      <c r="AF306" s="10">
        <v>2000</v>
      </c>
      <c r="AG306" s="10">
        <v>3104</v>
      </c>
      <c r="AH306" s="10">
        <v>1937</v>
      </c>
      <c r="AI306" s="10">
        <v>2267</v>
      </c>
      <c r="AJ306" s="10">
        <v>3013</v>
      </c>
      <c r="AK306" s="10">
        <v>1816</v>
      </c>
      <c r="AL306" s="10">
        <v>4739</v>
      </c>
      <c r="AM306" s="10">
        <v>1177</v>
      </c>
      <c r="AN306" s="10">
        <v>2100</v>
      </c>
      <c r="AO306" s="10">
        <v>1404</v>
      </c>
      <c r="AP306" s="10">
        <v>1716</v>
      </c>
      <c r="AQ306" s="10">
        <v>1937</v>
      </c>
      <c r="AR306" s="10">
        <v>2221</v>
      </c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</row>
    <row r="307" spans="1:81">
      <c r="A307" s="4" t="s">
        <v>619</v>
      </c>
      <c r="B307" s="1" t="s">
        <v>620</v>
      </c>
      <c r="C307" s="1" t="s">
        <v>115</v>
      </c>
      <c r="D307" s="1" t="str">
        <f>HYPERLINK("http://eros.fiehnlab.ucdavis.edu:8080/binbase-compound/bin/show/408638?db=rtx5","408638")</f>
        <v>408638</v>
      </c>
      <c r="E307" s="1" t="s">
        <v>621</v>
      </c>
      <c r="F307" s="1" t="s">
        <v>0</v>
      </c>
      <c r="G307" s="1" t="s">
        <v>0</v>
      </c>
      <c r="H307" s="1"/>
      <c r="I307" s="10">
        <v>66782</v>
      </c>
      <c r="J307" s="10">
        <v>93544</v>
      </c>
      <c r="K307" s="10">
        <v>74652</v>
      </c>
      <c r="L307" s="10">
        <v>43562</v>
      </c>
      <c r="M307" s="10">
        <v>33183</v>
      </c>
      <c r="N307" s="10">
        <v>30083</v>
      </c>
      <c r="O307" s="10">
        <v>95696</v>
      </c>
      <c r="P307" s="10">
        <v>48933</v>
      </c>
      <c r="Q307" s="10">
        <v>75344</v>
      </c>
      <c r="R307" s="10">
        <v>103371</v>
      </c>
      <c r="S307" s="10">
        <v>100926</v>
      </c>
      <c r="T307" s="10">
        <v>91148</v>
      </c>
      <c r="U307" s="10">
        <v>55199</v>
      </c>
      <c r="V307" s="10">
        <v>83052</v>
      </c>
      <c r="W307" s="10">
        <v>90634</v>
      </c>
      <c r="X307" s="10">
        <v>70495</v>
      </c>
      <c r="Y307" s="10">
        <v>41273</v>
      </c>
      <c r="Z307" s="10">
        <v>65029</v>
      </c>
      <c r="AA307" s="10">
        <v>96927</v>
      </c>
      <c r="AB307" s="10">
        <v>74559</v>
      </c>
      <c r="AC307" s="10">
        <v>110347</v>
      </c>
      <c r="AD307" s="10">
        <v>66951</v>
      </c>
      <c r="AE307" s="10">
        <v>53441</v>
      </c>
      <c r="AF307" s="10">
        <v>101768</v>
      </c>
      <c r="AG307" s="10">
        <v>106549</v>
      </c>
      <c r="AH307" s="10">
        <v>43435</v>
      </c>
      <c r="AI307" s="10">
        <v>80624</v>
      </c>
      <c r="AJ307" s="10">
        <v>79546</v>
      </c>
      <c r="AK307" s="10">
        <v>67477</v>
      </c>
      <c r="AL307" s="10">
        <v>78657</v>
      </c>
      <c r="AM307" s="10">
        <v>47228</v>
      </c>
      <c r="AN307" s="10">
        <v>94395</v>
      </c>
      <c r="AO307" s="10">
        <v>58006</v>
      </c>
      <c r="AP307" s="10">
        <v>58420</v>
      </c>
      <c r="AQ307" s="10">
        <v>51220</v>
      </c>
      <c r="AR307" s="10">
        <v>65298</v>
      </c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</row>
    <row r="308" spans="1:81">
      <c r="A308" s="4" t="s">
        <v>911</v>
      </c>
      <c r="B308" s="1" t="s">
        <v>912</v>
      </c>
      <c r="C308" s="1" t="s">
        <v>445</v>
      </c>
      <c r="D308" s="1" t="str">
        <f>HYPERLINK("http://eros.fiehnlab.ucdavis.edu:8080/binbase-compound/bin/show/239332?db=rtx5","239332")</f>
        <v>239332</v>
      </c>
      <c r="E308" s="1" t="s">
        <v>913</v>
      </c>
      <c r="F308" s="1" t="s">
        <v>0</v>
      </c>
      <c r="G308" s="1" t="s">
        <v>0</v>
      </c>
      <c r="H308" s="1"/>
      <c r="I308" s="10">
        <v>3161</v>
      </c>
      <c r="J308" s="10">
        <v>5161</v>
      </c>
      <c r="K308" s="10">
        <v>1272</v>
      </c>
      <c r="L308" s="10">
        <v>3274</v>
      </c>
      <c r="M308" s="10">
        <v>2716</v>
      </c>
      <c r="N308" s="10">
        <v>1796</v>
      </c>
      <c r="O308" s="10">
        <v>4512</v>
      </c>
      <c r="P308" s="10">
        <v>1131</v>
      </c>
      <c r="Q308" s="10">
        <v>3278</v>
      </c>
      <c r="R308" s="10">
        <v>4111</v>
      </c>
      <c r="S308" s="10">
        <v>5862</v>
      </c>
      <c r="T308" s="10">
        <v>1328</v>
      </c>
      <c r="U308" s="10">
        <v>2499</v>
      </c>
      <c r="V308" s="10">
        <v>3144</v>
      </c>
      <c r="W308" s="10">
        <v>2346</v>
      </c>
      <c r="X308" s="10">
        <v>3768</v>
      </c>
      <c r="Y308" s="10">
        <v>1960</v>
      </c>
      <c r="Z308" s="10">
        <v>1559</v>
      </c>
      <c r="AA308" s="10">
        <v>5588</v>
      </c>
      <c r="AB308" s="10">
        <v>3642</v>
      </c>
      <c r="AC308" s="10">
        <v>3585</v>
      </c>
      <c r="AD308" s="10">
        <v>2411</v>
      </c>
      <c r="AE308" s="10">
        <v>2359</v>
      </c>
      <c r="AF308" s="10">
        <v>3546</v>
      </c>
      <c r="AG308" s="10">
        <v>3122</v>
      </c>
      <c r="AH308" s="10">
        <v>2392</v>
      </c>
      <c r="AI308" s="10">
        <v>2789</v>
      </c>
      <c r="AJ308" s="10">
        <v>3172</v>
      </c>
      <c r="AK308" s="10">
        <v>2075</v>
      </c>
      <c r="AL308" s="10">
        <v>5870</v>
      </c>
      <c r="AM308" s="10">
        <v>2949</v>
      </c>
      <c r="AN308" s="10">
        <v>4616</v>
      </c>
      <c r="AO308" s="10">
        <v>2790</v>
      </c>
      <c r="AP308" s="10">
        <v>2170</v>
      </c>
      <c r="AQ308" s="10">
        <v>1917</v>
      </c>
      <c r="AR308" s="10">
        <v>1591</v>
      </c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</row>
    <row r="309" spans="1:81">
      <c r="A309" s="4" t="s">
        <v>1134</v>
      </c>
      <c r="B309" s="1" t="s">
        <v>1135</v>
      </c>
      <c r="C309" s="1" t="s">
        <v>867</v>
      </c>
      <c r="D309" s="1" t="str">
        <f>HYPERLINK("http://eros.fiehnlab.ucdavis.edu:8080/binbase-compound/bin/show/206309?db=rtx5","206309")</f>
        <v>206309</v>
      </c>
      <c r="E309" s="1" t="s">
        <v>1136</v>
      </c>
      <c r="F309" s="1" t="s">
        <v>0</v>
      </c>
      <c r="G309" s="1" t="s">
        <v>0</v>
      </c>
      <c r="H309" s="1"/>
      <c r="I309" s="10">
        <v>742</v>
      </c>
      <c r="J309" s="10">
        <v>6222</v>
      </c>
      <c r="K309" s="10">
        <v>3296</v>
      </c>
      <c r="L309" s="10">
        <v>507</v>
      </c>
      <c r="M309" s="10">
        <v>1402</v>
      </c>
      <c r="N309" s="10">
        <v>696</v>
      </c>
      <c r="O309" s="10">
        <v>1704</v>
      </c>
      <c r="P309" s="10">
        <v>4046</v>
      </c>
      <c r="Q309" s="10">
        <v>883</v>
      </c>
      <c r="R309" s="10">
        <v>3008</v>
      </c>
      <c r="S309" s="10">
        <v>4293</v>
      </c>
      <c r="T309" s="10">
        <v>3944</v>
      </c>
      <c r="U309" s="10">
        <v>403</v>
      </c>
      <c r="V309" s="10">
        <v>1352</v>
      </c>
      <c r="W309" s="10">
        <v>824</v>
      </c>
      <c r="X309" s="10">
        <v>721</v>
      </c>
      <c r="Y309" s="10">
        <v>805</v>
      </c>
      <c r="Z309" s="10">
        <v>785</v>
      </c>
      <c r="AA309" s="10">
        <v>2450</v>
      </c>
      <c r="AB309" s="10">
        <v>1169</v>
      </c>
      <c r="AC309" s="10">
        <v>2286</v>
      </c>
      <c r="AD309" s="10">
        <v>1156</v>
      </c>
      <c r="AE309" s="10">
        <v>618</v>
      </c>
      <c r="AF309" s="10">
        <v>2234</v>
      </c>
      <c r="AG309" s="10">
        <v>1751</v>
      </c>
      <c r="AH309" s="10">
        <v>502</v>
      </c>
      <c r="AI309" s="10">
        <v>1742</v>
      </c>
      <c r="AJ309" s="10">
        <v>1908</v>
      </c>
      <c r="AK309" s="10">
        <v>717</v>
      </c>
      <c r="AL309" s="10">
        <v>3490</v>
      </c>
      <c r="AM309" s="10">
        <v>925</v>
      </c>
      <c r="AN309" s="10">
        <v>1998</v>
      </c>
      <c r="AO309" s="10">
        <v>675</v>
      </c>
      <c r="AP309" s="10">
        <v>605</v>
      </c>
      <c r="AQ309" s="10">
        <v>1220</v>
      </c>
      <c r="AR309" s="10">
        <v>902</v>
      </c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</row>
    <row r="310" spans="1:81">
      <c r="A310" s="4" t="s">
        <v>905</v>
      </c>
      <c r="B310" s="1" t="s">
        <v>906</v>
      </c>
      <c r="C310" s="1" t="s">
        <v>115</v>
      </c>
      <c r="D310" s="1" t="str">
        <f>HYPERLINK("http://eros.fiehnlab.ucdavis.edu:8080/binbase-compound/bin/show/241028?db=rtx5","241028")</f>
        <v>241028</v>
      </c>
      <c r="E310" s="1" t="s">
        <v>907</v>
      </c>
      <c r="F310" s="1" t="s">
        <v>0</v>
      </c>
      <c r="G310" s="1" t="s">
        <v>0</v>
      </c>
      <c r="H310" s="1"/>
      <c r="I310" s="10">
        <v>3234</v>
      </c>
      <c r="J310" s="10">
        <v>7634</v>
      </c>
      <c r="K310" s="10">
        <v>6308</v>
      </c>
      <c r="L310" s="10">
        <v>18051</v>
      </c>
      <c r="M310" s="10">
        <v>11068</v>
      </c>
      <c r="N310" s="10">
        <v>8169</v>
      </c>
      <c r="O310" s="10">
        <v>6551</v>
      </c>
      <c r="P310" s="10">
        <v>3041</v>
      </c>
      <c r="Q310" s="10">
        <v>5935</v>
      </c>
      <c r="R310" s="10">
        <v>12303</v>
      </c>
      <c r="S310" s="10">
        <v>11770</v>
      </c>
      <c r="T310" s="10">
        <v>5703</v>
      </c>
      <c r="U310" s="10">
        <v>15304</v>
      </c>
      <c r="V310" s="10">
        <v>18594</v>
      </c>
      <c r="W310" s="10">
        <v>14235</v>
      </c>
      <c r="X310" s="10">
        <v>11117</v>
      </c>
      <c r="Y310" s="10">
        <v>9050</v>
      </c>
      <c r="Z310" s="10">
        <v>6657</v>
      </c>
      <c r="AA310" s="10">
        <v>8282</v>
      </c>
      <c r="AB310" s="10">
        <v>10565</v>
      </c>
      <c r="AC310" s="10">
        <v>9315</v>
      </c>
      <c r="AD310" s="10">
        <v>5466</v>
      </c>
      <c r="AE310" s="10">
        <v>13765</v>
      </c>
      <c r="AF310" s="10">
        <v>13966</v>
      </c>
      <c r="AG310" s="10">
        <v>15818</v>
      </c>
      <c r="AH310" s="10">
        <v>6790</v>
      </c>
      <c r="AI310" s="10">
        <v>11180</v>
      </c>
      <c r="AJ310" s="10">
        <v>5794</v>
      </c>
      <c r="AK310" s="10">
        <v>15121</v>
      </c>
      <c r="AL310" s="10">
        <v>4320</v>
      </c>
      <c r="AM310" s="10">
        <v>7155</v>
      </c>
      <c r="AN310" s="10">
        <v>19504</v>
      </c>
      <c r="AO310" s="10">
        <v>11998</v>
      </c>
      <c r="AP310" s="10">
        <v>5956</v>
      </c>
      <c r="AQ310" s="10">
        <v>5483</v>
      </c>
      <c r="AR310" s="10">
        <v>5228</v>
      </c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</row>
    <row r="311" spans="1:81">
      <c r="A311" s="4" t="s">
        <v>766</v>
      </c>
      <c r="B311" s="1" t="s">
        <v>767</v>
      </c>
      <c r="C311" s="1" t="s">
        <v>165</v>
      </c>
      <c r="D311" s="1" t="str">
        <f>HYPERLINK("http://eros.fiehnlab.ucdavis.edu:8080/binbase-compound/bin/show/300865?db=rtx5","300865")</f>
        <v>300865</v>
      </c>
      <c r="E311" s="1" t="s">
        <v>768</v>
      </c>
      <c r="F311" s="1" t="s">
        <v>0</v>
      </c>
      <c r="G311" s="1" t="s">
        <v>0</v>
      </c>
      <c r="H311" s="1"/>
      <c r="I311" s="10">
        <v>520</v>
      </c>
      <c r="J311" s="10">
        <v>1575</v>
      </c>
      <c r="K311" s="10">
        <v>1427</v>
      </c>
      <c r="L311" s="10">
        <v>276</v>
      </c>
      <c r="M311" s="10">
        <v>489</v>
      </c>
      <c r="N311" s="10">
        <v>252</v>
      </c>
      <c r="O311" s="10">
        <v>550</v>
      </c>
      <c r="P311" s="10">
        <v>1526</v>
      </c>
      <c r="Q311" s="10">
        <v>437</v>
      </c>
      <c r="R311" s="10">
        <v>578</v>
      </c>
      <c r="S311" s="10">
        <v>1468</v>
      </c>
      <c r="T311" s="10">
        <v>1401</v>
      </c>
      <c r="U311" s="10">
        <v>270</v>
      </c>
      <c r="V311" s="10">
        <v>829</v>
      </c>
      <c r="W311" s="10">
        <v>446</v>
      </c>
      <c r="X311" s="10">
        <v>398</v>
      </c>
      <c r="Y311" s="10">
        <v>387</v>
      </c>
      <c r="Z311" s="10">
        <v>433</v>
      </c>
      <c r="AA311" s="10">
        <v>1549</v>
      </c>
      <c r="AB311" s="10">
        <v>310</v>
      </c>
      <c r="AC311" s="10">
        <v>1018</v>
      </c>
      <c r="AD311" s="10">
        <v>524</v>
      </c>
      <c r="AE311" s="10">
        <v>355</v>
      </c>
      <c r="AF311" s="10">
        <v>751</v>
      </c>
      <c r="AG311" s="10">
        <v>701</v>
      </c>
      <c r="AH311" s="10">
        <v>255</v>
      </c>
      <c r="AI311" s="10">
        <v>677</v>
      </c>
      <c r="AJ311" s="10">
        <v>826</v>
      </c>
      <c r="AK311" s="10">
        <v>629</v>
      </c>
      <c r="AL311" s="10">
        <v>1628</v>
      </c>
      <c r="AM311" s="10">
        <v>473</v>
      </c>
      <c r="AN311" s="10">
        <v>810</v>
      </c>
      <c r="AO311" s="10">
        <v>405</v>
      </c>
      <c r="AP311" s="10">
        <v>390</v>
      </c>
      <c r="AQ311" s="10">
        <v>501</v>
      </c>
      <c r="AR311" s="10">
        <v>415</v>
      </c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</row>
    <row r="312" spans="1:81">
      <c r="A312" s="4" t="s">
        <v>723</v>
      </c>
      <c r="B312" s="1" t="s">
        <v>724</v>
      </c>
      <c r="C312" s="1" t="s">
        <v>603</v>
      </c>
      <c r="D312" s="1" t="str">
        <f>HYPERLINK("http://eros.fiehnlab.ucdavis.edu:8080/binbase-compound/bin/show/354038?db=rtx5","354038")</f>
        <v>354038</v>
      </c>
      <c r="E312" s="1" t="s">
        <v>725</v>
      </c>
      <c r="F312" s="1" t="s">
        <v>0</v>
      </c>
      <c r="G312" s="1" t="s">
        <v>0</v>
      </c>
      <c r="H312" s="1"/>
      <c r="I312" s="10">
        <v>1501</v>
      </c>
      <c r="J312" s="10">
        <v>4473</v>
      </c>
      <c r="K312" s="10">
        <v>4700</v>
      </c>
      <c r="L312" s="10">
        <v>1153</v>
      </c>
      <c r="M312" s="10">
        <v>1593</v>
      </c>
      <c r="N312" s="10">
        <v>1114</v>
      </c>
      <c r="O312" s="10">
        <v>2308</v>
      </c>
      <c r="P312" s="10">
        <v>5465</v>
      </c>
      <c r="Q312" s="10">
        <v>1805</v>
      </c>
      <c r="R312" s="10">
        <v>1681</v>
      </c>
      <c r="S312" s="10">
        <v>4359</v>
      </c>
      <c r="T312" s="10">
        <v>5929</v>
      </c>
      <c r="U312" s="10">
        <v>934</v>
      </c>
      <c r="V312" s="10">
        <v>3246</v>
      </c>
      <c r="W312" s="10">
        <v>2067</v>
      </c>
      <c r="X312" s="10">
        <v>1612</v>
      </c>
      <c r="Y312" s="10">
        <v>1341</v>
      </c>
      <c r="Z312" s="10">
        <v>1485</v>
      </c>
      <c r="AA312" s="10">
        <v>5010</v>
      </c>
      <c r="AB312" s="10">
        <v>801</v>
      </c>
      <c r="AC312" s="10">
        <v>3050</v>
      </c>
      <c r="AD312" s="10">
        <v>1877</v>
      </c>
      <c r="AE312" s="10">
        <v>1192</v>
      </c>
      <c r="AF312" s="10">
        <v>2609</v>
      </c>
      <c r="AG312" s="10">
        <v>2856</v>
      </c>
      <c r="AH312" s="10">
        <v>1042</v>
      </c>
      <c r="AI312" s="10">
        <v>2220</v>
      </c>
      <c r="AJ312" s="10">
        <v>3797</v>
      </c>
      <c r="AK312" s="10">
        <v>1820</v>
      </c>
      <c r="AL312" s="10">
        <v>6299</v>
      </c>
      <c r="AM312" s="10">
        <v>1782</v>
      </c>
      <c r="AN312" s="10">
        <v>3109</v>
      </c>
      <c r="AO312" s="10">
        <v>1425</v>
      </c>
      <c r="AP312" s="10">
        <v>1338</v>
      </c>
      <c r="AQ312" s="10">
        <v>2067</v>
      </c>
      <c r="AR312" s="10">
        <v>1362</v>
      </c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</row>
    <row r="313" spans="1:81">
      <c r="A313" s="4" t="s">
        <v>962</v>
      </c>
      <c r="B313" s="1" t="s">
        <v>963</v>
      </c>
      <c r="C313" s="1" t="s">
        <v>844</v>
      </c>
      <c r="D313" s="1" t="str">
        <f>HYPERLINK("http://eros.fiehnlab.ucdavis.edu:8080/binbase-compound/bin/show/234717?db=rtx5","234717")</f>
        <v>234717</v>
      </c>
      <c r="E313" s="1" t="s">
        <v>964</v>
      </c>
      <c r="F313" s="1" t="s">
        <v>0</v>
      </c>
      <c r="G313" s="1" t="s">
        <v>0</v>
      </c>
      <c r="H313" s="1"/>
      <c r="I313" s="10">
        <v>1227</v>
      </c>
      <c r="J313" s="10">
        <v>3346</v>
      </c>
      <c r="K313" s="10">
        <v>4018</v>
      </c>
      <c r="L313" s="10">
        <v>1198</v>
      </c>
      <c r="M313" s="10">
        <v>1172</v>
      </c>
      <c r="N313" s="10">
        <v>1128</v>
      </c>
      <c r="O313" s="10">
        <v>2164</v>
      </c>
      <c r="P313" s="10">
        <v>4092</v>
      </c>
      <c r="Q313" s="10">
        <v>1402</v>
      </c>
      <c r="R313" s="10">
        <v>1645</v>
      </c>
      <c r="S313" s="10">
        <v>3248</v>
      </c>
      <c r="T313" s="10">
        <v>4146</v>
      </c>
      <c r="U313" s="10">
        <v>826</v>
      </c>
      <c r="V313" s="10">
        <v>1576</v>
      </c>
      <c r="W313" s="10">
        <v>872</v>
      </c>
      <c r="X313" s="10">
        <v>985</v>
      </c>
      <c r="Y313" s="10">
        <v>1117</v>
      </c>
      <c r="Z313" s="10">
        <v>1192</v>
      </c>
      <c r="AA313" s="10">
        <v>2504</v>
      </c>
      <c r="AB313" s="10">
        <v>951</v>
      </c>
      <c r="AC313" s="10">
        <v>2653</v>
      </c>
      <c r="AD313" s="10">
        <v>1255</v>
      </c>
      <c r="AE313" s="10">
        <v>1078</v>
      </c>
      <c r="AF313" s="10">
        <v>2438</v>
      </c>
      <c r="AG313" s="10">
        <v>2069</v>
      </c>
      <c r="AH313" s="10">
        <v>1013</v>
      </c>
      <c r="AI313" s="10">
        <v>2345</v>
      </c>
      <c r="AJ313" s="10">
        <v>2614</v>
      </c>
      <c r="AK313" s="10">
        <v>1081</v>
      </c>
      <c r="AL313" s="10">
        <v>3508</v>
      </c>
      <c r="AM313" s="10">
        <v>1333</v>
      </c>
      <c r="AN313" s="10">
        <v>2533</v>
      </c>
      <c r="AO313" s="10">
        <v>712</v>
      </c>
      <c r="AP313" s="10">
        <v>1156</v>
      </c>
      <c r="AQ313" s="10">
        <v>1377</v>
      </c>
      <c r="AR313" s="10">
        <v>1523</v>
      </c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</row>
    <row r="314" spans="1:81">
      <c r="A314" s="4" t="s">
        <v>1174</v>
      </c>
      <c r="B314" s="1" t="s">
        <v>1175</v>
      </c>
      <c r="C314" s="1" t="s">
        <v>159</v>
      </c>
      <c r="D314" s="1" t="str">
        <f>HYPERLINK("http://eros.fiehnlab.ucdavis.edu:8080/binbase-compound/bin/show/200547?db=rtx5","200547")</f>
        <v>200547</v>
      </c>
      <c r="E314" s="1" t="s">
        <v>1176</v>
      </c>
      <c r="F314" s="1" t="s">
        <v>0</v>
      </c>
      <c r="G314" s="1" t="s">
        <v>0</v>
      </c>
      <c r="H314" s="1"/>
      <c r="I314" s="10">
        <v>2369</v>
      </c>
      <c r="J314" s="10">
        <v>3328</v>
      </c>
      <c r="K314" s="10">
        <v>6297</v>
      </c>
      <c r="L314" s="10">
        <v>4410</v>
      </c>
      <c r="M314" s="10">
        <v>5531</v>
      </c>
      <c r="N314" s="10">
        <v>4282</v>
      </c>
      <c r="O314" s="10">
        <v>3740</v>
      </c>
      <c r="P314" s="10">
        <v>4502</v>
      </c>
      <c r="Q314" s="10">
        <v>1682</v>
      </c>
      <c r="R314" s="10">
        <v>2538</v>
      </c>
      <c r="S314" s="10">
        <v>11499</v>
      </c>
      <c r="T314" s="10">
        <v>3024</v>
      </c>
      <c r="U314" s="10">
        <v>2431</v>
      </c>
      <c r="V314" s="10">
        <v>6581</v>
      </c>
      <c r="W314" s="10">
        <v>4682</v>
      </c>
      <c r="X314" s="10">
        <v>3657</v>
      </c>
      <c r="Y314" s="10">
        <v>4375</v>
      </c>
      <c r="Z314" s="10">
        <v>3423</v>
      </c>
      <c r="AA314" s="10">
        <v>3353</v>
      </c>
      <c r="AB314" s="10">
        <v>3220</v>
      </c>
      <c r="AC314" s="10">
        <v>5793</v>
      </c>
      <c r="AD314" s="10">
        <v>2513</v>
      </c>
      <c r="AE314" s="10">
        <v>1672</v>
      </c>
      <c r="AF314" s="10">
        <v>7100</v>
      </c>
      <c r="AG314" s="10">
        <v>9210</v>
      </c>
      <c r="AH314" s="10">
        <v>4869</v>
      </c>
      <c r="AI314" s="10">
        <v>3084</v>
      </c>
      <c r="AJ314" s="10">
        <v>4518</v>
      </c>
      <c r="AK314" s="10">
        <v>3638</v>
      </c>
      <c r="AL314" s="10">
        <v>28243</v>
      </c>
      <c r="AM314" s="10">
        <v>2965</v>
      </c>
      <c r="AN314" s="10">
        <v>6885</v>
      </c>
      <c r="AO314" s="10">
        <v>3539</v>
      </c>
      <c r="AP314" s="10">
        <v>2929</v>
      </c>
      <c r="AQ314" s="10">
        <v>10265</v>
      </c>
      <c r="AR314" s="10">
        <v>4805</v>
      </c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</row>
    <row r="315" spans="1:81">
      <c r="A315" s="4" t="s">
        <v>893</v>
      </c>
      <c r="B315" s="1" t="s">
        <v>894</v>
      </c>
      <c r="C315" s="1" t="s">
        <v>165</v>
      </c>
      <c r="D315" s="1" t="str">
        <f>HYPERLINK("http://eros.fiehnlab.ucdavis.edu:8080/binbase-compound/bin/show/241043?db=rtx5","241043")</f>
        <v>241043</v>
      </c>
      <c r="E315" s="1" t="s">
        <v>895</v>
      </c>
      <c r="F315" s="1" t="s">
        <v>0</v>
      </c>
      <c r="G315" s="1" t="s">
        <v>0</v>
      </c>
      <c r="H315" s="1"/>
      <c r="I315" s="10">
        <v>4255</v>
      </c>
      <c r="J315" s="10">
        <v>4063</v>
      </c>
      <c r="K315" s="10">
        <v>3768</v>
      </c>
      <c r="L315" s="10">
        <v>7367</v>
      </c>
      <c r="M315" s="10">
        <v>8122</v>
      </c>
      <c r="N315" s="10">
        <v>5711</v>
      </c>
      <c r="O315" s="10">
        <v>6994</v>
      </c>
      <c r="P315" s="10">
        <v>8586</v>
      </c>
      <c r="Q315" s="10">
        <v>4619</v>
      </c>
      <c r="R315" s="10">
        <v>4603</v>
      </c>
      <c r="S315" s="10">
        <v>3743</v>
      </c>
      <c r="T315" s="10">
        <v>3466</v>
      </c>
      <c r="U315" s="10">
        <v>10115</v>
      </c>
      <c r="V315" s="10">
        <v>8330</v>
      </c>
      <c r="W315" s="10">
        <v>8962</v>
      </c>
      <c r="X315" s="10">
        <v>5094</v>
      </c>
      <c r="Y315" s="10">
        <v>4403</v>
      </c>
      <c r="Z315" s="10">
        <v>7353</v>
      </c>
      <c r="AA315" s="10">
        <v>8391</v>
      </c>
      <c r="AB315" s="10">
        <v>8528</v>
      </c>
      <c r="AC315" s="10">
        <v>4609</v>
      </c>
      <c r="AD315" s="10">
        <v>7613</v>
      </c>
      <c r="AE315" s="10">
        <v>7216</v>
      </c>
      <c r="AF315" s="10">
        <v>1471</v>
      </c>
      <c r="AG315" s="10">
        <v>7040</v>
      </c>
      <c r="AH315" s="10">
        <v>13352</v>
      </c>
      <c r="AI315" s="10">
        <v>2451</v>
      </c>
      <c r="AJ315" s="10">
        <v>8785</v>
      </c>
      <c r="AK315" s="10">
        <v>4543</v>
      </c>
      <c r="AL315" s="10">
        <v>3433</v>
      </c>
      <c r="AM315" s="10">
        <v>4283</v>
      </c>
      <c r="AN315" s="10">
        <v>7885</v>
      </c>
      <c r="AO315" s="10">
        <v>9501</v>
      </c>
      <c r="AP315" s="10">
        <v>4845</v>
      </c>
      <c r="AQ315" s="10">
        <v>7344</v>
      </c>
      <c r="AR315" s="10">
        <v>4320</v>
      </c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</row>
    <row r="316" spans="1:81">
      <c r="A316" s="4" t="s">
        <v>751</v>
      </c>
      <c r="B316" s="1" t="s">
        <v>752</v>
      </c>
      <c r="C316" s="1" t="s">
        <v>753</v>
      </c>
      <c r="D316" s="1" t="str">
        <f>HYPERLINK("http://eros.fiehnlab.ucdavis.edu:8080/binbase-compound/bin/show/309642?db=rtx5","309642")</f>
        <v>309642</v>
      </c>
      <c r="E316" s="1" t="s">
        <v>754</v>
      </c>
      <c r="F316" s="1" t="s">
        <v>0</v>
      </c>
      <c r="G316" s="1" t="s">
        <v>0</v>
      </c>
      <c r="H316" s="1"/>
      <c r="I316" s="10">
        <v>1148</v>
      </c>
      <c r="J316" s="10">
        <v>3687</v>
      </c>
      <c r="K316" s="10">
        <v>4646</v>
      </c>
      <c r="L316" s="10">
        <v>764</v>
      </c>
      <c r="M316" s="10">
        <v>1064</v>
      </c>
      <c r="N316" s="10">
        <v>826</v>
      </c>
      <c r="O316" s="10">
        <v>2213</v>
      </c>
      <c r="P316" s="10">
        <v>4586</v>
      </c>
      <c r="Q316" s="10">
        <v>1325</v>
      </c>
      <c r="R316" s="10">
        <v>301</v>
      </c>
      <c r="S316" s="10">
        <v>4100</v>
      </c>
      <c r="T316" s="10">
        <v>3635</v>
      </c>
      <c r="U316" s="10">
        <v>839</v>
      </c>
      <c r="V316" s="10">
        <v>1590</v>
      </c>
      <c r="W316" s="10">
        <v>1627</v>
      </c>
      <c r="X316" s="10">
        <v>1106</v>
      </c>
      <c r="Y316" s="10">
        <v>925</v>
      </c>
      <c r="Z316" s="10">
        <v>1027</v>
      </c>
      <c r="AA316" s="10">
        <v>2995</v>
      </c>
      <c r="AB316" s="10">
        <v>556</v>
      </c>
      <c r="AC316" s="10">
        <v>2108</v>
      </c>
      <c r="AD316" s="10">
        <v>971</v>
      </c>
      <c r="AE316" s="10">
        <v>1017</v>
      </c>
      <c r="AF316" s="10">
        <v>2072</v>
      </c>
      <c r="AG316" s="10">
        <v>2257</v>
      </c>
      <c r="AH316" s="10">
        <v>810</v>
      </c>
      <c r="AI316" s="10">
        <v>1469</v>
      </c>
      <c r="AJ316" s="10">
        <v>2484</v>
      </c>
      <c r="AK316" s="10">
        <v>874</v>
      </c>
      <c r="AL316" s="10">
        <v>4377</v>
      </c>
      <c r="AM316" s="10">
        <v>905</v>
      </c>
      <c r="AN316" s="10">
        <v>1632</v>
      </c>
      <c r="AO316" s="10">
        <v>817</v>
      </c>
      <c r="AP316" s="10">
        <v>915</v>
      </c>
      <c r="AQ316" s="10">
        <v>1582</v>
      </c>
      <c r="AR316" s="10">
        <v>825</v>
      </c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</row>
    <row r="317" spans="1:81">
      <c r="A317" s="4" t="s">
        <v>1022</v>
      </c>
      <c r="B317" s="1" t="s">
        <v>1023</v>
      </c>
      <c r="C317" s="1" t="s">
        <v>1003</v>
      </c>
      <c r="D317" s="1" t="str">
        <f>HYPERLINK("http://eros.fiehnlab.ucdavis.edu:8080/binbase-compound/bin/show/224849?db=rtx5","224849")</f>
        <v>224849</v>
      </c>
      <c r="E317" s="1" t="s">
        <v>1024</v>
      </c>
      <c r="F317" s="1" t="s">
        <v>0</v>
      </c>
      <c r="G317" s="1" t="s">
        <v>0</v>
      </c>
      <c r="H317" s="1"/>
      <c r="I317" s="10">
        <v>221</v>
      </c>
      <c r="J317" s="10">
        <v>1778</v>
      </c>
      <c r="K317" s="10">
        <v>728</v>
      </c>
      <c r="L317" s="10">
        <v>272</v>
      </c>
      <c r="M317" s="10">
        <v>400</v>
      </c>
      <c r="N317" s="10">
        <v>437</v>
      </c>
      <c r="O317" s="10">
        <v>560</v>
      </c>
      <c r="P317" s="10">
        <v>1457</v>
      </c>
      <c r="Q317" s="10">
        <v>414</v>
      </c>
      <c r="R317" s="10">
        <v>574</v>
      </c>
      <c r="S317" s="10">
        <v>1140</v>
      </c>
      <c r="T317" s="10">
        <v>571</v>
      </c>
      <c r="U317" s="10">
        <v>300</v>
      </c>
      <c r="V317" s="10">
        <v>267</v>
      </c>
      <c r="W317" s="10">
        <v>300</v>
      </c>
      <c r="X317" s="10">
        <v>515</v>
      </c>
      <c r="Y317" s="10">
        <v>320</v>
      </c>
      <c r="Z317" s="10">
        <v>555</v>
      </c>
      <c r="AA317" s="10">
        <v>323</v>
      </c>
      <c r="AB317" s="10">
        <v>419</v>
      </c>
      <c r="AC317" s="10">
        <v>759</v>
      </c>
      <c r="AD317" s="10">
        <v>316</v>
      </c>
      <c r="AE317" s="10">
        <v>276</v>
      </c>
      <c r="AF317" s="10">
        <v>771</v>
      </c>
      <c r="AG317" s="10">
        <v>290</v>
      </c>
      <c r="AH317" s="10">
        <v>233</v>
      </c>
      <c r="AI317" s="10">
        <v>384</v>
      </c>
      <c r="AJ317" s="10">
        <v>777</v>
      </c>
      <c r="AK317" s="10">
        <v>442</v>
      </c>
      <c r="AL317" s="10">
        <v>816</v>
      </c>
      <c r="AM317" s="10">
        <v>471</v>
      </c>
      <c r="AN317" s="10">
        <v>626</v>
      </c>
      <c r="AO317" s="10">
        <v>168</v>
      </c>
      <c r="AP317" s="10">
        <v>401</v>
      </c>
      <c r="AQ317" s="10">
        <v>252</v>
      </c>
      <c r="AR317" s="10">
        <v>263</v>
      </c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</row>
    <row r="318" spans="1:81">
      <c r="A318" s="4" t="s">
        <v>1116</v>
      </c>
      <c r="B318" s="1" t="s">
        <v>1117</v>
      </c>
      <c r="C318" s="1" t="s">
        <v>269</v>
      </c>
      <c r="D318" s="1" t="str">
        <f>HYPERLINK("http://eros.fiehnlab.ucdavis.edu:8080/binbase-compound/bin/show/212251?db=rtx5","212251")</f>
        <v>212251</v>
      </c>
      <c r="E318" s="1" t="s">
        <v>1118</v>
      </c>
      <c r="F318" s="1" t="s">
        <v>0</v>
      </c>
      <c r="G318" s="1" t="s">
        <v>0</v>
      </c>
      <c r="H318" s="1"/>
      <c r="I318" s="10">
        <v>903</v>
      </c>
      <c r="J318" s="10">
        <v>3316</v>
      </c>
      <c r="K318" s="10">
        <v>2452</v>
      </c>
      <c r="L318" s="10">
        <v>838</v>
      </c>
      <c r="M318" s="10">
        <v>1869</v>
      </c>
      <c r="N318" s="10">
        <v>440</v>
      </c>
      <c r="O318" s="10">
        <v>1611</v>
      </c>
      <c r="P318" s="10">
        <v>1802</v>
      </c>
      <c r="Q318" s="10">
        <v>1301</v>
      </c>
      <c r="R318" s="10">
        <v>1133</v>
      </c>
      <c r="S318" s="10">
        <v>2344</v>
      </c>
      <c r="T318" s="10">
        <v>1271</v>
      </c>
      <c r="U318" s="10">
        <v>967</v>
      </c>
      <c r="V318" s="10">
        <v>2658</v>
      </c>
      <c r="W318" s="10">
        <v>1403</v>
      </c>
      <c r="X318" s="10">
        <v>1070</v>
      </c>
      <c r="Y318" s="10">
        <v>1569</v>
      </c>
      <c r="Z318" s="10">
        <v>1209</v>
      </c>
      <c r="AA318" s="10">
        <v>3809</v>
      </c>
      <c r="AB318" s="10">
        <v>738</v>
      </c>
      <c r="AC318" s="10">
        <v>1746</v>
      </c>
      <c r="AD318" s="10">
        <v>1904</v>
      </c>
      <c r="AE318" s="10">
        <v>794</v>
      </c>
      <c r="AF318" s="10">
        <v>1171</v>
      </c>
      <c r="AG318" s="10">
        <v>2671</v>
      </c>
      <c r="AH318" s="10">
        <v>1163</v>
      </c>
      <c r="AI318" s="10">
        <v>1742</v>
      </c>
      <c r="AJ318" s="10">
        <v>2491</v>
      </c>
      <c r="AK318" s="10">
        <v>1469</v>
      </c>
      <c r="AL318" s="10">
        <v>1146</v>
      </c>
      <c r="AM318" s="10">
        <v>1486</v>
      </c>
      <c r="AN318" s="10">
        <v>2087</v>
      </c>
      <c r="AO318" s="10">
        <v>1052</v>
      </c>
      <c r="AP318" s="10">
        <v>1610</v>
      </c>
      <c r="AQ318" s="10">
        <v>1677</v>
      </c>
      <c r="AR318" s="10">
        <v>1213</v>
      </c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</row>
    <row r="319" spans="1:81">
      <c r="A319" s="4" t="s">
        <v>667</v>
      </c>
      <c r="B319" s="1" t="s">
        <v>668</v>
      </c>
      <c r="C319" s="1" t="s">
        <v>332</v>
      </c>
      <c r="D319" s="1" t="str">
        <f>HYPERLINK("http://eros.fiehnlab.ucdavis.edu:8080/binbase-compound/bin/show/369638?db=rtx5","369638")</f>
        <v>369638</v>
      </c>
      <c r="E319" s="1" t="s">
        <v>669</v>
      </c>
      <c r="F319" s="1" t="s">
        <v>0</v>
      </c>
      <c r="G319" s="1" t="s">
        <v>0</v>
      </c>
      <c r="H319" s="1"/>
      <c r="I319" s="10">
        <v>3045</v>
      </c>
      <c r="J319" s="10">
        <v>11536</v>
      </c>
      <c r="K319" s="10">
        <v>6470</v>
      </c>
      <c r="L319" s="10">
        <v>1841</v>
      </c>
      <c r="M319" s="10">
        <v>4761</v>
      </c>
      <c r="N319" s="10">
        <v>2816</v>
      </c>
      <c r="O319" s="10">
        <v>5923</v>
      </c>
      <c r="P319" s="10">
        <v>8536</v>
      </c>
      <c r="Q319" s="10">
        <v>2668</v>
      </c>
      <c r="R319" s="10">
        <v>3934</v>
      </c>
      <c r="S319" s="10">
        <v>10845</v>
      </c>
      <c r="T319" s="10">
        <v>3725</v>
      </c>
      <c r="U319" s="10">
        <v>1895</v>
      </c>
      <c r="V319" s="10">
        <v>3351</v>
      </c>
      <c r="W319" s="10">
        <v>2353</v>
      </c>
      <c r="X319" s="10">
        <v>2449</v>
      </c>
      <c r="Y319" s="10">
        <v>3079</v>
      </c>
      <c r="Z319" s="10">
        <v>2147</v>
      </c>
      <c r="AA319" s="10">
        <v>6261</v>
      </c>
      <c r="AB319" s="10">
        <v>2911</v>
      </c>
      <c r="AC319" s="10">
        <v>4400</v>
      </c>
      <c r="AD319" s="10">
        <v>2261</v>
      </c>
      <c r="AE319" s="10">
        <v>2003</v>
      </c>
      <c r="AF319" s="10">
        <v>4277</v>
      </c>
      <c r="AG319" s="10">
        <v>5992</v>
      </c>
      <c r="AH319" s="10">
        <v>2428</v>
      </c>
      <c r="AI319" s="10">
        <v>4019</v>
      </c>
      <c r="AJ319" s="10">
        <v>4230</v>
      </c>
      <c r="AK319" s="10">
        <v>2309</v>
      </c>
      <c r="AL319" s="10">
        <v>6849</v>
      </c>
      <c r="AM319" s="10">
        <v>2489</v>
      </c>
      <c r="AN319" s="10">
        <v>5517</v>
      </c>
      <c r="AO319" s="10">
        <v>2336</v>
      </c>
      <c r="AP319" s="10">
        <v>1668</v>
      </c>
      <c r="AQ319" s="10">
        <v>3379</v>
      </c>
      <c r="AR319" s="10">
        <v>2498</v>
      </c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</row>
    <row r="320" spans="1:81">
      <c r="A320" s="4" t="s">
        <v>1141</v>
      </c>
      <c r="B320" s="1" t="s">
        <v>1142</v>
      </c>
      <c r="C320" s="1" t="s">
        <v>388</v>
      </c>
      <c r="D320" s="1" t="str">
        <f>HYPERLINK("http://eros.fiehnlab.ucdavis.edu:8080/binbase-compound/bin/show/205734?db=rtx5","205734")</f>
        <v>205734</v>
      </c>
      <c r="E320" s="1" t="s">
        <v>1143</v>
      </c>
      <c r="F320" s="1" t="s">
        <v>0</v>
      </c>
      <c r="G320" s="1" t="s">
        <v>0</v>
      </c>
      <c r="H320" s="1"/>
      <c r="I320" s="10">
        <v>1239</v>
      </c>
      <c r="J320" s="10">
        <v>749</v>
      </c>
      <c r="K320" s="10">
        <v>609</v>
      </c>
      <c r="L320" s="10">
        <v>5161</v>
      </c>
      <c r="M320" s="10">
        <v>205</v>
      </c>
      <c r="N320" s="10">
        <v>2885</v>
      </c>
      <c r="O320" s="10">
        <v>1343</v>
      </c>
      <c r="P320" s="10">
        <v>1438</v>
      </c>
      <c r="Q320" s="10">
        <v>318</v>
      </c>
      <c r="R320" s="10">
        <v>1420</v>
      </c>
      <c r="S320" s="10">
        <v>1598</v>
      </c>
      <c r="T320" s="10">
        <v>1265</v>
      </c>
      <c r="U320" s="10">
        <v>3307</v>
      </c>
      <c r="V320" s="10">
        <v>1788</v>
      </c>
      <c r="W320" s="10">
        <v>1756</v>
      </c>
      <c r="X320" s="10">
        <v>3240</v>
      </c>
      <c r="Y320" s="10">
        <v>210</v>
      </c>
      <c r="Z320" s="10">
        <v>2163</v>
      </c>
      <c r="AA320" s="10">
        <v>730</v>
      </c>
      <c r="AB320" s="10">
        <v>1407</v>
      </c>
      <c r="AC320" s="10">
        <v>920</v>
      </c>
      <c r="AD320" s="10">
        <v>3008</v>
      </c>
      <c r="AE320" s="10">
        <v>3421</v>
      </c>
      <c r="AF320" s="10">
        <v>1063</v>
      </c>
      <c r="AG320" s="10">
        <v>1803</v>
      </c>
      <c r="AH320" s="10">
        <v>6285</v>
      </c>
      <c r="AI320" s="10">
        <v>1403</v>
      </c>
      <c r="AJ320" s="10">
        <v>261</v>
      </c>
      <c r="AK320" s="10">
        <v>2913</v>
      </c>
      <c r="AL320" s="10">
        <v>653</v>
      </c>
      <c r="AM320" s="10">
        <v>4234</v>
      </c>
      <c r="AN320" s="10">
        <v>1462</v>
      </c>
      <c r="AO320" s="10">
        <v>2777</v>
      </c>
      <c r="AP320" s="10">
        <v>1723</v>
      </c>
      <c r="AQ320" s="10">
        <v>1816</v>
      </c>
      <c r="AR320" s="10">
        <v>3183</v>
      </c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</row>
    <row r="321" spans="1:81">
      <c r="A321" s="4" t="s">
        <v>720</v>
      </c>
      <c r="B321" s="1" t="s">
        <v>721</v>
      </c>
      <c r="C321" s="1" t="s">
        <v>115</v>
      </c>
      <c r="D321" s="1" t="str">
        <f>HYPERLINK("http://eros.fiehnlab.ucdavis.edu:8080/binbase-compound/bin/show/356925?db=rtx5","356925")</f>
        <v>356925</v>
      </c>
      <c r="E321" s="1" t="s">
        <v>722</v>
      </c>
      <c r="F321" s="1" t="s">
        <v>0</v>
      </c>
      <c r="G321" s="1" t="s">
        <v>0</v>
      </c>
      <c r="H321" s="1"/>
      <c r="I321" s="10">
        <v>1773</v>
      </c>
      <c r="J321" s="10">
        <v>4135</v>
      </c>
      <c r="K321" s="10">
        <v>6246</v>
      </c>
      <c r="L321" s="10">
        <v>1886</v>
      </c>
      <c r="M321" s="10">
        <v>1888</v>
      </c>
      <c r="N321" s="10">
        <v>832</v>
      </c>
      <c r="O321" s="10">
        <v>8421</v>
      </c>
      <c r="P321" s="10">
        <v>9817</v>
      </c>
      <c r="Q321" s="10">
        <v>2835</v>
      </c>
      <c r="R321" s="10">
        <v>6165</v>
      </c>
      <c r="S321" s="10">
        <v>8277</v>
      </c>
      <c r="T321" s="10">
        <v>3539</v>
      </c>
      <c r="U321" s="10">
        <v>1445</v>
      </c>
      <c r="V321" s="10">
        <v>3004</v>
      </c>
      <c r="W321" s="10">
        <v>2183</v>
      </c>
      <c r="X321" s="10">
        <v>777</v>
      </c>
      <c r="Y321" s="10">
        <v>826</v>
      </c>
      <c r="Z321" s="10">
        <v>1954</v>
      </c>
      <c r="AA321" s="10">
        <v>4609</v>
      </c>
      <c r="AB321" s="10">
        <v>2436</v>
      </c>
      <c r="AC321" s="10">
        <v>2139</v>
      </c>
      <c r="AD321" s="10">
        <v>1712</v>
      </c>
      <c r="AE321" s="10">
        <v>887</v>
      </c>
      <c r="AF321" s="10">
        <v>2685</v>
      </c>
      <c r="AG321" s="10">
        <v>3538</v>
      </c>
      <c r="AH321" s="10">
        <v>1846</v>
      </c>
      <c r="AI321" s="10">
        <v>2337</v>
      </c>
      <c r="AJ321" s="10">
        <v>4316</v>
      </c>
      <c r="AK321" s="10">
        <v>1032</v>
      </c>
      <c r="AL321" s="10">
        <v>13410</v>
      </c>
      <c r="AM321" s="10">
        <v>874</v>
      </c>
      <c r="AN321" s="10">
        <v>2914</v>
      </c>
      <c r="AO321" s="10">
        <v>2840</v>
      </c>
      <c r="AP321" s="10">
        <v>2676</v>
      </c>
      <c r="AQ321" s="10">
        <v>2188</v>
      </c>
      <c r="AR321" s="10">
        <v>2047</v>
      </c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</row>
    <row r="322" spans="1:81">
      <c r="A322" s="4" t="s">
        <v>1150</v>
      </c>
      <c r="B322" s="1" t="s">
        <v>1151</v>
      </c>
      <c r="C322" s="1" t="s">
        <v>201</v>
      </c>
      <c r="D322" s="1" t="str">
        <f>HYPERLINK("http://eros.fiehnlab.ucdavis.edu:8080/binbase-compound/bin/show/202066?db=rtx5","202066")</f>
        <v>202066</v>
      </c>
      <c r="E322" s="1" t="s">
        <v>1152</v>
      </c>
      <c r="F322" s="1" t="s">
        <v>0</v>
      </c>
      <c r="G322" s="1" t="s">
        <v>0</v>
      </c>
      <c r="H322" s="1"/>
      <c r="I322" s="10">
        <v>3130</v>
      </c>
      <c r="J322" s="10">
        <v>17970</v>
      </c>
      <c r="K322" s="10">
        <v>21313</v>
      </c>
      <c r="L322" s="10">
        <v>2714</v>
      </c>
      <c r="M322" s="10">
        <v>11263</v>
      </c>
      <c r="N322" s="10">
        <v>3014</v>
      </c>
      <c r="O322" s="10">
        <v>9235</v>
      </c>
      <c r="P322" s="10">
        <v>17782</v>
      </c>
      <c r="Q322" s="10">
        <v>4012</v>
      </c>
      <c r="R322" s="10">
        <v>4537</v>
      </c>
      <c r="S322" s="10">
        <v>11513</v>
      </c>
      <c r="T322" s="10">
        <v>18982</v>
      </c>
      <c r="U322" s="10">
        <v>1469</v>
      </c>
      <c r="V322" s="10">
        <v>9799</v>
      </c>
      <c r="W322" s="10">
        <v>5093</v>
      </c>
      <c r="X322" s="10">
        <v>3384</v>
      </c>
      <c r="Y322" s="10">
        <v>4969</v>
      </c>
      <c r="Z322" s="10">
        <v>3098</v>
      </c>
      <c r="AA322" s="10">
        <v>24100</v>
      </c>
      <c r="AB322" s="10">
        <v>2902</v>
      </c>
      <c r="AC322" s="10">
        <v>26654</v>
      </c>
      <c r="AD322" s="10">
        <v>3332</v>
      </c>
      <c r="AE322" s="10">
        <v>4443</v>
      </c>
      <c r="AF322" s="10">
        <v>14832</v>
      </c>
      <c r="AG322" s="10">
        <v>12392</v>
      </c>
      <c r="AH322" s="10">
        <v>2468</v>
      </c>
      <c r="AI322" s="10">
        <v>7910</v>
      </c>
      <c r="AJ322" s="10">
        <v>10226</v>
      </c>
      <c r="AK322" s="10">
        <v>4073</v>
      </c>
      <c r="AL322" s="10">
        <v>7030</v>
      </c>
      <c r="AM322" s="10">
        <v>3516</v>
      </c>
      <c r="AN322" s="10">
        <v>12266</v>
      </c>
      <c r="AO322" s="10">
        <v>4550</v>
      </c>
      <c r="AP322" s="10">
        <v>2825</v>
      </c>
      <c r="AQ322" s="10">
        <v>13800</v>
      </c>
      <c r="AR322" s="10">
        <v>4280</v>
      </c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</row>
    <row r="323" spans="1:81">
      <c r="A323" s="4" t="s">
        <v>783</v>
      </c>
      <c r="B323" s="1" t="s">
        <v>784</v>
      </c>
      <c r="C323" s="1" t="s">
        <v>503</v>
      </c>
      <c r="D323" s="1" t="str">
        <f>HYPERLINK("http://eros.fiehnlab.ucdavis.edu:8080/binbase-compound/bin/show/294511?db=rtx5","294511")</f>
        <v>294511</v>
      </c>
      <c r="E323" s="1" t="s">
        <v>785</v>
      </c>
      <c r="F323" s="1" t="s">
        <v>0</v>
      </c>
      <c r="G323" s="1" t="s">
        <v>0</v>
      </c>
      <c r="H323" s="1"/>
      <c r="I323" s="10">
        <v>140</v>
      </c>
      <c r="J323" s="10">
        <v>287</v>
      </c>
      <c r="K323" s="10">
        <v>338</v>
      </c>
      <c r="L323" s="10">
        <v>53</v>
      </c>
      <c r="M323" s="10">
        <v>132</v>
      </c>
      <c r="N323" s="10">
        <v>137</v>
      </c>
      <c r="O323" s="10">
        <v>343</v>
      </c>
      <c r="P323" s="10">
        <v>905</v>
      </c>
      <c r="Q323" s="10">
        <v>274</v>
      </c>
      <c r="R323" s="10">
        <v>222</v>
      </c>
      <c r="S323" s="10">
        <v>449</v>
      </c>
      <c r="T323" s="10">
        <v>611</v>
      </c>
      <c r="U323" s="10">
        <v>134</v>
      </c>
      <c r="V323" s="10">
        <v>348</v>
      </c>
      <c r="W323" s="10">
        <v>164</v>
      </c>
      <c r="X323" s="10">
        <v>122</v>
      </c>
      <c r="Y323" s="10">
        <v>105</v>
      </c>
      <c r="Z323" s="10">
        <v>148</v>
      </c>
      <c r="AA323" s="10">
        <v>743</v>
      </c>
      <c r="AB323" s="10">
        <v>85</v>
      </c>
      <c r="AC323" s="10">
        <v>339</v>
      </c>
      <c r="AD323" s="10">
        <v>110</v>
      </c>
      <c r="AE323" s="10">
        <v>123</v>
      </c>
      <c r="AF323" s="10">
        <v>268</v>
      </c>
      <c r="AG323" s="10">
        <v>193</v>
      </c>
      <c r="AH323" s="10">
        <v>153</v>
      </c>
      <c r="AI323" s="10">
        <v>198</v>
      </c>
      <c r="AJ323" s="10">
        <v>251</v>
      </c>
      <c r="AK323" s="10">
        <v>260</v>
      </c>
      <c r="AL323" s="10">
        <v>401</v>
      </c>
      <c r="AM323" s="10">
        <v>243</v>
      </c>
      <c r="AN323" s="10">
        <v>277</v>
      </c>
      <c r="AO323" s="10">
        <v>195</v>
      </c>
      <c r="AP323" s="10">
        <v>148</v>
      </c>
      <c r="AQ323" s="10">
        <v>103</v>
      </c>
      <c r="AR323" s="10">
        <v>144</v>
      </c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</row>
    <row r="324" spans="1:81">
      <c r="A324" s="4" t="s">
        <v>714</v>
      </c>
      <c r="B324" s="1" t="s">
        <v>715</v>
      </c>
      <c r="C324" s="1" t="s">
        <v>150</v>
      </c>
      <c r="D324" s="1" t="str">
        <f>HYPERLINK("http://eros.fiehnlab.ucdavis.edu:8080/binbase-compound/bin/show/357010?db=rtx5","357010")</f>
        <v>357010</v>
      </c>
      <c r="E324" s="1" t="s">
        <v>716</v>
      </c>
      <c r="F324" s="1" t="s">
        <v>0</v>
      </c>
      <c r="G324" s="1" t="s">
        <v>0</v>
      </c>
      <c r="H324" s="1"/>
      <c r="I324" s="10">
        <v>757</v>
      </c>
      <c r="J324" s="10">
        <v>2043</v>
      </c>
      <c r="K324" s="10">
        <v>1352</v>
      </c>
      <c r="L324" s="10">
        <v>572</v>
      </c>
      <c r="M324" s="10">
        <v>857</v>
      </c>
      <c r="N324" s="10">
        <v>577</v>
      </c>
      <c r="O324" s="10">
        <v>723</v>
      </c>
      <c r="P324" s="10">
        <v>2485</v>
      </c>
      <c r="Q324" s="10">
        <v>880</v>
      </c>
      <c r="R324" s="10">
        <v>666</v>
      </c>
      <c r="S324" s="10">
        <v>2277</v>
      </c>
      <c r="T324" s="10">
        <v>2091</v>
      </c>
      <c r="U324" s="10">
        <v>609</v>
      </c>
      <c r="V324" s="10">
        <v>1210</v>
      </c>
      <c r="W324" s="10">
        <v>1079</v>
      </c>
      <c r="X324" s="10">
        <v>638</v>
      </c>
      <c r="Y324" s="10">
        <v>765</v>
      </c>
      <c r="Z324" s="10">
        <v>548</v>
      </c>
      <c r="AA324" s="10">
        <v>1478</v>
      </c>
      <c r="AB324" s="10">
        <v>618</v>
      </c>
      <c r="AC324" s="10">
        <v>1551</v>
      </c>
      <c r="AD324" s="10">
        <v>794</v>
      </c>
      <c r="AE324" s="10">
        <v>769</v>
      </c>
      <c r="AF324" s="10">
        <v>1138</v>
      </c>
      <c r="AG324" s="10">
        <v>1732</v>
      </c>
      <c r="AH324" s="10">
        <v>593</v>
      </c>
      <c r="AI324" s="10">
        <v>1255</v>
      </c>
      <c r="AJ324" s="10">
        <v>2452</v>
      </c>
      <c r="AK324" s="10">
        <v>838</v>
      </c>
      <c r="AL324" s="10">
        <v>3238</v>
      </c>
      <c r="AM324" s="10">
        <v>658</v>
      </c>
      <c r="AN324" s="10">
        <v>1827</v>
      </c>
      <c r="AO324" s="10">
        <v>795</v>
      </c>
      <c r="AP324" s="10">
        <v>730</v>
      </c>
      <c r="AQ324" s="10">
        <v>1161</v>
      </c>
      <c r="AR324" s="10">
        <v>811</v>
      </c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</row>
    <row r="325" spans="1:81">
      <c r="A325" s="4" t="s">
        <v>548</v>
      </c>
      <c r="B325" s="1" t="s">
        <v>549</v>
      </c>
      <c r="C325" s="1" t="s">
        <v>418</v>
      </c>
      <c r="D325" s="1" t="str">
        <f>HYPERLINK("http://eros.fiehnlab.ucdavis.edu:8080/binbase-compound/bin/show/409349?db=rtx5","409349")</f>
        <v>409349</v>
      </c>
      <c r="E325" s="1" t="s">
        <v>550</v>
      </c>
      <c r="F325" s="1" t="s">
        <v>0</v>
      </c>
      <c r="G325" s="1" t="s">
        <v>0</v>
      </c>
      <c r="H325" s="1"/>
      <c r="I325" s="10">
        <v>662</v>
      </c>
      <c r="J325" s="10">
        <v>959</v>
      </c>
      <c r="K325" s="10">
        <v>1257</v>
      </c>
      <c r="L325" s="10">
        <v>409</v>
      </c>
      <c r="M325" s="10">
        <v>547</v>
      </c>
      <c r="N325" s="10">
        <v>642</v>
      </c>
      <c r="O325" s="10">
        <v>862</v>
      </c>
      <c r="P325" s="10">
        <v>2297</v>
      </c>
      <c r="Q325" s="10">
        <v>556</v>
      </c>
      <c r="R325" s="10">
        <v>661</v>
      </c>
      <c r="S325" s="10">
        <v>1157</v>
      </c>
      <c r="T325" s="10">
        <v>1574</v>
      </c>
      <c r="U325" s="10">
        <v>400</v>
      </c>
      <c r="V325" s="10">
        <v>950</v>
      </c>
      <c r="W325" s="10">
        <v>357</v>
      </c>
      <c r="X325" s="10">
        <v>746</v>
      </c>
      <c r="Y325" s="10">
        <v>395</v>
      </c>
      <c r="Z325" s="10">
        <v>761</v>
      </c>
      <c r="AA325" s="10">
        <v>1270</v>
      </c>
      <c r="AB325" s="10">
        <v>315</v>
      </c>
      <c r="AC325" s="10">
        <v>987</v>
      </c>
      <c r="AD325" s="10">
        <v>718</v>
      </c>
      <c r="AE325" s="10">
        <v>608</v>
      </c>
      <c r="AF325" s="10">
        <v>980</v>
      </c>
      <c r="AG325" s="10">
        <v>940</v>
      </c>
      <c r="AH325" s="10">
        <v>491</v>
      </c>
      <c r="AI325" s="10">
        <v>1021</v>
      </c>
      <c r="AJ325" s="10">
        <v>1579</v>
      </c>
      <c r="AK325" s="10">
        <v>455</v>
      </c>
      <c r="AL325" s="10">
        <v>2259</v>
      </c>
      <c r="AM325" s="10">
        <v>378</v>
      </c>
      <c r="AN325" s="10">
        <v>1555</v>
      </c>
      <c r="AO325" s="10">
        <v>417</v>
      </c>
      <c r="AP325" s="10">
        <v>618</v>
      </c>
      <c r="AQ325" s="10">
        <v>711</v>
      </c>
      <c r="AR325" s="10">
        <v>672</v>
      </c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</row>
    <row r="326" spans="1:81">
      <c r="A326" s="4" t="s">
        <v>605</v>
      </c>
      <c r="B326" s="1" t="s">
        <v>606</v>
      </c>
      <c r="C326" s="1" t="s">
        <v>518</v>
      </c>
      <c r="D326" s="1" t="str">
        <f>HYPERLINK("http://eros.fiehnlab.ucdavis.edu:8080/binbase-compound/bin/show/408790?db=rtx5","408790")</f>
        <v>408790</v>
      </c>
      <c r="E326" s="1" t="s">
        <v>607</v>
      </c>
      <c r="F326" s="1" t="s">
        <v>0</v>
      </c>
      <c r="G326" s="1" t="s">
        <v>0</v>
      </c>
      <c r="H326" s="1"/>
      <c r="I326" s="10">
        <v>4111</v>
      </c>
      <c r="J326" s="10">
        <v>673</v>
      </c>
      <c r="K326" s="10">
        <v>854</v>
      </c>
      <c r="L326" s="10">
        <v>4970</v>
      </c>
      <c r="M326" s="10">
        <v>3493</v>
      </c>
      <c r="N326" s="10">
        <v>4879</v>
      </c>
      <c r="O326" s="10">
        <v>2606</v>
      </c>
      <c r="P326" s="10">
        <v>2232</v>
      </c>
      <c r="Q326" s="10">
        <v>4063</v>
      </c>
      <c r="R326" s="10">
        <v>3299</v>
      </c>
      <c r="S326" s="10">
        <v>1604</v>
      </c>
      <c r="T326" s="10">
        <v>1022</v>
      </c>
      <c r="U326" s="10">
        <v>5831</v>
      </c>
      <c r="V326" s="10">
        <v>1644</v>
      </c>
      <c r="W326" s="10">
        <v>2707</v>
      </c>
      <c r="X326" s="10">
        <v>4302</v>
      </c>
      <c r="Y326" s="10">
        <v>4478</v>
      </c>
      <c r="Z326" s="10">
        <v>3569</v>
      </c>
      <c r="AA326" s="10">
        <v>1487</v>
      </c>
      <c r="AB326" s="10">
        <v>5581</v>
      </c>
      <c r="AC326" s="10">
        <v>948</v>
      </c>
      <c r="AD326" s="10">
        <v>3457</v>
      </c>
      <c r="AE326" s="10">
        <v>4533</v>
      </c>
      <c r="AF326" s="10">
        <v>1741</v>
      </c>
      <c r="AG326" s="10">
        <v>1793</v>
      </c>
      <c r="AH326" s="10">
        <v>5254</v>
      </c>
      <c r="AI326" s="10">
        <v>2802</v>
      </c>
      <c r="AJ326" s="10">
        <v>1635</v>
      </c>
      <c r="AK326" s="10">
        <v>3498</v>
      </c>
      <c r="AL326" s="10">
        <v>1965</v>
      </c>
      <c r="AM326" s="10">
        <v>3999</v>
      </c>
      <c r="AN326" s="10">
        <v>1804</v>
      </c>
      <c r="AO326" s="10">
        <v>4276</v>
      </c>
      <c r="AP326" s="10">
        <v>4558</v>
      </c>
      <c r="AQ326" s="10">
        <v>2819</v>
      </c>
      <c r="AR326" s="10">
        <v>3854</v>
      </c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</row>
    <row r="327" spans="1:81">
      <c r="A327" s="4" t="s">
        <v>852</v>
      </c>
      <c r="B327" s="1" t="s">
        <v>853</v>
      </c>
      <c r="C327" s="1" t="s">
        <v>114</v>
      </c>
      <c r="D327" s="1" t="str">
        <f>HYPERLINK("http://eros.fiehnlab.ucdavis.edu:8080/binbase-compound/bin/show/241668?db=rtx5","241668")</f>
        <v>241668</v>
      </c>
      <c r="E327" s="1" t="s">
        <v>854</v>
      </c>
      <c r="F327" s="1" t="s">
        <v>0</v>
      </c>
      <c r="G327" s="1" t="s">
        <v>0</v>
      </c>
      <c r="H327" s="1"/>
      <c r="I327" s="10">
        <v>7391</v>
      </c>
      <c r="J327" s="10">
        <v>2134</v>
      </c>
      <c r="K327" s="10">
        <v>1396</v>
      </c>
      <c r="L327" s="10">
        <v>8110</v>
      </c>
      <c r="M327" s="10">
        <v>6248</v>
      </c>
      <c r="N327" s="10">
        <v>8951</v>
      </c>
      <c r="O327" s="10">
        <v>4761</v>
      </c>
      <c r="P327" s="10">
        <v>3712</v>
      </c>
      <c r="Q327" s="10">
        <v>7719</v>
      </c>
      <c r="R327" s="10">
        <v>6112</v>
      </c>
      <c r="S327" s="10">
        <v>3199</v>
      </c>
      <c r="T327" s="10">
        <v>1982</v>
      </c>
      <c r="U327" s="10">
        <v>11104</v>
      </c>
      <c r="V327" s="10">
        <v>3281</v>
      </c>
      <c r="W327" s="10">
        <v>5863</v>
      </c>
      <c r="X327" s="10">
        <v>7359</v>
      </c>
      <c r="Y327" s="10">
        <v>8576</v>
      </c>
      <c r="Z327" s="10">
        <v>6328</v>
      </c>
      <c r="AA327" s="10">
        <v>3006</v>
      </c>
      <c r="AB327" s="10">
        <v>10382</v>
      </c>
      <c r="AC327" s="10">
        <v>1825</v>
      </c>
      <c r="AD327" s="10">
        <v>6419</v>
      </c>
      <c r="AE327" s="10">
        <v>8148</v>
      </c>
      <c r="AF327" s="10">
        <v>3048</v>
      </c>
      <c r="AG327" s="10">
        <v>2668</v>
      </c>
      <c r="AH327" s="10">
        <v>9941</v>
      </c>
      <c r="AI327" s="10">
        <v>4892</v>
      </c>
      <c r="AJ327" s="10">
        <v>3795</v>
      </c>
      <c r="AK327" s="10">
        <v>5702</v>
      </c>
      <c r="AL327" s="10">
        <v>2944</v>
      </c>
      <c r="AM327" s="10">
        <v>7127</v>
      </c>
      <c r="AN327" s="10">
        <v>3378</v>
      </c>
      <c r="AO327" s="10">
        <v>7522</v>
      </c>
      <c r="AP327" s="10">
        <v>7871</v>
      </c>
      <c r="AQ327" s="10">
        <v>5180</v>
      </c>
      <c r="AR327" s="10">
        <v>7044</v>
      </c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</row>
    <row r="328" spans="1:81">
      <c r="A328" s="4" t="s">
        <v>1100</v>
      </c>
      <c r="B328" s="1" t="s">
        <v>1101</v>
      </c>
      <c r="C328" s="1" t="s">
        <v>150</v>
      </c>
      <c r="D328" s="1" t="str">
        <f>HYPERLINK("http://eros.fiehnlab.ucdavis.edu:8080/binbase-compound/bin/show/213253?db=rtx5","213253")</f>
        <v>213253</v>
      </c>
      <c r="E328" s="1" t="s">
        <v>1102</v>
      </c>
      <c r="F328" s="1" t="s">
        <v>0</v>
      </c>
      <c r="G328" s="1" t="s">
        <v>0</v>
      </c>
      <c r="H328" s="1"/>
      <c r="I328" s="10">
        <v>401107</v>
      </c>
      <c r="J328" s="10">
        <v>264100</v>
      </c>
      <c r="K328" s="10">
        <v>177214</v>
      </c>
      <c r="L328" s="10">
        <v>363899</v>
      </c>
      <c r="M328" s="10">
        <v>275875</v>
      </c>
      <c r="N328" s="10">
        <v>354964</v>
      </c>
      <c r="O328" s="10">
        <v>444014</v>
      </c>
      <c r="P328" s="10">
        <v>201989</v>
      </c>
      <c r="Q328" s="10">
        <v>335920</v>
      </c>
      <c r="R328" s="10">
        <v>328533</v>
      </c>
      <c r="S328" s="10">
        <v>220748</v>
      </c>
      <c r="T328" s="10">
        <v>124857</v>
      </c>
      <c r="U328" s="10">
        <v>367817</v>
      </c>
      <c r="V328" s="10">
        <v>106454</v>
      </c>
      <c r="W328" s="10">
        <v>172088</v>
      </c>
      <c r="X328" s="10">
        <v>305137</v>
      </c>
      <c r="Y328" s="10">
        <v>307419</v>
      </c>
      <c r="Z328" s="10">
        <v>282958</v>
      </c>
      <c r="AA328" s="10">
        <v>145295</v>
      </c>
      <c r="AB328" s="10">
        <v>721770</v>
      </c>
      <c r="AC328" s="10">
        <v>159228</v>
      </c>
      <c r="AD328" s="10">
        <v>311003</v>
      </c>
      <c r="AE328" s="10">
        <v>275987</v>
      </c>
      <c r="AF328" s="10">
        <v>194869</v>
      </c>
      <c r="AG328" s="10">
        <v>141211</v>
      </c>
      <c r="AH328" s="10">
        <v>397159</v>
      </c>
      <c r="AI328" s="10">
        <v>313187</v>
      </c>
      <c r="AJ328" s="10">
        <v>132302</v>
      </c>
      <c r="AK328" s="10">
        <v>211280</v>
      </c>
      <c r="AL328" s="10">
        <v>153073</v>
      </c>
      <c r="AM328" s="10">
        <v>269833</v>
      </c>
      <c r="AN328" s="10">
        <v>198780</v>
      </c>
      <c r="AO328" s="10">
        <v>321633</v>
      </c>
      <c r="AP328" s="10">
        <v>382042</v>
      </c>
      <c r="AQ328" s="10">
        <v>186643</v>
      </c>
      <c r="AR328" s="10">
        <v>278468</v>
      </c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</row>
    <row r="329" spans="1:81">
      <c r="A329" s="4" t="s">
        <v>763</v>
      </c>
      <c r="B329" s="1" t="s">
        <v>764</v>
      </c>
      <c r="C329" s="1" t="s">
        <v>115</v>
      </c>
      <c r="D329" s="1" t="str">
        <f>HYPERLINK("http://eros.fiehnlab.ucdavis.edu:8080/binbase-compound/bin/show/302344?db=rtx5","302344")</f>
        <v>302344</v>
      </c>
      <c r="E329" s="1" t="s">
        <v>765</v>
      </c>
      <c r="F329" s="1" t="s">
        <v>0</v>
      </c>
      <c r="G329" s="1" t="s">
        <v>0</v>
      </c>
      <c r="H329" s="1"/>
      <c r="I329" s="10">
        <v>4694</v>
      </c>
      <c r="J329" s="10">
        <v>6016</v>
      </c>
      <c r="K329" s="10">
        <v>4416</v>
      </c>
      <c r="L329" s="10">
        <v>3966</v>
      </c>
      <c r="M329" s="10">
        <v>2479</v>
      </c>
      <c r="N329" s="10">
        <v>2190</v>
      </c>
      <c r="O329" s="10">
        <v>9684</v>
      </c>
      <c r="P329" s="10">
        <v>5031</v>
      </c>
      <c r="Q329" s="10">
        <v>5593</v>
      </c>
      <c r="R329" s="10">
        <v>7454</v>
      </c>
      <c r="S329" s="10">
        <v>14021</v>
      </c>
      <c r="T329" s="10">
        <v>8153</v>
      </c>
      <c r="U329" s="10">
        <v>6987</v>
      </c>
      <c r="V329" s="10">
        <v>9521</v>
      </c>
      <c r="W329" s="10">
        <v>9781</v>
      </c>
      <c r="X329" s="10">
        <v>14803</v>
      </c>
      <c r="Y329" s="10">
        <v>4106</v>
      </c>
      <c r="Z329" s="10">
        <v>6329</v>
      </c>
      <c r="AA329" s="10">
        <v>20218</v>
      </c>
      <c r="AB329" s="10">
        <v>7800</v>
      </c>
      <c r="AC329" s="10">
        <v>9418</v>
      </c>
      <c r="AD329" s="10">
        <v>7356</v>
      </c>
      <c r="AE329" s="10">
        <v>6700</v>
      </c>
      <c r="AF329" s="10">
        <v>6629</v>
      </c>
      <c r="AG329" s="10">
        <v>11131</v>
      </c>
      <c r="AH329" s="10">
        <v>5046</v>
      </c>
      <c r="AI329" s="10">
        <v>7613</v>
      </c>
      <c r="AJ329" s="10">
        <v>12552</v>
      </c>
      <c r="AK329" s="10">
        <v>6757</v>
      </c>
      <c r="AL329" s="10">
        <v>7583</v>
      </c>
      <c r="AM329" s="10">
        <v>5139</v>
      </c>
      <c r="AN329" s="10">
        <v>8462</v>
      </c>
      <c r="AO329" s="10">
        <v>3114</v>
      </c>
      <c r="AP329" s="10">
        <v>5743</v>
      </c>
      <c r="AQ329" s="10">
        <v>6672</v>
      </c>
      <c r="AR329" s="10">
        <v>4054</v>
      </c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</row>
    <row r="330" spans="1:81">
      <c r="A330" s="4" t="s">
        <v>848</v>
      </c>
      <c r="B330" s="1" t="s">
        <v>849</v>
      </c>
      <c r="C330" s="1" t="s">
        <v>850</v>
      </c>
      <c r="D330" s="1" t="str">
        <f>HYPERLINK("http://eros.fiehnlab.ucdavis.edu:8080/binbase-compound/bin/show/242417?db=rtx5","242417")</f>
        <v>242417</v>
      </c>
      <c r="E330" s="1" t="s">
        <v>851</v>
      </c>
      <c r="F330" s="1" t="s">
        <v>0</v>
      </c>
      <c r="G330" s="1" t="s">
        <v>0</v>
      </c>
      <c r="H330" s="1"/>
      <c r="I330" s="10">
        <v>931</v>
      </c>
      <c r="J330" s="10">
        <v>1677</v>
      </c>
      <c r="K330" s="10">
        <v>1432</v>
      </c>
      <c r="L330" s="10">
        <v>767</v>
      </c>
      <c r="M330" s="10">
        <v>797</v>
      </c>
      <c r="N330" s="10">
        <v>526</v>
      </c>
      <c r="O330" s="10">
        <v>1136</v>
      </c>
      <c r="P330" s="10">
        <v>1262</v>
      </c>
      <c r="Q330" s="10">
        <v>928</v>
      </c>
      <c r="R330" s="10">
        <v>1005</v>
      </c>
      <c r="S330" s="10">
        <v>1408</v>
      </c>
      <c r="T330" s="10">
        <v>1444</v>
      </c>
      <c r="U330" s="10">
        <v>568</v>
      </c>
      <c r="V330" s="10">
        <v>1261</v>
      </c>
      <c r="W330" s="10">
        <v>1072</v>
      </c>
      <c r="X330" s="10">
        <v>524</v>
      </c>
      <c r="Y330" s="10">
        <v>628</v>
      </c>
      <c r="Z330" s="10">
        <v>846</v>
      </c>
      <c r="AA330" s="10">
        <v>2070</v>
      </c>
      <c r="AB330" s="10">
        <v>934</v>
      </c>
      <c r="AC330" s="10">
        <v>942</v>
      </c>
      <c r="AD330" s="10">
        <v>1099</v>
      </c>
      <c r="AE330" s="10">
        <v>283</v>
      </c>
      <c r="AF330" s="10">
        <v>1203</v>
      </c>
      <c r="AG330" s="10">
        <v>751</v>
      </c>
      <c r="AH330" s="10">
        <v>622</v>
      </c>
      <c r="AI330" s="10">
        <v>1136</v>
      </c>
      <c r="AJ330" s="10">
        <v>1515</v>
      </c>
      <c r="AK330" s="10">
        <v>666</v>
      </c>
      <c r="AL330" s="10">
        <v>1639</v>
      </c>
      <c r="AM330" s="10">
        <v>949</v>
      </c>
      <c r="AN330" s="10">
        <v>1371</v>
      </c>
      <c r="AO330" s="10">
        <v>764</v>
      </c>
      <c r="AP330" s="10">
        <v>1090</v>
      </c>
      <c r="AQ330" s="10">
        <v>678</v>
      </c>
      <c r="AR330" s="10">
        <v>769</v>
      </c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</row>
    <row r="331" spans="1:81">
      <c r="A331" s="4" t="s">
        <v>1056</v>
      </c>
      <c r="B331" s="1" t="s">
        <v>1057</v>
      </c>
      <c r="C331" s="1" t="s">
        <v>656</v>
      </c>
      <c r="D331" s="1" t="str">
        <f>HYPERLINK("http://eros.fiehnlab.ucdavis.edu:8080/binbase-compound/bin/show/218787?db=rtx5","218787")</f>
        <v>218787</v>
      </c>
      <c r="E331" s="1" t="s">
        <v>1058</v>
      </c>
      <c r="F331" s="1" t="s">
        <v>0</v>
      </c>
      <c r="G331" s="1" t="s">
        <v>0</v>
      </c>
      <c r="H331" s="1"/>
      <c r="I331" s="10">
        <v>390</v>
      </c>
      <c r="J331" s="10">
        <v>1254</v>
      </c>
      <c r="K331" s="10">
        <v>3283</v>
      </c>
      <c r="L331" s="10">
        <v>710</v>
      </c>
      <c r="M331" s="10">
        <v>324</v>
      </c>
      <c r="N331" s="10">
        <v>154</v>
      </c>
      <c r="O331" s="10">
        <v>653</v>
      </c>
      <c r="P331" s="10">
        <v>2842</v>
      </c>
      <c r="Q331" s="10">
        <v>265</v>
      </c>
      <c r="R331" s="10">
        <v>553</v>
      </c>
      <c r="S331" s="10">
        <v>1028</v>
      </c>
      <c r="T331" s="10">
        <v>2629</v>
      </c>
      <c r="U331" s="10">
        <v>492</v>
      </c>
      <c r="V331" s="10">
        <v>1062</v>
      </c>
      <c r="W331" s="10">
        <v>991</v>
      </c>
      <c r="X331" s="10">
        <v>364</v>
      </c>
      <c r="Y331" s="10">
        <v>280</v>
      </c>
      <c r="Z331" s="10">
        <v>727</v>
      </c>
      <c r="AA331" s="10">
        <v>1940</v>
      </c>
      <c r="AB331" s="10">
        <v>277</v>
      </c>
      <c r="AC331" s="10">
        <v>1955</v>
      </c>
      <c r="AD331" s="10">
        <v>356</v>
      </c>
      <c r="AE331" s="10">
        <v>701</v>
      </c>
      <c r="AF331" s="10">
        <v>734</v>
      </c>
      <c r="AG331" s="10">
        <v>1855</v>
      </c>
      <c r="AH331" s="10">
        <v>608</v>
      </c>
      <c r="AI331" s="10">
        <v>548</v>
      </c>
      <c r="AJ331" s="10">
        <v>1955</v>
      </c>
      <c r="AK331" s="10">
        <v>743</v>
      </c>
      <c r="AL331" s="10">
        <v>908</v>
      </c>
      <c r="AM331" s="10">
        <v>1062</v>
      </c>
      <c r="AN331" s="10">
        <v>1574</v>
      </c>
      <c r="AO331" s="10">
        <v>769</v>
      </c>
      <c r="AP331" s="10">
        <v>748</v>
      </c>
      <c r="AQ331" s="10">
        <v>391</v>
      </c>
      <c r="AR331" s="10">
        <v>852</v>
      </c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</row>
    <row r="332" spans="1:81">
      <c r="A332" s="4" t="s">
        <v>973</v>
      </c>
      <c r="B332" s="1" t="s">
        <v>974</v>
      </c>
      <c r="C332" s="1" t="s">
        <v>511</v>
      </c>
      <c r="D332" s="1" t="str">
        <f>HYPERLINK("http://eros.fiehnlab.ucdavis.edu:8080/binbase-compound/bin/show/233108?db=rtx5","233108")</f>
        <v>233108</v>
      </c>
      <c r="E332" s="1" t="s">
        <v>975</v>
      </c>
      <c r="F332" s="1" t="s">
        <v>0</v>
      </c>
      <c r="G332" s="1" t="s">
        <v>0</v>
      </c>
      <c r="H332" s="1"/>
      <c r="I332" s="10">
        <v>705</v>
      </c>
      <c r="J332" s="10">
        <v>720</v>
      </c>
      <c r="K332" s="10">
        <v>759</v>
      </c>
      <c r="L332" s="10">
        <v>115</v>
      </c>
      <c r="M332" s="10">
        <v>656</v>
      </c>
      <c r="N332" s="10">
        <v>336</v>
      </c>
      <c r="O332" s="10">
        <v>577</v>
      </c>
      <c r="P332" s="10">
        <v>476</v>
      </c>
      <c r="Q332" s="10">
        <v>717</v>
      </c>
      <c r="R332" s="10">
        <v>627</v>
      </c>
      <c r="S332" s="10">
        <v>927</v>
      </c>
      <c r="T332" s="10">
        <v>239</v>
      </c>
      <c r="U332" s="10">
        <v>156</v>
      </c>
      <c r="V332" s="10">
        <v>634</v>
      </c>
      <c r="W332" s="10">
        <v>119</v>
      </c>
      <c r="X332" s="10">
        <v>803</v>
      </c>
      <c r="Y332" s="10">
        <v>190</v>
      </c>
      <c r="Z332" s="10">
        <v>665</v>
      </c>
      <c r="AA332" s="10">
        <v>884</v>
      </c>
      <c r="AB332" s="10">
        <v>272</v>
      </c>
      <c r="AC332" s="10">
        <v>617</v>
      </c>
      <c r="AD332" s="10">
        <v>769</v>
      </c>
      <c r="AE332" s="10">
        <v>821</v>
      </c>
      <c r="AF332" s="10">
        <v>532</v>
      </c>
      <c r="AG332" s="10">
        <v>612</v>
      </c>
      <c r="AH332" s="10">
        <v>141</v>
      </c>
      <c r="AI332" s="10">
        <v>159</v>
      </c>
      <c r="AJ332" s="10">
        <v>777</v>
      </c>
      <c r="AK332" s="10">
        <v>104</v>
      </c>
      <c r="AL332" s="10">
        <v>497</v>
      </c>
      <c r="AM332" s="10">
        <v>301</v>
      </c>
      <c r="AN332" s="10">
        <v>650</v>
      </c>
      <c r="AO332" s="10">
        <v>238</v>
      </c>
      <c r="AP332" s="10">
        <v>198</v>
      </c>
      <c r="AQ332" s="10">
        <v>119</v>
      </c>
      <c r="AR332" s="10">
        <v>270</v>
      </c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</row>
    <row r="333" spans="1:81">
      <c r="A333" s="4" t="s">
        <v>949</v>
      </c>
      <c r="B333" s="1" t="s">
        <v>950</v>
      </c>
      <c r="C333" s="1" t="s">
        <v>259</v>
      </c>
      <c r="D333" s="1" t="str">
        <f>HYPERLINK("http://eros.fiehnlab.ucdavis.edu:8080/binbase-compound/bin/show/236810?db=rtx5","236810")</f>
        <v>236810</v>
      </c>
      <c r="E333" s="1" t="s">
        <v>951</v>
      </c>
      <c r="F333" s="1" t="s">
        <v>0</v>
      </c>
      <c r="G333" s="1" t="s">
        <v>0</v>
      </c>
      <c r="H333" s="1"/>
      <c r="I333" s="10">
        <v>534</v>
      </c>
      <c r="J333" s="10">
        <v>517</v>
      </c>
      <c r="K333" s="10">
        <v>699</v>
      </c>
      <c r="L333" s="10">
        <v>1046</v>
      </c>
      <c r="M333" s="10">
        <v>344</v>
      </c>
      <c r="N333" s="10">
        <v>425</v>
      </c>
      <c r="O333" s="10">
        <v>672</v>
      </c>
      <c r="P333" s="10">
        <v>1154</v>
      </c>
      <c r="Q333" s="10">
        <v>1193</v>
      </c>
      <c r="R333" s="10">
        <v>943</v>
      </c>
      <c r="S333" s="10">
        <v>1123</v>
      </c>
      <c r="T333" s="10">
        <v>1069</v>
      </c>
      <c r="U333" s="10">
        <v>1138</v>
      </c>
      <c r="V333" s="10">
        <v>1432</v>
      </c>
      <c r="W333" s="10">
        <v>274</v>
      </c>
      <c r="X333" s="10">
        <v>846</v>
      </c>
      <c r="Y333" s="10">
        <v>565</v>
      </c>
      <c r="Z333" s="10">
        <v>355</v>
      </c>
      <c r="AA333" s="10">
        <v>985</v>
      </c>
      <c r="AB333" s="10">
        <v>376</v>
      </c>
      <c r="AC333" s="10">
        <v>754</v>
      </c>
      <c r="AD333" s="10">
        <v>523</v>
      </c>
      <c r="AE333" s="10">
        <v>310</v>
      </c>
      <c r="AF333" s="10">
        <v>510</v>
      </c>
      <c r="AG333" s="10">
        <v>613</v>
      </c>
      <c r="AH333" s="10">
        <v>1216</v>
      </c>
      <c r="AI333" s="10">
        <v>761</v>
      </c>
      <c r="AJ333" s="10">
        <v>1210</v>
      </c>
      <c r="AK333" s="10">
        <v>335</v>
      </c>
      <c r="AL333" s="10">
        <v>912</v>
      </c>
      <c r="AM333" s="10">
        <v>530</v>
      </c>
      <c r="AN333" s="10">
        <v>951</v>
      </c>
      <c r="AO333" s="10">
        <v>455</v>
      </c>
      <c r="AP333" s="10">
        <v>728</v>
      </c>
      <c r="AQ333" s="10">
        <v>743</v>
      </c>
      <c r="AR333" s="10">
        <v>769</v>
      </c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</row>
    <row r="334" spans="1:81">
      <c r="A334" s="4" t="s">
        <v>632</v>
      </c>
      <c r="B334" s="1" t="s">
        <v>633</v>
      </c>
      <c r="C334" s="1" t="s">
        <v>193</v>
      </c>
      <c r="D334" s="1" t="str">
        <f>HYPERLINK("http://eros.fiehnlab.ucdavis.edu:8080/binbase-compound/bin/show/408504?db=rtx5","408504")</f>
        <v>408504</v>
      </c>
      <c r="E334" s="1" t="s">
        <v>634</v>
      </c>
      <c r="F334" s="1" t="s">
        <v>0</v>
      </c>
      <c r="G334" s="1" t="s">
        <v>0</v>
      </c>
      <c r="H334" s="1"/>
      <c r="I334" s="10">
        <v>8363</v>
      </c>
      <c r="J334" s="10">
        <v>1686</v>
      </c>
      <c r="K334" s="10">
        <v>697</v>
      </c>
      <c r="L334" s="10">
        <v>8404</v>
      </c>
      <c r="M334" s="10">
        <v>7545</v>
      </c>
      <c r="N334" s="10">
        <v>10711</v>
      </c>
      <c r="O334" s="10">
        <v>3230</v>
      </c>
      <c r="P334" s="10">
        <v>2719</v>
      </c>
      <c r="Q334" s="10">
        <v>8875</v>
      </c>
      <c r="R334" s="10">
        <v>5894</v>
      </c>
      <c r="S334" s="10">
        <v>2528</v>
      </c>
      <c r="T334" s="10">
        <v>1540</v>
      </c>
      <c r="U334" s="10">
        <v>12791</v>
      </c>
      <c r="V334" s="10">
        <v>4752</v>
      </c>
      <c r="W334" s="10">
        <v>7282</v>
      </c>
      <c r="X334" s="10">
        <v>7161</v>
      </c>
      <c r="Y334" s="10">
        <v>9194</v>
      </c>
      <c r="Z334" s="10">
        <v>8278</v>
      </c>
      <c r="AA334" s="10">
        <v>2292</v>
      </c>
      <c r="AB334" s="10">
        <v>9550</v>
      </c>
      <c r="AC334" s="10">
        <v>948</v>
      </c>
      <c r="AD334" s="10">
        <v>7177</v>
      </c>
      <c r="AE334" s="10">
        <v>7853</v>
      </c>
      <c r="AF334" s="10">
        <v>2387</v>
      </c>
      <c r="AG334" s="10">
        <v>2470</v>
      </c>
      <c r="AH334" s="10">
        <v>10907</v>
      </c>
      <c r="AI334" s="10">
        <v>5920</v>
      </c>
      <c r="AJ334" s="10">
        <v>3686</v>
      </c>
      <c r="AK334" s="10">
        <v>7537</v>
      </c>
      <c r="AL334" s="10">
        <v>2110</v>
      </c>
      <c r="AM334" s="10">
        <v>7856</v>
      </c>
      <c r="AN334" s="10">
        <v>3120</v>
      </c>
      <c r="AO334" s="10">
        <v>8199</v>
      </c>
      <c r="AP334" s="10">
        <v>8650</v>
      </c>
      <c r="AQ334" s="10">
        <v>7068</v>
      </c>
      <c r="AR334" s="10">
        <v>8340</v>
      </c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</row>
    <row r="335" spans="1:81">
      <c r="A335" s="4" t="s">
        <v>959</v>
      </c>
      <c r="B335" s="1" t="s">
        <v>960</v>
      </c>
      <c r="C335" s="1" t="s">
        <v>795</v>
      </c>
      <c r="D335" s="1" t="str">
        <f>HYPERLINK("http://eros.fiehnlab.ucdavis.edu:8080/binbase-compound/bin/show/235327?db=rtx5","235327")</f>
        <v>235327</v>
      </c>
      <c r="E335" s="1" t="s">
        <v>961</v>
      </c>
      <c r="F335" s="1" t="s">
        <v>0</v>
      </c>
      <c r="G335" s="1" t="s">
        <v>0</v>
      </c>
      <c r="H335" s="1"/>
      <c r="I335" s="10">
        <v>448</v>
      </c>
      <c r="J335" s="10">
        <v>7567</v>
      </c>
      <c r="K335" s="10">
        <v>14974</v>
      </c>
      <c r="L335" s="10">
        <v>3258</v>
      </c>
      <c r="M335" s="10">
        <v>5539</v>
      </c>
      <c r="N335" s="10">
        <v>3424</v>
      </c>
      <c r="O335" s="10">
        <v>8805</v>
      </c>
      <c r="P335" s="10">
        <v>19051</v>
      </c>
      <c r="Q335" s="10">
        <v>4764</v>
      </c>
      <c r="R335" s="10">
        <v>5569</v>
      </c>
      <c r="S335" s="10">
        <v>15317</v>
      </c>
      <c r="T335" s="10">
        <v>16011</v>
      </c>
      <c r="U335" s="10">
        <v>2705</v>
      </c>
      <c r="V335" s="10">
        <v>7676</v>
      </c>
      <c r="W335" s="10">
        <v>3536</v>
      </c>
      <c r="X335" s="10">
        <v>5581</v>
      </c>
      <c r="Y335" s="10">
        <v>1669</v>
      </c>
      <c r="Z335" s="10">
        <v>6179</v>
      </c>
      <c r="AA335" s="10">
        <v>12137</v>
      </c>
      <c r="AB335" s="10">
        <v>1291</v>
      </c>
      <c r="AC335" s="10">
        <v>2468</v>
      </c>
      <c r="AD335" s="10">
        <v>5187</v>
      </c>
      <c r="AE335" s="10">
        <v>4066</v>
      </c>
      <c r="AF335" s="10">
        <v>1816</v>
      </c>
      <c r="AG335" s="10">
        <v>8770</v>
      </c>
      <c r="AH335" s="10">
        <v>3267</v>
      </c>
      <c r="AI335" s="10">
        <v>2257</v>
      </c>
      <c r="AJ335" s="10">
        <v>10373</v>
      </c>
      <c r="AK335" s="10">
        <v>5213</v>
      </c>
      <c r="AL335" s="10">
        <v>18323</v>
      </c>
      <c r="AM335" s="10">
        <v>5855</v>
      </c>
      <c r="AN335" s="10">
        <v>14944</v>
      </c>
      <c r="AO335" s="10">
        <v>4117</v>
      </c>
      <c r="AP335" s="10">
        <v>3913</v>
      </c>
      <c r="AQ335" s="10">
        <v>4786</v>
      </c>
      <c r="AR335" s="10">
        <v>668</v>
      </c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</row>
  </sheetData>
  <sortState columnSort="1" ref="I1:AR335">
    <sortCondition ref="I3:AR3"/>
    <sortCondition ref="I2:AR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norm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Ms X</cp:lastModifiedBy>
  <dcterms:created xsi:type="dcterms:W3CDTF">2011-10-27T03:32:59Z</dcterms:created>
  <dcterms:modified xsi:type="dcterms:W3CDTF">2011-10-29T05:38:21Z</dcterms:modified>
</cp:coreProperties>
</file>