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155" windowHeight="7710"/>
  </bookViews>
  <sheets>
    <sheet name="submit" sheetId="4" r:id="rId1"/>
  </sheets>
  <calcPr calcId="125725"/>
</workbook>
</file>

<file path=xl/calcChain.xml><?xml version="1.0" encoding="utf-8"?>
<calcChain xmlns="http://schemas.openxmlformats.org/spreadsheetml/2006/main">
  <c r="D351" i="4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G136"/>
  <c r="F136"/>
  <c r="D136"/>
  <c r="G135"/>
  <c r="F135"/>
  <c r="D135"/>
  <c r="G134"/>
  <c r="F134"/>
  <c r="D134"/>
  <c r="G133"/>
  <c r="F133"/>
  <c r="D133"/>
  <c r="G132"/>
  <c r="F132"/>
  <c r="D132"/>
  <c r="G131"/>
  <c r="F131"/>
  <c r="D131"/>
  <c r="G130"/>
  <c r="F130"/>
  <c r="D130"/>
  <c r="G129"/>
  <c r="F129"/>
  <c r="D129"/>
  <c r="G128"/>
  <c r="F128"/>
  <c r="D128"/>
  <c r="G127"/>
  <c r="F127"/>
  <c r="D127"/>
  <c r="G126"/>
  <c r="F126"/>
  <c r="D126"/>
  <c r="G125"/>
  <c r="F125"/>
  <c r="D125"/>
  <c r="G124"/>
  <c r="F124"/>
  <c r="D124"/>
  <c r="G123"/>
  <c r="F123"/>
  <c r="D123"/>
  <c r="G122"/>
  <c r="F122"/>
  <c r="D122"/>
  <c r="G121"/>
  <c r="F121"/>
  <c r="D121"/>
  <c r="G120"/>
  <c r="F120"/>
  <c r="D120"/>
  <c r="G119"/>
  <c r="F119"/>
  <c r="D119"/>
  <c r="G118"/>
  <c r="F118"/>
  <c r="D118"/>
  <c r="D117"/>
  <c r="G116"/>
  <c r="F116"/>
  <c r="D116"/>
  <c r="G115"/>
  <c r="F115"/>
  <c r="D115"/>
  <c r="G114"/>
  <c r="F114"/>
  <c r="D114"/>
  <c r="G113"/>
  <c r="F113"/>
  <c r="D113"/>
  <c r="G112"/>
  <c r="F112"/>
  <c r="D112"/>
  <c r="G111"/>
  <c r="F111"/>
  <c r="D111"/>
  <c r="G110"/>
  <c r="F110"/>
  <c r="D110"/>
  <c r="G109"/>
  <c r="F109"/>
  <c r="D109"/>
  <c r="G108"/>
  <c r="F108"/>
  <c r="D108"/>
  <c r="G107"/>
  <c r="F107"/>
  <c r="D107"/>
  <c r="G106"/>
  <c r="F106"/>
  <c r="D106"/>
  <c r="G105"/>
  <c r="F105"/>
  <c r="D105"/>
  <c r="G104"/>
  <c r="F104"/>
  <c r="D104"/>
  <c r="G103"/>
  <c r="F103"/>
  <c r="D103"/>
  <c r="G102"/>
  <c r="F102"/>
  <c r="D102"/>
  <c r="G101"/>
  <c r="F101"/>
  <c r="D101"/>
  <c r="G100"/>
  <c r="F100"/>
  <c r="D100"/>
  <c r="G99"/>
  <c r="F99"/>
  <c r="D99"/>
  <c r="D98"/>
  <c r="G97"/>
  <c r="F97"/>
  <c r="D97"/>
  <c r="G96"/>
  <c r="F96"/>
  <c r="D96"/>
  <c r="G95"/>
  <c r="F95"/>
  <c r="D95"/>
  <c r="D94"/>
  <c r="G93"/>
  <c r="F93"/>
  <c r="D93"/>
  <c r="G92"/>
  <c r="F92"/>
  <c r="D92"/>
  <c r="G91"/>
  <c r="F91"/>
  <c r="D91"/>
  <c r="G90"/>
  <c r="F90"/>
  <c r="D90"/>
  <c r="G89"/>
  <c r="F89"/>
  <c r="D89"/>
  <c r="D88"/>
  <c r="G87"/>
  <c r="F87"/>
  <c r="D87"/>
  <c r="G86"/>
  <c r="F86"/>
  <c r="D86"/>
  <c r="G85"/>
  <c r="F85"/>
  <c r="D85"/>
  <c r="D84"/>
  <c r="G83"/>
  <c r="F83"/>
  <c r="D83"/>
  <c r="G82"/>
  <c r="F82"/>
  <c r="D82"/>
  <c r="G81"/>
  <c r="F81"/>
  <c r="D81"/>
  <c r="G80"/>
  <c r="F80"/>
  <c r="D80"/>
  <c r="G79"/>
  <c r="F79"/>
  <c r="D79"/>
  <c r="G78"/>
  <c r="F78"/>
  <c r="D78"/>
  <c r="G77"/>
  <c r="F77"/>
  <c r="D77"/>
  <c r="G76"/>
  <c r="F76"/>
  <c r="D76"/>
  <c r="G75"/>
  <c r="F75"/>
  <c r="D75"/>
  <c r="G74"/>
  <c r="F74"/>
  <c r="D74"/>
  <c r="G73"/>
  <c r="F73"/>
  <c r="D73"/>
  <c r="G72"/>
  <c r="F72"/>
  <c r="D72"/>
  <c r="G71"/>
  <c r="F71"/>
  <c r="D71"/>
  <c r="G70"/>
  <c r="F70"/>
  <c r="D70"/>
  <c r="G69"/>
  <c r="F69"/>
  <c r="D69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G62"/>
  <c r="F62"/>
  <c r="D62"/>
  <c r="D61"/>
  <c r="G60"/>
  <c r="F60"/>
  <c r="D60"/>
  <c r="G59"/>
  <c r="F59"/>
  <c r="D59"/>
  <c r="G58"/>
  <c r="F58"/>
  <c r="D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G51"/>
  <c r="F51"/>
  <c r="D51"/>
  <c r="G50"/>
  <c r="F50"/>
  <c r="D50"/>
  <c r="G49"/>
  <c r="F49"/>
  <c r="D49"/>
  <c r="G48"/>
  <c r="F48"/>
  <c r="D48"/>
  <c r="D47"/>
  <c r="G46"/>
  <c r="F46"/>
  <c r="D46"/>
  <c r="G45"/>
  <c r="F45"/>
  <c r="D45"/>
  <c r="G44"/>
  <c r="F44"/>
  <c r="D44"/>
  <c r="G43"/>
  <c r="F43"/>
  <c r="D43"/>
  <c r="G42"/>
  <c r="F42"/>
  <c r="D42"/>
  <c r="G41"/>
  <c r="F41"/>
  <c r="D41"/>
  <c r="D40"/>
  <c r="G39"/>
  <c r="F39"/>
  <c r="D39"/>
  <c r="G38"/>
  <c r="F38"/>
  <c r="D38"/>
  <c r="G37"/>
  <c r="F37"/>
  <c r="D37"/>
  <c r="G36"/>
  <c r="F36"/>
  <c r="D36"/>
  <c r="D35"/>
  <c r="G34"/>
  <c r="F34"/>
  <c r="D34"/>
  <c r="G33"/>
  <c r="F33"/>
  <c r="D33"/>
  <c r="G32"/>
  <c r="F32"/>
  <c r="D32"/>
  <c r="G31"/>
  <c r="F31"/>
  <c r="D31"/>
  <c r="G30"/>
  <c r="F30"/>
  <c r="D30"/>
  <c r="G29"/>
  <c r="F29"/>
  <c r="D29"/>
  <c r="G28"/>
  <c r="F28"/>
  <c r="D28"/>
  <c r="G27"/>
  <c r="F27"/>
  <c r="D27"/>
  <c r="G26"/>
  <c r="F26"/>
  <c r="D26"/>
  <c r="G25"/>
  <c r="F25"/>
  <c r="D25"/>
  <c r="D24"/>
  <c r="G23"/>
  <c r="F23"/>
  <c r="D23"/>
  <c r="G22"/>
  <c r="F22"/>
  <c r="D22"/>
  <c r="G21"/>
  <c r="F21"/>
  <c r="D21"/>
  <c r="G20"/>
  <c r="F20"/>
  <c r="D20"/>
  <c r="G19"/>
  <c r="F19"/>
  <c r="D19"/>
  <c r="G18"/>
  <c r="F18"/>
  <c r="D18"/>
  <c r="G17"/>
  <c r="F17"/>
  <c r="D17"/>
  <c r="G16"/>
  <c r="F16"/>
  <c r="D16"/>
  <c r="G15"/>
  <c r="F15"/>
  <c r="D15"/>
  <c r="G14"/>
  <c r="F14"/>
  <c r="D14"/>
  <c r="G13"/>
  <c r="F13"/>
  <c r="D13"/>
  <c r="G12"/>
  <c r="F12"/>
  <c r="D12"/>
  <c r="G11"/>
  <c r="F11"/>
  <c r="D11"/>
  <c r="G10"/>
  <c r="F10"/>
  <c r="D10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</calcChain>
</file>

<file path=xl/sharedStrings.xml><?xml version="1.0" encoding="utf-8"?>
<sst xmlns="http://schemas.openxmlformats.org/spreadsheetml/2006/main" count="1219" uniqueCount="601">
  <si>
    <t>120312amssa31_1</t>
  </si>
  <si>
    <t>120312amssa19_1</t>
  </si>
  <si>
    <t>120312amssa01_1</t>
  </si>
  <si>
    <t>120312amssa22_1</t>
  </si>
  <si>
    <t>120312amssa04_1</t>
  </si>
  <si>
    <t>120311amssa36_1</t>
  </si>
  <si>
    <t>120312amssa18_1</t>
  </si>
  <si>
    <t>120312amssa06_1</t>
  </si>
  <si>
    <t>120311amssa46_1</t>
  </si>
  <si>
    <t>120312amssa24_1</t>
  </si>
  <si>
    <t>120312amssa02_1</t>
  </si>
  <si>
    <t>120311amssa37_1</t>
  </si>
  <si>
    <t>120312amssa26_1</t>
  </si>
  <si>
    <t>120312amssa09_1</t>
  </si>
  <si>
    <t>120311amssa39_1</t>
  </si>
  <si>
    <t>120312amssa35_1</t>
  </si>
  <si>
    <t>120312amssa32_1</t>
  </si>
  <si>
    <t>120312amssa03_1</t>
  </si>
  <si>
    <t>120312amssa28_1</t>
  </si>
  <si>
    <t>120312amssa12_1</t>
  </si>
  <si>
    <t>120312amssa08_1</t>
  </si>
  <si>
    <t>120312amssa15_1</t>
  </si>
  <si>
    <t>120311amssa38_1</t>
  </si>
  <si>
    <t>120311amssa33_1</t>
  </si>
  <si>
    <t>120312amssa30_1</t>
  </si>
  <si>
    <t>120312amssa16_1</t>
  </si>
  <si>
    <t>120311amssa32_1</t>
  </si>
  <si>
    <t>120311amssa47_1</t>
  </si>
  <si>
    <t>120311amssa44_1</t>
  </si>
  <si>
    <t>120311amssa31_1</t>
  </si>
  <si>
    <t>120312amssa37_1</t>
  </si>
  <si>
    <t>120312amssa29_1</t>
  </si>
  <si>
    <t>120312amssa21_1</t>
  </si>
  <si>
    <t>120312amssa36_1</t>
  </si>
  <si>
    <t>120312amssa14_1</t>
  </si>
  <si>
    <t>120312amssa10_1</t>
  </si>
  <si>
    <t>120311amssa50_1</t>
  </si>
  <si>
    <t>120311amssa45_1</t>
  </si>
  <si>
    <t>120311amssa34_1</t>
  </si>
  <si>
    <t>120312amssa20_1</t>
  </si>
  <si>
    <t>120312amssa13_1</t>
  </si>
  <si>
    <t>120311amssa48_1</t>
  </si>
  <si>
    <t>120312amssa25_1</t>
  </si>
  <si>
    <t>120312amssa05_1</t>
  </si>
  <si>
    <t>120311amssa40_1</t>
  </si>
  <si>
    <t>120312amssa07_1</t>
  </si>
  <si>
    <t>120311amssa49_1</t>
  </si>
  <si>
    <t>120311amssa42_1</t>
  </si>
  <si>
    <t>120312amssa33_1</t>
  </si>
  <si>
    <t>120312amssa17_1</t>
  </si>
  <si>
    <t>120311amssa43_1</t>
  </si>
  <si>
    <t>120312amssa27_1</t>
  </si>
  <si>
    <t>120312amssa23_1</t>
  </si>
  <si>
    <t>120312amssa11_1</t>
  </si>
  <si>
    <t>120312amssa34_1</t>
  </si>
  <si>
    <t>120311amssa41_1</t>
  </si>
  <si>
    <t>120311amssa35_1</t>
  </si>
  <si>
    <t/>
  </si>
  <si>
    <t>xanthosine</t>
  </si>
  <si>
    <t>86:74.0 88:56.0 93:1.0 102:63.0 103:1102.0 104:128.0 111:4.0 113:73.0 115:68.0 117:153.0 125:7.0 129:418.0 132:84.0 134:167.0 143:26.0 144:135.0 145:34.0 153:4.0 157:146.0 158:78.0 169:296.0 170:43.0 171:12.0 172:14.0 173:67.0 183:9.0 186:12.0 188:12.0 204:74.0 208:1.0 209:95.0 211:44.0 215:44.0 217:872.0 218:104.0 219:13.0 226:8.0 230:1108.0 231:280.0 232:97.0 238:14.0 243:481.0 244:78.0 245:1392.0 246:208.0 247:76.0 249:49.0 251:11.0 254:25.0 259:152.0 260:63.0 264:24.0 265:115.0 266:67.0 268:78.0 279:121.0 280:44.0 281:716.0 282:47.0 283:105.0 284:35.0 292:26.0 297:287.0 298:75.0 305:1.0 310:9.0 314:18.0 315:3.0 325:1610.0 326:302.0 327:59.0 328:19.0 329:10.0 341:48.0 342:95.0 343:26.0 348:19.0 354:28.0 355:36.0 356:2.0 357:33.0 367:5.0 368:53.0 369:354.0 370:112.0 371:52.0 387:46.0 389:11.0 393:8.0 397:4.0 411:78.0 412:25.0 415:43.0 417:43.0 418:6.0 427:1.0 428:13.0 438:17.0 450:8.0 460:19.0 461:10.0 464:4.0 475:16.0 476:22.0 485:13.0 489:18.0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</si>
  <si>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</si>
  <si>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</si>
  <si>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valine</t>
  </si>
  <si>
    <t>85:48.0 86:132.0 87:8.0 88:9.0 89:2.0 90:21.0 91:58.0 92:93.0 93:1.0 97:102.0 98:14.0 99:2.0 100:836.0 101:92.0 102:11.0 103:76.0 104:20.0 105:42.0 106:2.0 107:49.0 109:2.0 110:18.0 111:13.0 112:18.0 113:8.0 114:87.0 115:99.0 116:9.0 117:113.0 118:31.0 119:19.0 120:6.0 129:31.0 130:55.0 131:55.0 132:140.0 133:378.0 134:33.0 135:4.0 136:5.0 142:21.0 143:24.0 144:4737.0 145:554.0 146:209.0 147:684.0 148:153.0 149:85.0 150:8.0 156:70.0 157:9.0 158:12.0 159:10.0 160:4.0 166:1.0 170:1.0 172:2.0 174:1.0 184:5.0 186:1.0 190:2.0 193:1.0 196:3.0 198:5.0 199:4.0 202:2.0 203:13.0 208:6.0 218:561.0 219:139.0 220:24.0 223:3.0 224:2.0 228:1.0 230:2.0 232:4.0 241:1.0 245:2.0 246:11.0 252:2.0 253:1.0 260:1.0 264:1.0 268:2.0 270:3.0 274:3.0 282:2.0 284:1.0 285:3.0 292:1.0 293:1.0 296:1.0 297:1.0 309:2.0 311:1.0 314:1.0 316:1.0 323:1.0 325:3.0 328:4.0 337:4.0 339:1.0 342:2.0 350:1.0 356:2.0 361:3.0 368:2.0 369:2.0 373:2.0 375:2.0 378:1.0 380:2.0 385:4.0 386:1.0 387:3.0 392:2.0 399:1.0 400:1.0 402:2.0 409:1.0 414:1.0 425:1.0 426:2.0 428:1.0 436:2.0 438:1.0 441:6.0 444:1.0 450:1.0 454:3.0 457:1.0 459:2.0 460:2.0 461:1.0 462:4.0 463:1.0 464:5.0 467:1.0 468:1.0 469:1.0 471:2.0 472:1.0 482:1.0 494:1.0 497:5.0 498:1.0</t>
  </si>
  <si>
    <t>uridine-5'-monophosphate</t>
  </si>
  <si>
    <t>85:180.0 87:474.0 89:3.0 91:30.0 92:6.0 93:69.0 94:19.0 95:28.0 96:179.0 97:341.0 98:88.0 99:1859.0 100:832.0 101:611.0 102:163.0 103:179.0 109:47.0 111:144.0 112:43.0 113:642.0 114:33.0 115:313.0 116:272.0 117:260.0 118:11.0 119:34.0 120:8.0 123:3.0 124:38.0 125:169.0 126:247.0 127:111.0 128:23.0 129:1672.0 130:150.0 131:380.0 132:13.0 133:1055.0 134:73.0 135:313.0 137:161.0 139:17.0 140:299.0 141:249.0 142:394.0 143:465.0 144:3.0 145:52.0 147:2838.0 148:580.0 149:207.0 151:175.0 152:1.0 153:358.0 154:123.0 155:150.0 156:105.0 157:91.0 158:26.0 161:2.0 165:3.0 166:3.0 167:412.0 168:793.0 169:7206.0 170:1072.0 171:880.0 172:103.0 173:40.0 174:34.0 177:35.0 179:36.0 181:170.0 183:246.0 184:223.0 185:829.0 186:136.0 187:50.0 189:3.0 191:106.0 193:162.0 194:6.0 195:60.0 196:377.0 197:169.0 198:9.0 200:5.0 205:14.0 207:369.0 209:187.0 211:1338.0 212:160.0 213:104.0 214:10.0 215:453.0 216:67.0 217:279.0 218:35.0 219:5.0 221:63.0 223:2.0 225:247.0 226:79.0 227:260.0 230:463.0 231:92.0 232:18.0 235:6.0 236:5.0 237:7.0 239:28.0 241:904.0 242:179.0 243:927.0 244:156.0 245:58.0 251:61.0 255:293.0 256:417.0 257:960.0 258:903.0 259:221.0 260:68.0 269:46.0 281:180.0 283:145.0 285:157.0 286:40.0 298:29.0 299:2504.0 300:736.0 301:304.0 302:47.0 310:16.0 311:51.0 312:22.0 313:32.0 314:275.0 315:2444.0 316:568.0 317:254.0 323:59.0 325:20.0 337:44.0 341:35.0 346:1.0 352:1352.0 353:372.0 354:119.0 355:79.0 356:33.0 369:22.0 370:43.0 371:35.0 382:9.0 386:6.0 387:172.0 395:3.0 398:4.0 483:10.0 485:5.0</t>
  </si>
  <si>
    <t>uridine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</si>
  <si>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</si>
  <si>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urea</t>
  </si>
  <si>
    <t>85:10021.0 86:8226.0 87:25184.0 88:3654.0 89:1713.0 90:2155.0 91:361.0 92:255.0 93:55.0 94:28.0 95:54.0 96:993.0 97:1524.0 98:1720.0 99:75508.0 100:40526.0 101:12058.0 102:6516.0 103:4893.0 104:1169.0 105:2159.0 106:314.0 107:362.0 108:33.0 109:27.0 110:170.0 111:4420.0 112:882.0 113:5681.0 114:7653.0 115:9267.0 116:5811.0 117:5699.0 118:1741.0 119:874.0 120:139.0 121:48.0 122:22.0 123:29.0 124:59.0 125:280.0 126:575.0 127:1198.0 128:444.0 129:892.0 130:23547.0 131:19094.0 132:14970.0 133:7989.0 134:1895.0 135:477.0 136:45.0 137:42.0 138:77.0 139:870.0 140:300.0 141:2580.0 142:463.0 143:835.0 144:158.0 145:135.0 146:19210.0 147:322475.0 148:43642.0 149:21423.0 150:2160.0 151:428.0 152:50.0 153:22.0 154:32.0 155:3735.0 156:962.0 157:5171.0 158:816.0 159:844.0 160:129.0 161:63.0 162:38.0 163:29.0 164:64.0 165:51.0 166:17.0 167:31.0 168:30.0 169:51.0 170:203.0 171:128485.0 172:22848.0 173:23352.0 174:3604.0 175:1426.0 176:208.0 177:101.0 178:77.0 179:31.0 180:23.0 181:15.0 182:45.0 183:41.0 184:160.0 185:8.0 186:5988.0 187:1065.0 188:832.0 189:107074.0 190:19448.0 191:8972.0 192:977.0 193:179.0 194:27.0 195:42.0 196:33.0 197:41.0 198:11.0 199:32.0 204:3489.0 205:595.0 206:245.0 207:53.0 208:11.0 210:1.0 211:3.0 216:1.0 217:4.0 227:2.0 233:2.0 234:6.0 235:2.0 245:58.0 246:5.0 247:2.0 249:4.0 261:23.0 262:4.0 263:4.0 270:1.0 273:2.0 277:2.0 279:1.0 280:3.0 287:1.0 288:4.0 289:2.0 295:1.0 298:7.0 299:3.0 307:1.0 314:1.0 316:1.0 324:3.0 326:2.0 331:1.0 337:1.0 338:3.0 343:2.0 344:1.0 347:2.0 351:2.0 362:1.0 369:3.0 372:2.0 374:1.0 383:1.0 385:1.0 390:1.0 393:3.0 398:1.0 401:3.0 404:1.0 411:3.0 414:1.0 415:1.0 431:2.0 435:2.0 442:1.0 443:1.0 444:1.0 445:2.0 446:1.0 451:2.0 456:1.0 462:1.0 463:1.0 483:1.0 488:3.0 493:1.0 497:1.0 500:1.0</t>
  </si>
  <si>
    <t>uracil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</si>
  <si>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</si>
  <si>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 GlcNAc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</si>
  <si>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</si>
  <si>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</si>
  <si>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tryptophan</t>
  </si>
  <si>
    <t>85:32.0 86:353.0 88:140.0 90:236.0 98:21.0 99:120.0 100:3175.0 101:711.0 102:351.0 103:219.0 105:145.0 113:72.0 114:31.0 116:670.0 117:61.0 118:31.0 125:7.0 128:352.0 129:232.0 130:294.0 131:524.0 132:188.0 133:647.0 134:90.0 140:48.0 141:228.0 142:248.0 144:160.0 145:237.0 147:2380.0 148:130.0 149:57.0 152:30.0 155:152.0 156:117.0 158:158.0 159:61.0 160:56.0 161:76.0 162:50.0 170:101.0 172:120.0 173:132.0 182:207.0 183:135.0 184:51.0 185:190.0 186:161.0 189:9.0 190:227.0 195:71.0 196:91.0 198:84.0 199:353.0 200:390.0 201:214.0 202:19929.0 203:3889.0 204:1013.0 205:17.0 208:17.0 209:18.0 214:94.0 215:150.0 216:85.0 217:118.0 218:947.0 219:324.0 220:58.0 226:77.0 230:101.0 231:22.0 235:2.0 237:72.0 238:4.0 240:75.0 250:120.0 251:21.0 252:65.0 255:60.0 267:27.0 268:213.0 269:56.0 270:19.0 278:44.0 280:52.0 283:97.0 288:64.0 290:57.0 291:1080.0 292:263.0 293:304.0 295:63.0 300:25.0 301:14.0 302:33.0 303:131.0 309:825.0 310:501.0 311:65.0 312:21.0 317:2.0 319:22.0 323:23.0 324:442.0 325:129.0 326:199.0 330:12.0 339:34.0 351:24.0 353:21.0 354:52.0 355:141.0 356:19.0 367:40.0 377:140.0 379:38.0 383:2845.0 384:1315.0 385:367.0 386:64.0 389:2.0 396:14.0 397:157.0 398:1657.0 399:699.0 400:278.0 402:8.0 404:2.0 406:13.0 429:21.0 430:40.0 463:52.0</t>
  </si>
  <si>
    <t>thymine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</si>
  <si>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</si>
  <si>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threonine</t>
  </si>
  <si>
    <t>85:230.0 86:1747.0 89:234.0 90:160.0 91:534.0 92:73.0 93:25.0 97:191.0 100:2658.0 101:4921.0 102:497.0 103:464.0 105:127.0 107:4463.0 108:629.0 109:823.0 110:3505.0 111:165.0 112:90.0 114:804.0 115:113.0 117:5032.0 118:1887.0 119:578.0 120:124.0 127:210.0 128:1413.0 129:1487.0 130:5750.0 131:66.0 132:119.0 133:770.0 135:761.0 136:578.0 138:177.0 140:51.0 141:24.0 143:784.0 144:109.0 146:537.0 148:449.0 149:297.0 158:54.0 160:156.0 167:52.0 169:33.0 170:95.0 172:90.0 173:1.0 174:141.0 177:76.0 180:154.0 184:1427.0 185:762.0 186:96.0 187:73.0 188:52.0 189:62.0 193:62.0 198:128.0 199:986.0 201:27.0 202:552.0 203:533.0 204:205.0 216:16.0 217:5.0 218:4580.0 219:4337.0 220:1016.0 221:673.0 222:118.0 224:12.0 230:95.0 231:74.0 232:151.0 233:3.0 240:16.0 245:129.0 246:47.0 248:33.0 259:9.0 260:5.0 263:269.0 264:11.0 283:26.0 291:1028.0 292:637.0 293:231.0 294:78.0 299:13.0 302:2.0 308:2.0 313:25.0 320:146.0 321:65.0 322:51.0 325:3.0 341:51.0 344:13.0 348:41.0 359:11.0 364:26.0 376:15.0 391:1.0 415:4.0 419:13.0 421:3.0 426:9.0 430:3.0 454:23.0 466:25.0 468:6.0 498:17.0 500:4.0</t>
  </si>
  <si>
    <t>sucrose</t>
  </si>
  <si>
    <t>89:358.0 95:80.0 99:163.0 100:35.0 101:375.0 102:178.0 103:6261.0 104:347.0 105:186.0 109:338.0 110:58.0 111:2.0 113:276.0 114:31.0 116:238.0 117:1417.0 118:41.0 119:193.0 128:70.0 129:5055.0 130:773.0 131:916.0 132:23.0 133:1123.0 134:19.0 135:273.0 139:95.0 141:100.0 142:210.0 143:790.0 144:115.0 145:104.0 147:6791.0 148:648.0 149:958.0 150:20.0 151:19.0 153:97.0 155:564.0 156:78.0 157:855.0 158:103.0 159:118.0 163:80.0 165:5.0 169:4515.0 170:545.0 171:270.0 172:6.0 173:96.0 175:34.0 177:35.0 178:61.0 181:47.0 183:206.0 184:41.0 185:53.0 189:783.0 190:160.0 191:1394.0 192:276.0 193:120.0 199:127.0 202:46.0 203:299.0 204:711.0 205:505.0 206:57.0 207:283.0 208:97.0 212:26.0 215:214.0 216:9.0 217:6450.0 218:1418.0 219:608.0 220:77.0 221:253.0 222:11.0 227:57.0 229:337.0 230:405.0 231:337.0 232:62.0 233:102.0 239:20.0 241:104.0 243:1359.0 244:284.0 245:313.0 246:107.0 247:31.0 248:16.0 249:64.0 253:36.0 255:52.0 257:336.0 258:19.0 259:162.0 261:22.0 265:59.0 267:28.0 269:13.0 271:1761.0 272:391.0 273:243.0 274:20.0 277:37.0 278:14.0 281:53.0 282:55.0 289:12.0 290:12.0 291:159.0 292:46.0 293:41.0 295:3.0 299:4.0 303:19.0 304:9.0 305:154.0 306:44.0 307:36.0 308:3.0 311:5.0 315:14.0 317:27.0 318:45.0 319:540.0 320:159.0 321:52.0 327:52.0 329:8.0 331:209.0 332:77.0 333:72.0 341:35.0 342:1.0 345:24.0 346:6.0 347:15.0 353:1.0 355:80.0 360:227.0 361:7588.0 362:2744.0 363:1251.0 364:327.0 365:64.0 366:2.0 388:1.0 401:52.0 403:7.0 406:6.0 415:16.0 416:4.0 417:32.0 429:15.0 431:8.0 435:12.0 436:149.0 437:831.0 438:390.0 439:226.0 440:49.0 441:3.0 450:26.0 451:269.0 452:200.0 453:103.0 454:36.0 463:19.0 475:20.0</t>
  </si>
  <si>
    <t>succinic acid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</si>
  <si>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</si>
  <si>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</si>
  <si>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</si>
  <si>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85:143.0 86:4419.0 91:9.0 95:213.0 98:157.0 99:59.0 100:2137.0 102:562.0 103:4.0 110:61.0 112:182.0 114:372.0 115:309.0 116:6603.0 117:966.0 128:494.0 129:1311.0 130:1350.0 131:303.0 140:150.0 142:1431.0 143:221.0 144:5092.0 145:735.0 146:451.0 152:7.0 154:61.0 156:1689.0 157:232.0 158:199.0 160:2107.0 161:332.0 162:63.0 163:4.0 166:14.0 168:56.0 169:9.0 170:428.0 172:1172.0 173:218.0 174:3306.0 175:613.0 176:208.0 182:62.0 183:55.0 186:100.0 187:91.0 188:11.0 193:239.0 194:18.0 195:23.0 201:417.0 202:45.0 203:21.0 204:80.0 205:29.0 207:246.0 208:296.0 209:186.0 210:10.0 215:42.0 217:51.0 218:10.0 229:17.0 230:14.0 231:4.0 237:15.0 249:44.0 250:12.0 252:23.0 255:10.0 257:4.0 259:22.0 264:27.0 265:86.0 266:4.0 268:66.0 269:72.0 270:20.0 271:48.0 281:172.0 282:103.0 285:15.0 293:4.0 299:52.0 303:7.0 311:17.0 325:2.0 328:5.0 329:189.0 330:27.0 331:65.0 345:23.0 355:6.0 357:12.0 359:35.0 362:35.0 384:7.0 387:31.0 397:44.0 401:7.0 413:12.0 431:2.0 437:12.0 457:3.0 476:42.0 477:23.0 489:12.0 490:6.0</t>
  </si>
  <si>
    <t>85:101.0 86:1028.0 87:99.0 88:73.0 89:31.0 90:2.0 91:54.0 92:9.0 93:83.0 94:96.0 95:142.0 96:331.0 97:45.0 98:126.0 99:62.0 100:581.0 101:68.0 102:110.0 103:75.0 104:9.0 105:6.0 106:39.0 107:26.0 108:28.0 109:41.0 110:77.0 111:99.0 112:95.0 113:84.0 114:84.0 115:15.0 116:281.0 117:326.0 118:15.0 120:6.0 121:34.0 122:19.0 123:24.0 124:15.0 126:69.0 127:16.0 128:118.0 129:234.0 130:232.0 131:122.0 132:103.0 133:45.0 135:22.0 136:32.0 137:9.0 138:7.0 140:1.0 141:13.0 142:182.0 144:31.0 145:15.0 146:256.0 147:275.0 148:40.0 149:27.0 150:26.0 151:6.0 152:3.0 154:9.0 155:20.0 156:46.0 157:19.0 158:40.0 159:56.0 160:188.0 161:43.0 162:23.0 163:7.0 164:11.0 165:13.0 166:10.0 167:7.0 168:7.0 169:8.0 170:15.0 171:9.0 172:367.0 173:82.0 174:888.0 175:145.0 176:56.0 178:29.0 180:15.0 181:6.0 185:5.0 186:61.0 187:29.0 188:42.0 189:20.0 191:22.0 196:14.0 198:5.0 199:1.0 200:493.0 201:454.0 202:102.0 203:41.0 204:251.0 205:57.0 206:30.0 211:17.0 213:3.0 214:15.0 215:11.0 216:7.0 217:54.0 220:1.0 222:7.0 223:8.0 224:3.0 226:4.0 227:1.0 228:9.0 229:34.0 230:7.0 231:4.0 233:5.0 234:4.0 238:3.0 239:5.0 240:7.0 242:19.0 243:15.0 244:6.0 245:2.0 246:8.0 249:2.0 250:3.0 251:2.0 254:4.0 255:10.0 257:50.0 258:4.0 259:17.0 260:2.0 261:5.0 262:14.0 265:1.0 266:1.0 270:9.0 271:4.0 272:1.0 273:6.0 277:6.0 281:5.0 282:4.0 283:3.0 287:3.0 289:5.0 292:17.0 293:5.0 296:2.0 297:2.0 298:2.0 299:13.0 300:4.0 303:5.0 304:4.0 305:9.0 308:3.0 309:1.0 310:5.0 313:4.0 318:8.0 321:4.0 322:8.0 323:4.0 324:1.0 332:7.0 333:2.0 335:6.0 337:15.0 338:7.0 339:2.0 340:1.0 342:30.0 343:4.0 344:12.0 347:3.0 349:2.0 350:2.0 353:6.0 354:8.0 355:7.0 356:2.0 358:1.0 360:4.0 361:5.0 362:2.0 363:1.0 364:5.0 365:3.0 367:3.0 371:7.0 373:11.0 377:1.0 378:3.0 379:6.0 381:5.0 382:3.0 384:3.0 385:3.0 386:6.0 389:4.0 391:5.0 392:3.0 393:9.0 394:7.0 396:1.0 399:4.0 402:6.0 403:2.0 404:1.0 405:5.0 406:3.0 414:1.0 415:1.0 416:1.0 417:3.0 418:10.0 419:9.0 421:7.0 423:1.0 424:2.0 425:5.0 426:2.0 427:3.0 428:2.0 429:3.0 430:21.0 431:7.0 434:10.0 437:3.0 438:4.0 439:13.0 440:1.0 443:5.0 444:11.0 445:1.0 446:2.0 447:1.0 448:5.0 450:2.0 451:2.0 452:1.0 453:2.0 454:2.0 457:3.0 459:10.0 464:7.0 467:3.0 468:9.0 469:5.0 470:3.0 471:4.0 473:6.0 474:7.0 478:2.0 482:11.0 483:10.0 484:1.0 488:1.0 490:6.0 491:4.0 494:4.0 495:7.0 497:3.0 498:6.0 500:7.0</t>
  </si>
  <si>
    <t>serine</t>
  </si>
  <si>
    <t>85:4149.0 86:13315.0 87:6992.0 88:15150.0 89:10502.0 90:1587.0 91:745.0 92:179.0 93:337.0 94:83.0 95:182.0 96:273.0 97:332.0 98:3409.0 99:2717.0 100:178441.0 101:28554.0 102:14111.0 103:31730.0 104:3916.0 105:4100.0 106:636.0 107:226.0 108:66.0 109:73.0 110:176.0 111:111.0 112:475.0 113:2552.0 114:21912.0 115:17939.0 116:55490.0 117:27207.0 118:6867.0 119:7638.0 120:1362.0 121:845.0 122:101.0 123:44.0 124:53.0 125:27.0 126:496.0 127:756.0 128:2054.0 129:2385.0 130:14442.0 131:20654.0 132:26633.0 133:48116.0 134:8797.0 135:5655.0 136:603.0 137:288.0 138:89.0 139:50.0 140:139.0 141:132.0 142:1764.0 143:1668.0 144:6816.0 145:1544.0 146:4960.0 147:129636.0 148:20260.0 149:13287.0 150:1864.0 151:582.0 152:126.0 153:78.0 154:77.0 155:112.0 156:364.0 157:446.0 158:4451.0 159:4477.0 160:2859.0 161:885.0 162:1201.0 163:6168.0 164:1067.0 165:511.0 166:144.0 167:60.0 168:52.0 169:110.0 170:180.0 171:150.0 172:5671.0 173:1459.0 174:10181.0 175:2972.0 176:1325.0 177:637.0 178:162.0 179:78.0 180:55.0 181:24.0 182:24.0 184:3.0 185:17.0 186:120.0 187:259.0 188:50229.0 189:18236.0 190:8481.0 191:3183.0 192:678.0 193:193.0 194:85.0 195:136.0 196:151.0 197:182.0 198:188.0 199:200.0 200:491.0 201:138.0 202:972.0 203:6429.0 204:240126.0 205:49214.0 206:21591.0 207:3055.0 208:577.0 209:111.0 210:50.0 211:19.0 215:15.0 216:10635.0 217:2920.0 218:153603.0 219:30449.0 220:13515.0 221:4134.0 222:883.0 223:286.0 224:94.0 225:14.0 226:17.0 230:111.0 231:420.0 232:242.0 233:349.0 234:226.0 235:96.0 236:40.0 237:18.0 240:43.0 243:6.0 244:36.0 245:181.0 246:126.0 247:23.0 248:71.0 249:20.0 259:8.0 260:157.0 261:39.0 262:527.0 263:117.0 264:27.0 269:4.0 270:18.0 275:4.0 276:110.0 277:82.0 278:14465.0 279:4349.0 280:2035.0 281:376.0 282:58.0 283:12.0 290:35.0 291:75.0 292:41.0 299:87.0 300:6.0 304:29.0 305:58.0 306:5645.0 307:1598.0 308:688.0 309:108.0 310:38.0 359:1.0 367:6.0 384:17.0 394:7.0 402:15.0 423:1.0 432:4.0 438:1.0 446:6.0 472:3.0</t>
  </si>
  <si>
    <t>salicylic acid</t>
  </si>
  <si>
    <t>85:187.0 86:25.0 87:72.0 88:1.0 89:245.0 90:160.0 91:1766.0 92:425.0 93:149.0 94:3.0 95:122.0 97:92.0 98:23.0 99:8.0 100:498.0 101:55.0 102:29.0 103:165.0 104:34.0 105:321.0 106:19.0 107:53.0 108:3.0 109:16.0 110:37.0 111:17.0 113:50.0 114:7.0 115:314.0 116:4.0 117:108.0 118:42.0 119:148.0 120:121.0 121:122.0 122:14.0 123:51.0 124:5.0 126:104.0 127:11.0 128:4.0 130:80.0 131:131.0 132:22.0 133:648.0 134:134.0 135:2199.0 136:271.0 137:143.0 138:9.0 139:4.0 140:1.0 141:3.0 142:3.0 144:2.0 145:4.0 146:81.0 147:608.0 148:139.0 149:1063.0 150:156.0 151:299.0 152:12.0 153:23.0 155:28.0 159:86.0 160:32.0 161:32.0 162:12.0 163:55.0 164:4.0 165:18.0 166:6.0 167:4.0 172:2.0 173:3.0 175:199.0 176:19.0 177:81.0 178:19.0 179:282.0 180:43.0 181:149.0 182:14.0 183:9.0 184:8.0 186:1.0 188:53.0 189:5.0 190:10.0 191:23.0 192:7.0 193:459.0 194:172.0 195:110.0 196:10.0 197:5.0 198:1.0 200:3.0 202:66.0 203:8.0 204:31.0 206:7.0 207:8.0 208:9.0 209:829.0 210:181.0 211:87.0 212:16.0 215:5.0 216:21.0 218:69.0 219:13.0 220:3.0 221:36.0 223:12.0 224:4.0 225:36.0 226:9.0 227:8.0 228:2.0 229:2.0 231:4.0 232:404.0 233:232.0 234:76.0 235:24.0 236:6.0 238:1.0 239:2.0 242:1.0 244:6.0 246:7.0 248:6.0 249:220.0 250:75.0 251:49.0 252:6.0 254:3.0 255:5.0 256:6.0 257:2.0 258:4.0 259:3.0 260:7.0 261:11.0 264:8.0 265:54.0 266:29.0 267:3696.0 268:813.0 269:331.0 270:61.0 271:12.0 272:7.0 274:1.0 275:2.0 276:10.0 278:2.0 281:3.0 282:7.0 284:1.0 285:4.0 286:4.0 287:8.0 290:4.0 291:2.0 293:1.0 295:6.0 296:2.0 297:1.0 300:14.0 302:2.0 303:2.0 304:3.0 305:14.0 306:2.0 308:1.0 309:1.0 310:7.0 311:4.0 312:2.0 313:5.0 315:4.0 316:1.0 317:5.0 319:3.0 320:6.0 322:3.0 323:4.0 324:5.0 327:4.0 330:3.0 331:1.0 333:7.0 334:19.0 335:3.0 336:9.0 337:3.0 340:3.0 341:1.0 342:1.0 343:6.0 344:1.0 345:9.0 346:2.0 347:1.0 348:1.0 349:34.0 350:17.0 351:5.0 352:6.0 354:14.0 355:2.0 357:1.0 358:5.0 360:7.0 361:11.0 362:3.0 363:1.0 365:7.0 366:4.0 367:1.0 368:7.0 374:1.0 375:9.0 376:3.0 377:1.0 378:4.0 379:4.0 381:5.0 382:3.0 383:1.0 384:6.0 385:2.0 386:4.0 387:2.0 388:2.0 390:12.0 392:5.0 394:2.0 396:2.0 397:5.0 398:4.0 399:1.0 400:5.0 401:3.0 402:5.0 403:9.0 404:2.0 405:10.0 407:12.0 408:4.0 410:2.0 411:4.0 412:1.0 414:2.0 415:2.0 417:1.0 418:4.0 419:8.0 421:5.0 422:2.0 423:5.0 424:8.0 425:3.0 426:1.0 427:3.0 428:8.0 429:1.0 430:3.0 431:3.0 434:3.0 435:4.0 436:1.0 438:14.0 439:8.0 440:1.0 441:6.0 442:3.0 443:1.0 444:3.0 445:6.0 447:3.0 448:1.0 449:1.0 450:3.0 452:1.0 455:1.0 456:6.0 458:5.0 459:3.0 460:9.0 461:3.0 462:5.0 463:3.0 465:3.0 467:4.0 468:2.0 469:1.0 470:10.0 471:10.0 474:2.0 475:4.0 476:1.0 478:11.0 480:7.0 482:3.0 483:4.0 484:4.0 485:1.0 487:2.0 488:2.0 491:1.0 494:5.0 495:1.0 496:2.0 497:6.0 498:6.0 499:9.0 500:8.0</t>
  </si>
  <si>
    <t>ribose</t>
  </si>
  <si>
    <t>86:507.0 89:1607.0 91:4286.0 98:591.0 99:404.0 100:3683.0 101:1562.0 102:873.0 103:25477.0 104:2301.0 105:1583.0 111:36.0 112:105.0 113:151.0 114:1070.0 115:418.0 116:4253.0 117:5327.0 118:985.0 119:443.0 120:28.0 124:7.0 125:157.0 128:160.0 129:2839.0 131:525.0 132:4369.0 133:4759.0 137:3.0 138:19.0 140:6.0 141:4193.0 142:1182.0 143:1019.0 144:426.0 145:421.0 146:119.0 150:40.0 156:19.0 157:78.0 158:325.0 159:654.0 160:2276.0 161:443.0 162:117.0 163:400.0 164:87.0 165:30.0 168:160.0 169:39.0 170:2.0 172:251.0 173:939.0 174:455.0 175:253.0 176:45.0 177:57.0 178:30.0 186:36.0 187:51.0 188:119.0 189:3581.0 190:797.0 191:1015.0 192:149.0 193:37.0 196:10.0 198:160.0 200:134.0 201:441.0 202:270.0 203:317.0 204:1894.0 205:2349.0 206:488.0 207:201.0 208:32.0 214:12.0 215:212.0 216:356.0 217:10213.0 218:2356.0 219:1148.0 220:327.0 221:193.0 222:49.0 228:71.0 229:30.0 230:111.0 231:23.0 232:569.0 233:652.0 234:167.0 235:64.0 236:6.0 238:2.0 242:68.0 246:53.0 248:107.0 249:28.0 250:11.0 252:5.0 255:4.0 256:110.0 257:78.0 258:83.0 259:128.0 260:77.0 261:85.0 262:235.0 263:407.0 264:127.0 265:22.0 266:9.0 268:2.0 270:3.0 272:35.0 273:14.0 274:164.0 275:23.0 276:18.0 277:742.0 278:299.0 279:159.0 280:29.0 285:1.0 286:8.0 288:92.0 289:32.0 290:12.0 291:133.0 292:16.0 296:8.0 298:6.0 302:33.0 304:19.0 305:90.0 306:107.0 307:2931.0 308:859.0 309:425.0 310:89.0 311:6.0 316:5.0 317:20.0 318:60.0 319:7.0 320:3.0 322:4.0 325:3.0 330:47.0 331:41.0 332:32.0 334:61.0 335:42.0 336:20.0 338:2.0 345:6.0 346:1.0 349:49.0 350:20.0 355:1.0 362:62.0 363:1.0 364:22.0 365:10.0 366:5.0 367:4.0 375:1.0 380:8.0 383:4.0 387:1.0 388:2.0 392:1.0 403:1.0 406:3.0 408:4.0 417:1.0 418:3.0 420:10.0 425:2.0 432:1.0 434:5.0 438:3.0 442:3.0 446:2.0 452:6.0 461:1.0 466:1.0 467:6.0 473:2.0 484:2.0 486:1.0 489:2.0 491:2.0 494:3.0 500:2.0</t>
  </si>
  <si>
    <t>pyruvic acid</t>
  </si>
  <si>
    <t>85:18315.0 86:5252.0 89:137277.0 90:12340.0 91:5391.0 92:40.0 93:1305.0 94:20.0 98:3485.0 99:46590.0 100:60978.0 101:6580.0 102:218.0 107:2897.0 108:297.0 110:6775.0 111:898.0 113:244.0 114:12290.0 115:64006.0 116:9701.0 118:2388.0 120:110.0 124:251.0 127:345.0 128:3955.0 130:1792.0 134:12084.0 136:1234.0 138:15.0 140:182.0 141:39.0 143:2848.0 154:2394.0 155:60.0 158:12682.0 165:9.0 167:1.0 168:390.0 170:1109.0 172:559.0 174:153873.0 175:16949.0 176:5977.0 184:10195.0 185:1779.0 189:713.0 198:71.0 199:882.0 209:7.0 226:8.0 228:5637.0 229:650.0 230:87.0 242:112.0 258:111.0 323:2.0 327:12.0 329:3.0 331:1.0 341:5.0 402:15.0 458:1.0 491:1.0</t>
  </si>
  <si>
    <t>pyrophosphate</t>
  </si>
  <si>
    <t>85:3151.0 86:2999.0 87:692.0 88:1804.0 89:47.0 90:205.0 91:611.0 93:12.0 95:130.0 96:227.0 97:70.0 98:484.0 99:41264.0 100:16898.0 101:3765.0 102:876.0 104:178.0 106:359.0 107:1468.0 108:315.0 109:266.0 110:19938.0 111:3489.0 112:470.0 113:923.0 114:3402.0 115:352.0 116:430.0 117:7686.0 120:69.0 121:166.0 122:117.0 123:139.0 125:249.0 126:429.0 130:6696.0 131:3804.0 132:960.0 133:574.0 134:1575.0 135:1390.0 136:730.0 137:1111.0 138:106.0 139:646.0 140:180.0 141:1721.0 142:42.0 143:497.0 145:68.0 146:2681.0 151:392.0 155:2667.0 156:315.0 157:1093.0 158:80.0 159:931.0 163:162.0 165:3.0 167:11.0 169:381.0 171:92212.0 172:14026.0 173:7064.0 174:2406.0 175:349.0 176:111.0 180:44.0 181:39.0 184:1287.0 186:4863.0 187:946.0 188:777.0 189:5.0 193:44.0 194:128.0 195:108.0 198:14.0 199:31.0 205:510.0 207:9.0 211:1002.0 212:115.0 213:33.0 216:199.0 218:2.0 219:4.0 221:54.0 225:472.0 226:148.0 227:673.0 228:2980.0 229:470.0 230:44.0 231:82.0 232:27.0 233:144.0 234:2.0 235:1.0 238:51.0 241:1269.0 242:200.0 243:141.0 244:186.0 245:198.0 246:159.0 254:135.0 256:119.0 260:575.0 261:56.0 262:82.0 271:1.0 275:223.0 276:134.0 277:17.0 282:33.0 284:14.0 300:1.0 307:22.0 308:1.0 316:122.0 317:11.0 335:8.0 336:1475.0 337:320.0 338:117.0 340:2.0 341:6.0 342:1.0 351:25.0 355:31.0 356:1.0 360:1.0 369:1.0 377:6.0 415:17.0 418:1.0 424:1.0 446:1.0 447:7.0 475:8.0 489:44.0</t>
  </si>
  <si>
    <t>pyrazine 2,5-dihydroxy  NIST</t>
  </si>
  <si>
    <t>85:1007.0 86:1103.0 87:107.0 88:47.0 89:23.0 90:12.0 91:198.0 92:179.0 93:110.0 95:19.0 96:54.0 97:524.0 98:714.0 99:495.0 100:918.0 101:208.0 102:6.0 103:528.0 104:8.0 105:43.0 106:5.0 107:79.0 108:58.0 109:49.0 110:114.0 111:358.0 112:140.0 113:1794.0 114:526.0 115:273.0 116:85.0 117:19.0 120:2.0 123:5.0 124:33.0 125:89.0 126:127.0 127:155.0 128:339.0 129:162.0 130:138.0 131:48.0 132:112.0 133:698.0 134:134.0 135:56.0 137:10.0 138:10.0 139:38.0 140:164.0 141:102.0 142:172.0 143:22.0 144:55.0 145:93.0 147:1078.0 148:128.0 149:204.0 150:20.0 151:14.0 152:39.0 153:33.0 154:58.0 155:71.0 156:177.0 157:157.0 158:279.0 159:62.0 166:108.0 167:798.0 168:152.0 169:327.0 170:75.0 171:13.0 172:205.0 173:482.0 174:196.0 175:49.0 180:1.0 181:147.0 182:755.0 183:229.0 184:157.0 185:102.0 186:68.0 187:19.0 192:7.0 196:21.0 198:8.0 199:130.0 200:43.0 201:9.0 210:2.0 211:87.0 212:18.0 213:168.0 214:41.0 218:4.0 221:192.0 222:25.0 223:16.0 225:62.0 226:91.0 227:65.0 228:123.0 229:41.0 230:9.0 234:1.0 235:5.0 236:8.0 237:2.0 238:1.0 239:56.0 240:41.0 241:7959.0 242:1641.0 243:664.0 244:108.0 245:22.0 246:2.0 247:21.0 248:6.0 249:13.0 250:4.0 251:6.0 253:1.0 255:589.0 256:1584.0 257:328.0 258:130.0 259:18.0 265:6.0 267:113.0 268:19.0 270:1.0 271:1.0 273:6.0 275:9.0 281:93.0 282:10.0 283:7.0 284:3.0 285:1.0 290:2.0 291:1.0 297:1.0 299:169.0 300:24.0 301:8.0 302:9.0 303:8.0 304:3.0 313:5.0 314:15.0 317:2.0 319:4.0 320:4.0 321:5.0 323:4.0 324:1.0 325:4.0 326:2.0 333:1.0 339:7.0 342:4.0 343:7.0 347:3.0 350:2.0 351:8.0 355:42.0 356:10.0 357:4.0 362:3.0 363:1.0 364:2.0 366:13.0 368:4.0 369:1.0 371:1.0 372:1.0 373:32.0 374:13.0 376:6.0 377:3.0 378:2.0 381:5.0 382:2.0 383:2.0 391:2.0 393:1.0 394:3.0 399:3.0 401:1.0 403:3.0 406:1.0 407:1.0 410:1.0 414:1.0 418:4.0 421:2.0 424:1.0 428:1.0 429:2.0 435:4.0 437:7.0 443:17.0 444:11.0 445:4.0 446:2.0 447:1.0 452:1.0 457:6.0 458:1.0 460:5.0 463:1.0 465:4.0 467:2.0 469:1.0 470:4.0 472:9.0 473:1.0 476:5.0 478:2.0 481:5.0 483:1.0 487:2.0 490:10.0 492:1.0 494:1.0 498:5.0</t>
  </si>
  <si>
    <t>putrescine</t>
  </si>
  <si>
    <t>85:331.0 86:6063.0 87:737.0 88:266.0 91:114.0 92:10.0 96:18.0 97:51.0 98:192.0 99:771.0 100:3165.0 101:468.0 102:380.0 103:12.0 104:6.0 108:36.0 110:182.0 112:301.0 113:191.0 114:575.0 115:250.0 116:533.0 117:427.0 118:95.0 120:11.0 123:8.0 124:44.0 126:749.0 127:139.0 128:358.0 129:81.0 130:1589.0 131:683.0 132:333.0 134:2.0 136:11.0 138:12.0 139:45.0 140:199.0 141:41.0 142:672.0 143:83.0 144:198.0 146:842.0 151:2.0 156:57.0 158:249.0 159:42.0 160:143.0 161:120.0 162:36.0 166:9.0 170:180.0 171:38.0 172:1630.0 173:368.0 174:20670.0 175:3638.0 176:1683.0 177:165.0 178:4.0 179:1.0 180:9.0 184:59.0 186:115.0 187:204.0 188:89.0 190:43.0 192:1.0 195:16.0 196:31.0 197:6.0 198:63.0 199:108.0 200:1164.0 201:225.0 202:145.0 203:25.0 204:26.0 205:4.0 207:13.0 213:23.0 214:1606.0 215:348.0 216:55.0 220:1.0 221:15.0 222:23.0 224:3.0 226:1.0 227:8.0 228:22.0 230:1.0 234:7.0 237:6.0 239:4.0 241:10.0 243:4.0 244:2.0 248:1.0 249:13.0 250:8.0 252:5.0 256:5.0 264:1.0 265:3.0 266:5.0 267:9.0 268:8.0 269:15.0 270:4.0 272:43.0 273:44.0 274:12.0 278:2.0 279:2.0 280:1.0 282:3.0 283:6.0 286:14.0 288:20.0 289:10.0 290:3.0 292:2.0 293:287.0 294:69.0 295:23.0 298:2.0 299:4.0 303:22.0 310:1.0 311:2.0 312:2.0 315:2.0 318:3.0 324:16.0 331:2.0 336:4.0 337:15.0 339:4.0 340:2.0 342:6.0 345:9.0 346:3.0 348:12.0 350:13.0 351:17.0 355:1.0 356:7.0 358:7.0 359:23.0 360:5.0 361:119.0 362:27.0 363:44.0 364:15.0 365:3.0 367:9.0 369:2.0 370:2.0 372:10.0 373:23.0 376:53.0 377:5.0 378:27.0 379:8.0 380:21.0 381:8.0 382:3.0 383:3.0 384:6.0 385:12.0 386:10.0 387:1.0 390:17.0 391:15.0 392:3.0 393:14.0 397:2.0 398:3.0 399:8.0 400:3.0 401:3.0 402:3.0 403:12.0 404:2.0 409:4.0 414:9.0 415:22.0 419:8.0 420:15.0 425:9.0 427:1.0 428:3.0 429:1.0 431:3.0 432:4.0 434:4.0 436:17.0 437:2.0 445:5.0 446:9.0 447:5.0 448:15.0 450:8.0 451:14.0 453:10.0 454:19.0 455:1.0 456:9.0 459:16.0 461:1.0 463:1.0 465:7.0 466:1.0 471:2.0 472:9.0 475:10.0 476:12.0 477:2.0 478:25.0 481:7.0 483:7.0 485:8.0 490:3.0 492:8.0 493:17.0 495:3.0 499:2.0</t>
  </si>
  <si>
    <t>pseudo uridine</t>
  </si>
  <si>
    <t>99:55.0 100:209.0 101:11.0 103:264.0 116:81.0 117:137.0 123:10.0 124:100.0 126:103.0 127:239.0 129:297.0 133:262.0 140:7.0 142:53.0 143:102.0 145:31.0 146:223.0 147:535.0 152:29.0 153:7.0 154:78.0 156:356.0 157:34.0 158:89.0 161:26.0 174:242.0 175:72.0 176:13.0 177:72.0 179:52.0 180:95.0 181:4.0 185:33.0 189:24.0 193:98.0 197:2.0 198:7.0 200:17.0 203:33.0 204:17.0 206:3.0 211:23.0 214:11.0 215:181.0 216:44.0 217:3444.0 218:770.0 219:263.0 220:25.0 223:4.0 224:44.0 225:12.0 226:19.0 227:9.0 229:7.0 230:161.0 231:32.0 233:8.0 236:32.0 241:59.0 245:36.0 250:22.0 251:52.0 257:64.0 259:41.0 263:24.0 265:38.0 267:26.0 269:171.0 270:69.0 271:35.0 272:7.0 273:15.0 278:2.0 283:79.0 289:12.0 292:2.0 297:17.0 298:17.0 300:44.0 304:12.0 307:22.0 308:9.0 309:13.0 311:6.0 314:13.0 315:79.0 316:10.0 320:6.0 325:4.0 326:8.0 327:30.0 329:30.0 334:5.0 335:20.0 336:27.0 337:7.0 341:10.0 342:31.0 344:2.0 347:2.0 355:71.0 356:70.0 357:485.0 358:162.0 359:61.0 362:27.0 363:19.0 367:2.0 370:62.0 371:83.0 373:15.0 375:23.0 379:21.0 381:24.0 382:52.0 383:56.0 384:17.0 385:14.0 388:38.0 392:4.0 396:12.0 397:18.0 399:12.0 402:17.0 403:2.0 404:25.0 405:9.0 408:10.0 409:36.0 411:58.0 412:23.0 413:11.0 414:6.0 416:34.0 419:16.0 423:40.0 424:251.0 425:103.0 426:27.0 427:25.0 428:15.0 434:11.0 442:1.0 443:21.0 444:4.0 446:38.0 449:16.0 452:20.0 459:29.0 461:31.0 462:14.0 463:3.0 464:21.0 468:5.0 471:12.0 473:27.0 474:19.0 478:4.0 481:11.0 483:4.0 485:7.0 489:10.0 490:14.0 496:48.0 497:15.0 498:1.0 499:5.0 500:4.0</t>
  </si>
  <si>
    <t>propane-1,3-diol NIST</t>
  </si>
  <si>
    <t>147:136457.0 115:52492.0 130:38771.0 148:21374.0 133:14111.0 177:14086.0 131:12287.0 117:11965.0 103:11744.0 149:11695.0 101:10287.0 85:6165.0 116:5911.0 87:5534.0 205:3619.0 132:3181.0 99:2896.0 178:2292.0 119:1984.0 105:1584.0 134:1567.0 102:1527.0 118:1410.0 123:1299.0 179:1166.0 104:1094.0 95:1047.0 163:1033.0 207:984.0 86:963.0 150:867.0 93:773.0 113:630.0 125:623.0 88:615.0 89:548.0 206:427.0 192:383.0 189:344.0 191:286.0 90:285.0 193:281.0 120:265.0 94:260.0 100:236.0 151:220.0 164:209.0 129:200.0 96:192.0 249:176.0 135:163.0 121:143.0 128:139.0 185:135.0 165:124.0 175:124.0 124:121.0 195:120.0 145:113.0 341:104.0 176:100.0 281:97.0 236:85.0 92:80.0 144:71.0 97:67.0 114:63.0 208:60.0 162:53.0 167:50.0 111:49.0 160:37.0 187:28.0 126:26.0 200:25.0 166:20.0 194:19.0 140:18.0 155:18.0 416:14.0 256:12.0 158:11.0 217:11.0 310:11.0 233:8.0 188:7.0 228:7.0 279:7.0 152:6.0 218:5.0 327:5.0 198:4.0 415:4.0 443:4.0 283:3.0 141:2.0 224:1.0 245:1.0 269:1.0</t>
  </si>
  <si>
    <t>proline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</si>
  <si>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</si>
  <si>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phosphoric acid</t>
  </si>
  <si>
    <t>85:347.0 87:1211.0 88:336.0 89:1551.0 90:130.0 91:976.0 92:23.0 93:381.0 94:86.0 95:150.0 96:135.0 98:118.0 102:197.0 103:5646.0 104:1040.0 105:2917.0 106:556.0 107:1819.0 108:141.0 109:540.0 112:16.0 113:121.0 114:3.0 115:5937.0 116:443.0 117:2476.0 118:325.0 119:3968.0 120:496.0 121:3024.0 122:329.0 123:1403.0 124:73.0 125:24.0 128:189.0 129:54.0 130:26.0 131:3561.0 132:2477.0 133:22872.0 134:3453.0 135:7875.0 136:851.0 137:4356.0 138:420.0 139:417.0 140:24.0 142:5.0 143:58.0 144:515.0 145:327.0 147:6984.0 148:1036.0 149:1181.0 150:189.0 151:3860.0 152:350.0 153:622.0 154:37.0 155:1.0 158:9.0 159:177.0 161:119.0 163:728.0 164:110.0 165:1820.0 166:280.0 167:1536.0 168:241.0 169:132.0 170:1287.0 171:134.0 175:120.0 176:181.0 177:903.0 178:288.0 179:996.0 180:230.0 181:4184.0 182:567.0 183:1486.0 184:171.0 185:85.0 186:42.0 188:42.0 189:1486.0 190:305.0 191:6202.0 192:1237.0 193:7107.0 194:1211.0 195:1755.0 196:237.0 197:389.0 198:87.0 199:36.0 200:19.0 201:38.0 202:51.0 203:27.0 205:1244.0 206:174.0 207:6402.0 208:1269.0 209:1024.0 210:298.0 211:13256.0 212:1905.0 213:1024.0 214:109.0 215:16.0 216:2.0 219:22.0 221:638.0 222:113.0 223:84.0 225:3981.0 226:636.0 227:1224.0 228:144.0 229:31.0 232:3.0 234:4.0 239:45.0 240:38.0 241:43.0 242:34.0 243:9.0 252:1.0 253:258.0 254:16.0 255:221.0 256:48.0 257:16.0 258:12.0 267:286.0 268:95.0 269:500.0 270:115.0 271:30.0 282:29.0 283:4279.0 284:1088.0 285:675.0 286:91.0 287:23.0 289:20.0 297:4.0 298:1198.0 299:58252.0 300:14740.0 301:7852.0 302:1259.0 303:333.0 304:88.0 305:40.0 306:40.0 307:16.0 308:31.0 309:56.0 311:7.0 313:221.0 314:8401.0 315:2188.0 316:1083.0 317:178.0 318:34.0 320:6.0 329:9.0 331:4.0 344:2.0 350:10.0 353:5.0 370:7.0 397:2.0 401:18.0</t>
  </si>
  <si>
    <t>phosphoethanolamine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</si>
  <si>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</si>
  <si>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phenylalanine</t>
  </si>
  <si>
    <t>86:82.0 87:10.0 88:16.0 91:7664.0 92:3828.0 93:224.0 97:7.0 100:1932.0 102:154.0 106:5.0 107:102.0 110:84.0 118:51.0 120:13.0 121:54.0 124:2.0 130:166.0 132:130.0 134:52.0 136:12.0 140:185.0 141:23.0 146:24.0 150:3.0 152:32.0 154:1108.0 155:55.0 156:76.0 160:52.0 162:15.0 172:3.0 174:14.0 176:51.0 177:74.0 178:8.0 179:2.0 184:3.0 188:251.0 192:2878.0 193:442.0 194:105.0 195:1.0 199:7.0 200:25.0 203:18.0 218:3413.0 219:516.0 220:451.0 221:36.0 223:16.0 228:8.0 230:14.0 241:76.0 244:1589.0 245:336.0 246:140.0 250:5.0 266:204.0 267:130.0 268:29.0 269:1.0 281:46.0 282:3.0 294:20.0 299:1.0 306:10.0 318:51.0 319:18.0 355:131.0 356:15.0 357:3.0 380:1.0 400:2.0 401:7.0 402:9.0 439:1.0 451:2.0 476:3.0 498:4.0</t>
  </si>
  <si>
    <t>phenol</t>
  </si>
  <si>
    <t>86:80.0 87:65.0 88:51.0 91:112.0 92:100.0 93:5.0 94:11.0 95:260.0 100:62.0 101:190.0 102:42.0 104:31.0 106:3.0 107:134.0 110:55.0 111:525.0 112:512.0 113:192.0 117:3.0 118:1.0 120:10.0 121:48.0 122:5.0 123:182.0 124:8.0 127:42.0 130:98.0 131:31.0 133:24.0 134:166.0 135:135.0 136:14.0 137:10.0 143:10.0 144:2.0 146:4.0 147:162.0 149:8.0 151:1742.0 152:192.0 153:41.0 155:1.0 160:1.0 162:5.0 164:4.0 165:5.0 166:312.0 167:51.0 168:1.0 170:1.0 171:1.0 174:39.0 175:9.0 178:3.0 179:9.0 180:1.0 184:70.0 189:5.0 196:2.0 200:2.0 201:2.0 202:1.0 203:4.0 209:9.0 212:1.0 214:3.0 217:1.0 222:1.0 226:4.0 229:2.0 230:1.0 232:1.0 233:2.0 234:4.0 235:4.0 238:4.0 239:1.0 240:1.0 246:1.0 259:10.0 260:3.0 262:2.0 264:1.0 266:6.0 269:3.0 271:2.0 275:3.0 276:1.0 292:1.0 293:1.0 298:3.0 299:1.0 308:3.0 310:1.0 313:2.0 314:5.0 317:2.0 322:2.0 325:1.0 330:1.0 333:2.0 334:10.0 336:3.0 339:1.0 342:1.0 348:7.0 350:3.0 355:2.0 357:3.0 358:2.0 367:2.0 379:4.0 380:2.0 384:3.0 385:1.0 390:1.0 392:2.0 395:4.0 400:1.0 402:8.0 405:1.0 417:2.0 419:6.0 423:1.0 425:2.0 429:1.0 431:1.0 432:2.0 433:1.0 434:3.0 443:1.0 448:1.0 451:1.0 453:1.0 457:3.0 462:4.0 464:1.0 472:5.0 474:3.0 476:2.0 477:3.0 478:3.0 479:2.0 483:1.0 488:2.0 490:7.0 491:5.0 494:1.0</t>
  </si>
  <si>
    <t>pentadecanoic acid</t>
  </si>
  <si>
    <t>85:350.0 86:183.0 87:1588.0 88:181.0 89:574.0 90:54.0 91:133.0 92:125.0 93:222.0 94:18.0 95:642.0 96:55.0 97:511.0 98:477.0 99:247.0 100:147.0 101:370.0 102:41.0 103:391.0 104:4.0 105:231.0 106:20.0 107:138.0 108:1.0 109:127.0 110:63.0 111:167.0 112:108.0 113:104.0 114:34.0 115:111.0 116:466.0 117:8021.0 118:750.0 119:298.0 120:7.0 121:41.0 122:5.0 123:21.0 124:20.0 125:30.0 126:56.0 127:49.0 128:26.0 129:3649.0 130:597.0 131:1393.0 132:2469.0 133:689.0 134:131.0 135:16.0 136:2.0 137:8.0 138:1.0 139:26.0 140:30.0 141:23.0 142:29.0 143:457.0 144:36.0 145:1341.0 146:169.0 148:59.0 149:11.0 151:15.0 152:3.0 153:14.0 154:1.0 155:14.0 157:120.0 158:39.0 159:121.0 160:89.0 161:20.0 162:2.0 163:2.0 165:2.0 166:13.0 167:2.0 168:34.0 169:74.0 170:35.0 171:148.0 172:30.0 173:38.0 174:115.0 175:27.0 176:3.0 178:2.0 181:22.0 182:3.0 183:2.0 184:5.0 185:160.0 186:23.0 187:74.0 188:26.0 189:56.0 190:25.0 195:2.0 196:2.0 197:4.0 199:54.0 200:3.0 201:174.0 202:45.0 203:4.0 204:53.0 210:2.0 211:5.0 212:1.0 213:50.0 214:2.0 215:53.0 216:9.0 217:333.0 218:85.0 219:21.0 224:1.0 225:26.0 226:16.0 227:89.0 228:41.0 229:40.0 230:45.0 231:16.0 233:1.0 236:4.0 238:1.0 239:13.0 240:4.0 241:18.0 242:21.0 243:52.0 244:16.0 245:10.0 246:12.0 247:3.0 248:6.0 249:4.0 250:1.0 251:9.0 252:3.0 253:1.0 254:8.0 255:65.0 256:28.0 257:32.0 258:10.0 259:4.0 261:1.0 262:4.0 264:6.0 266:1.0 270:10.0 271:74.0 272:28.0 273:3.0 274:5.0 275:1.0 279:3.0 280:3.0 284:3.0 286:1.0 287:1.0 288:2.0 290:18.0 291:7.0 292:5.0 293:1.0 294:3.0 296:1.0 297:5.0 298:20.0 299:1127.0 300:290.0 301:59.0 302:15.0 303:3.0 304:5.0 306:1.0 310:1.0 311:1.0 314:42.0 315:7.0 316:3.0 317:3.0 320:6.0 321:2.0 323:1.0 325:2.0 327:2.0 330:2.0 331:9.0 332:4.0 333:49.0 334:11.0 335:13.0 339:1.0 340:3.0 343:3.0 345:1.0 347:2.0 349:4.0 351:1.0 357:2.0 360:5.0 361:56.0 362:28.0 363:2.0 365:2.0 366:4.0 368:4.0 371:2.0 372:3.0 373:2.0 374:1.0 375:2.0 376:7.0 377:4.0 378:1.0 379:1.0 380:3.0 381:1.0 382:2.0 384:4.0 385:2.0 389:1.0 391:2.0 392:3.0 395:2.0 396:2.0 398:2.0 400:3.0 403:5.0 404:20.0 405:7.0 406:2.0 408:1.0 412:3.0 415:2.0 416:2.0 417:8.0 420:4.0 422:4.0 423:1.0 428:3.0 432:5.0 435:8.0 436:2.0 437:1.0 442:2.0 443:2.0 444:2.0 446:3.0 447:5.0 450:8.0 451:4.0 452:1.0 454:4.0 455:1.0 458:7.0 459:7.0 460:1.0 462:1.0 465:3.0 466:4.0 467:2.0 469:3.0 472:2.0 473:6.0 477:2.0 480:3.0 484:1.0 487:2.0 488:4.0 489:2.0 490:2.0 491:2.0 492:1.0 494:1.0 495:1.0 498:7.0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</si>
  <si>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</si>
  <si>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</si>
  <si>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palmitoleic acid</t>
  </si>
  <si>
    <t>85:925.0 86:89.0 89:963.0 91:2525.0 92:718.0 93:728.0 94:853.0 95:4882.0 96:7913.0 97:3878.0 98:3980.0 99:719.0 101:841.0 102:298.0 103:1242.0 105:685.0 107:637.0 108:343.0 109:2701.0 110:2323.0 111:1394.0 112:708.0 114:11.0 116:2664.0 117:35848.0 118:1942.0 119:1949.0 121:915.0 122:197.0 123:2282.0 124:1064.0 125:681.0 126:701.0 129:14097.0 131:1439.0 132:3418.0 133:1225.0 136:191.0 137:713.0 138:695.0 139:17.0 141:344.0 142:320.0 143:404.0 145:4877.0 146:374.0 147:1706.0 148:465.0 149:395.0 151:570.0 152:1804.0 153:303.0 154:21.0 155:2087.0 156:101.0 157:686.0 158:206.0 159:620.0 161:66.0 165:160.0 166:210.0 168:15.0 169:576.0 170:65.0 171:1210.0 172:223.0 173:316.0 179:204.0 180:292.0 181:6.0 182:8.0 183:475.0 185:2925.0 186:904.0 187:395.0 188:148.0 189:168.0 190:125.0 191:2487.0 192:271.0 193:104.0 194:1079.0 195:360.0 197:32.0 199:1650.0 200:228.0 201:217.0 203:80.0 204:1512.0 205:323.0 206:205.0 211:38.0 213:199.0 214:43.0 215:4.0 217:3198.0 218:584.0 219:414.0 220:19.0 221:447.0 222:38.0 223:24.0 227:130.0 228:6.0 229:198.0 230:150.0 231:87.0 236:565.0 237:118.0 239:26.0 241:6.0 243:7.0 244:89.0 252:1.0 254:25.0 257:11.0 262:2.0 265:306.0 271:1.0 272:43.0 278:28.0 281:37.0 283:78.0 291:40.0 293:131.0 294:10.0 298:5.0 300:6.0 305:2259.0 306:633.0 307:291.0 308:69.0 309:50.0 311:1664.0 312:434.0 313:92.0 314:38.0 316:14.0 317:102.0 318:2914.0 319:1110.0 320:531.0 321:47.0 322:42.0 326:160.0 327:38.0 328:24.0 340:26.0 343:3.0 357:50.0 358:3.0 367:47.0 376:1.0 379:1.0 393:3.0 394:13.0 395:18.0 400:23.0 419:74.0 420:2.0 429:114.0 430:15.0 432:34.0 433:19.0 468:17.0 475:65.0 488:42.0</t>
  </si>
  <si>
    <t>palmitic acid</t>
  </si>
  <si>
    <t>85:2250.0 86:1007.0 87:742.0 88:528.0 89:1945.0 90:301.0 91:636.0 92:101.0 93:1586.0 94:168.0 95:4041.0 96:575.0 97:3248.0 98:2766.0 99:1825.0 100:304.0 101:1083.0 102:274.0 103:304.0 104:12.0 105:2043.0 106:166.0 107:778.0 108:64.0 109:1030.0 110:215.0 111:1426.0 112:625.0 113:304.0 114:78.0 115:635.0 116:3922.0 117:63198.0 118:6147.0 119:2716.0 120:150.0 121:455.0 122:57.0 123:424.0 124:107.0 125:365.0 126:207.0 127:347.0 128:249.0 129:27721.0 130:3578.0 131:10161.0 132:21970.0 133:5002.0 134:1207.0 135:500.0 136:44.0 137:107.0 138:55.0 139:199.0 140:153.0 141:202.0 142:254.0 143:7652.0 144:893.0 145:12272.0 146:1585.0 147:4516.0 148:646.0 149:557.0 150:52.0 151:58.0 152:16.0 153:166.0 154:176.0 155:149.0 156:24.0 157:598.0 158:85.0 159:1144.0 160:183.0 161:57.0 163:38.0 164:4.0 165:6.0 166:11.0 167:107.0 168:85.0 169:181.0 170:21.0 171:1015.0 172:154.0 173:364.0 174:157.0 175:38.0 176:5.0 177:59.0 178:17.0 179:18.0 180:17.0 181:134.0 182:98.0 183:50.0 184:9.0 185:1316.0 186:209.0 187:867.0 188:236.0 189:86.0 190:12.0 191:100.0 192:14.0 193:36.0 194:26.0 195:186.0 196:64.0 197:194.0 198:25.0 199:332.0 200:64.0 201:1997.0 202:347.0 203:110.0 204:126.0 205:52.0 206:18.0 207:128.0 208:24.0 209:68.0 210:22.0 211:21.0 212:4.0 213:309.0 214:50.0 215:277.0 216:94.0 217:1533.0 218:267.0 219:164.0 220:17.0 221:72.0 222:4.0 223:9.0 224:22.0 225:19.0 226:10.0 227:329.0 228:72.0 229:378.0 230:92.0 231:57.0 232:20.0 233:11.0 234:3.0 235:6.0 237:20.0 238:9.0 239:36.0 240:2.0 241:163.0 242:43.0 243:422.0 244:90.0 245:183.0 246:25.0 247:8.0 252:1.0 253:2.0 254:10.0 255:82.0 256:33.0 257:247.0 258:59.0 259:16.0 260:1.0 261:1.0 265:2.0 269:510.0 270:177.0 271:223.0 272:59.0 273:11.0 274:8.0 275:9.0 276:6.0 277:3.0 278:4.0 279:1.0 280:1.0 281:3.0 282:6.0 283:88.0 284:44.0 285:651.0 286:239.0 287:90.0 288:10.0 289:6.0 290:39.0 292:5.0 293:3.0 294:11.0 296:1.0 297:9.0 298:5.0 299:102.0 300:45.0 301:14.0 303:14.0 304:5.0 305:511.0 306:154.0 307:68.0 308:9.0 311:32.0 312:203.0 313:8356.0 314:3060.0 315:756.0 316:147.0 317:12.0 318:3.0 319:12.0 320:2.0 327:39.0 328:557.0 329:239.0 330:51.0 331:32.0 332:23.0 333:624.0 334:219.0 335:109.0 336:23.0 337:6.0 338:2.0 341:3.0 343:8.0 344:3.0 345:4.0 346:1.0 348:4.0 349:3.0 350:2.0 351:3.0 352:2.0 355:2.0 358:18.0 359:48.0 360:14.0 361:4.0 362:3.0 364:2.0 365:1.0 367:4.0 369:4.0 373:2.0 374:2.0 383:2.0 385:3.0 386:1.0 387:51.0 388:27.0 389:6.0 393:2.0 396:2.0 400:4.0 401:9.0 402:11.0 403:13.0 405:1.0 406:1.0 407:2.0 408:4.0 410:1.0 412:4.0 418:2.0 420:2.0 424:3.0 426:1.0 427:4.0 428:4.0 431:1.0 434:6.0 437:2.0 439:2.0 441:1.0 442:6.0 443:2.0 444:2.0 446:2.0 449:1.0 450:1.0 453:6.0 456:1.0 460:3.0 461:5.0 462:6.0 463:2.0 464:2.0 465:2.0 470:1.0 472:3.0 476:9.0 477:25.0 478:29.0 479:4.0 481:2.0 482:1.0 483:3.0 484:1.0 487:2.0 491:1.0 492:2.0 494:4.0 495:3.0 497:4.0 498:1.0 499:3.0</t>
  </si>
  <si>
    <t>oxoproline</t>
  </si>
  <si>
    <t>85:7245.0 86:8074.0 87:5.0 88:23.0 89:304.0 90:14.0 91:303.0 92:114.0 93:147.0 94:689.0 95:204.0 96:660.0 97:526.0 98:2545.0 99:2632.0 100:5751.0 101:763.0 102:878.0 103:1200.0 104:248.0 105:766.0 106:112.0 107:335.0 108:489.0 109:147.0 110:1512.0 111:781.0 112:6768.0 113:2086.0 114:3261.0 115:1866.0 116:642.0 117:2207.0 118:568.0 119:635.0 120:78.0 121:105.0 122:876.0 123:104.0 124:250.0 125:122.0 126:1042.0 127:784.0 128:716.0 129:647.0 130:504.0 131:4857.0 132:1422.0 133:9248.0 134:1215.0 135:474.0 136:102.0 137:33.0 138:65.0 139:443.0 140:8392.0 141:2165.0 142:2251.0 144:147.0 145:40.0 146:336.0 147:51636.0 148:7553.0 149:4711.0 150:567.0 151:78.0 152:181.0 153:91.0 154:2181.0 155:1440.0 156:276359.0 157:35517.0 158:13300.0 159:1014.0 160:375.0 161:198.0 164:3.0 168:495.0 169:144.0 170:609.0 171:97.0 172:380.0 173:100.0 174:2876.0 175:448.0 176:232.0 177:7.0 181:23.0 182:19.0 183:209.0 184:325.0 186:417.0 187:87.0 188:60.0 189:1.0 190:274.0 192:30.0 197:5.0 198:121.0 200:2.0 201:3.0 202:5.0 204:1.0 205:4.0 206:1.0 208:31.0 212:28.0 213:141.0 214:2564.0 215:593.0 216:338.0 218:13.0 219:20.0 221:11.0 222:1.0 224:14.0 225:5.0 226:36.0 227:33.0 228:769.0 229:173.0 230:16781.0 231:3601.0 232:1491.0 233:206.0 234:49.0 236:14.0 237:70.0 238:21.0 239:20.0 240:1.0 242:40.0 243:3.0 244:57.0 245:38.0 246:79.0 247:4.0 248:1.0 252:9.0 256:16.0 257:54.0 258:14074.0 259:3071.0 260:1379.0 261:152.0 262:20.0 268:8.0 272:40.0 273:471.0 274:63.0 275:13.0 276:13.0 290:27.0 292:20.0 293:1.0 294:1.0 298:22.0 299:46.0 300:2.0 304:213.0 305:12.0 306:4.0 318:7.0 340:9.0 344:4.0 345:11.0 346:5.0 369:7.0 376:9.0 381:12.0 382:8.0 388:12.0 397:17.0 400:7.0 401:23.0 402:8.0 406:14.0 415:5.0 419:1.0 428:2.0 429:12.0 439:5.0 442:3.0 454:3.0 455:5.0 456:15.0 457:7.0 458:2.0 459:5.0 462:3.0 463:1.0 465:21.0 468:12.0 486:1.0 492:12.0 496:35.0 500:15.0</t>
  </si>
  <si>
    <t>oxalic acid</t>
  </si>
  <si>
    <t>85:46.0 86:22.0 88:136.0 92:16.0 93:75.0 95:76.0 96:27.0 99:30.0 101:161.0 102:1062.0 103:1157.0 104:182.0 105:350.0 106:26.0 107:33.0 108:1.0 110:19.0 111:51.0 113:83.0 115:379.0 116:200.0 117:950.0 118:137.0 119:146.0 120:18.0 121:11.0 123:16.0 125:4.0 126:31.0 130:13.0 131:1999.0 132:275.0 133:2566.0 134:300.0 135:185.0 136:9.0 137:12.0 138:54.0 139:4.0 142:7.0 145:2.0 147:35985.0 148:5708.0 149:3139.0 150:284.0 151:69.0 152:26.0 153:2.0 154:41.0 155:9.0 157:21.0 159:17.0 162:21.0 163:45.0 165:10.0 174:19.0 175:798.0 176:144.0 177:101.0 178:25.0 179:83.0 180:10.0 181:2.0 183:13.0 184:6.0 185:8.0 186:12.0 189:29.0 190:1438.0 191:305.0 192:120.0 193:146.0 194:27.0 195:16.0 196:5.0 197:9.0 198:5.0 202:2.0 203:2.0 204:14.0 205:49.0 207:54.0 208:12.0 209:5.0 211:1.0 212:8.0 214:4.0 219:711.0 220:122.0 221:57.0 222:2.0 223:56.0 225:16.0 226:10.0 235:14.0 237:19.0 239:7.0 242:7.0 248:1.0 249:80.0 250:13.0 251:153.0 252:23.0 253:18.0 255:3.0 256:3.0 257:1.0 265:13.0 266:11.0 267:870.0 268:226.0 269:139.0 270:24.0 271:18.0 272:4.0 277:10.0 278:12.0 279:8.0 280:7.0 281:19.0 282:10.0 283:5.0 285:4.0 287:5.0 294:5.0 298:7.0 300:8.0 308:8.0 309:4.0 311:14.0 315:6.0 317:6.0 320:8.0 322:6.0 323:19.0 326:10.0 327:12.0 328:10.0 332:1.0 336:10.0 338:2.0 339:13.0 340:11.0 341:7.0 345:5.0 351:9.0 353:3.0 354:47.0 355:380.0 356:153.0 357:103.0 358:16.0 361:9.0 365:1.0 367:3.0 369:9.0 371:5.0 375:5.0 378:7.0 379:8.0 385:5.0 387:10.0 391:6.0 392:3.0 393:10.0 398:7.0 399:10.0 406:5.0 407:2.0 410:6.0 412:14.0 416:4.0 418:6.0 419:3.0 430:2.0 434:8.0 437:3.0 439:8.0 441:2.0 442:1.0 445:10.0 454:12.0 456:10.0 457:4.0 461:4.0 463:5.0 464:1.0 468:2.0 471:12.0 475:9.0 478:4.0 481:2.0 484:1.0 485:8.0 490:2.0 496:3.0 498:2.0</t>
  </si>
  <si>
    <t>orotic acid</t>
  </si>
  <si>
    <t>85:32.0 86:166.0 87:35.0 91:104.0 92:17.0 93:29.0 95:37.0 96:14.0 97:52.0 99:118.0 100:1124.0 102:170.0 103:3.0 104:3.0 107:64.0 108:54.0 110:22.0 111:55.0 112:54.0 116:45.0 117:5.0 122:14.0 124:16.0 126:40.0 127:65.0 131:303.0 132:11.0 133:244.0 134:81.0 137:12.0 138:7.0 140:48.0 144:23.0 147:618.0 148:78.0 149:37.0 154:156.0 156:18.0 158:13.0 159:33.0 160:14.0 166:27.0 167:20.0 172:9.0 173:11.0 174:201.0 175:43.0 184:46.0 196:16.0 199:43.0 201:2.0 210:18.0 214:46.0 216:5.0 224:6.0 225:6.0 226:14.0 227:8.0 232:18.0 238:30.0 239:82.0 240:28.0 241:35.0 244:3.0 248:4.0 253:165.0 254:1946.0 255:452.0 256:137.0 257:14.0 262:4.0 265:29.0 269:177.0 270:122.0 271:294.0 272:45.0 273:32.0 274:10.0 278:1.0 279:1.0 282:8.0 284:6.0 292:1.0 299:21.0 307:10.0 308:6.0 317:1.0 319:16.0 327:14.0 328:12.0 329:35.0 333:4.0 349:2.0 350:1.0 354:6.0 356:8.0 357:529.0 358:154.0 359:61.0 360:13.0 368:8.0 371:37.0 372:4.0 374:2.0 382:11.0 392:10.0 428:2.0 440:4.0 443:5.0 452:6.0 487:1.0 492:1.0 498:9.0</t>
  </si>
  <si>
    <t>86:13212.0 87:245.0 90:530.0 91:122.0 93:137.0 94:85.0 96:550.0 97:1449.0 98:891.0 100:7104.0 102:1238.0 107:126.0 108:272.0 109:138.0 110:261.0 112:603.0 114:1019.0 121:4.0 122:33.0 123:49.0 124:136.0 126:593.0 128:2118.0 130:345.0 136:46.0 137:37.0 138:47.0 139:32.0 140:355.0 142:8614.0 144:9.0 146:2409.0 152:58.0 153:294.0 154:1138.0 156:74.0 159:356.0 160:467.0 162:222.0 165:75.0 166:62.0 170:360.0 172:1701.0 173:75.0 174:28525.0 175:4774.0 176:2387.0 179:33.0 180:24.0 181:37.0 182:47.0 183:57.0 184:88.0 186:8094.0 187:1692.0 188:698.0 194:14.0 195:20.0 196:25.0 197:1.0 198:16.0 199:35.0 200:551.0 210:8.0 212:9.0 213:19.0 214:59.0 216:1141.0 225:11.0 226:24.0 227:28.0 228:29.0 235:14.0 236:26.0 237:28.0 238:22.0 239:20.0 240:10.0 241:25.0 242:34.0 244:1667.0 245:468.0 246:128.0 248:2.0 249:40.0 250:23.0 251:10.0 252:10.0 253:2.0 254:4.0 255:39.0 258:73.0 259:161.0 260:51.0 261:20.0 262:26.0 263:21.0 264:16.0 265:18.0 266:20.0 267:12.0 268:9.0 269:14.0 270:19.0 271:34.0 272:19.0 273:21.0 274:22.0 275:17.0 276:35.0 281:25.0 282:8.0 283:3.0 284:4.0 286:5.0 287:6.0 288:3.0 289:15.0 290:19.0 292:415.0 294:74.0 295:18.0 296:6.0 297:8.0 299:18.0 302:6.0 303:18.0 304:11.0 310:7.0 311:18.0 312:10.0 313:8.0 317:25.0 325:15.0 326:11.0 327:10.0 329:5.0 330:18.0 336:2.0 337:6.0 338:4.0 339:7.0 340:7.0 342:3.0 344:7.0 345:20.0 347:22.0 348:1023.0 349:322.0 350:146.0 351:12.0 352:2.0 354:2.0 355:6.0 356:5.0 360:3.0 362:4.0 363:2.0 364:2.0 365:3.0 366:1.0 367:2.0 368:5.0 369:4.0 375:2.0 376:3.0 377:5.0 378:1.0 379:3.0 380:2.0 381:5.0 383:7.0 385:2.0 386:4.0 388:2.0 390:2.0 391:2.0 392:14.0 393:8.0 394:3.0 395:1.0 396:2.0 397:1.0 398:1.0 399:1.0 400:1.0 403:2.0 405:4.0 407:2.0 408:9.0 409:4.0 410:9.0 412:1.0 416:2.0 418:1.0 419:1.0 420:4.0 421:7.0 422:3.0 423:5.0 424:3.0 428:1.0 430:42.0 431:1.0 434:4.0 435:3.0 437:13.0 439:2.0 448:13.0 449:8.0 451:12.0 452:21.0 453:7.0 454:3.0 455:1.0 456:1.0 460:1.0 461:1.0 462:4.0 463:2.0 464:1.0 466:1.0 467:1.0 468:1.0 470:3.0 471:1.0 472:1.0 476:1.0 477:3.0 478:12.0 479:1.0 482:2.0 484:3.0 487:3.0 488:5.0 489:1.0 493:2.0 496:1.0 497:2.0 498:3.0 500:5.0</t>
  </si>
  <si>
    <t>ornithine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</si>
  <si>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</si>
  <si>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</si>
  <si>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</si>
  <si>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85:2.0 86:7.0 90:9.0 91:50.0 92:20.0 100:56.0 103:4.0 104:128.0 105:201.0 106:21.0 107:38.0 108:6.0 110:19.0 116:10.0 117:80.0 118:9.0 120:6.0 126:2.0 128:3.0 133:2.0 136:460.0 137:20.0 143:2.0 147:21.0 153:1.0 160:3.0 162:1.0 179:1175.0 180:131.0 181:8.0 183:1.0 184:33.0 188:1.0 193:32.0 194:11.0 195:1.0 228:2.0 235:3.0 239:1.0 240:3.0 241:2.0 250:5.0 252:3.0 256:2.0 258:3.0 284:2.0 302:2.0 313:3.0 318:1.0 332:1.0 340:1.0 348:1.0 350:4.0 351:1.0 354:2.0 355:2.0 358:3.0 359:1.0 367:1.0 371:2.0 377:2.0 386:1.0 389:1.0 399:1.0 400:2.0 408:1.0 418:1.0 419:2.0 420:1.0 422:2.0 429:3.0 437:1.0 440:1.0 443:1.0 451:2.0 453:2.0 455:1.0 459:1.0 461:2.0 463:1.0 467:1.0 469:1.0 477:1.0 481:2.0 492:1.0</t>
  </si>
  <si>
    <t>naphtalene</t>
  </si>
  <si>
    <t>85:65.0 86:62.0 87:4.0 88:4.0 89:6.0 90:5.0 91:110.0 92:92.0 93:67.0 95:27.0 96:24.0 97:47.0 98:91.0 99:22.0 100:21.0 101:44.0 102:213.0 104:12.0 106:5.0 107:32.0 108:5.0 109:2.0 110:50.0 111:1.0 112:16.0 113:8.0 114:2.0 115:6.0 116:5.0 117:15.0 118:8.0 119:2.0 120:2.0 123:1.0 126:97.0 127:218.0 128:1737.0 129:119.0 130:27.0 131:9.0 133:13.0 134:99.0 135:10.0 138:1.0 143:2.0 146:9.0 148:15.0 149:16.0 151:2.0 152:1.0 161:1.0 164:1.0 171:1.0 173:1.0 176:6.0 180:3.0 184:1.0 185:6.0 186:5.0 187:2.0 190:3.0 195:1.0 231:1.0 236:1.0 255:2.0 274:2.0 276:1.0 277:2.0 278:2.0 279:2.0 281:24.0 283:1.0 293:3.0 295:2.0 299:3.0 304:1.0 307:1.0 308:1.0 309:1.0 316:4.0 317:6.0 326:2.0 328:2.0 337:1.0 340:1.0 345:1.0 350:2.0 353:1.0 355:3.0 359:3.0 365:1.0 373:2.0 380:2.0 385:3.0 390:3.0 394:2.0 397:1.0 399:4.0 409:4.0 415:1.0 416:1.0 423:1.0 426:3.0 431:1.0 438:2.0 449:2.0 451:3.0 458:1.0 466:2.0 489:3.0 491:2.0</t>
  </si>
  <si>
    <t>85:1876.0 86:354.0 87:544.0 88:296.0 89:4230.0 90:392.0 91:2631.0 92:1526.0 93:1252.0 94:312.0 95:1106.0 96:815.0 97:503.0 98:225.0 99:648.0 100:722.0 101:972.0 102:312.0 103:9016.0 104:824.0 105:1026.0 106:143.0 107:175.0 108:168.0 109:324.0 110:297.0 111:300.0 112:98.0 113:494.0 114:2280.0 115:606.0 116:473.0 117:3472.0 118:369.0 119:643.0 120:65.0 121:96.0 122:95.0 123:155.0 124:113.0 125:67.0 126:245.0 127:313.0 128:120.0 129:4829.0 130:749.0 131:1327.0 132:130.0 133:3736.0 134:498.0 135:409.0 136:145.0 137:26.0 138:23.0 139:18.0 140:91.0 141:146.0 142:277.0 143:695.0 144:108.0 145:36.0 146:22.0 147:12563.0 148:1915.0 149:1477.0 150:295.0 151:128.0 152:49.0 153:12.0 154:108.0 155:95.0 156:75.0 157:3093.0 158:430.0 159:179.0 160:44.0 161:53.0 162:9.0 163:319.0 164:85.0 165:32.0 166:13.0 167:26.0 168:41.0 169:336.0 170:178.0 171:55.0 172:352.0 173:300.0 174:142.0 175:167.0 176:9.0 177:185.0 178:52.0 180:3.0 181:29.0 182:14.0 183:33.0 184:17.0 185:20.0 186:98.0 187:25.0 188:100.0 189:1181.0 190:366.0 191:1359.0 192:207.0 193:76.0 194:23.0 196:26.0 197:9.0 198:14.0 199:12.0 200:60.0 201:222.0 202:156.0 203:183.0 204:1594.0 205:5201.0 206:1097.0 207:589.0 208:71.0 210:28.0 211:25.0 212:15.0 213:3.0 214:67.0 215:82.0 216:102.0 217:3766.0 218:779.0 219:361.0 220:56.0 224:14.0 225:6.0 228:7.0 229:715.0 230:245.0 231:167.0 232:52.0 233:30.0 235:38.0 238:2.0 239:8.0 240:25.0 242:4.0 243:86.0 244:90.0 245:72.0 246:20.0 247:27.0 248:16.0 253:4.0 254:20.0 255:9.0 256:42.0 257:3.0 259:29.0 260:7.0 261:16.0 262:747.0 263:214.0 264:72.0 265:97.0 266:28.0 268:7.0 269:1.0 270:8.0 272:2.0 273:1.0 274:2.0 275:8.0 276:2.0 277:101.0 278:48.0 284:8.0 285:36.0 286:30.0 287:24.0 288:33.0 289:20.0 290:254.0 291:356.0 292:142.0 293:61.0 294:44.0 299:31.0 300:7.0 301:7.0 302:19.0 303:14.0 304:20.0 305:819.0 306:243.0 307:240.0 308:61.0 309:10.0 310:7.0 312:18.0 316:22.0 317:20.0 318:422.0 319:4667.0 320:1681.0 321:692.0 322:157.0 323:57.0 324:5.0 330:4.0 331:34.0 332:34.0 333:79.0 334:29.0 335:42.0 336:49.0 337:17.0 338:12.0 340:4.0 342:4.0 343:3.0 344:12.0 346:25.0 347:1.0 348:4.0 349:5.0 350:8.0 351:9.0 352:5.0 354:4.0 356:10.0 357:98.0 358:50.0 359:6.0 362:3.0 363:11.0 364:36.0 365:9.0 366:4.0 367:22.0 368:3.0 370:4.0 372:18.0 373:13.0 374:3.0 375:15.0 376:62.0 377:18.0 379:5.0 380:3.0 381:6.0 383:2.0 385:1.0 388:9.0 390:1.0 391:4.0 392:55.0 393:30.0 395:4.0 396:1.0 397:5.0 398:3.0 400:3.0 402:15.0 404:10.0 405:2.0 406:1.0 408:4.0 410:2.0 412:2.0 419:5.0 420:3.0 421:4.0 422:1.0 423:2.0 425:1.0 426:10.0 427:9.0 430:2.0 432:14.0 433:12.0 434:10.0 436:1.0 439:3.0 441:1.0 445:7.0 446:17.0 449:8.0 450:3.0 451:5.0 452:2.0 453:2.0 454:6.0 455:6.0 463:2.0 465:1.0 466:1.0 467:8.0 468:5.0 470:4.0 474:3.0 476:2.0 477:18.0 478:15.0 479:16.0 480:7.0 481:2.0 483:11.0 484:6.0 486:11.0 488:9.0 492:3.0 493:5.0 494:3.0 496:2.0 497:8.0 498:12.0 499:2.0</t>
  </si>
  <si>
    <t>N-acetyl-D-hexosamine</t>
  </si>
  <si>
    <t>85:452.0 88:1712.0 89:6703.0 90:616.0 91:4910.0 92:2345.0 94:6.0 95:317.0 97:1353.0 98:508.0 100:1170.0 101:430.0 103:26192.0 104:2509.0 105:1421.0 106:75.0 109:28.0 111:459.0 112:126.0 114:1173.0 115:164.0 117:9112.0 118:918.0 119:497.0 121:102.0 122:19.0 123:80.0 125:118.0 126:69.0 128:175.0 129:5486.0 130:175.0 131:1039.0 132:159.0 133:5464.0 134:1139.0 135:172.0 139:41.0 140:16.0 142:159.0 143:3292.0 144:534.0 146:69.0 147:15057.0 148:2069.0 149:758.0 150:108.0 153:61.0 154:77.0 156:59.0 157:8192.0 158:1164.0 159:567.0 160:167.0 161:89.0 163:623.0 164:80.0 165:57.0 166:1.0 167:25.0 168:40.0 169:116.0 170:41.0 171:307.0 172:2189.0 173:1320.0 174:477.0 175:198.0 176:25.0 177:199.0 178:55.0 179:14.0 182:27.0 184:141.0 185:411.0 186:143.0 187:81.0 188:317.0 189:1611.0 190:362.0 191:329.0 192:3.0 196:16.0 198:8.0 199:719.0 200:259.0 201:413.0 202:381.0 203:239.0 204:382.0 205:11319.0 206:1973.0 207:1018.0 208:162.0 209:56.0 210:54.0 211:11.0 212:12.0 213:330.0 214:294.0 215:48.0 216:344.0 217:2467.0 218:809.0 219:55.0 220:62.0 221:172.0 223:22.0 224:33.0 227:116.0 228:89.0 229:1950.0 230:723.0 231:294.0 232:56.0 233:57.0 235:313.0 236:76.0 237:35.0 238:10.0 240:98.0 241:252.0 242:258.0 243:74.0 244:95.0 245:52.0 246:21.0 247:218.0 248:52.0 249:41.0 250:27.0 254:7.0 255:607.0 256:164.0 259:38.0 260:170.0 261:49.0 262:582.0 263:321.0 264:88.0 265:77.0 267:112.0 268:324.0 269:65.0 270:31.0 273:13.0 274:44.0 276:15.0 277:310.0 278:11.0 280:17.0 287:17.0 288:89.0 289:4.0 290:16.0 291:207.0 292:46.0 294:2.0 295:9.0 298:297.0 299:117.0 302:245.0 304:15.0 310:7.0 312:2.0 316:48.0 317:46.0 318:138.0 319:13334.0 320:4086.0 321:2028.0 322:409.0 323:77.0 328:32.0 331:20.0 332:208.0 333:104.0 334:206.0 335:184.0 336:16.0 339:4.0 340:6.0 341:6.0 342:71.0 344:83.0 346:22.0 347:12.0 348:11.0 349:1.0 350:12.0 351:28.0 352:3.0 356:2.0 358:9.0 360:15.0 364:44.0 367:4.0 369:3.0 371:10.0 372:19.0 374:2.0 375:4.0 376:50.0 379:7.0 383:2.0 390:3.0 394:1.0 395:1.0 396:6.0 397:1.0 398:6.0 399:5.0 401:1.0 402:64.0 403:18.0 404:11.0 405:27.0 406:7.0 407:15.0 409:7.0 411:1.0 414:1.0 420:2.0 424:3.0 426:3.0 432:5.0 433:13.0 435:11.0 436:1.0 439:11.0 441:2.0 450:3.0 451:5.0 461:2.0 465:3.0 468:5.0 473:4.0 475:3.0 477:3.0 483:1.0 485:5.0 489:2.0 490:2.0 492:9.0 493:1.0 495:7.0 498:3.0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</si>
  <si>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</si>
  <si>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</si>
  <si>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methylhexadecanoic acid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</si>
  <si>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</si>
  <si>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</si>
  <si>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methionine</t>
  </si>
  <si>
    <t>85:454.0 87:124.0 88:157.0 89:11837.0 90:886.0 91:406.0 93:55.0 94:473.0 95:65.0 96:347.0 98:34793.0 99:2989.0 100:6157.0 101:942.0 102:1291.0 103:8562.0 104:1156.0 105:1978.0 106:84.0 108:157.0 109:61.0 110:197.0 112:192.0 114:1776.0 115:1420.0 116:6996.0 117:504.0 118:229.0 119:558.0 120:10.0 121:62.0 122:66.0 125:237.0 128:22379.0 129:4727.0 130:3486.0 131:3991.0 132:1067.0 133:5865.0 134:1206.0 136:50.0 138:8.0 139:69.0 142:320.0 143:1794.0 144:8121.0 145:2400.0 146:2142.0 147:18716.0 148:2356.0 149:1666.0 150:445.0 152:38.0 153:7.0 155:82.0 159:246.0 160:769.0 161:12.0 162:47.0 163:34.0 164:11.0 165:17.0 166:42.0 167:83.0 168:406.0 170:657.0 171:344.0 172:1459.0 173:1058.0 174:48.0 175:77.0 176:23998.0 177:4695.0 178:2198.0 179:152.0 180:46.0 182:943.0 184:309.0 185:93.0 186:142.0 187:9.0 188:1689.0 189:1957.0 190:1561.0 191:5.0 194:7.0 195:76.0 197:78.0 198:147.0 199:159.0 200:267.0 201:20.0 202:1449.0 203:825.0 204:324.0 205:143.0 206:42.0 207:182.0 208:156.0 209:34.0 210:9.0 212:16.0 213:22.0 215:85.0 216:92.0 217:8072.0 218:2316.0 219:2673.0 220:567.0 221:1234.0 222:12.0 223:63.0 224:33.0 225:171.0 226:127.0 227:43.0 232:549.0 235:2.0 240:118.0 241:83.0 243:26.0 244:228.0 245:479.0 246:34.0 247:127.0 248:4.0 249:2.0 250:1118.0 251:305.0 252:127.0 253:24.0 255:11.0 256:27.0 263:64.0 264:24.0 265:26.0 266:114.0 267:125.0 268:25.0 269:9.0 271:33.0 272:172.0 273:85.0 274:117.0 276:2500.0 277:1014.0 278:342.0 279:200.0 289:75.0 291:388.0 292:104.0 293:1124.0 294:246.0 295:161.0 296:3.0 297:3.0 298:98.0 299:80.0 301:17.0 303:13.0 305:122.0 306:379.0 307:946.0 308:356.0 309:559.0 310:211.0 311:101.0 312:6.0 313:9.0 314:43.0 317:19.0 318:114.0 319:71.0 320:42.0 321:334.0 322:119.0 324:9.0 326:14.0 327:20.0 329:382.0 330:131.0 331:96.0 333:25.0 335:46.0 339:56.0 342:61.0 343:14.0 345:34.0 346:2.0 347:1.0 349:11.0 352:15.0 353:15.0 354:18.0 355:14.0 357:49.0 358:1.0 360:20.0 361:13.0 362:6.0 364:3.0 368:2.0 376:19.0 377:22.0 379:153.0 380:29.0 381:28.0 382:1.0 383:93.0 384:20.0 385:2.0 397:16.0 398:45.0 400:6.0 401:17.0 405:1.0 408:5.0 409:124.0 410:72.0 411:7.0 422:4.0 423:14.0 425:3.0 429:53.0 433:22.0 434:3.0 438:5.0 440:10.0 444:7.0 445:7.0 447:80.0 448:47.0 449:1.0 450:7.0 453:19.0 455:1.0 456:3.0 458:2.0 459:10.0 460:6.0 462:21.0 464:17.0 465:18.0 468:5.0 473:31.0 474:1.0 477:11.0 481:2.0 487:3.0 492:9.0 493:15.0 496:26.0 500:4.0</t>
  </si>
  <si>
    <t>mannose-6-phosphate NIST</t>
  </si>
  <si>
    <t>86:92.0 87:86.0 89:258.0 98:250.0 101:1244.0 102:42.0 103:3266.0 110:43.0 115:361.0 116:780.0 117:2591.0 118:197.0 123:51.0 129:2109.0 130:252.0 131:270.0 132:112.0 133:1488.0 134:144.0 135:26.0 143:554.0 144:68.0 147:5395.0 148:904.0 149:294.0 151:17.0 153:42.0 155:59.0 157:552.0 163:48.0 165:6.0 168:6.0 169:197.0 177:4.0 181:20.0 182:58.0 183:256.0 184:118.0 189:405.0 190:20.0 191:447.0 192:97.0 193:151.0 195:107.0 197:29.0 203:61.0 204:964.0 205:1398.0 206:250.0 207:371.0 208:78.0 209:130.0 211:827.0 212:103.0 213:65.0 215:177.0 217:2663.0 218:600.0 219:75.0 225:298.0 227:209.0 228:23.0 229:56.0 230:73.0 231:263.0 232:7.0 233:16.0 240:15.0 243:172.0 244:51.0 246:98.0 251:57.0 253:36.0 255:254.0 256:28.0 257:171.0 259:454.0 260:28.0 261:36.0 264:27.0 265:14.0 269:1.0 272:15.0 276:32.0 277:27.0 283:109.0 284:21.0 285:153.0 286:10.0 288:1.0 289:17.0 291:75.0 292:32.0 298:94.0 299:2984.0 300:783.0 301:347.0 302:41.0 304:20.0 305:119.0 306:15.0 307:87.0 308:41.0 310:28.0 311:21.0 313:67.0 314:160.0 315:1974.0 316:523.0 317:291.0 318:93.0 319:273.0 320:87.0 328:113.0 329:32.0 330:32.0 331:109.0 332:59.0 341:157.0 342:2.0 343:33.0 344:47.0 345:58.0 346:8.0 347:55.0 349:104.0 350:22.0 352:2.0 353:10.0 354:19.0 356:43.0 357:810.0 358:225.0 359:102.0 361:10.0 363:1.0 368:1.0 369:37.0 370:68.0 371:48.0 372:24.0 373:108.0 374:32.0 376:7.0 383:4.0 386:176.0 387:2311.0 388:921.0 389:612.0 390:173.0 391:38.0 395:8.0 407:2.0 409:2.0 421:8.0 425:6.0 430:4.0 431:3.0 434:20.0 437:3.0 445:10.0 457:5.0 459:39.0 460:26.0 461:5.0 463:12.0 465:8.0 470:23.0 471:146.0 472:56.0 473:33.0 475:20.0 481:2.0 483:10.0 496:6.0</t>
  </si>
  <si>
    <t>malic acid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</si>
  <si>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</si>
  <si>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</si>
  <si>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</si>
  <si>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86:647.0 87:140.0 88:193.0 89:1957.0 90:207.0 91:31.0 97:220.0 100:631.0 101:576.0 103:12445.0 104:1077.0 105:670.0 106:250.0 107:404.0 113:148.0 114:124.0 115:128.0 116:132.0 117:1156.0 118:145.0 119:95.0 127:106.0 129:1044.0 130:497.0 131:639.0 133:989.0 134:540.0 135:220.0 138:9.0 143:249.0 145:69.0 146:171.0 147:2009.0 148:618.0 149:639.0 150:47.0 157:73.0 158:20.0 160:651.0 161:188.0 162:7.0 163:84.0 166:25.0 170:1.0 172:35.0 173:15.0 174:65.0 175:67.0 185:50.0 186:25.0 187:4.0 188:77.0 189:1051.0 190:160.0 191:137.0 192:5.0 193:25.0 198:3.0 199:78.0 201:60.0 203:45.0 204:256.0 205:417.0 206:55.0 207:147.0 214:5.0 215:3.0 216:7.0 217:4400.0 218:743.0 219:371.0 220:31.0 224:1.0 231:17.0 233:219.0 234:79.0 235:9.0 236:1.0 238:9.0 239:12.0 240:10.0 241:10.0 244:9.0 245:11.0 248:10.0 253:3.0 256:12.0 262:38.0 266:5.0 275:24.0 277:296.0 278:40.0 279:19.0 287:32.0 294:12.0 303:11.0 307:1269.0 308:307.0 309:154.0 310:17.0 318:2.0 324:8.0 325:22.0 336:20.0 340:1.0 341:11.0 352:12.0 362:15.0 370:7.0 373:17.0 379:15.0 383:20.0 389:5.0 400:8.0 401:2.0 406:6.0 407:4.0 408:5.0 409:2.0 413:19.0 414:5.0 417:3.0 419:7.0 421:2.0 427:2.0 429:16.0 431:8.0 437:1.0 448:21.0 456:1.0 459:6.0 460:3.0 470:8.0 488:1.0 491:1.0 494:2.0 495:16.0 498:3.0</t>
  </si>
  <si>
    <t>lysine</t>
  </si>
  <si>
    <t>85:175.0 86:1999.0 87:238.0 88:813.0 89:205.0 90:19.0 92:413.0 94:55.0 96:3.0 97:30.0 98:130.0 99:61.0 100:1984.0 101:96.0 102:476.0 103:179.0 104:9.0 106:15.0 107:39.0 108:9.0 110:56.0 111:18.0 112:363.0 113:149.0 114:421.0 115:671.0 116:183.0 117:173.0 118:35.0 119:15.0 120:24.0 121:6.0 122:6.0 123:4.0 124:49.0 125:19.0 126:155.0 127:3.0 128:1637.0 129:117.0 130:697.0 131:289.0 132:241.0 133:221.0 134:31.0 135:10.0 136:3.0 137:1.0 138:41.0 139:14.0 140:288.0 141:52.0 142:185.0 143:48.0 144:55.0 145:17.0 146:250.0 147:570.0 148:35.0 149:185.0 150:45.0 151:9.0 152:15.0 153:13.0 154:302.0 155:136.0 156:4949.0 157:702.0 158:265.0 159:39.0 160:118.0 161:21.0 162:27.0 164:14.0 165:2.0 166:54.0 167:43.0 168:42.0 169:20.0 170:44.0 171:18.0 172:160.0 173:38.0 174:3677.0 175:632.0 176:287.0 177:37.0 178:7.0 181:2.0 182:17.0 183:13.0 184:48.0 185:7.0 186:116.0 187:23.0 188:42.0 189:90.0 190:16.0 191:30.0 192:15.0 193:18.0 194:2.0 195:1.0 196:3.0 197:7.0 198:8.0 199:7.0 200:283.0 201:27.0 202:120.0 203:32.0 204:3.0 205:57.0 206:21.0 207:3.0 209:7.0 210:4.0 211:3.0 212:23.0 213:22.0 214:118.0 215:57.0 216:65.0 217:41.0 218:153.0 219:70.0 220:49.0 222:17.0 223:11.0 224:3.0 225:7.0 226:8.0 227:21.0 228:225.0 229:67.0 230:637.0 231:138.0 232:70.0 233:22.0 234:1.0 235:12.0 236:11.0 237:5.0 239:21.0 240:31.0 241:13.0 242:22.0 243:37.0 244:27.0 245:15.0 246:11.0 247:5.0 248:14.0 249:8.0 250:13.0 251:12.0 252:9.0 253:9.0 254:5.0 255:17.0 256:22.0 257:19.0 258:33.0 259:10.0 260:8.0 261:13.0 262:8.0 263:15.0 264:4.0 265:9.0 266:2.0 267:2.0 268:7.0 269:10.0 270:7.0 271:18.0 272:24.0 273:39.0 274:9.0 275:2.0 276:6.0 278:13.0 279:4.0 280:6.0 281:7.0 282:11.0 283:6.0 284:23.0 285:11.0 286:18.0 288:3.0 289:5.0 290:6.0 291:17.0 292:3.0 293:4.0 294:4.0 295:3.0 296:4.0 297:4.0 298:5.0 300:8.0 301:12.0 302:17.0 303:7.0 304:11.0 305:2.0 306:9.0 307:8.0 308:5.0 309:10.0 310:10.0 311:6.0 312:3.0 313:6.0 314:9.0 315:15.0 316:15.0 317:603.0 318:249.0 319:109.0 320:36.0 321:14.0 322:20.0 323:14.0 324:2.0 325:5.0 326:8.0 327:12.0 328:10.0 329:66.0 330:26.0 331:18.0 332:5.0 333:9.0 334:14.0 335:12.0 336:6.0 337:16.0 338:8.0 339:10.0 340:2.0 342:3.0 343:11.0 344:8.0 345:9.0 346:6.0 347:6.0 348:17.0 350:3.0 351:16.0 353:2.0 354:5.0 355:7.0 356:6.0 357:1.0 358:9.0 359:2.0 360:4.0 361:10.0 362:9.0 363:5.0 364:11.0 365:12.0 366:7.0 367:5.0 369:6.0 370:3.0 371:7.0 372:14.0 373:4.0 374:5.0 375:8.0 376:3.0 377:4.0 378:4.0 379:10.0 380:5.0 381:3.0 382:2.0 383:3.0 384:5.0 385:5.0 386:5.0 387:1.0 388:10.0 389:2.0 390:3.0 391:14.0 392:22.0 393:3.0 394:4.0 396:18.0 397:8.0 399:2.0 400:6.0 401:2.0 402:5.0 403:10.0 404:12.0 405:8.0 406:6.0 407:3.0 408:7.0 409:1.0 410:16.0 411:9.0 413:15.0 414:11.0 415:11.0 416:9.0 417:8.0 418:1.0 419:22.0 420:19.0 421:4.0 422:6.0 423:9.0 424:4.0 425:5.0 426:7.0 427:7.0 428:4.0 429:14.0 430:6.0 431:5.0 432:11.0 433:8.0 434:38.0 435:29.0 436:19.0 437:4.0 438:14.0 439:3.0 440:3.0 441:13.0 442:1.0 444:6.0 445:2.0 446:2.0 448:6.0 449:5.0 451:4.0 452:4.0 453:7.0 454:2.0 455:14.0 456:13.0 457:1.0 458:6.0 459:6.0 461:2.0 462:16.0 463:6.0 464:4.0 466:7.0 467:3.0 468:10.0 469:4.0 470:5.0 471:4.0 472:6.0 474:2.0 475:4.0 477:4.0 478:2.0 479:15.0 480:8.0 481:4.0 482:7.0 483:7.0 484:17.0 485:10.0 486:10.0 488:17.0 489:17.0 490:5.0 491:4.0 492:7.0 493:6.0 494:13.0 495:7.0 496:7.0 497:7.0 498:6.0 499:3.0 500:7.0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</si>
  <si>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</si>
  <si>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</si>
  <si>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</si>
  <si>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85:867.0 86:3278.0 87:183.0 88:100.0 89:133.0 93:336.0 94:29.0 98:30.0 99:124.0 100:1382.0 101:202.0 102:699.0 103:130.0 105:5.0 107:141.0 108:59.0 109:9.0 112:31.0 113:27.0 116:182.0 117:301.0 118:79.0 119:10.0 125:17.0 126:154.0 130:413.0 132:61.0 133:106.0 135:30.0 137:15.0 138:20.0 140:104.0 141:27.0 142:60.0 144:299.0 146:34.0 147:566.0 151:2.0 156:542.0 157:52.0 158:2985.0 159:371.0 160:132.0 166:1.0 170:2.0 172:10.0 174:3505.0 175:648.0 176:210.0 218:54.0 225:22.0 230:233.0 231:33.0 232:72.0 236:4.0 249:2.0 251:8.0 253:19.0 261:11.0 265:1.0 286:115.0 287:5.0 295:7.0 296:13.0 297:2.0 299:5.0 309:2.0 314:19.0 325:178.0 326:62.0 327:36.0 341:448.0 342:130.0 343:82.0 344:1.0 381:3.0 402:1.0 420:1.0 422:10.0 428:5.0 429:101.0 430:36.0 432:12.0 444:3.0 447:1.0 454:1.0 465:2.0 475:1.0 479:10.0 481:1.0 496:1.0</t>
  </si>
  <si>
    <t>lactic acid</t>
  </si>
  <si>
    <t>85:1068.0 86:183.0 89:1393.0 90:432.0 91:326.0 92:736.0 93:602.0 94:101.0 96:44.0 97:26.0 102:3921.0 103:3541.0 104:272.0 105:2212.0 106:1149.0 107:21191.0 108:1940.0 109:1184.0 110:6666.0 111:560.0 112:69.0 114:303.0 115:3026.0 116:220.0 117:75044.0 118:1007.0 119:8844.0 120:768.0 121:626.0 123:27.0 124:33.0 125:21.0 126:995.0 127:3322.0 129:2470.0 130:35089.0 131:481.0 132:2785.0 133:19846.0 134:37530.0 135:3624.0 136:958.0 137:105.0 138:24.0 141:22.0 143:501.0 144:51.0 146:3957.0 147:195325.0 148:34650.0 149:11899.0 150:4424.0 151:1554.0 152:121.0 153:35.0 154:53.0 155:9.0 156:421.0 157:9.0 160:2364.0 162:12.0 166:14.0 169:19.0 170:24.0 171:3.0 173:1.0 175:493.0 176:61.0 180:10.0 183:16.0 184:11361.0 185:446.0 186:363.0 191:13311.0 192:7215.0 193:2055.0 194:388.0 195:10.0 197:1.0 198:5.0 199:1114.0 202:17.0 203:458.0 204:24.0 205:5.0 207:41.0 211:67.0 219:3157.0 220:1358.0 221:848.0 223:1.0 224:2698.0 225:254.0 226:91.0 229:6.0 234:2481.0 235:497.0 236:337.0 237:47.0 238:16.0 239:164.0 240:41.0 241:12.0 242:1.0 243:23.0 248:3.0 249:179.0 250:35.0 251:24.0 265:18.0 266:2.0 267:7.0 276:1.0 292:2.0 293:1.0 295:1.0 296:1.0 300:2.0 304:16.0 312:1.0 316:7.0 318:23.0 322:1.0 329:4.0 337:5.0 356:2.0 359:8.0 362:13.0 376:3.0 377:1.0 390:2.0 415:2.0 419:1.0 420:1.0 442:2.0 445:1.0 446:1.0 460:19.0 468:3.0 474:10.0</t>
  </si>
  <si>
    <t>isothreonic acid</t>
  </si>
  <si>
    <t>85:155.0 86:70.0 89:322.0 90:41.0 91:85.0 92:73.0 93:234.0 96:28.0 98:28.0 99:31.0 101:76.0 102:1447.0 103:1824.0 104:203.0 105:115.0 106:38.0 108:13.0 110:10.0 112:44.0 113:75.0 114:25.0 116:110.0 117:2303.0 118:235.0 119:183.0 120:24.0 126:17.0 127:15.0 128:10.0 129:277.0 130:1049.0 131:693.0 132:124.0 133:1049.0 134:148.0 135:93.0 140:32.0 141:15.0 142:3.0 143:122.0 144:19.0 145:53.0 146:61.0 147:6589.0 148:987.0 149:550.0 150:64.0 151:21.0 152:18.0 155:11.0 157:53.0 158:38.0 159:12.0 160:15.0 161:16.0 162:12.0 163:41.0 164:11.0 165:26.0 170:5.0 173:12.0 175:42.0 176:12.0 177:215.0 178:42.0 179:15.0 180:5.0 181:1.0 186:25.0 189:241.0 190:59.0 191:159.0 192:53.0 193:50.0 194:17.0 196:2.0 198:9.0 199:4.0 200:54.0 201:18.0 203:68.0 204:150.0 205:969.0 206:205.0 207:595.0 208:121.0 209:94.0 210:17.0 212:2.0 213:3.0 217:687.0 218:150.0 219:92.0 220:917.0 221:1657.0 222:442.0 223:243.0 224:53.0 225:11.0 226:1.0 231:10.0 233:6.0 235:9.0 236:20.0 238:10.0 239:8.0 241:1.0 242:1.0 245:86.0 246:7.0 247:7.0 248:26.0 249:24.0 250:18.0 251:19.0 252:19.0 253:3.0 254:1.0 255:3.0 256:2.0 257:1.0 260:6.0 261:1.0 262:4.0 263:15.0 264:4.0 265:27.0 266:11.0 267:126.0 268:28.0 269:15.0 270:5.0 271:4.0 272:6.0 274:2.0 275:5.0 276:27.0 277:28.0 278:17.0 279:24.0 281:116.0 282:30.0 283:9.0 284:5.0 285:9.0 286:3.0 287:11.0 288:9.0 289:8.0 290:16.0 291:157.0 292:1226.0 293:388.0 294:178.0 295:264.0 296:80.0 297:28.0 298:3.0 299:2.0 300:4.0 301:2.0 303:9.0 305:13.0 307:10.0 308:1.0 309:5.0 310:6.0 311:21.0 312:9.0 315:4.0 316:7.0 317:3.0 318:9.0 319:96.0 320:25.0 321:29.0 322:8.0 323:19.0 324:16.0 325:116.0 326:42.0 327:25.0 328:19.0 329:3.0 330:8.0 331:9.0 332:3.0 333:6.0 334:1.0 335:4.0 336:1.0 337:10.0 338:8.0 339:14.0 340:16.0 341:194.0 342:46.0 343:38.0 344:14.0 345:6.0 346:3.0 347:3.0 349:6.0 351:5.0 352:8.0 353:8.0 354:11.0 355:100.0 356:39.0 357:21.0 358:19.0 359:3.0 360:6.0 361:12.0 362:7.0 363:7.0 364:5.0 365:4.0 366:2.0 367:14.0 368:9.0 369:12.0 370:6.0 371:7.0 372:8.0 373:9.0 374:4.0 375:4.0 376:4.0 377:8.0 378:12.0 379:29.0 380:9.0 381:16.0 382:12.0 383:5.0 384:7.0 386:3.0 387:5.0 388:3.0 389:2.0 390:5.0 391:2.0 392:2.0 393:9.0 394:13.0 395:6.0 398:6.0 399:2.0 400:9.0 401:7.0 402:5.0 404:4.0 405:13.0 406:7.0 407:5.0 408:10.0 409:39.0 410:26.0 411:7.0 412:4.0 413:1.0 414:10.0 415:7.0 416:10.0 417:4.0 418:6.0 419:6.0 420:8.0 421:4.0 422:5.0 423:7.0 424:2.0 425:6.0 426:11.0 427:3.0 428:5.0 429:18.0 430:12.0 431:4.0 432:1.0 433:2.0 434:11.0 435:1.0 436:14.0 437:5.0 438:8.0 439:6.0 440:4.0 441:5.0 442:13.0 443:4.0 444:7.0 446:14.0 447:12.0 448:6.0 449:6.0 450:2.0 451:12.0 452:3.0 453:4.0 454:10.0 455:8.0 456:7.0 457:2.0 458:7.0 459:12.0 460:5.0 461:4.0 462:6.0 463:6.0 464:12.0 465:14.0 466:6.0 467:8.0 468:6.0 469:6.0 470:5.0 471:14.0 473:10.0 474:1.0 475:10.0 476:14.0 477:2.0 479:2.0 481:18.0 483:11.0 484:8.0 486:11.0 490:11.0 491:4.0 492:1.0 493:6.0 494:7.0 496:5.0 497:1.0 498:8.0 499:4.0 500:1.0</t>
  </si>
  <si>
    <t>isonicotinic acid</t>
  </si>
  <si>
    <t>86:33.0 90:179.0 91:54.0 92:2.0 94:27.0 102:8.0 105:112.0 106:3319.0 107:261.0 109:41.0 111:4.0 112:36.0 114:8.0 120:46.0 121:16.0 122:20.0 123:12.0 135:1.0 136:3703.0 137:519.0 138:137.0 144:5.0 153:1.0 161:4.0 162:12.0 163:1.0 164:24.0 167:48.0 174:8.0 175:180.0 176:24.0 180:3575.0 181:457.0 182:141.0 183:11.0 187:1.0 191:14.0 192:17.0 193:1.0 195:117.0 196:9.0 199:1.0 200:12.0 201:13.0 202:24.0 204:29.0 205:75.0 211:25.0 212:14.0 216:27.0 217:15.0 218:25.0 222:10.0 223:43.0 225:3.0 226:8.0 229:13.0 230:9.0 231:10.0 232:5.0 239:7.0 248:6.0 254:1.0 255:11.0 257:7.0 258:10.0 260:13.0 261:1.0 262:4.0 264:1.0 267:19.0 268:11.0 269:17.0 271:1.0 277:21.0 278:7.0 279:5.0 280:6.0 281:25.0 282:14.0 283:40.0 284:33.0 285:26.0 286:50.0 288:32.0 289:3.0 290:29.0 291:11.0 292:20.0 293:28.0 294:30.0 295:42.0 296:34.0 297:58.0 298:23.0 299:21.0 300:39.0 301:25.0 302:28.0 304:12.0 309:1.0 313:6.0 314:3.0 315:4.0 321:3.0 325:3.0 328:11.0 329:14.0 330:12.0 331:5.0 333:4.0 335:3.0 340:10.0 341:10.0 342:1.0 353:4.0 355:3.0 359:20.0 361:8.0 362:10.0 363:34.0 364:65.0 365:12.0 366:54.0 367:3.0 368:2.0 373:29.0 374:13.0 375:26.0 376:28.0 379:27.0 380:10.0 381:3.0 382:41.0 383:41.0 384:41.0 385:1.0 386:1.0 390:31.0 392:26.0 393:8.0 397:1.0 398:17.0 399:14.0 400:6.0 405:10.0 411:8.0 412:1.0 413:1.0 417:4.0 418:1.0 419:4.0 421:2.0 423:17.0 426:1.0 428:4.0 430:6.0 435:4.0 437:2.0 441:1.0 442:13.0 443:3.0 446:2.0 450:1.0 451:26.0 452:11.0 456:1.0 457:19.0 458:20.0 460:8.0 462:14.0 463:25.0 465:4.0 466:4.0 467:26.0 472:12.0 473:3.0 476:26.0 477:8.0 478:14.0 480:8.0 481:10.0 482:25.0 483:2.0 484:6.0 485:14.0 486:25.0 487:1.0 490:13.0 494:10.0 495:9.0 496:1.0 498:3.0 499:8.0</t>
  </si>
  <si>
    <t>isoleucine</t>
  </si>
  <si>
    <t>85:521.0 86:2031.0 87:426.0 88:181.0 89:69.0 90:359.0 91:42.0 92:20.0 93:3.0 94:26.0 95:31.0 96:196.0 97:173.0 98:426.0 99:324.0 100:6015.0 101:998.0 102:1882.0 103:987.0 104:136.0 105:161.0 106:33.0 107:5.0 108:17.0 109:12.0 110:57.0 111:21.0 112:228.0 113:118.0 114:927.0 115:446.0 116:409.0 117:556.0 118:163.0 119:221.0 120:18.0 121:15.0 122:7.0 123:9.0 124:20.0 125:3.0 126:91.0 127:90.0 128:977.0 129:586.0 130:809.0 131:780.0 132:1209.0 133:1302.0 134:230.0 135:76.0 136:14.0 138:3.0 140:15.0 141:6.0 142:589.0 143:350.0 144:214.0 145:39.0 146:290.0 147:5096.0 148:789.0 149:443.0 150:33.0 151:11.0 152:5.0 154:5.0 155:15.0 156:192.0 157:72.0 158:29017.0 159:4322.0 160:1453.0 161:176.0 162:31.0 163:165.0 164:42.0 165:11.0 168:1.0 169:3.0 170:392.0 171:80.0 172:53.0 173:59.0 174:134.0 175:41.0 176:25.0 177:13.0 180:12.0 183:3.0 185:7.0 186:20.0 187:3.0 188:22.0 190:3.0 191:3.0 192:13.0 193:3.0 194:1.0 195:1.0 197:7.0 198:5.0 200:1.0 202:7.0 203:243.0 204:41.0 205:7.0 215:1.0 216:19.0 217:14.0 218:4375.0 219:813.0 220:343.0 221:50.0 222:12.0 223:12.0 230:10.0 231:3.0 232:981.0 233:313.0 234:127.0 235:26.0 236:12.0 237:7.0 238:5.0 239:1.0 240:3.0 246:18.0 247:5.0 248:3.0 258:1.0 260:156.0 261:36.0 262:13.0 265:1.0 267:1.0 274:11.0 275:3.0 278:6.0 280:1.0 284:3.0 288:1.0 289:3.0 291:3.0 294:3.0 296:1.0 297:1.0 299:1.0 300:3.0 301:3.0 304:3.0 305:1.0 309:1.0 317:3.0 322:3.0 326:10.0 328:5.0 330:5.0 333:5.0 334:1.0 341:1.0 344:1.0 345:3.0 348:3.0 356:3.0 359:5.0 361:3.0 362:9.0 364:5.0 365:3.0 368:1.0 371:1.0 372:1.0 377:1.0 379:1.0 384:5.0 386:3.0 388:3.0 389:1.0 391:3.0 392:3.0 399:1.0 401:3.0 403:3.0 409:5.0 410:3.0 413:1.0 414:11.0 415:1.0 416:3.0 417:1.0 418:3.0 424:1.0 425:7.0 426:3.0 427:7.0 428:7.0 429:3.0 430:3.0 434:1.0 435:11.0 437:3.0 444:3.0 448:7.0 456:1.0 461:1.0 463:1.0 465:5.0 468:3.0 470:1.0 471:3.0 472:5.0 475:7.0 477:3.0 478:1.0 480:1.0 482:1.0 483:3.0 484:3.0 488:5.0 491:3.0 494:1.0 498:3.0 500:3.0</t>
  </si>
  <si>
    <t>inositol myo-</t>
  </si>
  <si>
    <t>85:3012.0 86:683.0 87:4229.0 88:1173.0 89:2141.0 90:264.0 91:1051.0 92:435.0 93:343.0 94:183.0 95:507.0 96:215.0 97:761.0 98:556.0 99:3253.0 100:554.0 101:7623.0 102:2914.0 103:60634.0 104:6045.0 105:4298.0 106:438.0 107:409.0 108:109.0 109:1687.0 110:201.0 111:3985.0 112:584.0 113:3506.0 114:593.0 115:3832.0 116:5276.0 117:7938.0 118:1288.0 119:4727.0 120:589.0 121:435.0 122:95.0 123:158.0 124:105.0 125:829.0 126:556.0 127:3338.0 128:782.0 129:71317.0 130:8429.0 131:28237.0 132:4292.0 133:58485.0 134:8342.0 135:5278.0 136:545.0 137:345.0 138:132.0 139:666.0 140:305.0 141:1721.0 142:1453.0 143:19765.0 144:2695.0 145:2602.0 146:820.0 147:262204.0 148:40042.0 149:24582.0 150:2788.0 151:1744.0 152:296.0 153:1104.0 154:378.0 155:1658.0 156:1460.0 157:5712.0 158:828.0 159:1778.0 160:341.0 161:4242.0 162:762.0 163:1922.0 164:349.0 165:302.0 166:142.0 167:273.0 168:159.0 169:1402.0 170:327.0 171:438.0 172:193.0 173:1041.0 174:227.0 175:3754.0 176:688.0 177:5653.0 178:936.0 179:650.0 180:167.0 181:816.0 182:195.0 183:396.0 184:139.0 185:759.0 186:227.0 187:535.0 188:202.0 189:10555.0 190:8408.0 191:83824.0 192:15436.0 193:7738.0 194:982.0 195:377.0 196:191.0 197:282.0 198:166.0 199:324.0 200:171.0 201:1018.0 202:304.0 203:3828.0 204:38748.0 205:10736.0 206:3975.0 207:5633.0 208:1291.0 209:733.0 210:162.0 211:233.0 212:88.0 213:300.0 214:121.0 215:2234.0 216:844.0 217:143438.0 218:29397.0 219:13123.0 220:1947.0 221:17708.0 222:4314.0 223:2476.0 224:460.0 225:203.0 226:80.0 227:380.0 228:399.0 229:793.0 230:3397.0 231:2294.0 232:684.0 233:391.0 234:168.0 235:531.0 236:179.0 237:281.0 238:136.0 239:699.0 240:181.0 241:275.0 242:191.0 243:3646.0 244:883.0 245:1105.0 246:361.0 247:264.0 248:150.0 249:371.0 250:168.0 251:169.0 252:112.0 253:125.0 254:109.0 255:770.0 256:241.0 257:449.0 258:181.0 259:139.0 260:95.0 261:122.0 262:94.0 263:268.0 264:239.0 265:21680.0 266:5700.0 267:3025.0 268:562.0 269:245.0 270:232.0 271:819.0 272:263.0 273:138.0 274:85.0 275:185.0 276:104.0 277:478.0 278:716.0 279:498.0 280:189.0 281:103.0 282:49.0 283:18.0 284:48.0 285:32.0 286:35.0 287:60.0 288:59.0 289:325.0 290:281.0 291:10471.0 292:3447.0 293:3513.0 294:916.0 295:355.0 296:80.0 297:44.0 298:20.0 299:29.0 300:45.0 301:123.0 302:119.0 303:493.0 304:2725.0 305:78305.0 306:26312.0 307:12773.0 308:3035.0 309:771.0 310:177.0 311:90.0 312:75.0 313:121.0 314:77.0 315:132.0 316:294.0 317:2170.0 318:42533.0 319:19338.0 320:8439.0 321:2344.0 322:540.0 323:148.0 324:83.0 325:57.0 326:66.0 327:254.0 328:122.0 329:339.0 330:156.0 331:512.0 332:190.0 333:85.0 334:28.0 335:10.0 336:14.0 337:16.0 338:22.0 339:44.0 340:42.0 341:61.0 342:209.0 343:1809.0 344:719.0 345:749.0 346:246.0 347:112.0 348:19.0 351:6.0 352:75.0 353:30.0 354:24.0 355:37.0 356:30.0 357:30.0 358:43.0 359:98.0 360:84.0 361:63.0 362:17.0 363:12.0 364:6.0 365:132.0 366:276.0 367:4474.0 368:2003.0 369:986.0 370:282.0 371:103.0 372:37.0 373:25.0 374:23.0 375:52.0 376:16.0 377:50.0 378:189.0 379:411.0 380:212.0 381:118.0 382:34.0 383:17.0 385:2.0 386:12.0 387:20.0 388:9.0 389:34.0 390:39.0 391:171.0 392:629.0 393:2648.0 394:1377.0 395:604.0 396:202.0 397:60.0 399:3.0 400:2.0 401:7.0 402:12.0 403:25.0 404:73.0 405:174.0 406:320.0 407:283.0 408:156.0 409:67.0 410:23.0 412:13.0 413:2.0 416:30.0 417:374.0 418:310.0 419:874.0 420:522.0 421:234.0 422:89.0 423:29.0 424:11.0 425:9.0 426:12.0 427:21.0 428:3.0 429:6.0 430:22.0 431:616.0 432:5900.0 433:5719.0 434:3199.0 435:1281.0 436:398.0 437:106.0 438:21.0 439:9.0 440:7.0 441:8.0 442:15.0 443:13.0 444:6.0 445:4.0 446:12.0 447:1.0 449:4.0 450:2.0 451:1.0 452:2.0 453:6.0 454:6.0 456:14.0 457:7.0 458:6.0 459:8.0 460:13.0 461:3.0 462:24.0 463:1.0 464:2.0 465:1.0 466:4.0 471:4.0 472:4.0 473:2.0 475:5.0 476:6.0 478:14.0 479:15.0 480:13.0 481:14.0 482:5.0 483:1.0 484:2.0 485:1.0 489:1.0 491:4.0 492:2.0 493:8.0 494:12.0 496:2.0 497:7.0 498:5.0 499:6.0 500:2.0</t>
  </si>
  <si>
    <t>inositol allo-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</si>
  <si>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</si>
  <si>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inosine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</si>
  <si>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</si>
  <si>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hypoxanthine</t>
  </si>
  <si>
    <t>85:643.0 86:334.0 88:41.0 92:132.0 95:236.0 98:139.0 99:258.0 100:354.0 101:79.0 102:63.0 110:139.0 111:371.0 112:257.0 114:105.0 118:46.0 119:65.0 121:14.0 122:103.0 123:173.0 125:949.0 127:143.0 128:83.0 131:685.0 132:248.0 133:237.0 134:423.0 136:136.0 138:123.0 139:195.0 140:56.0 141:7.0 142:75.0 144:24.0 145:18.0 147:105.0 150:50.0 151:65.0 153:102.0 156:21.0 157:44.0 158:672.0 159:98.0 160:56.0 163:59.0 164:24.0 165:37.0 166:748.0 170:54.0 171:68.0 172:722.0 173:323.0 174:88.0 175:9.0 177:88.0 179:83.0 180:239.0 181:671.0 182:114.0 183:63.0 184:24.0 185:47.0 191:255.0 192:138.0 193:996.0 194:148.0 195:108.0 197:116.0 198:48.0 200:1.0 206:1210.0 207:509.0 208:274.0 209:29.0 211:87.0 212:1.0 222:96.0 223:108.0 224:43.0 226:10.0 227:16.0 235:64.0 236:91.0 237:38.0 238:308.0 239:107.0 240:63.0 249:310.0 251:1.0 252:10.0 253:38.0 263:12.0 264:31.0 265:8021.0 266:1843.0 267:701.0 268:127.0 273:21.0 279:188.0 280:2427.0 281:516.0 282:216.0 296:6.0 305:3.0 317:7.0 337:16.0 358:30.0 384:9.0 412:18.0 418:6.0 420:9.0 441:21.0 459:4.0 484:33.0 489:1.0 494:10.0</t>
  </si>
  <si>
    <t>hydroxylamine</t>
  </si>
  <si>
    <t>86:3503.0 87:1440.0 88:883.0 89:187.0 90:34.0 91:3.0 92:5.0 93:38.0 94:6.0 95:66.0 99:134.0 100:1911.0 101:286.0 102:1432.0 103:478.0 104:137.0 105:138.0 106:2.0 107:12.0 108:1.0 109:1.0 110:358.0 111:17.0 112:40.0 113:469.0 114:380.0 115:342.0 116:454.0 117:602.0 118:156.0 119:4785.0 120:631.0 121:320.0 124:6.0 128:7.0 129:41.0 130:2288.0 131:1107.0 132:573.0 133:5960.0 134:900.0 135:427.0 136:18.0 137:10.0 138:3.0 141:5.0 143:3.0 144:73.0 145:39.0 146:4481.0 147:3012.0 148:681.0 149:222.0 151:6.0 152:3.0 155:32.0 156:3.0 158:39.0 159:3.0 160:192.0 161:338.0 162:143.0 163:29.0 164:9.0 165:4.0 166:13.0 167:11.0 169:24.0 170:1.0 171:27.0 172:33.0 173:5.0 174:23.0 176:36.0 177:8.0 178:14.0 179:4.0 181:7.0 182:4.0 184:3.0 185:9.0 187:13.0 188:85.0 189:21.0 190:8.0 191:10.0 192:2.0 194:1.0 198:1.0 199:1.0 204:128.0 205:173.0 206:17.0 207:13.0 209:1.0 210:7.0 213:3.0 216:10.0 218:4.0 219:3.0 220:9.0 221:29.0 222:1.0 225:69.0 226:5.0 227:6.0 231:10.0 234:1.0 236:4.0 237:7.0 240:9.0 241:4.0 244:6.0 245:2.0 246:2.0 248:4.0 249:1009.0 250:241.0 251:96.0 252:12.0 256:1.0 262:5.0 263:4.0 270:6.0 271:3.0 272:6.0 275:3.0 276:5.0 277:5.0 278:1.0 280:6.0 282:3.0 283:8.0 287:4.0 296:16.0 299:14.0 300:10.0 301:10.0 302:7.0 303:14.0 304:1.0 305:6.0 306:10.0 307:6.0 308:4.0 309:6.0 310:2.0 311:7.0 312:4.0 313:5.0 315:23.0 316:1.0 319:3.0 320:2.0 321:10.0 323:3.0 324:4.0 330:11.0 332:1.0 334:6.0 335:3.0 341:2.0 342:1.0 343:4.0 344:4.0 346:8.0 347:11.0 348:8.0 349:2.0 354:6.0 355:3.0 360:2.0 361:1.0 362:11.0 363:5.0 364:5.0 369:11.0 372:6.0 373:2.0 377:4.0 378:2.0 383:8.0 384:11.0 385:9.0 388:5.0 391:2.0 393:10.0 394:1.0 395:8.0 396:3.0 399:1.0 402:1.0 404:2.0 409:1.0 410:1.0 414:3.0 415:3.0 418:11.0 419:2.0 424:11.0 425:8.0 426:2.0 431:2.0 432:2.0 436:2.0 437:10.0 439:7.0 443:6.0 444:11.0 448:1.0 450:1.0 451:6.0 452:2.0 454:23.0 456:1.0 457:1.0 458:2.0 462:9.0 463:16.0 465:1.0 467:4.0 470:1.0 472:1.0 474:8.0 475:4.0 476:3.0 477:2.0 480:5.0 481:3.0 486:4.0 488:16.0 489:10.0 492:2.0 496:3.0 499:37.0 500:19.0</t>
  </si>
  <si>
    <t>hydroxycarbamate NIST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</si>
  <si>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</si>
  <si>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homoserine</t>
  </si>
  <si>
    <t>85:2287.0 86:4393.0 87:4016.0 88:1914.0 89:1481.0 90:242.0 91:98.0 92:110.0 95:30.0 96:130.0 97:389.0 98:4977.0 99:1432.0 100:30362.0 101:8893.0 102:13565.0 103:78115.0 104:7992.0 105:4535.0 106:237.0 107:460.0 108:144.0 110:717.0 111:8.0 112:2268.0 113:1014.0 114:4637.0 115:3123.0 116:2284.0 117:4955.0 118:1435.0 119:2239.0 120:288.0 121:82.0 123:30.0 124:6.0 126:1085.0 127:234.0 128:94332.0 129:13378.0 130:15012.0 131:13570.0 132:7483.0 133:15438.0 134:2829.0 135:1300.0 136:147.0 140:483.0 141:82.0 142:1074.0 143:542.0 144:1659.0 145:373.0 146:3125.0 147:33023.0 148:6568.0 149:6969.0 150:830.0 151:320.0 153:17.0 154:22.0 156:1079.0 157:676.0 158:2364.0 159:674.0 160:598.0 161:291.0 162:191.0 163:315.0 164:65.0 165:8.0 166:33.0 168:10.0 170:367.0 171:151.0 172:1880.0 173:528.0 174:4643.0 175:1267.0 176:1105.0 177:1221.0 178:266.0 182:40.0 184:123.0 185:238.0 186:393.0 187:118.0 188:1566.0 189:246.0 190:419.0 191:620.0 192:145.0 193:61.0 194:8.0 199:36.0 200:363.0 201:145.0 202:7788.0 203:1832.0 204:1338.0 205:267.0 206:32.0 210:161.0 213:23.0 214:175.0 215:71.0 216:2102.0 217:1074.0 218:96636.0 219:21328.0 220:8750.0 221:1637.0 222:325.0 223:51.0 228:19.0 229:59.0 230:5067.0 231:1034.0 232:2064.0 233:307.0 234:131.0 235:5.0 236:25.0 238:5.0 244:43.0 245:230.0 246:342.0 247:331.0 248:128.0 249:19.0 257:146.0 262:35.0 267:2.0 272:99.0 276:55.0 281:46.0 290:193.0 291:96.0 292:3330.0 293:970.0 294:476.0 295:67.0 296:48.0 299:11.0 308:10.0 319:1.0 320:1053.0 321:239.0 322:204.0 335:330.0 336:133.0 337:18.0 372:2.0 374:2.0 393:1.0 396:7.0 490:12.0</t>
  </si>
  <si>
    <t>homocystine</t>
  </si>
  <si>
    <t>85:248.0 87:2.0 88:1138.0 89:329.0 90:94.0 91:21.0 98:99.0 99:116.0 100:1876.0 101:351.0 102:174.0 103:3266.0 104:712.0 105:285.0 107:377.0 112:2.0 114:831.0 115:83.0 116:257.0 117:2050.0 118:234.0 119:33.0 128:16996.0 129:4351.0 130:938.0 131:261.0 132:55.0 133:511.0 135:92.0 136:22.0 140:36.0 144:81.0 146:136.0 147:4643.0 148:456.0 149:123.0 150:10.0 151:65.0 153:3.0 155:37.0 156:41.0 157:42.0 159:216.0 160:5592.0 161:872.0 162:419.0 163:253.0 164:29.0 172:69.0 173:26.0 174:163.0 184:62.0 186:36.0 187:94.0 188:687.0 189:357.0 190:187.0 191:270.0 192:17.0 197:22.0 202:638.0 203:255.0 204:329.0 205:885.0 206:271.0 208:58.0 209:50.0 214:1.0 216:135.0 217:858.0 218:773.0 219:2536.0 220:501.0 221:71.0 230:492.0 231:187.0 232:458.0 233:89.0 234:65.0 235:6.0 236:7.0 241:5.0 243:201.0 244:484.0 245:446.0 246:411.0 247:170.0 249:87.0 251:21.0 253:35.0 255:2.0 261:61.0 262:152.0 265:5.0 266:16.0 267:208.0 269:40.0 276:18.0 277:692.0 278:1617.0 279:458.0 280:177.0 282:36.0 283:52.0 291:5.0 292:13.0 295:5.0 305:31.0 306:28.0 307:38.0 308:17.0 311:33.0 312:22.0 316:65.0 317:67.0 318:3.0 320:8.0 321:14.0 326:25.0 328:39.0 341:1.0 342:26.0 352:16.0 355:33.0 359:2.0 364:4.0 387:253.0 388:44.0 390:3.0 395:10.0 401:75.0 415:20.0 416:7.0 433:9.0 437:7.0 439:4.0 448:6.0 476:13.0</t>
  </si>
  <si>
    <t>histidine</t>
  </si>
  <si>
    <t>92:197.0 123:2.0 124:6.0 139:45.0 153:421.0 154:12457.0 155:2820.0 166:161.0 167:49.0 179:18.0 180:12.0 181:5.0 182:50.0 183:72.0 223:11.0 224:14.0 225:28.0 226:93.0 227:24.0 238:280.0 239:88.0 249:5.0 250:20.0 251:28.0 252:28.0 253:13.0 254:1717.0 255:362.0 256:94.0 257:63.0 261:1.0 265:8.0 266:79.0 267:76.0 280:5.0 281:440.0 282:118.0 283:72.0 284:20.0 285:11.0 286:5.0 287:3.0 289:3.0 290:13.0 295:35.0 296:21.0 297:20.0 298:11.0 299:15.0 312:8.0 313:10.0 324:11.0 325:35.0 326:31.0 327:57.0 328:49.0 329:13.0 330:2.0 338:29.0 339:21.0 340:22.0 341:126.0 342:30.0 343:13.0 345:25.0 346:2.0 351:9.0 353:11.0 354:16.0 355:96.0 356:127.0 357:50.0 358:21.0 359:17.0 360:3.0 361:2.0 362:13.0 368:7.0 369:9.0 370:12.0 371:24.0 372:31.0 373:11.0 378:5.0 379:5.0 380:10.0 381:2.0 382:7.0 383:9.0 384:7.0 385:14.0 386:12.0 387:16.0 388:13.0 389:1.0 391:6.0 393:16.0 394:9.0 395:2.0 396:10.0 397:16.0 398:3.0 399:25.0 400:15.0 401:28.0 402:15.0 403:14.0 404:14.0 405:1.0 406:1.0 407:7.0 408:8.0 409:11.0 410:14.0 411:3.0 412:14.0 413:14.0 414:24.0 415:44.0 416:31.0 417:14.0 418:8.0 419:3.0 420:9.0 421:17.0 422:15.0 423:15.0 424:4.0 425:16.0 426:12.0 427:20.0 428:9.0 429:81.0 430:31.0 431:20.0 432:8.0 433:12.0 434:1.0 435:2.0 437:5.0 438:10.0 439:1.0 440:14.0 441:11.0 442:6.0 443:14.0 444:10.0 445:15.0 446:4.0 447:15.0 448:8.0 449:1.0 451:4.0 452:12.0 453:6.0 454:15.0 455:17.0 456:12.0 457:6.0 458:9.0 459:15.0 460:18.0 461:50.0 462:35.0 463:24.0 464:12.0 466:9.0 468:10.0 469:13.0 470:2.0 471:8.0 472:5.0 473:6.0 474:16.0 475:25.0 476:26.0 477:14.0 478:7.0 479:8.0 480:8.0 481:7.0 482:10.0 483:4.0 484:12.0 485:13.0 486:7.0 487:9.0 488:16.0 489:2.0 490:5.0 491:14.0 492:8.0 493:9.0 495:4.0 497:5.0 498:9.0 499:4.0 500:9.0</t>
  </si>
  <si>
    <t>guanosine</t>
  </si>
  <si>
    <t>85:530.0 86:375.0 87:203.0 88:96.0 89:1191.0 90:147.0 91:2557.0 92:540.0 93:2569.0 94:816.0 95:2386.0 96:277.0 97:623.0 98:314.0 99:1216.0 100:697.0 101:2522.0 102:610.0 103:13091.0 104:1382.0 105:1908.0 106:537.0 107:1105.0 108:1376.0 109:751.0 110:154.0 111:587.0 112:56.0 113:587.0 114:152.0 115:2149.0 116:1280.0 117:3352.0 118:589.0 119:1221.0 120:404.0 121:1094.0 122:305.0 123:219.0 124:132.0 125:228.0 126:98.0 127:145.0 128:123.0 129:9511.0 130:2627.0 131:3516.0 132:1020.0 133:3847.0 134:795.0 135:1099.0 136:179.0 137:235.0 138:163.0 139:187.0 140:133.0 141:491.0 142:197.0 143:1026.0 144:339.0 145:850.0 146:1148.0 147:13193.0 148:2127.0 149:1827.0 150:274.0 151:182.0 152:134.0 153:386.0 154:58.0 155:358.0 156:202.0 157:871.0 158:553.0 159:616.0 160:575.0 161:596.0 162:223.0 163:411.0 164:109.0 165:269.0 166:569.0 167:230.0 168:105.0 169:1927.0 170:407.0 171:834.0 172:318.0 173:1079.0 174:189.0 175:507.0 176:236.0 177:248.0 178:188.0 179:243.0 180:189.0 181:156.0 182:171.0 183:155.0 184:58.0 185:118.0 186:10.0 187:247.0 188:182.0 189:1875.0 190:615.0 191:956.0 192:259.0 193:293.0 194:143.0 195:100.0 196:100.0 197:134.0 198:159.0 199:102.0 200:63.0 201:303.0 202:178.0 203:1497.0 204:5558.0 205:2706.0 206:884.0 207:523.0 208:534.0 209:232.0 210:128.0 211:171.0 212:76.0 213:83.0 214:58.0 215:213.0 216:119.0 217:3450.0 218:1042.0 219:601.0 220:233.0 221:465.0 222:222.0 223:168.0 224:94.0 225:154.0 226:52.0 227:41.0 228:95.0 229:173.0 230:2337.0 231:859.0 232:313.0 233:527.0 234:215.0 235:127.0 236:104.0 237:144.0 238:213.0 239:145.0 240:130.0 241:105.0 242:123.0 243:1893.0 244:371.0 245:4677.0 246:974.0 247:452.0 248:177.0 249:131.0 250:95.0 251:240.0 252:86.0 253:79.0 254:58.0 255:35.0 256:68.0 257:195.0 258:139.0 259:801.0 260:381.0 261:248.0 262:127.0 263:204.0 264:890.0 265:354.0 266:183.0 267:215.0 268:66.0 269:25.0 270:26.0 271:135.0 272:98.0 273:103.0 274:81.0 275:72.0 276:89.0 277:425.0 278:591.0 279:303.0 280:3892.0 281:1231.0 282:530.0 283:123.0 284:43.0 285:100.0 286:87.0 287:68.0 288:49.0 289:77.0 290:58.0 291:74.0 292:150.0 293:246.0 294:586.0 295:861.0 296:1123.0 297:325.0 298:173.0 299:315.0 300:81.0 301:50.0 302:53.0 303:266.0 304:154.0 305:80.0 306:128.0 307:6.0 308:209.0 309:119.0 310:80.0 311:26.0 312:40.0 313:38.0 314:63.0 315:93.0 316:70.0 317:107.0 318:232.0 320:107.0 321:95.0 322:139.0 323:143.0 324:4927.0 325:1347.0 326:506.0 327:245.0 328:37.0 329:82.0 330:19.0 331:324.0 332:145.0 333:119.0 334:87.0 335:75.0 336:75.0 337:105.0 338:93.0 339:45.0 340:37.0 341:121.0 342:102.0 343:50.0 344:114.0 345:64.0 346:69.0 347:66.0 348:203.0 349:75.0 350:81.0 351:134.0 352:443.0 353:221.0 354:117.0 355:46.0 356:61.0 357:70.0 358:52.0 359:67.0 360:51.0 361:508.0 362:207.0 363:130.0 364:63.0 365:55.0 366:118.0 367:231.0 368:1111.0 369:392.0 370:214.0 371:131.0 372:67.0 373:57.0 374:79.0 375:67.0 376:37.0 377:25.0 378:60.0 379:51.0 380:78.0 381:51.0 382:13.0 383:42.0 384:59.0 385:66.0 386:57.0 387:45.0 388:53.0 389:100.0 390:43.0 391:80.0 392:71.0 393:313.0 394:601.0 395:243.0 396:160.0 397:46.0 398:37.0 399:25.0 400:52.0 401:77.0 402:52.0 403:20.0 404:38.0 405:10.0 406:149.0 407:64.0 408:80.0 409:144.0 410:590.0 411:304.0 412:167.0 413:101.0 414:43.0 415:49.0 416:18.0 417:24.0 418:47.0 419:41.0 420:38.0 421:67.0 422:180.0 423:111.0 424:77.0 425:168.0 426:84.0 427:65.0 428:27.0 429:38.0 430:7.0 431:34.0 432:65.0 433:82.0 434:31.0 435:43.0 436:48.0 437:58.0 438:62.0 439:43.0 440:32.0 441:15.0 442:45.0 443:17.0 444:42.0 445:67.0 446:53.0 447:52.0 448:73.0 449:35.0 450:44.0 451:48.0 452:40.0 453:15.0 454:81.0 455:79.0 456:81.0 457:32.0 458:57.0 459:59.0 460:54.0 461:90.0 462:87.0 463:45.0 464:48.0 465:54.0 466:46.0 467:41.0 468:48.0 469:50.0 470:42.0 471:53.0 472:33.0 473:53.0 474:19.0 475:34.0 476:28.0 477:64.0 478:27.0 479:41.0 480:45.0 481:131.0 482:140.0 483:81.0 484:52.0 485:54.0 486:29.0 487:11.0 488:40.0 489:43.0 490:96.0 491:46.0 492:64.0 493:47.0 494:36.0 495:10.0 496:39.0 497:42.0 498:63.0 499:10.0 500:41.0</t>
  </si>
  <si>
    <t>guanine</t>
  </si>
  <si>
    <t>85:338.0 86:179.0 97:46.0 98:112.0 99:820.0 100:517.0 111:247.0 112:63.0 114:110.0 115:142.0 124:29.0 125:68.0 126:58.0 127:52.0 128:17.0 130:39.0 131:300.0 132:169.0 138:46.0 139:54.0 140:26.0 141:88.0 142:69.0 147:123.0 148:110.0 150:24.0 151:72.0 152:51.0 154:49.0 155:82.0 156:264.0 157:135.0 158:487.0 159:62.0 166:48.0 167:29.0 169:174.0 171:255.0 172:129.0 173:164.0 174:42.0 180:176.0 181:24.0 182:34.0 183:23.0 184:18.0 188:9.0 190:105.0 192:25.0 194:41.0 195:46.0 196:2.0 197:11.0 198:28.0 199:5.0 204:68.0 205:24.0 208:29.0 220:9.0 221:16.0 222:45.0 223:44.0 224:15.0 231:17.0 232:26.0 236:6.0 237:77.0 238:319.0 239:78.0 240:28.0 246:10.0 252:15.0 253:6.0 254:2.0 257:6.0 258:15.0 262:109.0 263:49.0 264:554.0 265:114.0 266:29.0 267:21.0 268:18.0 278:157.0 279:68.0 280:74.0 281:31.0 282:3.0 293:56.0 294:79.0 295:11.0 302:8.0 307:86.0 315:5.0 336:67.0 337:14.0 338:14.0 351:125.0 352:3885.0 353:1519.0 354:633.0 355:95.0 361:5.0 366:46.0 367:823.0 368:286.0 369:124.0 370:16.0 408:12.0 438:7.0 463:5.0</t>
  </si>
  <si>
    <t>glycolic acid</t>
  </si>
  <si>
    <t>87:86.0 88:302.0 89:143.0 90:3.0 91:318.0 92:406.0 95:243.0 97:12.0 99:2.0 100:91.0 101:2.0 102:60.0 103:275.0 104:34.0 106:32.0 107:9.0 111:380.0 113:1.0 115:112.0 117:275.0 118:40.0 119:57.0 121:4.0 124:1.0 125:2.0 131:339.0 132:14.0 133:702.0 147:7173.0 148:1214.0 149:760.0 150:48.0 154:3.0 161:325.0 162:14.0 171:7.0 177:1137.0 178:133.0 179:43.0 184:6.0 187:1.0 205:452.0 206:32.0 213:1.0 222:1.0 231:1.0 232:1.0 258:1.0 259:10.0 261:1.0 268:4.0 271:1.0 278:2.0 284:1.0 301:1.0 307:1.0 370:1.0 391:1.0 399:3.0 405:1.0 409:2.0 418:1.0 446:1.0 451:1.0 459:5.0 461:2.0 480:1.0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</si>
  <si>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</si>
  <si>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</si>
  <si>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glycerol-alpha-phosphate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</si>
  <si>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</si>
  <si>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</si>
  <si>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85:124.0 89:669.0 99:195.0 101:2858.0 102:90.0 103:11903.0 104:601.0 105:217.0 109:189.0 111:216.0 113:217.0 115:113.0 116:1129.0 117:2765.0 119:18.0 124:4.0 129:5225.0 130:291.0 131:1903.0 133:1995.0 142:58.0 143:525.0 147:7954.0 148:644.0 149:699.0 151:38.0 152:20.0 155:140.0 157:234.0 158:16.0 169:622.0 170:196.0 171:84.0 172:12.0 173:47.0 174:9.0 175:154.0 177:31.0 183:52.0 189:1122.0 190:183.0 191:1247.0 192:82.0 195:7.0 197:116.0 203:612.0 204:19859.0 205:4025.0 206:1657.0 207:348.0 209:10.0 210:9.0 214:25.0 215:17.0 217:3539.0 218:1106.0 219:1524.0 220:302.0 221:213.0 222:6.0 225:17.0 227:36.0 229:51.0 230:65.0 231:291.0 232:13.0 233:64.0 243:306.0 244:95.0 245:64.0 246:295.0 247:143.0 248:54.0 249:115.0 252:18.0 256:18.0 258:17.0 259:17.0 263:5.0 267:4.0 268:4.0 269:2.0 271:230.0 272:84.0 273:29.0 274:25.0 275:4.0 284:41.0 289:10.0 290:2.0 291:225.0 292:40.0 293:93.0 294:56.0 296:15.0 304:40.0 305:226.0 306:61.0 307:64.0 313:17.0 317:32.0 318:17.0 319:94.0 320:34.0 321:10.0 322:2.0 323:117.0 324:8.0 330:7.0 331:44.0 332:112.0 336:2.0 337:1618.0 338:593.0 339:293.0 340:42.0 346:34.0 350:105.0 353:22.0 361:585.0 362:99.0 363:79.0 367:1.0 378:15.0 386:2.0 391:3.0 394:14.0 401:48.0 403:10.0 415:20.0 435:6.0 437:6.0 451:6.0 453:17.0 468:2.0 491:16.0 492:4.0</t>
  </si>
  <si>
    <t>glyceric acid</t>
  </si>
  <si>
    <t>85:436.0 86:199.0 87:994.0 88:641.0 89:3582.0 90:289.0 91:14.0 93:232.0 94:5.0 95:41.0 96:4.0 97:10.0 98:21.0 99:454.0 100:61.0 101:5994.0 102:17844.0 103:18969.0 104:2377.0 105:1520.0 106:148.0 107:101.0 108:34.0 109:2.0 110:31.0 113:172.0 114:32.0 115:1803.0 116:1937.0 117:10984.0 118:1264.0 119:2117.0 120:230.0 121:139.0 122:21.0 123:18.0 124:12.0 125:3.0 127:38.0 129:315.0 130:5001.0 131:4080.0 132:807.0 133:20051.0 134:2712.0 135:2066.0 136:175.0 137:66.0 138:8.0 139:3.0 141:8.0 142:137.0 143:364.0 144:142.0 145:121.0 146:44.0 147:37969.0 148:6047.0 149:3779.0 150:413.0 151:242.0 152:15.0 153:11.0 154:1.0 156:12.0 157:38.0 158:12.0 159:109.0 160:82.0 161:99.0 162:38.0 163:361.0 164:39.0 165:38.0 167:3.0 168:4.0 169:11.0 170:4.0 172:2.0 173:232.0 174:38.0 175:1708.0 176:256.0 177:975.0 178:139.0 179:43.0 181:20.0 182:7.0 183:6.0 184:12.0 185:3.0 186:23.0 187:4.0 188:8.0 189:20317.0 190:4162.0 191:2350.0 192:309.0 193:102.0 194:21.0 195:6.0 197:1.0 198:2.0 199:4.0 202:2.0 203:17.0 204:488.0 205:4311.0 206:787.0 207:549.0 208:62.0 209:33.0 210:3.0 211:1.0 212:2.0 214:1.0 215:17.0 216:6.0 217:1252.0 218:231.0 219:487.0 220:97.0 221:571.0 222:115.0 223:46.0 224:7.0 225:4.0 227:2.0 228:2.0 231:27.0 232:65.0 233:13.0 234:5.0 235:2.0 236:5.0 238:6.0 239:3.0 242:5.0 243:1.0 244:1.0 245:6.0 246:18.0 247:5.0 248:9.0 249:4.0 252:1.0 260:2.0 261:16.0 262:4.0 263:16.0 264:7.0 265:72.0 266:5.0 267:7.0 269:1.0 270:5.0 273:1.0 276:3.0 277:5.0 278:1.0 279:51.0 280:9.0 281:3.0 282:1.0 285:4.0 286:12.0 288:2.0 289:1.0 290:3.0 291:50.0 292:6255.0 293:1867.0 294:894.0 295:164.0 296:31.0 297:10.0 298:8.0 299:5.0 300:1.0 301:1.0 302:3.0 303:3.0 305:6.0 306:8.0 307:1100.0 308:318.0 309:154.0 310:18.0 311:7.0 312:4.0 313:2.0 314:2.0 315:5.0 316:2.0 319:1.0 320:1.0 321:1.0 322:88.0 323:13.0 324:1.0 325:4.0 326:1.0 327:1.0 328:1.0 332:2.0 340:2.0 342:1.0 344:1.0 345:2.0 349:1.0 351:1.0 355:3.0 356:1.0 365:4.0 366:4.0 374:1.0 375:1.0 377:8.0 379:1.0 380:3.0 381:4.0 383:3.0 385:2.0 386:2.0 389:3.0 390:6.0 391:3.0 392:5.0 394:1.0 395:2.0 396:3.0 400:2.0 401:1.0 402:1.0 405:1.0 407:2.0 412:2.0 415:1.0 418:2.0 430:7.0 435:2.0 437:2.0 438:2.0 442:1.0 443:1.0 444:4.0 446:4.0 448:1.0 453:1.0 455:3.0 457:4.0 460:1.0 462:5.0 468:4.0 469:3.0 470:6.0 472:2.0 475:2.0 476:1.0 478:5.0 484:2.0 485:3.0 486:1.0 488:1.0 490:1.0 492:2.0 494:6.0 499:3.0</t>
  </si>
  <si>
    <t>glutaric acid</t>
  </si>
  <si>
    <t>85:1297.0 86:112.0 87:117.0 88:469.0 89:303.0 90:65.0 95:46.0 97:2541.0 98:203.0 99:184.0 100:62.0 101:869.0 102:85.0 104:10.0 105:13.0 106:42.0 107:57.0 108:22.0 109:10.0 110:97.0 112:15.0 113:138.0 114:17.0 115:306.0 116:2026.0 117:782.0 118:9.0 119:108.0 123:140.0 127:12.0 128:27.0 129:3212.0 130:563.0 131:549.0 132:126.0 133:1124.0 139:4.0 140:8.0 141:5.0 142:11.0 143:188.0 144:2.0 145:262.0 146:53.0 147:13414.0 148:2013.0 149:1939.0 150:244.0 151:39.0 152:7.0 155:4.0 158:2694.0 159:662.0 160:143.0 161:30.0 162:130.0 163:168.0 164:13.0 167:2.0 168:1.0 170:180.0 171:117.0 172:22.0 174:13.0 176:13.0 177:47.0 179:9.0 180:6.0 181:1.0 185:11.0 186:689.0 187:305.0 188:56.0 189:278.0 190:31.0 199:60.0 202:12.0 203:694.0 204:636.0 205:394.0 206:77.0 207:21.0 211:2.0 216:4.0 218:5.0 219:32.0 222:6.0 233:615.0 234:129.0 235:46.0 240:7.0 245:1.0 247:6.0 249:11.0 250:8.0 255:16.0 257:13.0 258:31.0 259:20.0 261:1563.0 262:293.0 263:123.0 264:19.0 271:11.0 273:5.0 276:1.0 277:4.0 281:29.0 285:37.0 287:26.0 293:2.0 295:1.0 296:2.0 297:16.0 298:9.0 299:21.0 303:18.0 314:16.0 315:2.0 317:1.0 327:7.0 328:12.0 335:3.0 336:22.0 337:2.0 338:6.0 344:11.0 348:11.0 352:2.0 356:14.0 357:9.0 361:1.0 363:12.0 364:8.0 365:6.0 367:44.0 372:22.0 374:2.0 375:54.0 376:24.0 378:11.0 384:2.0 391:6.0 397:32.0 398:8.0 399:6.0 403:4.0 411:11.0 415:26.0 416:16.0 417:8.0 419:10.0 421:10.0 422:4.0 425:12.0 433:1.0 435:11.0 436:7.0 437:8.0 438:10.0 442:1.0 446:17.0 447:2.0 455:19.0 459:2.0 465:3.0 466:9.0 467:2.0 474:4.0 475:6.0 485:4.0 489:13.0 491:2.0 492:18.0 494:6.0 495:3.0 496:5.0</t>
  </si>
  <si>
    <t>85:21565.0 86:6483.0 87:13090.0 88:3149.0 89:13706.0 90:1746.0 91:6592.0 92:399.0 93:2500.0 95:2630.0 96:3174.0 97:10249.0 98:6519.0 99:9116.0 100:22840.0 101:21737.0 102:6442.0 103:82141.0 104:11676.0 105:6237.0 106:709.0 107:362.0 109:3854.0 110:44533.0 111:14833.0 112:10031.0 113:10860.0 114:16341.0 115:22466.0 116:20745.0 117:27260.0 118:6056.0 119:8873.0 121:476.0 123:870.0 124:1534.0 125:4284.0 126:7373.0 127:6785.0 128:26029.0 129:74780.0 130:22817.0 131:39751.0 132:9346.0 133:48618.0 134:20122.0 135:6418.0 136:7626.0 137:3309.0 138:886.0 139:16082.0 140:15633.0 141:4742.0 142:13239.0 143:27632.0 144:7592.0 145:14919.0 146:4910.0 147:158932.0 148:26484.0 149:31385.0 150:4841.0 151:6941.0 152:6465.0 153:2556.0 154:3837.0 155:83564.0 156:219888.0 157:40909.0 158:12567.0 159:3037.0 160:183.0 161:568.0 162:1847.0 163:3300.0 164:533.0 165:862.0 166:961.0 167:1790.0 168:1531.0 169:4957.0 170:2244.0 171:3361.0 172:7324.0 173:4099.0 174:4846.0 175:2803.0 176:1377.0 177:3605.0 178:559.0 182:3257.0 183:1196.0 184:8598.0 185:1345.0 186:755.0 187:274.0 188:4898.0 189:16818.0 190:3737.0 191:3673.0 192:2304.0 193:1353.0 196:324.0 197:234.0 198:3630.0 199:1155.0 201:2312.0 203:16183.0 205:2441.0 206:7175.0 212:198.0 213:1345.0 214:756.0 215:18454.0 216:6872.0 217:417524.0 218:100375.0 219:45135.0 220:7356.0 221:1517.0 222:874.0 226:3965.0 227:3292.0 228:8714.0 229:10103.0 230:17902.0 231:6216.0 232:2745.0 233:948.0 235:713.0 238:934.0 239:368.0 240:682.0 241:1077.0 242:836.0 243:9634.0 244:3094.0 245:26426.0 246:4971.0 247:4087.0 248:1420.0 252:101.0 254:3012.0 257:1754.0 258:1882.0 259:3115.0 260:891.0 261:110.0 264:266.0 266:613.0 271:214.0 272:1142.0 273:3576.0 274:334.0 275:508.0 276:252.0 277:754.0 280:2401.0 282:2327.0 284:340.0 287:81.0 288:212.0 290:100.0 291:1065.0 292:2196.0 293:311.0 295:211.0 296:546.0 298:389.0 299:161.0 301:2148.0 302:713.0 303:366.0 304:128.0 305:1600.0 307:1197.0 312:52.0 313:356.0 314:6814.0 315:1573.0 316:582.0 320:323.0 322:63.0 326:192.0 327:269.0 329:238.0 330:1028.0 333:1410.0 335:478.0 336:50.0 337:151.0 340:246.0 344:225.0 345:257.0 346:143.0 347:3160.0 348:891.0 349:942.0 354:177.0 355:273.0 359:101.0 362:1335.0 363:209.0 365:250.0 367:77.0 369:150.0 370:105.0 371:165.0 372:395.0 375:68.0 377:209.0 379:169.0 380:59.0 383:106.0 384:91.0 385:1108.0 386:194.0 387:74.0 389:116.0 393:193.0 399:134.0 404:98.0 406:151.0 408:166.0 410:116.0 411:144.0 413:112.0 416:277.0 419:54.0 421:306.0 423:100.0 425:165.0 426:63.0 427:80.0 435:40.0 437:65.0 440:71.0 443:159.0 447:130.0 450:183.0 455:35.0 459:178.0 460:791.0 461:718.0 462:130.0 464:104.0 465:85.0 467:50.0 470:67.0 479:244.0 486:175.0 493:137.0</t>
  </si>
  <si>
    <t>glutamic acid</t>
  </si>
  <si>
    <t>85:1375.0 86:952.0 87:429.0 88:166.0 90:54.0 92:71.0 94:211.0 95:174.0 96:34.0 97:86.0 98:685.0 99:628.0 100:6241.0 101:1148.0 102:663.0 103:1051.0 105:123.0 107:46.0 108:125.0 109:11.0 110:436.0 111:154.0 112:830.0 113:851.0 114:1537.0 115:1326.0 116:625.0 117:1079.0 118:270.0 119:392.0 120:63.0 124:17.0 126:116.0 127:48.0 128:20426.0 129:4458.0 130:2289.0 131:2452.0 132:1413.0 133:4084.0 134:809.0 135:393.0 139:69.0 140:2583.0 141:357.0 142:327.0 143:175.0 144:230.0 145:2.0 147:16039.0 148:2683.0 149:3105.0 150:341.0 151:151.0 152:11.0 153:16.0 154:172.0 155:163.0 156:13583.0 157:2252.0 158:2604.0 159:392.0 160:212.0 162:7.0 163:87.0 168:108.0 169:37.0 170:61.0 171:37.0 172:224.0 173:76.0 174:629.0 175:75.0 176:98.0 177:16.0 178:32.0 181:13.0 183:27.0 184:39.0 186:198.0 187:34.0 188:181.0 189:130.0 190:37.0 194:49.0 196:19.0 198:37.0 199:71.0 200:20.0 201:30.0 202:490.0 203:252.0 204:1203.0 205:194.0 206:119.0 214:371.0 215:121.0 216:209.0 217:38.0 218:1391.0 219:303.0 220:110.0 221:499.0 222:113.0 223:46.0 227:19.0 228:87.0 229:121.0 230:5341.0 231:1122.0 232:477.0 233:99.0 237:5.0 239:1.0 242:1.0 244:68.0 245:311.0 246:23248.0 247:5204.0 248:2189.0 249:363.0 250:10.0 251:21.0 258:849.0 259:146.0 260:77.0 269:12.0 273:46.0 274:231.0 275:78.0 276:37.0 277:12.0 284:45.0 297:15.0 306:6.0 320:217.0 321:25.0 322:10.0 328:1.0 329:21.0 347:34.0 348:913.0 349:237.0 350:104.0 361:10.0 363:327.0 364:142.0 365:14.0 376:4.0 377:9.0 380:6.0 386:14.0 394:19.0 401:12.0 404:2.0 417:24.0 440:2.0 441:10.0 457:8.0 467:19.0 469:19.0 478:33.0 480:2.0 481:2.0 487:3.0 495:1.0 500:22.0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</si>
  <si>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</si>
  <si>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glucose-1-phosphate</t>
  </si>
  <si>
    <t>85:269.0 86:53.0 87:340.0 88:128.0 90:16.0 91:60.0 92:39.0 93:4.0 94:12.0 95:129.0 96:6.0 97:28.0 99:345.0 100:23.0 101:954.0 102:82.0 103:1518.0 104:100.0 105:139.0 107:22.0 109:58.0 110:7.0 111:252.0 112:8.0 113:466.0 114:44.0 115:401.0 116:421.0 117:1411.0 118:142.0 119:325.0 120:31.0 121:1.0 124:3.0 125:43.0 127:224.0 128:79.0 129:1683.0 130:207.0 131:914.0 132:129.0 133:1804.0 134:243.0 135:221.0 136:12.0 137:4.0 138:2.0 139:39.0 140:2.0 141:101.0 142:147.0 143:668.0 144:221.0 145:128.0 146:31.0 147:7750.0 148:1255.0 149:1126.0 150:100.0 151:111.0 152:13.0 153:82.0 154:26.0 155:185.0 156:78.0 157:143.0 158:6.0 159:132.0 160:15.0 161:52.0 162:16.0 163:188.0 164:17.0 165:26.0 166:2.0 167:31.0 168:13.0 169:778.0 170:96.0 171:58.0 173:23.0 174:6.0 175:57.0 176:9.0 177:91.0 179:1.0 181:35.0 182:10.0 183:51.0 184:19.0 185:32.0 186:6.0 187:14.0 188:8.0 189:102.0 190:12.0 191:1035.0 192:150.0 193:112.0 194:12.0 195:21.0 196:3.0 199:14.0 201:11.0 202:1.0 203:401.0 204:99.0 205:95.0 206:12.0 207:50.0 208:13.0 209:5.0 210:2.0 211:35.0 212:1.0 213:14.0 215:78.0 216:27.0 217:17998.0 218:4180.0 219:1690.0 220:238.0 221:111.0 222:23.0 223:5.0 224:9.0 225:26.0 226:11.0 227:44.0 229:32.0 230:49.0 231:130.0 232:1447.0 233:333.0 234:147.0 235:24.0 236:1.0 237:9.0 238:6.0 239:23.0 241:7.0 242:7.0 243:199.0 244:39.0 245:159.0 246:48.0 248:5.0 252:2.0 253:1.0 255:60.0 256:7.0 257:420.0 258:96.0 259:46.0 260:1.0 261:1.0 262:1.0 264:3.0 265:2.0 270:20.0 271:38.0 272:8.0 273:3.0 274:6.0 275:2.0 279:2.0 285:2.0 287:1.0 288:1.0 289:10.0 290:3.0 291:25.0 299:87.0 300:23.0 303:5.0 304:1.0 305:369.0 306:133.0 307:42.0 308:13.0 309:14.0 315:9.0 316:2.0 317:57.0 318:56.0 319:25.0 320:13.0 322:2.0 324:2.0 325:1.0 329:2.0 331:32.0 332:3.0 336:4.0 337:3.0 339:1.0 340:9.0 342:3.0 345:32.0 346:11.0 347:13.0 348:2.0 349:13.0 350:4.0 353:7.0 356:2.0 357:55.0 358:17.0 360:12.0 361:12.0 362:9.0 363:3.0 366:9.0 368:1.0 370:7.0 371:7.0 374:3.0 375:3.0 376:2.0 378:4.0 379:4.0 380:6.0 383:6.0 385:1.0 394:3.0 396:2.0 398:2.0 400:1.0 401:1.0 402:1.0 405:1.0 406:2.0 407:14.0 420:4.0 425:1.0 426:3.0 431:1.0 433:1.0 435:13.0 436:1.0 437:3.0 438:5.0 441:5.0 442:4.0 444:5.0 446:3.0 447:8.0 448:1.0 449:44.0 450:305.0 451:198.0 452:92.0 453:39.0 454:12.0 455:2.0 456:2.0 461:2.0 464:1.0 467:1.0 472:3.0 475:5.0 476:7.0 478:1.0 481:1.0 483:4.0 484:2.0 488:1.0 493:5.0 494:11.0 498:8.0 499:1.0 500:1.0</t>
  </si>
  <si>
    <t>85:3389.0 86:4354.0 87:4281.0 88:3036.0 89:39786.0 90:3547.0 91:1939.0 92:284.0 93:195.0 94:338.0 95:583.0 96:507.0 97:1525.0 98:1052.0 99:3423.0 100:8456.0 101:12206.0 102:6586.0 103:75440.0 104:7606.0 105:20049.0 106:2177.0 107:1066.0 108:364.0 109:257.0 110:782.0 111:1536.0 112:1318.0 113:2651.0 114:8185.0 115:5616.0 116:4264.0 117:55860.0 118:6063.0 119:5805.0 120:558.0 121:295.0 122:89.0 123:92.0 124:179.0 125:327.0 126:1054.0 127:2168.0 128:2354.0 129:60855.0 130:11918.0 131:16978.0 132:3005.0 133:36602.0 134:4930.0 135:3121.0 136:334.0 137:128.0 138:292.0 139:260.0 140:555.0 141:1131.0 142:2687.0 143:7825.0 144:1413.0 145:3860.0 146:912.0 147:158611.0 148:25141.0 149:16022.0 150:1838.0 151:917.0 152:473.0 153:308.0 154:396.0 155:786.0 156:663.0 157:36599.0 158:6812.0 159:2912.0 160:73800.0 161:12589.0 162:3617.0 163:4551.0 164:741.0 165:347.0 166:190.0 167:130.0 168:662.0 169:1205.0 170:717.0 171:407.0 172:1494.0 173:2015.0 174:433.0 175:2299.0 176:486.0 177:2151.0 178:433.0 179:293.0 180:332.0 181:228.0 182:295.0 183:157.0 184:316.0 185:294.0 186:1247.0 187:568.0 188:497.0 189:13982.0 190:4076.0 191:6783.0 192:1299.0 193:655.0 194:79.0 195:106.0 196:363.0 197:101.0 198:180.0 199:180.0 200:576.0 201:3036.0 202:878.0 203:2076.0 204:12680.0 205:70630.0 206:14600.0 207:7624.0 208:1084.0 209:382.0 210:1248.0 211:253.0 212:211.0 213:120.0 214:479.0 215:1259.0 216:3847.0 217:39036.0 218:8354.0 219:3821.0 220:561.0 221:2764.0 222:641.0 223:366.0 224:95.0 225:87.0 226:134.0 227:108.0 228:456.0 229:9200.0 230:2855.0 231:4618.0 232:1841.0 233:1898.0 234:1359.0 235:399.0 236:178.0 237:168.0 238:84.0 239:30.0 240:369.0 241:181.0 242:289.0 243:667.0 244:1205.0 245:549.0 246:1097.0 247:504.0 248:250.0 249:143.0 250:95.0 251:57.0 252:58.0 253:99.0 254:161.0 255:133.0 256:476.0 257:167.0 258:110.0 259:312.0 260:299.0 261:198.0 262:1509.0 263:387.0 264:172.0 265:232.0 266:106.0 267:55.0 268:346.0 269:764.0 270:380.0 271:99.0 272:110.0 273:40.0 274:1701.0 275:484.0 276:391.0 277:1718.0 278:721.0 279:287.0 280:82.0 282:3.0 284:8.0 285:8.0 286:53.0 287:33.0 288:51.0 289:77.0 290:188.0 291:3177.0 292:918.0 293:527.0 294:98.0 295:19.0 297:159.0 298:58.0 299:11.0 300:579.0 301:144.0 302:272.0 304:256.0 305:2047.0 306:880.0 307:1794.0 308:476.0 309:229.0 310:27.0 314:32.0 315:43.0 316:55.0 317:124.0 318:1031.0 319:45293.0 320:14424.0 321:6973.0 322:1440.0 323:326.0 324:62.0 325:42.0 326:23.0 328:38.0 329:27.0 330:100.0 331:134.0 332:210.0 333:225.0 334:90.0 335:36.0 336:44.0 337:19.0 338:2.0 342:105.0 343:442.0 344:328.0 345:130.0 346:73.0 347:10.0 348:9.0 350:6.0 351:10.0 354:3.0 357:2.0 358:156.0 359:86.0 360:31.0 362:6.0 363:43.0 364:953.0 365:407.0 366:173.0 367:37.0 370:14.0 372:6.0 373:9.0 374:419.0 375:187.0 376:299.0 377:69.0 378:55.0 379:20.0 381:24.0 389:48.0 390:85.0 391:37.0 392:17.0 393:17.0 403:20.0 405:6.0 407:7.0 408:13.0 412:6.0 417:1.0 420:7.0 421:10.0 432:35.0 433:20.0 434:25.0 435:2.0 443:1.0 448:35.0 449:45.0 453:8.0 458:1.0 464:78.0 465:70.0 466:96.0 467:59.0 468:23.0 476:2.0 479:1.0 483:5.0 486:3.0 492:5.0 498:8.0</t>
  </si>
  <si>
    <t>85:42.0 86:17.0 87:25.0 88:7.0 89:228.0 90:39.0 91:19.0 92:12.0 93:18.0 94:13.0 95:19.0 96:11.0 97:166.0 98:18.0 99:55.0 100:65.0 101:148.0 102:19.0 103:805.0 104:62.0 105:99.0 106:21.0 107:15.0 108:30.0 109:12.0 110:48.0 111:14.0 112:8.0 113:70.0 114:109.0 115:34.0 116:59.0 117:330.0 118:28.0 119:51.0 120:3.0 121:16.0 122:12.0 123:13.0 124:3.0 125:2.0 126:14.0 127:61.0 128:19.0 129:701.0 130:100.0 131:180.0 132:32.0 133:366.0 134:33.0 135:39.0 136:2.0 137:9.0 138:13.0 139:9.0 140:4.0 141:19.0 142:55.0 143:101.0 144:23.0 145:4.0 146:4.0 147:1301.0 148:214.0 149:150.0 150:26.0 151:24.0 152:22.0 153:22.0 154:12.0 155:38.0 156:23.0 157:73.0 158:9.0 159:19.0 160:1.0 161:33.0 162:11.0 163:15.0 164:9.0 165:11.0 166:19.0 167:9.0 168:7.0 169:152.0 170:48.0 171:38.0 172:22.0 173:39.0 174:14.0 175:52.0 176:13.0 177:14.0 178:11.0 179:17.0 180:4.0 181:35.0 182:7.0 183:26.0 185:12.0 186:11.0 187:7.0 188:18.0 189:159.0 190:59.0 191:425.0 192:71.0 193:34.0 194:11.0 195:21.0 196:9.0 197:9.0 198:18.0 199:1.0 200:7.0 201:14.0 202:19.0 203:18.0 204:606.0 205:256.0 206:66.0 207:79.0 208:32.0 210:23.0 211:104.0 212:13.0 213:8.0 214:4.0 215:15.0 216:14.0 217:584.0 218:137.0 219:55.0 220:19.0 221:23.0 222:9.0 223:13.0 224:7.0 225:11.0 226:3.0 227:19.0 228:2.0 229:19.0 230:16.0 231:34.0 232:23.0 233:48.0 234:12.0 235:4.0 236:6.0 237:6.0 238:2.0 239:3.0 240:6.0 241:13.0 242:14.0 243:63.0 244:27.0 245:18.0 246:2.0 247:13.0 248:4.0 249:4.0 250:2.0 251:1.0 252:9.0 253:9.0 254:3.0 255:8.0 256:16.0 257:9.0 258:17.0 259:99.0 260:27.0 261:9.0 262:79.0 263:30.0 264:16.0 265:7.0 266:8.0 267:4.0 268:2.0 269:13.0 270:19.0 271:62.0 272:19.0 273:11.0 274:43.0 275:9.0 276:6.0 277:19.0 278:9.0 279:13.0 280:11.0 281:7.0 282:1.0 283:8.0 284:2.0 285:27.0 286:6.0 287:7.0 288:3.0 289:4.0 290:3.0 291:36.0 292:9.0 293:14.0 294:1.0 296:8.0 297:8.0 298:12.0 299:233.0 300:62.0 301:35.0 302:12.0 303:4.0 304:9.0 305:46.0 306:28.0 307:57.0 308:14.0 309:25.0 312:1.0 313:11.0 314:21.0 315:75.0 316:36.0 317:33.0 318:9.0 319:68.0 320:11.0 321:18.0 322:9.0 323:7.0 324:4.0 327:4.0 328:4.0 329:11.0 330:4.0 331:79.0 332:44.0 333:30.0 334:19.0 335:13.0 336:4.0 338:3.0 339:22.0 340:17.0 341:9.0 342:12.0 343:7.0 344:6.0 345:25.0 346:7.0 347:14.0 348:2.0 349:2.0 350:11.0 351:7.0 353:9.0 354:2.0 355:14.0 356:7.0 357:65.0 358:25.0 359:11.0 360:9.0 361:59.0 362:41.0 363:13.0 364:4.0 365:7.0 367:9.0 368:4.0 369:4.0 370:32.0 371:12.0 372:8.0 373:1.0 374:3.0 375:1.0 376:1.0 379:4.0 381:4.0 382:7.0 383:9.0 384:6.0 385:13.0 386:21.0 387:206.0 388:91.0 389:50.0 390:9.0 391:8.0 392:4.0 393:9.0 394:1.0 395:3.0 397:9.0 398:4.0 401:4.0 402:3.0 403:4.0 404:4.0 405:4.0 406:7.0 407:1.0 408:7.0 409:6.0 410:9.0 411:2.0 412:9.0 415:4.0 417:6.0 418:1.0 419:7.0 420:7.0 421:32.0 422:18.0 423:4.0 424:1.0 425:4.0 427:4.0 428:2.0 430:9.0 431:12.0 432:4.0 433:3.0 434:9.0 435:1.0 436:7.0 437:3.0 438:9.0 439:6.0 440:4.0 441:1.0 443:3.0 444:9.0 446:3.0 447:7.0 448:4.0 450:11.0 451:7.0 452:4.0 453:3.0 454:4.0 456:14.0 457:8.0 458:13.0 459:12.0 460:3.0 461:9.0 463:3.0 464:3.0 465:4.0 466:14.0 467:7.0 468:14.0 469:4.0 470:4.0 471:7.0 472:7.0 473:7.0 474:4.0 475:4.0 476:17.0 477:4.0 478:8.0 479:6.0 480:4.0 481:4.0 482:4.0 483:3.0 484:3.0 485:4.0 486:14.0 487:2.0 489:4.0 490:12.0 491:12.0 492:3.0 493:11.0 494:14.0 495:3.0 496:2.0 497:4.0 498:9.0 499:6.0 500:2.0</t>
  </si>
  <si>
    <t>85:205.0 86:75.0 87:194.0 88:80.0 89:287.0 90:31.0 91:28.0 92:12.0 93:17.0 94:22.0 95:39.0 96:21.0 97:102.0 98:45.0 99:171.0 100:40.0 101:731.0 102:156.0 103:4860.0 104:446.0 105:231.0 106:17.0 107:21.0 108:16.0 109:176.0 110:25.0 111:157.0 112:31.0 113:243.0 114:59.0 115:193.0 116:446.0 117:949.0 118:102.0 119:166.0 120:18.0 121:16.0 122:13.0 123:37.0 124:4.0 125:40.0 126:28.0 127:166.0 128:56.0 129:5073.0 130:566.0 131:996.0 132:146.0 133:1674.0 134:223.0 135:148.0 136:27.0 137:19.0 138:12.0 139:65.0 141:95.0 142:141.0 143:1046.0 144:139.0 145:199.0 146:36.0 147:8991.0 148:1482.0 149:1069.0 150:113.0 151:84.0 152:31.0 153:126.0 154:38.0 155:229.0 156:91.0 157:389.0 158:67.0 159:93.0 160:22.0 161:134.0 162:32.0 163:168.0 164:57.0 165:21.0 166:14.0 167:45.0 168:18.0 169:593.0 170:120.0 171:92.0 172:21.0 173:142.0 174:55.0 175:158.0 176:32.0 177:204.0 178:45.0 179:33.0 180:10.0 181:65.0 182:37.0 183:85.0 184:23.0 185:48.0 186:16.0 187:59.0 188:20.0 189:834.0 190:416.0 191:4767.0 192:890.0 193:449.0 194:70.0 195:27.0 196:26.0 197:45.0 198:46.0 199:52.0 200:22.0 201:80.0 202:28.0 203:281.0 204:24360.0 205:4785.0 206:2178.0 207:492.0 208:119.0 209:61.0 210:26.0 211:42.0 212:25.0 213:31.0 214:5.0 215:133.0 216:44.0 217:4391.0 218:1156.0 219:470.0 220:102.0 221:578.0 222:131.0 223:89.0 224:28.0 225:15.0 226:16.0 227:47.0 228:12.0 229:120.0 230:831.0 231:357.0 232:125.0 233:187.0 234:69.0 235:44.0 236:25.0 237:20.0 238:17.0 239:73.0 240:26.0 241:44.0 242:47.0 243:475.0 244:124.0 245:128.0 246:73.0 247:73.0 248:24.0 249:40.0 250:17.0 251:4.0 252:6.0 253:10.0 254:4.0 255:67.0 256:23.0 257:68.0 258:23.0 259:52.0 260:30.0 261:23.0 262:20.0 263:44.0 264:20.0 265:380.0 266:113.0 267:78.0 268:21.0 269:24.0 270:21.0 271:231.0 272:78.0 273:51.0 274:35.0 275:23.0 276:19.0 277:30.0 278:37.0 279:38.0 280:10.0 281:36.0 282:3.0 283:5.0 284:6.0 285:10.0 286:10.0 287:16.0 288:25.0 289:48.0 290:27.0 291:190.0 292:69.0 293:293.0 294:83.0 295:49.0 296:19.0 297:2.0 298:4.0 299:16.0 300:7.0 301:13.0 302:25.0 303:18.0 304:91.0 305:514.0 306:237.0 307:119.0 308:30.0 309:18.0 310:4.0 311:20.0 312:6.0 313:21.0 314:1.0 315:6.0 316:14.0 317:84.0 318:340.0 319:317.0 320:122.0 321:56.0 322:17.0 323:22.0 324:10.0 325:14.0 326:3.0 327:10.0 328:5.0 329:22.0 330:14.0 331:87.0 332:83.0 333:51.0 334:26.0 335:13.0 336:13.0 337:6.0 338:6.0 339:16.0 340:3.0 341:18.0 342:18.0 343:103.0 344:76.0 345:90.0 346:36.0 347:18.0 348:23.0 349:12.0 350:20.0 351:11.0 352:9.0 353:11.0 354:9.0 355:5.0 356:20.0 357:12.0 358:9.0 359:41.0 360:55.0 361:449.0 362:176.0 363:89.0 364:17.0 365:31.0 366:18.0 367:31.0 368:22.0 369:3.0 370:10.0 371:10.0 372:11.0 373:12.0 374:6.0 375:7.0 376:15.0 377:3.0 379:17.0 380:7.0 381:28.0 382:21.0 383:16.0 384:14.0 385:18.0 386:13.0 387:10.0 388:8.0 389:23.0 390:10.0 391:15.0 392:9.0 393:23.0 394:25.0 395:17.0 396:8.0 397:5.0 398:16.0 399:19.0 400:7.0 401:12.0 402:12.0 403:22.0 404:18.0 405:17.0 406:14.0 407:19.0 408:16.0 409:6.0 410:13.0 411:22.0 412:12.0 413:19.0 414:8.0 415:9.0 416:12.0 417:41.0 418:23.0 419:26.0 420:17.0 421:14.0 422:7.0 423:26.0 424:12.0 425:5.0 426:21.0 427:4.0 428:9.0 429:13.0 430:9.0 431:7.0 432:50.0 433:259.0 434:142.0 435:98.0 436:48.0 437:22.0 438:9.0 439:8.0 440:15.0 441:10.0 442:10.0 443:16.0 444:15.0 445:10.0 446:11.0 447:4.0 448:18.0 449:17.0 450:23.0 451:12.0 452:16.0 453:9.0 454:10.0 455:4.0 456:7.0 457:11.0 458:14.0 459:13.0 460:9.0 461:16.0 462:10.0 463:25.0 464:12.0 465:16.0 466:8.0 467:11.0 468:17.0 469:15.0 470:14.0 471:6.0 472:14.0 473:8.0 474:16.0 475:9.0 476:5.0 477:8.0 478:10.0 479:5.0 480:22.0 481:13.0 482:10.0 483:10.0 484:11.0 485:13.0 486:13.0 487:6.0 488:7.0 489:6.0 490:4.0 491:4.0 492:19.0 493:28.0 494:21.0 495:6.0 496:20.0 497:14.0 498:5.0 499:6.0 500:11.0</t>
  </si>
  <si>
    <t>GABA</t>
  </si>
  <si>
    <t>85:13625.0 86:211009.0 87:16974.0 88:9386.0 89:5162.0 90:529.0 92:118.0 95:238.0 96:840.0 97:1633.0 98:8486.0 99:15066.0 100:117323.0 101:20416.0 102:16543.0 103:7055.0 104:1419.0 105:2291.0 106:340.0 107:513.0 108:154.0 109:58.0 110:1284.0 111:631.0 112:8901.0 113:8413.0 114:16061.0 115:12943.0 116:15928.0 117:21055.0 118:4543.0 119:5903.0 120:741.0 121:454.0 122:153.0 123:182.0 124:1463.0 125:458.0 126:2066.0 127:815.0 128:7887.0 129:6889.0 130:41694.0 131:32688.0 132:11250.0 133:48685.0 134:7300.0 135:4191.0 136:565.0 137:379.0 138:355.0 139:399.0 140:12580.0 141:2070.0 142:43320.0 143:44854.0 144:12557.0 145:5431.0 146:19240.0 147:286972.0 148:45386.0 149:25733.0 150:3023.0 151:714.0 152:266.0 153:43.0 154:1059.0 155:433.0 156:15463.0 157:4422.0 158:7772.0 159:1533.0 160:1837.0 161:1403.0 162:314.0 163:8.0 164:105.0 166:45.0 167:17.0 168:347.0 169:165.0 170:2526.0 171:203.0 172:23111.0 173:5234.0 174:507270.0 175:93480.0 176:41847.0 177:5294.0 178:947.0 180:89.0 181:68.0 182:362.0 184:337.0 186:1859.0 187:1784.0 188:1425.0 189:449.0 190:624.0 192:30.0 194:21.0 196:120.0 197:91.0 198:809.0 199:211.0 200:2206.0 201:755.0 202:342.0 203:207.0 204:1514.0 205:767.0 206:171.0 210:111.0 211:45.0 212:178.0 213:361.0 214:8294.0 215:1899.0 216:36118.0 217:6928.0 218:3334.0 219:2534.0 220:1156.0 224:18.0 225:73.0 226:23.0 227:97.0 228:428.0 229:104.0 230:3922.0 231:745.0 232:1265.0 233:305.0 234:74.0 235:74.0 236:153.0 237:22.0 239:83.0 240:67.0 241:39.0 242:93.0 243:340.0 244:152.0 245:160.0 246:15241.0 247:3350.0 248:1425.0 249:305.0 250:48.0 252:12.0 253:82.0 254:47.0 255:40.0 256:32.0 257:5.0 258:36.0 260:36.0 261:37.0 263:18.0 270:5.0 271:23.0 272:8.0 274:96.0 275:172.0 276:74.0 277:41.0 278:11.0 286:2.0 288:864.0 289:252.0 290:154.0 291:34.0 293:24.0 294:18.0 298:1.0 299:32.0 300:7.0 301:17.0 302:263.0 303:755.0 304:68157.0 305:21825.0 306:10522.0 307:2050.0 308:457.0 309:55.0 310:9.0 311:33.0 312:11.0 313:33.0 314:6.0 319:36.0 324:8.0 328:10.0 329:32.0 352:17.0 358:2.0 361:17.0 379:12.0 386:17.0 388:22.0 389:19.0 398:8.0 399:35.0 400:14.0 401:10.0 406:8.0 414:10.0 415:40.0 416:28.0 417:1.0 419:35.0 420:25.0 422:2.0 425:9.0 428:15.0 431:41.0 432:14.0 439:4.0 441:12.0 444:14.0 447:33.0 450:10.0 455:22.0 459:17.0 462:14.0 472:10.0 476:3.0 479:4.0 481:11.0 482:9.0 484:5.0 485:10.0 486:28.0 495:4.0 500:8.0</t>
  </si>
  <si>
    <t>fumaric acid</t>
  </si>
  <si>
    <t>86:137.0 87:847.0 88:59.0 89:12.0 91:3.0 92:46.0 94:3.0 96:13.0 97:11.0 98:108.0 99:48.0 101:132.0 103:6.0 105:15.0 106:12.0 107:6.0 108:15.0 109:11.0 110:20.0 113:71.0 114:4.0 115:416.0 116:20.0 117:28.0 118:40.0 119:20.0 121:2.0 124:1.0 126:5.0 127:112.0 128:83.0 129:11.0 130:58.0 131:37.0 132:15.0 133:600.0 134:87.0 135:46.0 141:33.0 142:42.0 143:1017.0 144:69.0 145:33.0 146:7.0 147:2997.0 148:417.0 149:390.0 150:18.0 151:23.0 152:2.0 153:10.0 155:322.0 156:43.0 157:149.0 158:7.0 159:10.0 163:1.0 164:1.0 170:20.0 171:59.0 173:43.0 183:3.0 185:4.0 190:3.0 193:2.0 194:6.0 195:6.0 199:5.0 201:38.0 202:4.0 203:13.0 209:16.0 210:6.0 211:6.0 212:4.0 213:2.0 214:3.0 215:18.0 216:3.0 217:164.0 218:15.0 219:17.0 220:2.0 221:2.0 222:1.0 223:4.0 225:1.0 226:1.0 228:15.0 229:3.0 231:4.0 232:10.0 233:6.0 234:4.0 235:4.0 236:3.0 237:9.0 238:2.0 239:1.0 240:1.0 242:9.0 244:1.0 245:3214.0 246:582.0 247:249.0 248:39.0 249:4.0 250:3.0 251:8.0 254:9.0 256:4.0 258:3.0 261:6.0 263:4.0 264:1.0 265:2.0 266:2.0 267:2.0 268:1.0 269:2.0 270:3.0 271:2.0 272:2.0 273:5.0 274:4.0 275:7.0 276:1.0 278:6.0 280:4.0 281:7.0 283:3.0 284:4.0 287:2.0 288:1.0 290:9.0 291:1.0 294:12.0 296:3.0 297:5.0 298:2.0 299:7.0 301:11.0 304:4.0 305:3.0 306:4.0 307:2.0 311:7.0 314:5.0 317:2.0 320:9.0 321:14.0 322:2.0 324:4.0 325:2.0 326:2.0 327:2.0 328:5.0 332:4.0 333:2.0 335:6.0 336:1.0 337:7.0 338:1.0 340:6.0 341:5.0 343:2.0 344:5.0 345:7.0 346:4.0 347:1.0 348:2.0 352:4.0 353:8.0 355:5.0 358:1.0 360:5.0 361:9.0 362:5.0 364:4.0 365:4.0 366:1.0 368:4.0 369:3.0 370:3.0 371:1.0 376:6.0 377:3.0 378:1.0 381:3.0 382:1.0 383:4.0 384:9.0 386:3.0 388:3.0 390:1.0 391:1.0 393:2.0 394:2.0 395:3.0 396:1.0 398:1.0 399:4.0 400:4.0 401:5.0 403:13.0 404:4.0 405:2.0 406:1.0 407:6.0 408:5.0 410:2.0 411:3.0 412:13.0 413:1.0 417:9.0 418:3.0 419:10.0 420:6.0 425:13.0 426:1.0 427:1.0 428:2.0 431:1.0 433:1.0 434:1.0 435:3.0 436:1.0 437:3.0 438:3.0 439:2.0 441:4.0 443:2.0 445:10.0 446:6.0 447:3.0 449:10.0 450:7.0 452:1.0 453:7.0 456:2.0 458:1.0 462:5.0 464:2.0 466:4.0 467:12.0 468:6.0 469:2.0 470:3.0 472:4.0 473:10.0 474:1.0 475:5.0 478:5.0 479:1.0 480:1.0 481:3.0 482:2.0 483:9.0 484:1.0 485:1.0 488:1.0 489:1.0 490:3.0 492:4.0 494:2.0 495:2.0 497:2.0 498:10.0 499:2.0 500:1.0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</si>
  <si>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</si>
  <si>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fructose 1 phosphate</t>
  </si>
  <si>
    <t>86:27.0 89:3023.0 90:246.0 91:26.0 93:25.0 94:88.0 95:291.0 97:65.0 98:101.0 99:176.0 100:314.0 101:585.0 102:68.0 103:6919.0 104:446.0 105:678.0 106:58.0 107:299.0 109:17.0 111:546.0 112:124.0 113:100.0 114:377.0 115:155.0 116:199.0 117:1436.0 118:239.0 119:265.0 121:218.0 123:161.0 124:512.0 125:320.0 126:122.0 128:224.0 129:1945.0 131:1074.0 133:3108.0 134:261.0 135:1006.0 137:313.0 139:166.0 140:62.0 141:31.0 142:2125.0 143:525.0 144:258.0 147:5620.0 148:97.0 149:363.0 150:107.0 151:171.0 152:3096.0 153:2125.0 154:264.0 155:89.0 156:113.0 157:135.0 158:196.0 159:22.0 160:42.0 161:79.0 163:2037.0 164:278.0 165:107.0 167:48.0 168:128.0 170:73.0 172:174.0 173:2752.0 174:438.0 175:186.0 176:69.0 177:73.0 178:35.0 179:19.0 180:68.0 181:388.0 182:35.0 183:131.0 184:231.0 185:17.0 188:56.0 189:319.0 190:107.0 191:298.0 193:216.0 194:133.0 195:401.0 196:247.0 197:107.0 198:1.0 200:46.0 201:34.0 202:20.0 204:266.0 205:369.0 206:79.0 207:757.0 208:144.0 209:107.0 210:227.0 211:2420.0 212:351.0 213:182.0 214:275.0 215:100.0 216:34.0 217:2016.0 218:306.0 219:193.0 223:22.0 225:657.0 226:86.0 227:475.0 228:137.0 229:113.0 230:25.0 231:15.0 233:27.0 236:261.0 237:41.0 240:51.0 241:252.0 242:82.0 243:439.0 244:1171.0 245:366.0 246:104.0 247:5.0 249:23.0 251:68.0 253:1175.0 254:223.0 255:71.0 256:47.0 258:36.0 260:30.0 263:2.0 266:194.0 267:23.0 268:58.0 270:64.0 271:3.0 272:12.0 274:5.0 277:94.0 279:3.0 280:11.0 281:461.0 283:144.0 285:135.0 286:219.0 287:86.0 288:34.0 290:5.0 291:15.0 294:38.0 298:153.0 299:3567.0 300:902.0 301:457.0 302:96.0 303:21.0 304:11.0 305:30.0 306:121.0 307:175.0 308:38.0 309:58.0 313:12.0 314:192.0 315:1947.0 316:518.0 317:213.0 318:73.0 319:6.0 326:72.0 327:11.0 330:3.0 332:4.0 340:53.0 341:87.0 354:262.0 355:106.0 356:2.0 358:11.0 373:38.0 374:45.0 375:7.0 376:28.0 377:16.0 379:64.0 381:1.0 386:245.0 387:3341.0 388:1313.0 389:709.0 390:201.0 393:19.0 394:15.0 398:1.0 403:3.0 405:2.0 407:114.0 408:41.0 409:48.0 414:70.0 415:79.0 416:36.0 427:4.0 429:69.0 447:11.0 459:2.0 460:20.0 461:4.0 475:4.0 484:54.0 485:51.0</t>
  </si>
  <si>
    <t>85:645.0 86:352.0 87:716.0 88:631.0 89:7375.0 90:629.0 91:409.0 93:11.0 94:47.0 95:10.0 97:25.0 98:138.0 99:341.0 100:1271.0 101:1713.0 102:501.0 103:47609.0 104:4534.0 105:2290.0 106:148.0 107:28.0 108:7.0 110:35.0 111:104.0 112:36.0 113:434.0 114:1984.0 115:825.0 116:614.0 117:7029.0 118:755.0 119:924.0 120:48.0 121:23.0 124:20.0 125:25.0 126:306.0 127:162.0 128:278.0 129:3794.0 130:740.0 131:2350.0 132:329.0 133:7464.0 134:927.0 135:476.0 136:38.0 138:9.0 139:1.0 140:60.0 141:89.0 142:362.0 143:658.0 144:163.0 145:382.0 146:73.0 147:17869.0 148:2715.0 149:1727.0 150:158.0 151:92.0 152:29.0 153:13.0 154:55.0 155:23.0 156:133.0 157:603.0 158:209.0 159:176.0 160:56.0 161:78.0 162:6.0 163:595.0 164:92.0 165:53.0 166:26.0 167:15.0 168:64.0 169:17.0 170:40.0 171:20.0 172:1217.0 173:1160.0 174:257.0 175:440.0 176:74.0 177:272.0 178:45.0 179:13.0 180:53.0 181:15.0 182:30.0 183:8.0 184:27.0 185:63.0 186:115.0 187:59.0 188:106.0 189:2483.0 190:557.0 191:1383.0 192:199.0 193:118.0 195:8.0 196:31.0 197:6.0 198:51.0 199:6.0 200:96.0 201:567.0 202:368.0 203:265.0 204:1383.0 205:2103.0 206:398.0 207:462.0 208:56.0 209:16.0 210:10.0 213:1.0 214:140.0 215:69.0 216:303.0 217:17207.0 218:3504.0 219:1545.0 220:201.0 221:441.0 222:67.0 223:45.0 224:2.0 226:2.0 228:25.0 229:38.0 230:172.0 231:335.0 232:94.0 233:44.0 234:5.0 235:70.0 236:18.0 237:9.0 238:1.0 239:7.0 240:43.0 242:41.0 243:20.0 244:187.0 245:38.0 246:49.0 247:42.0 248:17.0 249:8.0 250:9.0 251:4.0 252:11.0 253:11.0 254:27.0 255:125.0 256:185.0 257:38.0 258:13.0 259:9.0 260:172.0 261:62.0 262:203.0 263:301.0 264:82.0 265:52.0 266:11.0 267:9.0 268:16.0 269:2.0 270:44.0 271:26.0 272:9.0 274:16.0 275:39.0 276:148.0 277:1164.0 278:385.0 279:177.0 280:51.0 281:9.0 283:1.0 284:2.0 285:2.0 286:10.0 288:85.0 289:56.0 290:18.0 291:261.0 292:67.0 293:29.0 294:5.0 297:1.0 298:4.0 299:2.0 300:24.0 301:9.0 302:66.0 303:148.0 304:48.0 305:80.0 306:100.0 307:4899.0 308:1547.0 309:702.0 310:150.0 311:18.0 312:9.0 313:6.0 315:2.0 318:69.0 319:52.0 320:17.0 323:5.0 326:3.0 327:3.0 328:1.0 329:1.0 330:57.0 331:19.0 332:36.0 333:75.0 334:119.0 335:197.0 336:91.0 337:25.0 338:4.0 339:2.0 340:2.0 342:2.0 343:5.0 344:13.0 345:179.0 346:53.0 347:5.0 348:1.0 349:2.0 350:21.0 351:6.0 354:3.0 357:3.0 358:1.0 359:1.0 360:7.0 361:4.0 362:7.0 363:9.0 364:455.0 365:171.0 366:68.0 367:8.0 370:4.0 372:1.0 374:6.0 375:6.0 376:31.0 377:7.0 379:2.0 385:1.0 386:1.0 390:6.0 391:5.0 392:9.0 395:1.0 396:1.0 397:2.0 400:2.0 401:3.0 403:3.0 404:1.0 406:3.0 407:1.0 416:1.0 417:4.0 419:1.0 420:7.0 425:2.0 427:2.0 429:1.0 432:2.0 433:2.0 434:6.0 435:30.0 436:1.0 437:4.0 438:2.0 441:6.0 443:2.0 444:1.0 446:2.0 447:1.0 450:2.0 453:2.0 457:5.0 461:1.0 464:13.0 465:4.0 466:7.0 467:3.0 469:1.0 473:1.0 474:4.0 475:4.0 477:3.0 479:2.0 480:2.0 481:4.0 483:1.0 484:2.0 488:6.0 489:2.0 491:1.0 492:2.0 493:1.0 496:5.0 497:4.0 498:6.0 500:3.0</t>
  </si>
  <si>
    <t>ethanol phosphate NIST</t>
  </si>
  <si>
    <t>88:42.0 91:63.0 92:11.0 100:57.0 103:60.0 105:3.0 106:42.0 107:139.0 109:96.0 110:16.0 115:141.0 116:603.0 117:12.0 119:28.0 120:8.0 121:51.0 123:22.0 125:40.0 126:72.0 127:89.0 128:89.0 130:218.0 131:22.0 132:643.0 133:443.0 134:57.0 135:186.0 136:7.0 137:130.0 140:55.0 143:31.0 145:40.0 146:293.0 153:11.0 167:5.0 171:21.0 181:138.0 182:6.0 183:61.0 185:200.0 186:3.0 195:86.0 196:14.0 197:9.0 201:13.0 211:2404.0 213:108.0 214:33.0 215:78.0 217:1.0 220:16.0 225:9.0 226:26.0 227:237.0 228:28.0 229:11.0 241:23.0 243:89.0 255:432.0 256:66.0 257:26.0 270:172.0 291:15.0 317:7.0 337:5.0 339:3.0 347:13.0 350:2.0 354:8.0 364:8.0 365:5.0 376:8.0 406:1.0 413:11.0 442:12.0 483:7.0 496:10.0 498:3.0 500:1.0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</si>
  <si>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</si>
  <si>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</si>
  <si>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enolpyruvate NIST</t>
  </si>
  <si>
    <t>86:280.0 87:386.0 88:587.0 89:1192.0 90:18.0 91:105.0 92:60.0 95:9.0 97:96.0 99:170.0 100:858.0 101:181.0 103:424.0 104:254.0 105:95.0 106:22.0 108:131.0 109:468.0 113:217.0 114:217.0 115:557.0 117:133.0 118:530.0 119:2.0 120:6.0 123:1.0 125:7.0 126:44.0 127:86.0 131:710.0 132:146.0 133:1108.0 135:355.0 139:1.0 143:183.0 144:68.0 145:43.0 146:181.0 147:33703.0 148:5427.0 149:2613.0 150:70.0 157:525.0 158:51.0 159:81.0 160:15.0 170:18.0 172:51.0 173:62.0 185:41.0 186:96.0 187:13.0 189:851.0 190:124.0 199:160.0 200:339.0 201:12.0 207:5.0 215:53.0 217:4164.0 218:643.0 219:244.0 223:5.0 281:8.0 311:3.0 332:1.0 353:3.0 354:5.0 448:1.0 478:2.0</t>
  </si>
  <si>
    <t>elaidic acid</t>
  </si>
  <si>
    <t>85:2151.0 86:797.0 87:573.0 88:397.0 89:1577.0 90:207.0 91:2424.0 92:549.0 93:3414.0 94:1799.0 95:8497.0 96:9929.0 97:6494.0 98:6521.0 99:1786.0 100:274.0 101:745.0 102:140.0 103:279.0 104:38.0 105:1778.0 106:396.0 107:1700.0 108:972.0 109:3692.0 110:3528.0 111:2465.0 112:1218.0 113:334.0 114:57.0 115:256.0 116:3241.0 117:28379.0 118:3045.0 119:2239.0 120:443.0 121:1566.0 122:487.0 123:2175.0 124:1408.0 125:839.0 126:310.0 127:199.0 128:247.0 129:24020.0 130:3086.0 131:5575.0 132:5188.0 133:2358.0 134:1042.0 135:970.0 136:253.0 137:1257.0 138:954.0 139:397.0 140:94.0 141:189.0 142:136.0 143:1510.0 144:235.0 145:7718.0 146:1067.0 147:889.0 148:404.0 149:421.0 150:200.0 151:840.0 152:1041.0 153:270.0 154:49.0 155:660.0 156:164.0 157:604.0 158:184.0 159:595.0 160:82.0 161:241.0 162:92.0 163:114.0 164:119.0 165:392.0 166:545.0 167:193.0 168:98.0 169:536.0 170:156.0 171:1189.0 172:336.0 173:389.0 174:133.0 175:149.0 176:47.0 177:33.0 178:45.0 179:220.0 180:823.0 181:235.0 182:42.0 183:551.0 184:126.0 185:1830.0 186:338.0 187:337.0 188:175.0 189:104.0 190:14.0 191:97.0 192:5.0 193:179.0 194:93.0 195:25.0 196:1.0 197:91.0 198:8.0 199:1762.0 200:285.0 201:429.0 202:191.0 203:92.0 204:43.0 205:1.0 206:2.0 207:156.0 208:86.0 209:10.0 210:1.0 211:109.0 212:9.0 213:295.0 214:49.0 215:88.0 216:15.0 217:43.0 218:1.0 219:21.0 220:142.0 221:275.0 222:891.0 223:157.0 224:1.0 225:47.0 227:252.0 228:72.0 229:67.0 230:33.0 231:2.0 232:2.0 235:113.0 236:134.0 237:2.0 238:2.0 239:31.0 240:5.0 241:219.0 242:44.0 243:67.0 244:5.0 245:4.0 246:51.0 249:2.0 253:15.0 254:2.0 255:161.0 256:10.0 257:103.0 258:41.0 259:3.0 264:684.0 265:128.0 267:14.0 269:65.0 271:55.0 272:53.0 273:5.0 274:4.0 281:26.0 283:20.0 285:16.0 286:21.0 287:1.0 291:7.0 295:56.0 296:16.0 297:1.0 299:49.0 300:4.0 304:2.0 309:4.0 310:1.0 311:83.0 312:29.0 313:12.0 314:1.0 318:1.0 323:5.0 324:2.0 325:1.0 335:14.0 337:4.0 338:122.0 339:3572.0 340:1510.0 341:344.0 342:62.0 343:2.0 352:2.0 354:194.0 355:81.0 356:13.0 357:55.0 358:7.0 359:2.0 366:1.0 370:1.0 372:1.0 373:1.0 375:1.0 381:1.0 382:1.0 386:1.0 390:1.0 397:1.0 402:1.0 405:1.0 407:2.0 421:1.0 424:1.0 431:1.0 435:1.0 446:1.0 449:3.0 450:1.0 456:1.0 457:2.0 459:1.0 462:3.0 471:1.0 491:1.0 495:2.0 498:2.0</t>
  </si>
  <si>
    <t>85:40.0 86:294.0 91:22.0 95:232.0 98:150.0 99:52.0 100:562.0 102:76.0 107:164.0 108:15.0 109:11.0 110:41.0 112:36.0 113:84.0 114:154.0 115:585.0 116:161.0 117:20.0 122:33.0 124:136.0 125:168.0 126:242.0 129:153.0 131:88.0 132:157.0 139:190.0 140:81.0 141:340.0 142:10838.0 143:1415.0 144:592.0 146:83.0 147:868.0 148:462.0 149:313.0 152:66.0 154:90.0 156:554.0 157:75.0 167:66.0 168:742.0 169:520.0 170:212.0 174:23.0 175:12.0 178:4.0 182:117.0 183:17.0 184:1332.0 185:171.0 186:61.0 197:1.0 208:8.0 209:36.0 210:25.0 215:8.0 216:32.0 230:39.0 240:169.0 241:139.0 242:2.0 243:799.0 244:197.0 245:75.0 249:6.0 255:37.0 256:1217.0 257:218.0 258:167.0 259:2.0 268:22.0 270:2.0 287:5.0 294:2.0 299:40.0 311:35.0 313:25.0 354:30.0 366:20.0 382:110.0 383:4.0 426:4.0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</si>
  <si>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</si>
  <si>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cysteine-glycine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</si>
  <si>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</si>
  <si>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</si>
  <si>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85:121.0 86:701.0 90:5.0 91:8.0 99:42.0 100:3938.0 101:418.0 102:407.0 109:65.0 110:215.0 111:289.0 112:341.0 113:261.0 114:357.0 115:440.0 116:751.0 117:18.0 119:105.0 124:17.0 127:32.0 128:839.0 129:223.0 130:214.0 131:935.0 132:988.0 133:9.0 134:155.0 139:123.0 140:1315.0 144:181.0 146:324.0 147:1536.0 148:384.0 150:28.0 151:40.0 152:3.0 155:28.0 156:136.0 157:233.0 158:124.0 159:564.0 160:221.0 170:63.0 172:45.0 174:99.0 182:87.0 184:244.0 185:22.0 186:223.0 188:5.0 191:354.0 200:159.0 202:7.0 204:303.0 212:210.0 214:21.0 217:94.0 218:4577.0 219:725.0 220:4590.0 221:607.0 222:500.0 223:3.0 228:12.0 232:99.0 242:9.0 246:12.0 256:25.0 258:39.0 294:162.0 295:25.0 297:56.0 313:119.0 447:22.0 448:7.0</t>
  </si>
  <si>
    <t>cyclohexylamine NIST</t>
  </si>
  <si>
    <t>85:73383.0 86:84888.0 87:14174.0 88:114377.0 89:10867.0 90:10893.0 91:2430.0 92:1524.0 93:2756.0 94:5369.0 95:7370.0 96:51492.0 97:46221.0 98:203842.0 99:54608.0 100:931898.0 101:90045.0 102:92913.0 103:2924.0 104:1653.0 105:526.0 106:247.0 107:9238.0 108:2854.0 109:3414.0 110:39385.0 111:13333.0 112:102440.0 113:24323.0 114:120098.0 115:353528.0 116:35814.0 117:10312.0 119:268.0 122:705.0 123:282.0 124:3900.0 125:9644.0 126:47655.0 127:12491.0 128:3604226.0 129:476395.0 130:155348.0 133:584.0 136:513.0 137:198.0 138:3453.0 139:1262.0 140:15346.0 141:6159.0 142:183439.0 143:25842.0 144:6869.0 149:33.0 150:944.0 152:2531.0 153:480.0 154:129854.0 155:21296.0 156:475847.0 157:64485.0 158:19020.0 159:300.0 161:1000.0 162:74.0 163:36.0 165:72.0 168:1130.0 169:1627.0 170:28271.0 171:287711.0 172:43212.0 173:13905.0 177:4247.0 178:620.0 179:141.0 182:777.0 184:1748.0 186:80.0 191:8.0 193:61.0 194:12.0 201:798.0 205:2877.0 206:424.0 207:26.0 208:13.0 218:18.0 225:8.0 243:2.0 255:244.0 269:1.0 270:126.0 273:1.0 288:3.0 295:2.0 302:2.0 303:7.0 304:4.0 309:2.0 313:2.0 315:2.0 324:3.0 335:3.0 345:1.0 348:1.0 370:2.0 386:3.0 398:2.0 427:1.0 437:6.0 444:2.0 445:1.0 448:2.0 454:3.0 458:1.0 469:3.0 491:1.0</t>
  </si>
  <si>
    <t>85:82.0 90:26.0 92:124.0 93:267.0 94:337.0 95:30.0 96:663.0 99:127.0 100:132.0 101:255.0 103:315.0 108:146.0 109:165.0 110:71.0 112:212.0 113:489.0 115:148.0 117:792.0 118:71.0 120:24.0 121:26.0 122:18.0 124:159.0 125:15.0 128:268.0 129:1297.0 131:303.0 132:241.0 133:416.0 134:114.0 136:26.0 139:37.0 140:71.0 141:67.0 142:138.0 143:151.0 145:344.0 147:1045.0 150:57.0 151:124.0 153:23.0 154:108.0 156:314.0 157:459.0 164:8.0 165:29.0 166:155.0 167:34.0 168:81.0 169:1106.0 171:164.0 172:78.0 173:81.0 180:18.0 182:77.0 183:101.0 184:319.0 185:170.0 186:45.0 187:246.0 188:78.0 191:70.0 194:64.0 196:123.0 198:21.0 200:112.0 211:967.0 212:203.0 213:122.0 215:189.0 216:148.0 217:248.0 218:1.0 219:66.0 226:25.0 227:301.0 228:174.0 229:178.0 230:104.0 231:249.0 232:47.0 233:6.0 239:23.0 243:2645.0 244:637.0 245:139.0 246:10.0 248:219.0 249:20.0 255:18.0 257:83.0 258:1183.0 259:583.0 260:274.0 261:18.0 264:1.0 270:1.0 271:32.0 272:75.0 274:22.0 276:4.0 277:38.0 284:23.0 285:53.0 286:13.0 288:10.0 289:2.0 290:1.0 292:62.0 297:177.0 298:54.0 299:855.0 300:186.0 301:38.0 303:55.0 305:8.0 306:7.0 307:129.0 308:4.0 311:33.0 313:171.0 314:65.0 315:633.0 316:127.0 317:38.0 318:163.0 319:58.0 320:1.0 322:1.0 323:2.0 326:609.0 327:197.0 331:8.0 333:8.0 334:1.0 335:15.0 336:5.0 340:3.0 341:2.0 342:76.0 343:4.0 344:152.0 345:132.0 346:29.0 348:2.0 360:5.0 362:5.0 367:9.0 373:13.0 374:9.0 375:2.0 376:21.0 377:22.0 378:7.0 379:1.0 380:5.0 381:1.0 392:12.0 393:991.0 394:391.0 395:209.0 396:70.0 402:10.0 403:1.0 411:52.0 419:8.0 430:8.0 447:3.0 475:1.0 479:1.0 481:7.0 486:2.0</t>
  </si>
  <si>
    <t>citrulline</t>
  </si>
  <si>
    <t>85:395.0 87:207.0 90:313.0 93:9.0 97:98.0 98:622.0 99:963.0 100:1296.0 101:335.0 102:62.0 103:183.0 107:346.0 110:124.0 112:10.0 113:117.0 114:292.0 115:433.0 116:106.0 117:4.0 125:46.0 126:143.0 127:675.0 128:351.0 129:144.0 130:1114.0 131:279.0 132:170.0 133:227.0 134:487.0 139:11.0 140:482.0 141:1160.0 142:2556.0 143:266.0 144:282.0 147:3289.0 154:120.0 155:163.0 156:136.0 157:5793.0 158:742.0 159:204.0 166:15.0 167:9.0 168:64.0 170:100.0 171:473.0 172:330.0 173:108.0 182:12.0 183:9.0 184:267.0 185:55.0 186:31.0 187:165.0 188:50.0 198:4.0 199:20.0 213:34.0 214:26.0 215:75.0 216:96.0 217:108.0 218:218.0 219:41.0 230:34.0 240:47.0 244:67.0 245:7.0 256:1815.0 257:468.0 258:91.0 259:82.0 273:62.0 374:34.0 495:9.0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</si>
  <si>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</si>
  <si>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citric acid</t>
  </si>
  <si>
    <t>capric acid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</si>
  <si>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</si>
  <si>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butyrolactam NIST</t>
  </si>
  <si>
    <t>85:517.0 86:1069.0 87:115.0 88:10.0 89:106.0 90:30.0 91:2470.0 92:2177.0 93:54.0 94:15.0 96:87.0 97:268.0 98:542.0 99:876.0 100:5600.0 101:617.0 102:271.0 104:17.0 105:12.0 107:50.0 108:7.0 111:20.0 112:594.0 113:125.0 114:104.0 115:414.0 116:114.0 118:46.0 120:1.0 124:30.0 125:14.0 126:100.0 127:43.0 128:25.0 131:16.0 136:13.0 139:14.0 140:474.0 142:19027.0 143:2398.0 144:886.0 145:33.0 147:65.0 149:22.0 152:48.0 154:2.0 155:31.0 156:1029.0 157:2812.0 158:315.0 159:74.0 160:7.0 162:7.0 165:7.0 166:5.0 173:2.0 180:3.0 184:206.0 190:7.0 193:5.0 194:5.0 195:17.0 197:2.0 199:2.0 200:7.0 203:2.0 212:5.0 213:5.0 218:10.0 223:2.0 226:5.0 230:1.0 232:5.0 235:5.0 245:5.0 248:5.0 253:2.0 254:2.0 257:13.0 258:7.0 259:5.0 262:2.0 263:2.0 269:2.0 273:5.0 280:2.0 283:5.0 297:5.0 298:5.0 301:2.0 302:2.0 309:2.0 312:12.0 313:5.0 316:5.0 322:16.0 324:10.0 331:2.0 333:5.0 334:11.0 337:8.0 340:8.0 344:2.0 346:5.0 350:5.0 352:1.0 356:10.0 360:5.0 369:3.0 370:2.0 371:10.0 373:4.0 374:2.0 379:2.0 382:5.0 383:2.0 384:1.0 390:6.0 391:2.0 403:7.0 404:2.0 406:1.0 408:5.0 409:5.0 411:8.0 417:7.0 419:7.0 421:2.0 429:3.0 433:5.0 437:2.0 439:2.0 441:1.0 445:5.0 448:5.0 449:2.0 459:2.0 464:2.0 466:3.0 471:2.0 475:2.0 481:2.0 489:7.0 494:5.0 496:10.0 497:8.0 498:7.0 500:13.0</t>
  </si>
  <si>
    <t>beta-alanine</t>
  </si>
  <si>
    <t>86:21789.0 87:7246.0 88:5778.0 89:4138.0 90:624.0 91:11715.0 92:587.0 93:1760.0 97:3377.0 98:1347.0 99:5303.0 100:17860.0 101:5739.0 102:5352.0 103:7699.0 104:22951.0 105:3353.0 106:134.0 107:3441.0 108:294.0 109:5375.0 110:4964.0 113:3606.0 114:774.0 115:3726.0 116:5435.0 117:9899.0 118:5074.0 119:2195.0 120:1029.0 121:86.0 123:906.0 124:2343.0 125:467.0 127:802.0 128:3624.0 129:2296.0 130:10682.0 131:4364.0 132:2046.0 133:17475.0 134:10254.0 135:44.0 136:1945.0 137:301.0 138:421.0 140:425.0 141:245.0 142:2047.0 143:944.0 144:313.0 146:966.0 147:28461.0 148:5122.0 149:3406.0 150:407.0 151:18.0 152:11.0 156:1302.0 157:1465.0 158:339.0 159:16.0 160:2247.0 161:777.0 162:1277.0 163:346.0 164:126.0 165:89.0 166:199.0 167:1021.0 169:343.0 170:382.0 171:121.0 172:1067.0 173:15.0 174:19451.0 175:4600.0 176:2771.0 177:1408.0 178:170.0 181:5688.0 182:577.0 183:86.0 185:673.0 187:210.0 188:1546.0 189:3200.0 190:636.0 191:1511.0 192:285.0 193:236.0 194:69.0 195:1037.0 196:287.0 197:2293.0 198:495.0 200:1608.0 201:321.0 202:1410.0 203:2912.0 204:621.0 205:347.0 206:250.0 207:3701.0 208:616.0 210:49.0 211:485.0 213:165.0 215:228.0 216:97.0 217:703.0 218:570.0 219:8950.0 220:1350.0 221:551.0 222:1721.0 223:119.0 224:102.0 225:21.0 229:20.0 230:186.0 231:955.0 232:980.0 233:2404.0 234:450.0 235:269.0 236:95.0 237:138.0 238:120.0 239:20406.0 240:4050.0 241:1129.0 242:771.0 244:14.0 245:480.0 246:582.0 247:131.0 248:15803.0 249:3812.0 250:1340.0 251:229.0 252:116.0 253:239.0 254:43.0 255:32.0 258:45.0 261:112.0 262:51.0 263:18.0 264:9.0 265:288.0 266:39.0 268:33.0 271:26.0 275:63.0 276:38.0 277:493.0 278:73.0 279:19.0 283:265.0 285:20.0 286:49.0 287:14.0 288:48.0 289:149.0 290:3153.0 291:1171.0 292:22.0 293:1265.0 294:330.0 295:138.0 301:358.0 302:188.0 303:50.0 304:213.0 306:16.0 307:333.0 308:62.0 310:4.0 311:10.0 314:89.0 315:514.0 316:132.0 317:41.0 319:1.0 321:265.0 322:112.0 323:23.0 325:3.0 330:37.0 332:97.0 333:79.0 334:31.0 335:25.0 336:38.0 342:84.0 346:19.0 349:118.0 350:11.0 358:27.0 362:5.0 377:30.0 378:5.0 441:18.0 446:16.0 485:18.0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</si>
  <si>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</si>
  <si>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aspartic acid</t>
  </si>
  <si>
    <t>85:102.0 86:172.0 87:46.0 88:27.0 89:23.0 90:5.0 91:18.0 92:1.0 93:25.0 95:10.0 96:2.0 98:114.0 99:75.0 100:3517.0 101:373.0 102:175.0 103:206.0 104:21.0 105:16.0 106:1.0 107:17.0 108:3.0 109:7.0 110:18.0 112:4.0 113:11.0 114:46.0 115:150.0 116:123.0 117:760.0 118:75.0 119:101.0 120:12.0 121:5.0 123:2.0 124:7.0 125:3.0 126:6.0 127:5.0 128:67.0 129:37.0 130:297.0 131:260.0 132:207.0 133:535.0 134:45.0 135:38.0 136:5.0 139:4.0 140:34.0 141:2.0 142:151.0 143:41.0 144:68.0 145:11.0 146:46.0 147:1595.0 148:247.0 149:256.0 150:11.0 151:4.0 152:3.0 153:4.0 155:27.0 156:8.0 157:51.0 158:95.0 159:17.0 160:48.0 161:8.0 162:6.0 163:137.0 164:17.0 165:12.0 166:4.0 167:5.0 168:1.0 169:25.0 170:1.0 171:23.0 172:61.0 173:30.0 174:101.0 175:20.0 176:27.0 177:44.0 178:7.0 179:7.0 182:3.0 183:6.0 184:7.0 185:8.0 186:37.0 187:4.0 188:396.0 189:105.0 190:41.0 191:24.0 192:15.0 193:3.0 194:3.0 195:9.0 197:4.0 199:4.0 200:13.0 201:8.0 202:374.0 203:80.0 204:108.0 205:33.0 206:15.0 207:4.0 208:2.0 209:5.0 210:4.0 211:1.0 212:2.0 213:3.0 214:4.0 215:1.0 216:178.0 217:40.0 218:675.0 219:136.0 220:57.0 221:28.0 222:13.0 223:19.0 224:2.0 225:13.0 226:5.0 227:7.0 229:10.0 230:8.0 231:9.0 232:3382.0 233:643.0 234:251.0 235:55.0 236:2.0 237:3.0 238:2.0 239:12.0 240:12.0 241:6.0 242:2.0 243:8.0 244:27.0 245:43.0 246:15.0 247:10.0 248:3.0 249:3.0 250:2.0 251:3.0 252:10.0 253:4.0 254:2.0 256:3.0 257:3.0 259:4.0 260:7.0 261:8.0 262:5.0 263:16.0 264:4.0 265:6.0 266:17.0 267:5.0 268:5.0 269:7.0 270:11.0 271:1.0 272:6.0 273:2.0 274:2.0 275:6.0 276:3.0 277:9.0 278:4.0 279:12.0 280:11.0 281:5.0 282:7.0 283:3.0 284:5.0 285:3.0 286:6.0 288:6.0 289:7.0 290:11.0 291:2.0 292:44.0 293:8.0 294:11.0 295:1.0 296:5.0 297:2.0 298:3.0 299:3.0 300:4.0 301:9.0 302:9.0 304:2.0 305:3.0 306:68.0 307:26.0 308:13.0 309:5.0 310:5.0 311:3.0 312:8.0 313:5.0 314:9.0 315:2.0 316:5.0 317:11.0 318:4.0 319:1.0 320:10.0 321:2.0 322:1.0 323:11.0 324:1.0 325:12.0 326:3.0 327:4.0 328:5.0 329:14.0 330:8.0 332:6.0 333:3.0 334:36.0 335:17.0 336:6.0 337:15.0 338:5.0 339:2.0 340:9.0 341:7.0 342:1.0 343:4.0 344:9.0 345:9.0 347:14.0 348:6.0 349:19.0 350:21.0 351:12.0 352:1.0 353:8.0 354:7.0 355:10.0 356:1.0 357:6.0 358:8.0 359:3.0 360:2.0 361:2.0 362:10.0 363:3.0 364:7.0 365:7.0 366:2.0 368:3.0 369:2.0 370:1.0 371:3.0 372:5.0 373:15.0 374:8.0 375:11.0 376:8.0 377:9.0 378:6.0 379:10.0 380:7.0 381:5.0 382:6.0 383:4.0 384:3.0 385:8.0 386:5.0 387:4.0 388:9.0 389:3.0 390:3.0 391:5.0 392:4.0 395:2.0 396:6.0 397:9.0 398:3.0 399:5.0 400:13.0 401:5.0 402:7.0 403:2.0 404:4.0 405:10.0 406:3.0 407:4.0 408:14.0 409:7.0 410:1.0 411:5.0 412:5.0 413:1.0 414:18.0 415:4.0 416:7.0 417:2.0 418:8.0 419:5.0 420:3.0 421:5.0 422:6.0 423:12.0 424:1.0 425:10.0 426:12.0 427:6.0 428:1.0 429:3.0 430:11.0 431:6.0 432:10.0 433:5.0 434:3.0 435:9.0 436:4.0 437:11.0 438:3.0 439:10.0 441:9.0 442:10.0 443:5.0 444:13.0 445:4.0 447:8.0 448:12.0 449:3.0 451:7.0 452:12.0 453:10.0 454:9.0 455:8.0 456:10.0 457:9.0 458:3.0 459:3.0 460:8.0 461:6.0 462:7.0 464:9.0 465:9.0 466:13.0 467:4.0 468:8.0 469:6.0 471:1.0 472:4.0 473:2.0 474:8.0 476:6.0 477:9.0 478:6.0 479:5.0 480:1.0 481:13.0 483:4.0 484:6.0 485:2.0 486:1.0 487:2.0 488:2.0 489:10.0 490:4.0 491:9.0 492:9.0 493:8.0 494:2.0 495:14.0 496:1.0 497:6.0 498:2.0 499:6.0 500:12.0</t>
  </si>
  <si>
    <t>85:52.0 86:126.0 87:10.0 88:1.0 89:8.0 91:233.0 92:2.0 93:107.0 94:2.0 95:9.0 97:1.0 98:80.0 99:21.0 100:2700.0 101:199.0 102:110.0 103:3.0 106:1.0 107:3.0 108:4.0 110:12.0 114:32.0 115:1891.0 116:482.0 117:12.0 118:5.0 119:2.0 123:5.0 126:6.0 127:10.0 128:1085.0 129:70.0 130:57.0 131:129.0 132:9.0 133:9.0 134:14.0 136:1.0 139:1.0 142:80.0 144:5.0 147:133.0 148:7.0 149:9.0 150:2.0 153:2.0 158:140.0 159:3.0 160:9.0 161:3.0 166:1.0 167:10.0 168:1.0 174:3.0 190:2.0 193:2.0 199:1.0 201:89.0 202:6.0 215:3.0 217:3.0 227:1.0 233:3.0 241:1.0 243:694.0 244:146.0 245:35.0 248:1.0 250:1.0 266:2.0 273:3.0 274:5.0 275:1.0 279:2.0 288:2.0 289:2.0 294:1.0 297:2.0 302:1.0 313:1.0 316:1.0 317:1.0 318:4.0 324:3.0 362:1.0 364:2.0 370:6.0 383:1.0 385:1.0 390:2.0 400:2.0 401:2.0 410:2.0 418:1.0 438:1.0 440:1.0 445:2.0 461:2.0 465:2.0 481:2.0 483:1.0 486:1.0 494:2.0 498:1.0</t>
  </si>
  <si>
    <t>asparagine</t>
  </si>
  <si>
    <t>arginine + ornithine</t>
  </si>
  <si>
    <t>85:16.0 86:326.0 87:20.0 89:2.0 90:3.0 91:42.0 92:24.0 93:6.0 94:2.0 95:5.0 96:10.0 99:8.0 100:288.0 101:27.0 102:107.0 103:10.0 104:2.0 105:1.0 107:15.0 108:5.0 109:3.0 110:11.0 112:6.0 113:27.0 114:51.0 115:4.0 116:25.0 117:19.0 118:8.0 119:3.0 122:6.0 123:4.0 124:2.0 125:3.0 126:35.0 127:4.0 128:62.0 129:9.0 130:115.0 131:61.0 132:37.0 133:20.0 134:67.0 135:3.0 136:2.0 137:6.0 139:1.0 140:9.0 141:40.0 142:1746.0 143:203.0 144:84.0 145:9.0 146:53.0 147:175.0 148:26.0 149:32.0 150:5.0 152:15.0 153:1.0 154:2.0 156:23.0 157:2.0 158:4.0 159:2.0 160:9.0 161:4.0 162:3.0 165:1.0 167:4.0 168:6.0 169:5.0 170:6.0 172:54.0 173:6.0 174:511.0 175:77.0 176:29.0 177:2.0 178:2.0 182:6.0 184:6.0 187:6.0 188:4.0 189:18.0 190:2.0 191:2.0 192:3.0 194:3.0 195:2.0 196:5.0 199:3.0 200:88.0 201:19.0 202:5.0 204:13.0 207:1.0 208:6.0 209:6.0 211:2.0 214:38.0 215:10.0 216:52.0 217:8.0 218:9.0 222:1.0 223:4.0 225:1.0 226:8.0 227:2.0 229:4.0 230:6.0 232:12.0 233:2.0 236:1.0 237:5.0 240:3.0 241:4.0 242:10.0 243:2.0 244:2.0 245:2.0 246:3.0 247:1.0 249:4.0 251:1.0 253:6.0 254:2.0 255:1.0 256:9.0 258:26.0 259:29.0 260:5.0 261:3.0 262:6.0 263:1.0 264:8.0 265:2.0 266:1.0 267:2.0 268:4.0 271:6.0 273:1.0 274:2.0 275:3.0 279:1.0 282:18.0 284:3.0 285:2.0 286:2.0 287:3.0 288:3.0 289:5.0 290:11.0 291:2.0 292:3.0 293:6.0 294:3.0 295:4.0 296:4.0 298:2.0 299:3.0 303:2.0 304:1.0 305:6.0 307:1.0 309:2.0 310:2.0 312:2.0 313:1.0 314:2.0 315:6.0 316:4.0 319:1.0 323:3.0 324:4.0 325:1.0 326:6.0 328:4.0 332:1.0 337:3.0 340:1.0 343:9.0 344:2.0 351:4.0 353:2.0 354:4.0 357:6.0 358:2.0 359:5.0 360:1.0 361:3.0 363:2.0 364:2.0 365:2.0 367:3.0 368:1.0 369:10.0 372:2.0 375:1.0 376:2.0 377:3.0 379:5.0 380:2.0 381:4.0 383:3.0 384:2.0 385:10.0 386:5.0 387:1.0 388:3.0 389:1.0 392:2.0 393:4.0 394:1.0 395:1.0 396:13.0 397:2.0 399:6.0 401:5.0 402:1.0 403:6.0 405:2.0 406:3.0 408:5.0 410:11.0 412:6.0 413:3.0 414:4.0 415:1.0 417:2.0 418:1.0 419:4.0 420:8.0 421:2.0 422:9.0 423:1.0 424:8.0 425:6.0 426:5.0 429:8.0 431:5.0 432:2.0 433:2.0 434:3.0 436:5.0 438:1.0 439:1.0 440:3.0 442:5.0 443:4.0 445:6.0 446:4.0 448:2.0 449:3.0 450:5.0 451:2.0 452:1.0 453:2.0 454:1.0 455:2.0 456:4.0 457:1.0 459:3.0 460:6.0 461:4.0 462:3.0 466:8.0 467:1.0 468:6.0 469:1.0 472:3.0 473:5.0 474:2.0 475:4.0 477:9.0 482:4.0 484:4.0 485:2.0 487:4.0 488:6.0 489:1.0 494:1.0 495:4.0 496:4.0 498:2.0 499:4.0</t>
  </si>
  <si>
    <t>arachidic acid</t>
  </si>
  <si>
    <t>85:8076.0 86:1336.0 87:2806.0 88:1176.0 89:5648.0 90:1111.0 91:1527.0 93:2516.0 95:11286.0 97:16029.0 98:12627.0 99:6902.0 101:2502.0 103:3568.0 105:5753.0 106:657.0 107:1712.0 108:668.0 109:4549.0 110:895.0 111:6335.0 112:3607.0 113:262.0 114:1039.0 116:13297.0 117:250292.0 118:23302.0 119:11195.0 121:2480.0 123:2019.0 124:404.0 125:1020.0 129:108709.0 130:9152.0 131:33480.0 132:90807.0 133:18361.0 134:4829.0 135:1993.0 136:449.0 137:494.0 139:459.0 141:302.0 143:8775.0 144:1190.0 145:63978.0 146:8131.0 147:2565.0 149:583.0 155:1172.0 156:415.0 157:1347.0 159:4605.0 160:604.0 167:323.0 168:104.0 169:2185.0 171:5020.0 172:883.0 173:1141.0 177:986.0 181:291.0 182:523.0 184:167.0 185:6212.0 186:919.0 187:4863.0 188:1109.0 196:162.0 199:801.0 201:11292.0 202:1976.0 203:444.0 208:945.0 213:1342.0 214:380.0 215:789.0 216:326.0 217:1677.0 218:629.0 223:450.0 224:173.0 227:1456.0 228:199.0 229:1143.0 231:428.0 235:298.0 238:207.0 241:1575.0 242:492.0 243:2858.0 244:376.0 245:137.0 246:411.0 247:114.0 248:266.0 251:331.0 255:682.0 256:974.0 257:2013.0 258:231.0 259:191.0 264:139.0 265:440.0 266:107.0 269:659.0 270:319.0 272:536.0 278:145.0 285:1140.0 286:767.0 287:133.0 294:178.0 297:411.0 299:706.0 301:99.0 305:407.0 311:199.0 312:202.0 313:331.0 318:1621.0 319:153.0 321:185.0 324:211.0 325:1852.0 326:339.0 327:571.0 332:58.0 333:116.0 336:282.0 341:1356.0 345:98.0 353:148.0 355:336.0 356:282.0 360:134.0 361:126.0 364:163.0 368:1312.0 369:22452.0 370:7704.0 371:1789.0 372:380.0 378:95.0 380:123.0 384:2806.0 385:607.0 387:243.0 388:146.0 391:253.0 396:74.0 398:61.0 399:116.0 400:103.0 406:98.0 417:296.0 420:51.0 422:81.0 427:74.0 439:62.0 444:123.0 446:44.0 449:109.0 464:188.0 467:79.0 478:115.0 500:91.0</t>
  </si>
  <si>
    <t>arabitol</t>
  </si>
  <si>
    <t>85:3.0 87:7.0 88:35.0 89:1178.0 90:459.0 91:504.0 99:298.0 101:776.0 102:218.0 103:10443.0 104:843.0 105:291.0 110:223.0 115:4.0 116:500.0 117:4602.0 118:643.0 119:280.0 123:3.0 126:101.0 129:4694.0 130:669.0 131:1039.0 133:2048.0 134:579.0 135:279.0 137:3.0 139:1.0 141:42.0 142:82.0 143:237.0 145:156.0 147:9912.0 148:1528.0 149:1128.0 150:112.0 151:159.0 153:162.0 155:391.0 157:597.0 160:9.0 165:18.0 167:65.0 169:215.0 170:177.0 171:12.0 173:1.0 175:231.0 176:188.0 177:172.0 180:130.0 181:48.0 182:92.0 183:3.0 184:319.0 185:14.0 188:11.0 189:1604.0 190:554.0 191:1061.0 192:171.0 193:300.0 194:1.0 195:8.0 196:3.0 197:157.0 200:2.0 201:27.0 203:679.0 204:1909.0 205:3592.0 206:640.0 207:346.0 208:3.0 209:21.0 211:19.0 212:123.0 215:19.0 217:9815.0 218:2688.0 219:1085.0 220:273.0 221:528.0 222:151.0 223:71.0 225:7.0 227:20.0 228:1.0 229:169.0 230:83.0 231:29.0 233:1.0 235:506.0 236:54.0 237:2.0 241:219.0 242:79.0 243:828.0 244:96.0 245:30.0 253:2.0 257:3.0 263:7.0 265:43.0 267:58.0 268:187.0 270:66.0 274:19.0 277:516.0 278:69.0 279:57.0 281:11.0 285:15.0 286:2.0 291:159.0 293:5.0 297:2.0 298:27.0 299:109.0 300:54.0 301:12.0 305:36.0 306:108.0 307:1495.0 308:629.0 309:188.0 313:4.0 314:2.0 315:45.0 316:3.0 317:125.0 318:34.0 319:1460.0 320:347.0 321:203.0 322:12.0 332:190.0 333:51.0 349:1.0 357:2.0 373:10.0 374:2.0 389:18.0 390:4.0 391:1.0 392:112.0 395:35.0 401:23.0 422:27.0 445:7.0 446:1.0 470:9.0 475:9.0 493:1.0</t>
  </si>
  <si>
    <t>arabinose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</si>
  <si>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</si>
  <si>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</si>
  <si>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</si>
  <si>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alpha ketoglutaric acid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</si>
  <si>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</si>
  <si>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alanine</t>
  </si>
  <si>
    <t>85:7160.0 86:66621.0 87:19398.0 88:17953.0 89:6025.0 90:422.0 91:428.0 92:393.0 93:1514.0 94:42607.0 95:3907.0 96:289.0 97:620.0 98:5042.0 99:3787.0 100:129231.0 101:34843.0 102:37944.0 103:104324.0 104:10070.0 105:11024.0 106:477.0 109:88.0 112:3400.0 113:106.0 114:21712.0 115:26128.0 116:2516836.0 117:304316.0 118:100850.0 119:17937.0 120:1789.0 121:763.0 125:36.0 127:31.0 128:36562.0 129:6101.0 130:1105.0 131:37872.0 132:18200.0 133:58559.0 135:2167.0 139:5.0 140:36.0 141:62.0 142:711.0 143:413.0 144:7751.0 145:1031.0 146:3527.0 147:485258.0 148:73951.0 149:37146.0 150:4110.0 151:838.0 152:7.0 153:9.0 157:13.0 158:1423.0 159:185.0 160:565.0 161:83.0 162:70.0 163:90.0 165:7.0 166:50.0 168:45.0 169:16.0 171:10.0 172:1085.0 173:223.0 174:8594.0 175:2525.0 176:793.0 177:54.0 179:8.0 181:5.0 182:7.0 183:10.0 184:44.0 185:18.0 186:23.0 188:1757.0 189:84.0 190:93865.0 191:21268.0 192:8642.0 193:959.0 194:88.0 196:8.0 200:455.0 201:4.0 202:499.0 203:2.0 209:8.0 210:5.0 211:2.0 212:1.0 213:3.0 216:614.0 217:252.0 218:27221.0 219:5178.0 220:2237.0 225:8.0 226:10.0 227:1.0 231:54.0 232:480.0 233:676.0 234:141.0 235:20.0 241:4.0 248:20.0 249:2.0 250:1.0 256:7.0 270:3.0 280:3.0 290:2.0 294:1.0 302:1.0 310:1.0 333:4.0 450:15.0</t>
  </si>
  <si>
    <t>adenosine-5-phosphate</t>
  </si>
  <si>
    <t>101:99.0 104:1.0 113:25.0 115:11.0 118:41.0 129:165.0 132:25.0 133:103.0 138:35.0 140:96.0 142:123.0 147:265.0 148:8.0 151:25.0 153:3.0 159:1.0 164:51.0 165:219.0 169:2453.0 170:192.0 171:141.0 172:17.0 173:33.0 176:68.0 177:16.0 179:239.0 180:41.0 181:93.0 183:47.0 189:4.0 192:723.0 193:294.0 194:78.0 195:30.0 197:23.0 204:82.0 206:121.0 207:186.0 208:342.0 209:65.0 210:43.0 211:491.0 212:154.0 215:34.0 216:7.0 217:14.0 221:111.0 225:161.0 226:151.0 229:48.0 230:1007.0 231:149.0 232:43.0 234:11.0 236:321.0 237:47.0 238:12.0 239:61.0 243:309.0 244:50.0 245:4.0 251:37.0 254:17.0 258:441.0 259:95.0 264:19.0 265:62.0 266:36.0 271:3.0 273:12.0 277:25.0 278:45.0 280:54.0 281:27.0 282:153.0 283:20.0 285:2.0 291:29.0 293:3.0 299:403.0 300:54.0 306:80.0 308:54.0 311:1.0 315:1220.0 316:326.0 317:132.0 318:43.0 320:32.0 322:35.0 323:44.0 324:11.0 325:80.0 337:94.0 338:12.0 341:58.0 342:50.0 343:38.0 355:8.0 357:90.0 367:7.0 371:12.0 376:3.0 382:120.0 383:8.0 384:22.0 387:7.0 401:78.0 403:2.0 466:5.0</t>
  </si>
  <si>
    <t>adenosine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</si>
  <si>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</si>
  <si>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</si>
  <si>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85:6141.0 86:2655.0 88:119.0 91:29.0 92:234.0 93:1127.0 94:217.0 95:1003.0 96:232.0 97:903.0 98:987.0 99:6447.0 100:5646.0 101:11.0 102:475.0 106:66.0 108:302.0 109:492.0 110:985.0 111:4481.0 112:594.0 121:464.0 122:476.0 123:1618.0 124:605.0 125:1080.0 126:44.0 127:199.0 128:89.0 130:1786.0 132:356.0 134:2.0 135:302.0 136:444.0 137:987.0 138:1231.0 139:309.0 141:285.0 142:181.0 146:95.0 149:7738.0 150:1005.0 151:881.0 152:580.0 153:163.0 154:201.0 155:606.0 156:422.0 157:1252.0 160:2296.0 161:258.0 162:296.0 164:1167.0 165:4695.0 166:803.0 167:787.0 168:192.0 169:300.0 176:959.0 177:42.0 178:316.0 179:885.0 180:1445.0 181:106.0 182:231.0 183:15.0 188:512.0 191:212.0 192:12437.0 193:1734.0 194:831.0 195:91.0 196:192.0 197:229.0 198:32.0 200:130.0 205:726.0 206:2385.0 207:252.0 208:286.0 209:172.0 210:356.0 211:160.0 212:24.0 213:27.0 215:72.0 220:313.0 222:460.0 223:295.0 224:59.0 228:94.0 229:732.0 232:35.0 234:359.0 236:333.0 237:1524.0 238:788.0 239:167.0 240:216.0 241:40.0 242:27.0 243:322.0 245:141.0 246:294.0 248:1176.0 249:10.0 250:53.0 251:120.0 252:29.0 253:6.0 254:9.0 258:121.0 259:51.0 261:52.0 263:428.0 264:54588.0 265:12539.0 266:4940.0 267:666.0 268:100.0 269:28.0 270:80.0 271:109.0 272:55.0 273:49.0 276:78.0 278:718.0 279:10227.0 280:2994.0 281:964.0 282:141.0 283:65.0 285:39.0 286:48.0 288:736.0 289:21.0 290:115.0 294:11.0 298:34.0 300:96.0 301:23.0 305:144.0 309:78.0 313:6.0 314:7.0 316:2037.0 317:338.0 318:65.0 319:2345.0 320:682.0 321:335.0 322:87.0 323:25.0 324:6.0 327:7.0 328:14.0 329:60.0 330:1.0 331:236.0 332:19.0 333:258.0 334:145.0 335:123.0 336:60.0 341:6.0 343:24.0 347:17.0 348:33.0 359:2.0 361:124.0 365:24.0 371:15.0 374:39.0 377:9.0 378:15.0 379:26.0 381:33.0 382:1.0 384:5.0 387:48.0 391:20.0 392:19.0 400:19.0 401:13.0 402:5.0 403:9.0 404:51.0 407:12.0 409:16.0 410:2.0 414:2.0 422:19.0 424:4.0 428:17.0 431:27.0 435:16.0 436:3.0 440:4.0 445:2.0 448:8.0 451:15.0 455:8.0 459:4.0 461:26.0 464:8.0 465:3.0 466:51.0 467:25.0 475:38.0 484:11.0 488:7.0</t>
  </si>
  <si>
    <t>acetophenone NIST</t>
  </si>
  <si>
    <t>89:112.0 91:60.0 102:191.0 105:6347.0 106:446.0 112:1.0 113:11.0 114:6.0 117:4.0 120:1676.0 121:117.0 124:6.0 126:3.0 139:41.0 148:16.0 154:13.0 155:4.0 158:3.0 170:69.0 173:2.0 177:2.0 179:3.0 188:5.0 191:6.0 192:4.0 193:5.0 194:2.0 198:27.0 201:3.0 204:1.0 206:1.0 224:4.0 228:13.0 241:1.0 244:16.0 251:1.0 253:6.0 256:12.0 258:1.0 261:3.0 264:1.0 265:7.0 266:3.0 270:1.0 273:2.0 275:1.0 289:6.0 290:3.0 292:2.0 293:1.0 295:2.0 296:1.0 298:5.0 302:2.0 309:7.0 312:4.0 313:2.0 314:3.0 316:1.0 319:1.0 321:1.0 322:3.0 332:2.0 334:3.0 337:1.0 338:2.0 339:1.0 343:4.0 346:4.0 351:4.0 353:10.0 355:5.0 358:7.0 359:4.0 365:1.0 369:1.0 370:1.0 371:5.0 374:1.0 380:3.0 383:6.0 384:5.0 385:5.0 389:1.0 396:2.0 398:11.0 404:1.0 406:1.0 410:3.0 412:8.0 413:4.0 415:3.0 416:1.0 417:5.0 422:1.0 425:9.0 435:3.0 436:5.0 441:2.0 442:7.0 443:1.0 447:2.0 450:1.0 454:2.0 456:1.0 458:1.0 462:2.0 465:10.0 469:2.0 470:3.0 475:5.0 477:6.0 478:5.0 479:1.0 480:1.0 489:1.0 491:10.0 494:5.0 495:2.0 499:3.0</t>
  </si>
  <si>
    <t>5-methoxytryptamine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</si>
  <si>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</si>
  <si>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5'-deoxy-5'-methylthioadenosine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</si>
  <si>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</si>
  <si>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5-aminovaleric acid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</si>
  <si>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</si>
  <si>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85:397.0 86:12.0 88:124.0 91:201.0 92:232.0 93:9.0 97:666.0 99:211.0 100:219.0 101:95.0 103:104.0 105:68.0 107:300.0 108:39.0 109:95.0 110:781.0 111:326.0 112:39.0 113:160.0 115:298.0 117:169.0 120:92.0 121:45.0 125:101.0 126:510.0 127:1251.0 130:347.0 134:1712.0 135:6.0 136:145.0 137:127.0 139:233.0 140:44.0 143:288.0 144:8.0 146:44.0 151:14.0 155:5792.0 156:927.0 157:204.0 158:1.0 160:18.0 170:847.0 171:111.0 172:1.0 175:88.0 184:2086.0 185:266.0 186:6.0 191:2.0 205:2.0 207:3.0 223:1.0 225:1.0 228:241.0 229:294.0 264:2.0 265:3.0 267:1.0</t>
  </si>
  <si>
    <t>87:34.0 89:736.0 90:538.0 94:189.0 95:106.0 97:361.0 99:16.0 101:809.0 102:1519.0 103:13611.0 104:1505.0 105:542.0 108:31.0 111:887.0 112:273.0 114:258.0 115:1088.0 116:69.0 117:2233.0 118:371.0 119:340.0 122:56.0 124:57.0 125:244.0 128:248.0 129:1463.0 130:1724.0 132:504.0 133:2586.0 134:205.0 135:195.0 138:113.0 139:986.0 140:530.0 141:251.0 142:455.0 143:1389.0 144:159.0 145:273.0 146:675.0 147:8617.0 148:3712.0 149:3104.0 150:289.0 152:37.0 154:828.0 155:32904.0 156:52840.0 157:2308.0 158:2134.0 159:460.0 160:96.0 161:128.0 169:15.0 172:38.0 173:816.0 175:219.0 176:31.0 181:28.0 186:2.0 188:276.0 189:2161.0 190:348.0 191:1035.0 192:46.0 193:132.0 196:98.0 201:93.0 204:2260.0 205:2420.0 206:596.0 207:228.0 211:12.0 212:183.0 213:77.0 214:20.0 215:185.0 216:77.0 217:6889.0 218:1485.0 219:907.0 220:138.0 221:690.0 222:272.0 223:40.0 227:33.0 228:304.0 229:574.0 230:507.0 231:294.0 233:210.0 234:2.0 240:12.0 242:2.0 246:320.0 247:110.0 255:108.0 256:109.0 257:462.0 258:147.0 259:123.0 270:1.0 275:28.0 276:9.0 277:690.0 278:252.0 279:93.0 280:9.0 287:72.0 290:8.0 291:32.0 292:8056.0 293:2178.0 294:1109.0 295:193.0 299:17.0 300:23.0 303:213.0 304:55.0 305:1144.0 306:394.0 307:1196.0 308:393.0 309:163.0 311:2.0 316:1.0 318:35.0 319:25.0 320:60.0 321:38.0 323:16.0 330:1.0 331:362.0 332:123.0 333:822.0 334:263.0 335:110.0 346:58.0 349:95.0 350:39.0 351:30.0 353:22.0 366:29.0 379:7.0 380:33.0 393:21.0 394:17.0 408:8.0 413:8.0 421:70.0 422:59.0 424:4.0 433:5.0 436:8.0 451:21.0 463:25.0 481:10.0</t>
  </si>
  <si>
    <t>86:484.0 87:319.0 88:66.0 89:85.0 92:35.0 93:96.0 95:72.0 96:1034.0 97:632.0 99:157.0 100:39.0 102:50.0 103:909.0 104:125.0 105:357.0 106:473.0 107:91.0 108:135.0 109:49.0 110:180.0 111:171.0 114:1004.0 115:106.0 117:320.0 119:41.0 120:106.0 123:40.0 124:34.0 125:42.0 126:1838.0 127:1560.0 128:74.0 130:19.0 131:748.0 133:183.0 134:226.0 136:336.0 138:73.0 139:1095.0 140:551.0 141:16.0 147:17487.0 148:2667.0 149:1294.0 150:9.0 151:15.0 152:11.0 153:423.0 154:91.0 157:12.0 158:34.0 159:16.0 160:21.0 167:16.0 168:3224.0 169:245.0 170:35.0 180:9.0 182:52.0 183:1924.0 184:7.0 186:3.0 188:5.0 196:1.0 204:4.0 207:298.0 208:16.0 211:6.0 213:33.0 222:18.0 225:10.0 229:2.0 230:7.0 236:3.0 238:11.0 241:24.0 243:4.0 244:13.0 248:7.0 251:34.0 255:28.0 257:29.0 259:5.0 263:4.0 268:24.0 270:52.0 272:1.0 276:24.0 299:9.0 300:25.0 303:26.0 309:18.0 315:13.0 323:11.0 325:2.0 329:17.0 334:13.0 337:25.0 339:7.0 340:1.0 348:5.0 349:3.0 352:49.0 358:8.0 362:11.0 366:13.0 377:14.0 380:18.0 383:12.0 386:16.0 396:14.0 405:2.0 407:7.0 412:38.0 415:2.0 421:16.0 423:13.0 429:8.0 430:9.0 432:24.0 434:2.0 439:23.0 441:12.0 446:2.0 448:12.0 453:20.0 461:37.0 469:9.0 473:5.0 474:11.0 475:7.0 490:17.0 493:1.0</t>
  </si>
  <si>
    <t>85:2.0 91:64.0 95:7.0 96:3.0 101:122.0 105:17.0 109:25.0 110:55.0 115:107.0 116:56.0 117:6645.0 118:559.0 119:170.0 130:3.0 131:5.0 133:204.0 137:459.0 139:8.0 140:22.0 141:32.0 143:60.0 144:8.0 147:1984.0 152:5.0 153:7.0 157:29.0 172:24.0 184:75.0 193:1.0 198:12.0 202:4.0 205:90.0 206:4.0 207:2.0 216:7.0 218:4.0 219:17.0 220:31.0 227:2.0 228:15.0 235:2.0 236:6.0 245:22.0 253:9.0 256:3.0 259:1.0 266:29.0 268:9.0 272:8.0 275:11.0 279:26.0 286:13.0 297:11.0 299:10.0 303:2.0 305:29.0 306:3.0 307:8.0 309:17.0 317:2.0 326:13.0 327:30.0 329:33.0 333:10.0 360:25.0 366:42.0 381:10.0 398:24.0 400:4.0 402:16.0 409:6.0 426:8.0 440:6.0 444:6.0 456:20.0 458:37.0 460:12.0 462:19.0 464:27.0 476:6.0 489:27.0</t>
  </si>
  <si>
    <t>85:476.0 87:124.0 88:62.0 97:111.0 98:133.0 99:20.0 101:96.0 102:43.0 103:7202.0 104:628.0 105:259.0 106:151.0 107:47.0 109:49.0 110:75.0 113:5229.0 114:621.0 115:199.0 117:34.0 119:33.0 120:13.0 121:13.0 122:6.0 126:248.0 127:1352.0 128:801.0 129:16.0 131:103.0 133:88.0 147:5683.0 148:921.0 149:350.0 150:66.0 153:1.0 157:26.0 161:140.0 162:1.0 171:22.0 186:9.0 195:14.0 198:5.0 218:4.0 231:5.0 286:5.0 303:1.0 307:24.0 310:17.0 319:11.0 334:2.0 346:27.0 351:12.0 352:9.0 359:2.0 366:12.0 367:20.0 377:32.0 382:12.0 384:3.0 385:18.0 387:8.0 388:6.0 393:19.0 405:5.0 406:5.0 416:4.0 421:20.0 423:1.0 424:15.0 431:1.0 435:14.0 440:4.0 443:6.0 448:5.0 449:34.0 452:11.0 468:4.0 478:20.0 481:35.0 484:10.0 493:4.0 496:13.0</t>
  </si>
  <si>
    <t>85:165.0 86:298.0 87:1208.0 89:542.0 90:58.0 91:814.0 93:169.0 94:52.0 98:140.0 100:11.0 101:369.0 102:149.0 103:2325.0 104:9.0 105:2173.0 106:213.0 107:429.0 109:21.0 110:237.0 117:2843.0 118:15.0 119:24621.0 120:3151.0 121:1741.0 122:88.0 123:19.0 126:88.0 130:110.0 131:551.0 132:63.0 133:3199.0 134:1176.0 140:132.0 143:61.0 145:719.0 147:23183.0 148:3312.0 149:1696.0 150:16.0 159:226.0 161:2682.0 162:427.0 163:166.0 165:36.0 166:28.0 168:30.0 173:25.0 175:17028.0 176:2911.0 177:1188.0 178:46.0 184:224.0 185:14.0 186:3.0 189:928.0 190:146.0 192:37.0 193:15.0 203:13.0 216:74.0 235:3.0 312:11.0 324:26.0 326:1.0 331:5.0 374:2.0 402:14.0 406:22.0 413:3.0 423:14.0 444:14.0 448:18.0 482:13.0 484:20.0</t>
  </si>
  <si>
    <t>85:25.0 86:285.0 87:217.0 88:9861.0 89:792.0 90:211.0 91:68.0 93:244.0 100:406.0 102:349.0 103:92.0 107:245.0 108:154.0 109:144.0 110:67.0 113:11.0 115:969.0 116:134.0 117:299.0 129:1.0 130:1331.0 145:6356.0 146:663.0 147:583.0 157:77.0 160:432.0 161:9.0 184:501.0 193:38.0 209:163.0 269:5.0 420:3.0</t>
  </si>
  <si>
    <t>85:272.0 86:6663.0 87:559.0 88:89.0 89:1542.0 90:13.0 91:126.0 92:13.0 96:8.0 98:24.0 99:6.0 100:3128.0 101:4511.0 102:1664.0 108:27.0 109:13.0 112:208.0 113:53.0 114:314.0 115:411.0 116:666.0 117:666.0 118:295.0 122:59.0 123:16.0 126:27.0 127:93.0 128:427.0 130:754.0 131:893.0 132:215.0 139:82.0 140:227.0 141:24.0 142:153.0 144:485.0 145:32.0 146:231.0 147:802.0 148:18.0 149:103.0 151:10.0 152:79.0 153:13.0 154:83.0 155:129.0 156:2549.0 157:442.0 158:800.0 159:142.0 160:694.0 161:75.0 162:62.0 163:22.0 165:90.0 167:254.0 168:73.0 170:60.0 171:46.0 172:5503.0 173:1895.0 174:6751.0 175:1239.0 176:511.0 177:27.0 179:27.0 182:1.0 183:323.0 184:36.0 185:145.0 186:79.0 187:351.0 188:4.0 190:79.0 191:93.0 192:159.0 196:34.0 197:647.0 198:116.0 199:2209.0 200:360.0 201:137.0 202:77.0 203:87.0 204:29.0 211:10.0 212:565.0 213:474.0 214:285.0 215:50.0 218:47.0 222:6.0 224:27.0 225:111.0 226:87.0 227:73.0 228:3.0 229:17.0 230:3.0 231:1.0 232:27.0 236:3.0 239:221.0 240:142.0 241:105.0 242:43.0 243:218.0 244:1212.0 245:247.0 246:244.0 247:48.0 248:77.0 249:2.0 250:24.0 252:11.0 255:97.0 256:29.0 259:12.0 260:23.0 261:11.0 262:13.0 263:16.0 267:17.0 271:1.0 272:26.0 273:3.0 274:17.0 276:15.0 277:17.0 278:1.0 280:27.0 282:39.0 283:32.0 285:46.0 288:72.0 291:40.0 292:26.0 296:39.0 299:511.0 300:108.0 301:84.0 304:45.0 305:37.0 314:83.0 315:95.0 316:34.0 319:90.0 321:4.0 323:34.0 325:6.0 328:23.0 329:733.0 330:1469.0 331:446.0 332:206.0 333:30.0 334:26.0 335:16.0 336:47.0 338:1.0 339:10.0 340:26.0 343:13.0 344:22.0 345:914.0 346:331.0 347:157.0 348:68.0 349:52.0 350:65.0 352:39.0 353:24.0 355:5.0 357:217.0 358:16.0 361:140.0 362:67.0 363:76.0 365:37.0 368:3.0 370:45.0 372:9.0 373:23.0 376:13.0 378:12.0 382:9.0 384:8.0 385:25.0 387:27.0 393:5.0 394:5.0 395:23.0 396:3.0 397:36.0 399:27.0 400:2.0 401:35.0 402:25.0 403:11.0 404:8.0 405:20.0 406:37.0 407:23.0 408:29.0 409:3.0 412:40.0 413:16.0 414:3.0 415:10.0 418:5.0 419:6.0 420:53.0 422:12.0 425:46.0 427:33.0 429:20.0 430:16.0 431:1.0 432:10.0 434:27.0 435:55.0 437:24.0 438:30.0 439:1.0 440:10.0 441:61.0 443:4.0 445:58.0 446:33.0 447:17.0 449:24.0 451:1.0 453:20.0 455:23.0 456:13.0 457:13.0 458:1.0 459:26.0 460:1.0 462:66.0 464:17.0 465:55.0 467:12.0 468:17.0 470:29.0 471:31.0 473:4.0 475:1.0 476:6.0 477:38.0 479:15.0 481:36.0 484:41.0 485:35.0 486:8.0 487:17.0 488:23.0 489:4.0 490:39.0 494:12.0 496:13.0 497:6.0 498:2.0 499:24.0 500:17.0</t>
  </si>
  <si>
    <t>86:86.0 90:11.0 91:2.0 92:62.0 93:175.0 95:134.0 97:220.0 98:99.0 100:82.0 104:3.0 107:2235.0 108:134.0 109:124.0 110:720.0 117:451.0 118:196.0 122:402.0 123:251.0 124:44.0 125:33.0 126:142.0 127:410.0 128:52.0 130:1421.0 134:1816.0 135:222.0 136:280.0 137:76.0 138:44.0 139:15.0 143:166.0 144:10.0 146:21.0 148:292.0 149:200.0 152:5447.0 153:661.0 154:235.0 159:11.0 165:9.0 166:734.0 167:478.0 168:33.0 181:7.0 184:812.0 185:37.0 188:5.0 190:70.0 195:29.0 199:133.0 200:3.0 203:6.0 207:3.0 209:15.0 211:16.0 213:20.0 218:3.0 219:4.0 225:21.0 227:17.0 230:4.0 235:8.0 241:4.0 249:1.0 263:9.0 265:3.0 273:8.0 274:5.0 284:11.0 292:16.0 294:5.0 301:6.0 306:13.0 310:2.0 312:21.0 316:26.0 320:11.0 321:17.0 322:22.0 323:5.0 336:5.0 342:13.0 343:9.0 345:5.0 350:11.0 352:12.0 355:6.0 358:8.0 361:13.0 362:20.0 365:16.0 368:16.0 371:3.0 374:13.0 377:25.0 382:1.0 386:27.0 391:23.0 398:14.0 401:4.0 403:1.0 412:8.0 415:16.0 416:4.0 418:6.0 419:2.0 433:26.0 441:4.0 442:9.0 443:5.0 445:18.0 450:3.0 452:12.0 456:8.0 458:21.0 459:12.0 462:23.0 464:34.0 466:19.0 470:30.0 473:13.0 474:5.0 479:27.0 480:13.0 485:6.0 487:18.0 489:15.0 492:3.0 500:19.0</t>
  </si>
  <si>
    <t>85:331.0 86:4.0 87:362.0 88:53.0 89:42.0 90:32.0 91:846.0 92:15.0 93:566.0 95:234.0 96:12.0 99:144.0 100:101.0 101:243.0 103:1295.0 104:135.0 105:409.0 107:811.0 108:51.0 109:552.0 110:57.0 113:131.0 117:2439.0 118:137.0 119:319.0 121:176.0 122:35.0 123:452.0 125:150.0 129:159.0 133:383.0 135:685.0 136:157.0 139:133.0 141:257.0 142:4.0 148:64.0 150:40.0 151:219.0 152:2.0 153:42.0 154:26.0 155:79.0 157:210.0 158:35.0 159:93.0 160:80.0 161:1189.0 162:129.0 163:109.0 164:50.0 165:81.0 166:47.0 167:448.0 168:140.0 169:216.0 171:34.0 173:269.0 175:58.0 177:112.0 179:290.0 181:502.0 182:33.0 183:285.0 184:79.0 185:99.0 186:9.0 187:13.0 188:61.0 189:114.0 191:266.0 192:25.0 194:78.0 195:77.0 197:178.0 200:38.0 204:233.0 209:87.0 211:19.0 214:34.0 215:21.0 217:212.0 218:50.0 223:2763.0 224:588.0 225:333.0 226:11.0 227:51.0 228:19.0 229:63.0 230:54.0 231:80.0 232:9.0 234:5.0 237:10.0 238:3.0 239:53.0 241:8.0 243:11.0 244:14.0 248:22.0 251:43.0 252:33.0 254:22.0 257:72.0 260:21.0 262:2.0 265:130.0 266:11.0 267:198.0 268:115.0 269:11.0 270:39.0 271:15.0 273:5.0 274:13.0 278:9.0 280:9.0 281:70.0 284:6.0 289:8.0 291:13.0 293:4.0 298:3.0 299:10.0 305:55.0 306:29.0 309:38.0 311:247.0 312:52.0 314:41.0 316:80.0 319:87.0 320:20.0 321:35.0 323:32.0 326:29.0 327:52.0 333:7.0 339:7.0 341:28.0 342:43.0 345:2.0 346:4.0 348:1.0 350:9.0 354:19.0 358:10.0 360:13.0 362:12.0 363:23.0 365:11.0 369:12.0 371:17.0 372:35.0 373:24.0 374:6.0 377:6.0 384:2.0 385:12.0 386:4.0 387:28.0 389:7.0 392:46.0 393:56.0 396:3.0 401:59.0 402:7.0 403:22.0 411:14.0 415:1.0 416:10.0 417:4.0 422:29.0 424:6.0 425:24.0 426:11.0 428:8.0 432:10.0 438:30.0 441:5.0 450:3.0 451:6.0 452:5.0 456:4.0 457:28.0 459:19.0 462:6.0 464:1.0 471:25.0 473:9.0 477:20.0 481:26.0 484:18.0 488:14.0 489:1.0 490:6.0 491:3.0 494:2.0 498:6.0 499:3.0</t>
  </si>
  <si>
    <t>85:330.0 86:171.0 87:41.0 89:326.0 90:128.0 95:3.0 98:309.0 99:249.0 100:1546.0 101:470.0 102:1366.0 108:39.0 113:268.0 114:405.0 115:904.0 116:199.0 117:112.0 118:48.0 119:50.0 124:22.0 126:109.0 128:931.0 129:255.0 130:760.0 131:319.0 132:317.0 138:26.0 140:169.0 141:165.0 142:6708.0 143:1109.0 144:713.0 146:248.0 147:2762.0 148:534.0 149:277.0 150:56.0 153:228.0 155:177.0 156:17.0 157:70.0 158:271.0 159:142.0 161:12.0 162:599.0 163:41.0 164:59.0 165:273.0 166:734.0 168:8.0 169:214.0 170:153.0 171:5.0 174:151.0 183:15.0 184:117.0 186:157.0 188:15.0 197:2.0 198:1.0 200:47.0 203:20.0 204:405.0 206:72.0 214:5.0 215:117.0 216:259.0 217:42.0 218:258.0 219:21.0 220:16.0 227:15.0 231:121.0 232:129.0 236:1.0 241:72.0 243:223.0 244:208.0 245:45.0 255:422.0 256:49.0 258:47.0 259:51.0 317:3.0 322:7.0 329:28.0 330:18.0 340:5.0 342:5.0 348:92.0 349:25.0 351:8.0 371:5.0 407:7.0 416:21.0 434:18.0 440:14.0 453:12.0</t>
  </si>
  <si>
    <t>85:90.0 86:11.0 90:34.0 98:236.0 99:316.0 100:483.0 113:152.0 114:329.0 130:90.0 143:263.0 144:67.0 156:1.0 158:14.0 171:217.0 172:120.0 174:3726.0 175:520.0 176:59.0 179:8.0 228:17.0 232:48.0 234:25.0 256:23.0 257:57.0 259:2.0 280:3.0 314:4.0 316:16.0 318:20.0 321:12.0 329:77.0 330:19.0 337:6.0 341:5.0 342:23.0 346:1.0 348:13.0 356:10.0 358:18.0 364:8.0 365:3.0 367:1.0 375:4.0 381:3.0 385:7.0 393:12.0 403:2.0 404:10.0 411:17.0 412:3.0 415:8.0 434:3.0 437:2.0 457:1.0 470:8.0 472:10.0 478:22.0 495:21.0 496:14.0</t>
  </si>
  <si>
    <t>93:6879.0 94:401.0 95:2746.0 96:260.0 98:4.0 99:201.0 100:13.0 101:190.0 103:480.0 107:30.0 109:375.0 123:9575.0 124:719.0 125:3907.0 128:46.0 130:3.0 135:183.0 143:60.0 165:338.0 166:42.0 167:50.0 174:373.0 175:33.0 184:656.0 185:110.0 207:976.0 208:21.0 209:109.0 228:536.0 229:69.0 294:13.0 295:84.0 297:2.0 371:8.0 403:14.0</t>
  </si>
  <si>
    <t>86:170.0 88:155.0 90:572.0 91:81.0 97:244.0 100:971.0 101:178.0 102:97.0 108:141.0 109:86.0 110:717.0 112:177.0 113:230.0 114:49.0 116:13.0 118:144.0 126:1.0 128:23.0 130:51.0 131:32.0 134:1331.0 135:183.0 136:81.0 140:3748.0 141:207.0 143:63.0 147:502.0 148:118.0 160:9.0 168:21.0 170:8.0 171:278.0 175:34.0 184:1853.0 185:187.0 186:210.0 200:162.0 217:8.0 224:1.0 227:1127.0 228:127.0 229:40.0 241:234.0 242:13.0 255:13.0 265:16.0 269:20.0 273:7.0 303:11.0 322:25.0 328:9.0 329:6.0 331:11.0 332:18.0 345:15.0 352:12.0 361:8.0 370:18.0 412:3.0 426:32.0 428:2.0 430:18.0 438:8.0 481:11.0 484:20.0</t>
  </si>
  <si>
    <t>85:6447.0 86:345.0 87:14.0 89:34.0 93:50.0 97:98.0 98:19.0 99:1945.0 101:272.0 103:1234.0 104:25.0 105:4.0 107:93.0 110:119.0 111:308.0 112:235.0 113:952.0 114:64.0 116:410.0 117:879.0 118:117.0 125:52.0 126:185.0 127:525.0 128:24.0 129:232.0 131:19.0 133:138.0 134:231.0 135:8.0 141:75.0 145:47.0 146:26.0 147:1676.0 148:120.0 149:233.0 154:28.0 155:258.0 161:59.0 168:20.0 169:110.0 184:35.0 189:332.0 190:1.0 191:184.0 204:232.0 205:543.0 206:66.0 217:1027.0 218:87.0 219:39.0 231:14.0 254:18.0 298:3.0 307:37.0 322:7.0 331:4.0 336:19.0 360:10.0 397:8.0 402:11.0 407:9.0 424:7.0 439:28.0 471:15.0 476:1.0</t>
  </si>
  <si>
    <t>87:14.0 92:27.0 93:208.0 94:256.0 95:308.0 96:353.0 97:857.0 98:53.0 99:11.0 107:365.0 108:57.0 110:50.0 111:67.0 112:99.0 113:35.0 114:31.0 118:28.0 121:86.0 122:176.0 123:91.0 124:176.0 126:359.0 128:10.0 130:77.0 136:1.0 137:21.0 138:65.0 139:156.0 141:50.0 145:21.0 151:283.0 152:46.0 153:9.0 154:622.0 155:113.0 156:3.0 158:56.0 169:492.0 170:28.0 172:13.0 181:13.0 182:8.0 184:192.0 186:5.0 193:10.0 199:22.0 207:104.0 209:6.0 211:29.0 212:6.0 227:5.0 232:6.0 249:16.0 253:19.0 255:43.0 258:27.0 269:187.0 270:65.0 271:39.0 273:16.0 275:2.0 278:3.0 281:2.0 282:5.0 284:21.0 285:2027.0 286:481.0 287:320.0 288:31.0 289:532.0 290:143.0 291:49.0 305:8.0 312:16.0 316:34.0 331:6.0 332:12.0 336:5.0 339:4.0 341:7.0 353:24.0 354:24.0 369:15.0 371:6.0 377:86.0 378:26.0 379:21.0 380:10.0 397:16.0 398:3.0 405:14.0 408:31.0 410:12.0 421:38.0 422:3.0 430:6.0 456:4.0 457:18.0 482:15.0 484:30.0 486:12.0 488:17.0 490:12.0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</si>
  <si>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</si>
  <si>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</si>
  <si>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86:356.0 88:880.0 89:7015.0 90:758.0 91:462.0 92:35.0 98:80.0 99:38.0 100:1359.0 102:1293.0 103:9.0 104:135.0 107:18.0 108:51.0 110:561.0 113:194.0 116:2967.0 117:267.0 120:29.0 122:8.0 123:118.0 128:6.0 130:502.0 131:1135.0 132:87.0 133:577.0 134:642.0 140:79.0 143:74.0 144:39.0 145:22.0 146:83.0 152:21.0 161:388.0 162:55.0 176:1583.0 177:132.0 178:30.0 182:70.0 184:287.0 197:73.0 297:19.0 411:1.0</t>
  </si>
  <si>
    <t>89:12.0 93:46.0 95:45.0 96:155.0 99:22.0 100:35.0 101:220.0 102:29.0 103:42.0 105:4.0 108:6.0 111:59.0 113:22.0 114:17.0 115:82.0 116:48.0 120:42.0 123:26.0 124:28.0 129:2105.0 130:229.0 131:56.0 132:27.0 133:103.0 135:41.0 137:3.0 142:26.0 144:30.0 145:82.0 146:114.0 152:6.0 153:22.0 157:28.0 159:12.0 163:20.0 164:1.0 165:70.0 167:1.0 169:30.0 181:44.0 185:8.0 188:4.0 191:139.0 193:42.0 194:10.0 195:107.0 197:44.0 198:7.0 201:278.0 202:8.0 203:11.0 207:134.0 208:87.0 211:569.0 212:12.0 214:6.0 222:27.0 225:65.0 227:107.0 231:22.0 236:25.0 241:10.0 242:5.0 243:309.0 244:23.0 245:15.0 248:23.0 252:3.0 257:85.0 269:39.0 270:9.0 271:4.0 275:7.0 276:22.0 281:57.0 283:124.0 285:24.0 286:13.0 292:12.0 293:11.0 295:36.0 297:7.0 298:41.0 299:370.0 300:69.0 301:52.0 302:19.0 303:29.0 304:2.0 311:29.0 312:35.0 314:10.0 315:138.0 316:23.0 325:42.0 326:4.0 327:111.0 328:46.0 329:5.0 335:4.0 338:29.0 341:3.0 345:27.0 346:15.0 348:15.0 354:4.0 356:42.0 357:78.0 358:23.0 362:7.0 365:8.0 366:7.0 367:6.0 371:30.0 373:9.0 374:15.0 375:11.0 381:36.0 382:22.0 384:41.0 389:24.0 390:25.0 392:23.0 397:21.0 400:11.0 412:7.0 415:10.0 421:41.0 426:17.0 431:9.0 433:8.0 444:2.0 450:9.0 456:14.0 458:5.0 463:10.0 469:8.0 475:28.0 481:14.0 487:12.0 489:13.0 491:7.0</t>
  </si>
  <si>
    <t>85:67.0 86:108.0 88:22.0 95:6.0 100:72.0 101:62.0 103:274.0 105:37.0 121:1.0 122:9.0 129:194.0 131:40.0 136:4.0 146:49.0 149:40.0 151:9.0 158:120.0 174:690.0 175:8.0 178:48.0 180:260.0 195:15.0 205:237.0 221:196.0 222:18.0 231:122.0 274:25.0 275:23.0 277:1.0 279:379.0 280:5.0 292:34.0 293:2511.0 294:889.0 295:224.0 296:15.0</t>
  </si>
  <si>
    <t>85:32.0 86:8.0 89:71.0 91:45.0 95:37.0 98:159.0 99:39.0 100:41.0 101:144.0 103:355.0 104:80.0 105:6.0 107:36.0 110:48.0 113:9.0 114:7.0 115:38.0 116:185.0 117:429.0 128:6.0 129:173.0 130:220.0 131:32.0 133:34.0 142:3133.0 143:463.0 144:113.0 147:1129.0 148:4.0 149:21.0 151:4.0 155:14.0 157:74.0 158:34.0 160:53.0 169:88.0 170:12.0 171:3.0 172:6.0 174:135.0 177:6.0 180:36.0 182:18.0 189:57.0 191:108.0 192:41.0 203:48.0 204:95.0 205:175.0 208:67.0 209:14.0 211:78.0 215:18.0 217:274.0 218:72.0 221:40.0 231:17.0 239:8.0 258:1.0 259:110.0 274:14.0 277:10.0 281:40.0 283:90.0 284:36.0 286:5.0 290:1.0 299:281.0 300:38.0 301:13.0 302:4.0 305:20.0 315:125.0 317:20.0 321:1.0 331:21.0 332:12.0 335:2.0 346:13.0 357:34.0 359:29.0 361:3.0 362:18.0 363:4.0 366:21.0 369:2.0 380:8.0 381:2.0 387:150.0 388:55.0 389:34.0 391:26.0 393:7.0 398:10.0 422:3.0 423:7.0 437:11.0 440:18.0 449:34.0 451:36.0 454:37.0 455:5.0 466:5.0 477:5.0 483:6.0 484:6.0 489:6.0 491:12.0</t>
  </si>
  <si>
    <t>85:95.0 95:8.0 99:26.0 101:203.0 115:15.0 116:4.0 118:7.0 129:2525.0 130:474.0 131:304.0 145:17.0 147:100.0 192:1.0 201:367.0 208:22.0 221:125.0 249:3.0 257:13.0 281:135.0 300:20.0 355:52.0 356:8.0 358:23.0 381:3.0 496:3.0</t>
  </si>
  <si>
    <t>85:67.0 86:247.0 92:4.0 99:17.0 100:192.0 101:2.0 102:2.0 110:37.0 111:78.0 114:12.0 116:12.0 121:31.0 128:7.0 130:26.0 135:111.0 137:5.0 140:68.0 142:3905.0 143:397.0 144:225.0 151:1.0 153:354.0 154:1501.0 155:233.0 156:476.0 157:33.0 158:23.0 163:24.0 165:20.0 166:27.0 170:5.0 173:21.0 174:1439.0 175:226.0 182:25.0 193:114.0 197:54.0 206:3.0 209:19.0 211:2.0 214:20.0 225:16.0 227:45.0 246:2.0 255:3.0 266:18.0 274:6.0 281:24.0 297:79.0 298:36.0 299:38.0 314:1.0 341:16.0 357:11.0 370:5.0 374:20.0 380:4.0 387:5.0 396:29.0 404:41.0 419:13.0 425:59.0 444:17.0 467:11.0 475:4.0 487:38.0 489:14.0</t>
  </si>
  <si>
    <t>85:32439.0 86:619395.0 87:62752.0 88:76501.0 89:7521.0 90:2592.0 92:104.0 94:323.0 95:1791.0 96:1816.0 97:7693.0 98:27085.0 99:31904.0 100:342248.0 101:48570.0 102:65453.0 103:14703.0 104:3975.0 105:875.0 106:2929.0 107:206.0 109:1057.0 110:4999.0 111:3173.0 112:97628.0 113:31402.0 114:43936.0 115:29407.0 116:50807.0 117:51161.0 118:12815.0 119:4128.0 120:804.0 121:464.0 122:441.0 123:1078.0 124:8872.0 125:2161.0 126:24602.0 127:4030.0 128:30076.0 129:15973.0 130:178259.0 131:84305.0 132:41830.0 133:8404.0 134:1994.0 135:979.0 136:869.0 137:610.0 138:8145.0 139:2670.0 140:45735.0 141:8305.0 142:25317.0 143:14830.0 144:18735.0 145:5984.0 146:63025.0 147:3632.0 148:4114.0 149:126.0 150:722.0 151:390.0 152:729.0 153:1290.0 154:34031.0 155:9500.0 156:25117.0 157:6651.0 158:48740.0 159:9212.0 160:47325.0 161:8349.0 162:3626.0 163:415.0 164:270.0 165:11.0 166:209.0 167:108.0 168:909.0 169:442.0 170:5942.0 171:1624.0 172:37506.0 173:10005.0 174:2063486.0 175:457069.0 176:206940.0 177:28035.0 178:5287.0 179:320.0 180:5926.0 181:315.0 182:1699.0 184:8752.0 185:3420.0 186:74160.0 187:16462.0 188:20547.0 189:4204.0 190:2251.0 191:333.0 192:239.0 193:17.0 194:162.0 195:124.0 196:980.0 197:693.0 198:9199.0 199:3239.0 200:42246.0 201:9376.0 202:7093.0 203:2157.0 204:1907.0 205:544.0 206:182.0 209:43.0 210:337.0 211:858.0 212:9396.0 213:7307.0 214:15299.0 215:3999.0 216:17741.0 217:3897.0 218:3156.0 219:830.0 220:259.0 222:38.0 223:50.0 224:92.0 225:279.0 226:864.0 227:9929.0 228:8287.0 229:39931.0 230:10799.0 231:3921.0 232:1042.0 233:195.0 234:139.0 235:48.0 236:111.0 237:25.0 238:75.0 239:19.0 240:4.0 241:359.0 242:565.0 243:330.0 244:350.0 246:109.0 247:21.0 248:78.0 249:37.0 250:63.0 251:38.0 252:45.0 253:63.0 254:132.0 255:158.0 256:159.0 257:125.0 258:171.0 259:383.0 260:281.0 261:268.0 262:227.0 263:150.0 264:202.0 265:234.0 266:156.0 267:132.0 268:161.0 269:222.0 270:247.0 271:380.0 272:284.0 273:235.0 274:264.0 275:253.0 276:249.0 277:229.0 278:255.0 279:170.0 280:193.0 281:171.0 282:230.0 283:154.0 284:232.0 285:356.0 286:245.0 287:913.0 288:453.0 289:241.0 290:263.0 291:253.0 292:228.0 293:207.0 294:263.0 295:216.0 296:208.0 297:259.0 298:230.0 299:166.0 300:304.0 301:517.0 302:330.0 303:1151.0 304:449.0 305:393.0 306:223.0 307:341.0 308:259.0 309:221.0 310:187.0 311:181.0 312:120.0 313:130.0 314:96.0 315:369.0 316:222.0 317:305.0 318:198.0 319:102.0 320:64.0 321:80.0 322:42.0 323:38.0 324:93.0 325:50.0 326:23.0 327:125.0 328:14.0 329:38.0 330:51.0 331:46.0 332:45.0 333:43.0 334:51.0 335:13.0 336:66.0 337:58.0 339:25.0 341:59.0 343:88.0 344:25.0 345:63.0 347:1.0 348:16.0 351:37.0 353:38.0 355:24.0 361:43.0 363:22.0 364:22.0 367:2.0 368:22.0 369:10.0 370:1.0 372:56.0 373:177.0 374:1205.0 375:58014.0 376:24713.0 377:13143.0 378:3533.0 379:1139.0 380:147.0 381:95.0 382:61.0 384:26.0 385:7.0 388:117.0 389:2810.0 390:5904.0 391:2676.0 392:1237.0 393:371.0 394:43.0 395:52.0 396:44.0 397:64.0 398:36.0 399:34.0 400:48.0 401:11.0 404:6.0 411:34.0 412:20.0 413:38.0 414:16.0 415:20.0 416:36.0 418:3.0 423:14.0 425:13.0 427:41.0 428:7.0 429:10.0 430:30.0 431:20.0 432:4.0 433:12.0 434:17.0 435:11.0 436:26.0 442:35.0 445:24.0 446:51.0 447:16.0 448:3.0 449:29.0 451:18.0 452:12.0 455:21.0 458:16.0 459:27.0 462:11.0 463:20.0 464:6.0 465:12.0 466:24.0 467:28.0 468:36.0 470:9.0 473:19.0 475:1.0 480:9.0 483:28.0 485:25.0 486:19.0 490:37.0 491:18.0 493:4.0 495:28.0 496:19.0 497:19.0 499:20.0 500:3.0</t>
  </si>
  <si>
    <t>85:63.0 88:29.0 89:895.0 90:14.0 91:7.0 92:1.0 93:18.0 94:62.0 95:57.0 96:748.0 97:8.0 98:59.0 99:97.0 100:403.0 101:361.0 102:676.0 103:4977.0 104:359.0 105:133.0 106:124.0 107:28.0 108:88.0 109:49.0 110:118.0 111:97.0 112:124.0 113:176.0 114:279.0 115:57.0 116:157.0 117:2168.0 118:231.0 119:10.0 121:7.0 123:509.0 124:101.0 125:103.0 126:76.0 128:1251.0 129:897.0 130:222.0 131:374.0 132:53.0 133:545.0 135:224.0 137:59.0 138:6.0 139:49.0 140:101.0 142:1151.0 143:137.0 144:361.0 145:70.0 146:41.0 147:4230.0 148:423.0 149:468.0 150:56.0 151:6.0 152:81.0 153:38.0 154:608.0 155:65.0 156:634.0 157:55.0 159:101.0 160:38.0 161:96.0 163:35.0 165:12.0 166:11.0 167:121.0 168:233.0 169:159.0 170:134.0 171:38.0 172:311.0 173:489.0 178:18.0 179:73.0 180:11.0 181:18.0 182:179.0 183:227.0 184:447.0 185:441.0 186:285.0 187:62.0 189:489.0 190:24.0 191:216.0 194:96.0 196:9.0 197:134.0 198:27.0 199:128.0 200:1635.0 201:812.0 202:244.0 204:29.0 205:809.0 206:110.0 207:31.0 208:37.0 209:88.0 210:11.0 212:36.0 213:155.0 214:335.0 215:109.0 216:16.0 217:1028.0 218:403.0 219:153.0 220:60.0 221:43.0 222:46.0 223:21.0 224:58.0 225:171.0 226:14.0 228:351.0 229:159.0 230:174.0 231:10.0 232:51.0 233:35.0 234:3.0 237:155.0 241:9.0 242:46.0 244:93.0 246:37.0 248:34.0 249:28.0 250:2.0 252:57.0 253:23.0 254:2.0 256:164.0 257:212.0 258:161.0 259:11.0 261:1.0 263:3.0 270:13.0 272:2384.0 273:570.0 274:246.0 275:50.0 277:92.0 281:45.0 282:38.0 286:4.0 287:34.0 288:4.0 292:35.0 297:3.0 298:5.0 299:52.0 303:14.0 305:2.0 306:8.0 307:67.0 308:2.0 309:13.0 310:3.0 311:30.0 312:18.0 313:7.0 315:138.0 316:84.0 317:19.0 318:4.0 319:9.0 320:1.0 322:2.0 323:11.0 324:6.0 325:38.0 326:5.0 327:1.0 329:5.0 331:8.0 332:2.0 333:1.0 337:17.0 338:1.0 339:36.0 341:1.0 344:28.0 346:2.0 347:76.0 349:7.0 350:1.0 353:28.0 354:10.0 355:7.0 356:10.0 365:4.0 366:14.0 390:5.0 394:1.0 397:2.0 401:1.0 407:1.0 409:8.0 412:1.0 414:6.0 416:2.0 421:2.0 429:6.0 432:11.0 442:10.0 443:51.0 444:38.0 445:6.0 446:15.0 448:3.0 456:41.0 457:17.0 463:25.0 467:36.0 468:33.0 470:1.0 490:9.0 491:1.0 492:3.0 493:1.0 495:1.0 500:14.0</t>
  </si>
  <si>
    <t>86:234.0 89:561.0 90:18.0 91:463.0 93:55.0 94:55.0 100:405.0 102:195.0 103:1354.0 104:89.0 105:793.0 115:2.0 117:788.0 118:97.0 122:2.0 129:244.0 130:353.0 131:101.0 132:5069.0 133:868.0 139:58.0 140:1.0 141:1.0 142:317.0 143:74.0 145:98.0 147:1579.0 148:226.0 149:205.0 150:33.0 151:1.0 153:174.0 156:1701.0 157:262.0 158:2414.0 159:345.0 160:72.0 168:28.0 169:17.0 170:21.0 172:121.0 173:30.0 174:476.0 177:68.0 181:43.0 185:2.0 186:57.0 188:36.0 189:20.0 190:41.0 191:73.0 192:5.0 193:3.0 194:50.0 201:54.0 202:64.0 203:35.0 204:985.0 205:399.0 206:111.0 207:65.0 208:6.0 209:28.0 214:54.0 216:92.0 217:138.0 218:152.0 224:1.0 227:35.0 228:24.0 230:43.0 231:4.0 232:141.0 234:72.0 241:37.0 242:110.0 243:38.0 244:51.0 245:18.0 246:24.0 253:15.0 254:68.0 255:1.0 258:43.0 267:108.0 273:78.0 274:20.0 278:35.0 279:13.0 281:16.0 282:8.0 293:20.0 294:27.0 298:3.0 299:1.0 300:37.0 304:10.0 308:27.0 310:14.0 317:17.0 318:1.0 322:290.0 323:61.0 329:41.0 332:1.0 341:23.0 342:38.0 345:18.0 347:5.0 350:2.0 351:1.0 357:168.0 358:46.0 359:21.0 366:9.0 367:4.0 370:6.0 380:47.0 381:8.0 385:15.0 386:4.0 390:28.0 391:10.0 402:19.0 403:7.0 406:10.0 408:13.0 409:8.0 411:8.0 417:3.0 418:5.0 420:7.0 422:6.0 427:19.0 431:19.0 434:10.0 439:6.0 440:27.0 441:5.0 444:2.0 445:3.0 447:58.0 448:32.0 450:1.0 452:1.0 458:27.0 466:15.0 473:2.0 477:2.0 482:17.0 484:2.0 489:16.0 490:27.0 493:26.0</t>
  </si>
  <si>
    <t>90:66.0 91:1235.0 92:129.0 98:108.0 99:111.0 100:608.0 102:131.0 103:342.0 104:536.0 107:160.0 108:17.0 109:23.0 110:47.0 111:1.0 113:15.0 118:34.0 124:18.0 125:104.0 127:47.0 128:75.0 131:82.0 132:8.0 137:11.0 140:16.0 142:25.0 147:27.0 152:12.0 153:213.0 154:129.0 155:34.0 156:268.0 157:13.0 160:99.0 170:227.0 172:12.0 174:772.0 175:96.0 181:113.0 182:59.0 189:24.0 196:36.0 197:4085.0 198:588.0 199:243.0 200:129.0 201:111.0 204:14.0 209:729.0 210:125.0 212:4.0 216:29.0 221:94.0 222:22.0 224:24.0 225:3237.0 226:585.0 227:107.0 228:18.0 232:31.0 237:20.0 245:12.0 246:48.0 273:79.0 281:94.0 289:11.0 295:65.0 297:39.0 301:308.0 302:70.0 308:5.0 316:428.0 317:157.0 320:17.0 325:53.0 327:11.0 339:12.0 341:24.0 342:8.0 344:7.0 347:35.0 370:10.0 373:9.0 375:5.0 376:9.0 378:9.0 379:11.0 380:10.0 382:7.0 396:1.0 398:30.0 401:28.0 418:13.0 426:2.0 427:2.0 428:7.0 432:11.0 437:6.0 443:21.0 453:31.0 461:15.0 466:5.0 467:2.0 469:5.0 478:2.0 482:28.0 483:12.0 492:19.0 497:53.0</t>
  </si>
  <si>
    <t>85:247.0 86:2133.0 87:110.0 88:457.0 89:994.0 90:115.0 91:538.0 94:48.0 96:429.0 97:134.0 98:2783.0 99:316.0 100:1158.0 101:553.0 102:836.0 103:3895.0 104:234.0 105:92.0 107:15.0 109:126.0 110:99.0 111:3.0 112:222.0 113:132.0 114:351.0 115:92.0 116:367.0 117:2202.0 118:261.0 119:134.0 123:66.0 126:230.0 127:175.0 128:507.0 129:781.0 130:634.0 131:563.0 132:104.0 133:897.0 135:22.0 137:48.0 138:14.0 140:299.0 141:87.0 142:559.0 143:122.0 144:355.0 145:112.0 146:357.0 147:3964.0 148:510.0 149:518.0 150:24.0 153:17.0 154:502.0 155:241.0 156:4880.0 157:622.0 158:443.0 159:51.0 160:129.0 161:119.0 162:54.0 165:4.0 167:139.0 168:176.0 169:129.0 170:119.0 171:94.0 172:292.0 173:623.0 174:3150.0 175:671.0 176:154.0 177:23.0 178:10.0 179:202.0 182:29.0 183:93.0 184:73.0 185:54.0 186:235.0 187:35.0 189:426.0 190:18.0 191:125.0 195:13.0 196:36.0 197:35.0 200:198.0 201:643.0 202:70.0 203:51.0 204:170.0 205:803.0 206:99.0 207:183.0 208:63.0 209:90.0 212:28.0 213:39.0 214:277.0 217:1157.0 218:253.0 219:120.0 220:14.0 221:70.0 224:4.0 225:71.0 226:115.0 227:62.0 228:208.0 229:26.0 232:36.0 233:6.0 237:25.0 239:82.0 240:55.0 241:54.0 242:74.0 243:32.0 244:32.0 246:45.0 251:138.0 252:25.0 253:35.0 256:100.0 257:92.0 258:138.0 259:44.0 260:26.0 261:51.0 269:197.0 270:4.0 277:12.0 281:32.0 283:23.0 294:181.0 298:9.0 300:25.0 310:68.0 311:276.0 312:65.0 313:14.0 315:7.0 317:47.0 318:23.0 322:2.0 329:1.0 341:57.0 343:16.0 345:12.0 347:8.0 355:65.0 356:30.0 382:80.0 384:10.0 386:8.0 388:23.0 389:10.0 400:192.0 401:68.0 402:29.0 412:65.0 413:8.0 430:92.0 431:48.0 433:2.0 442:15.0 445:3.0 446:18.0 491:4.0</t>
  </si>
  <si>
    <t>85:53.0 86:118.0 87:57.0 88:5.0 91:50.0 94:27.0 95:53.0 96:19.0 100:186.0 101:48.0 102:219.0 107:30.0 110:24.0 111:46.0 112:115.0 113:141.0 114:3114.0 115:300.0 116:179.0 117:23.0 124:26.0 126:65.0 128:25.0 129:206.0 130:86.0 141:262.0 142:183.0 143:279.0 144:53.0 151:19.0 153:41.0 154:30.0 157:298.0 159:67.0 165:52.0 167:150.0 169:55.0 170:194.0 174:218.0 182:38.0 184:55.0 185:41.0 186:70.0 189:10.0 198:692.0 199:84.0 200:28.0 201:154.0 204:84.0 205:3.0 209:755.0 210:48.0 211:9.0 212:34.0 217:101.0 224:289.0 225:36.0 239:212.0 240:35.0 244:3.0 252:14.0 264:3.0 283:28.0 287:7.0 294:51.0 295:22.0 299:394.0 300:22.0 314:156.0 315:19.0 338:22.0 365:3.0 372:17.0 380:18.0 382:163.0 383:30.0 398:9.0 407:6.0 409:22.0 451:1.0 460:3.0 467:21.0 470:5.0 477:17.0 489:13.0 495:17.0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</si>
  <si>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</si>
  <si>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85:61.0 86:195.0 88:36.0 89:111.0 93:137.0 97:6.0 99:180.0 100:254.0 101:73.0 103:149.0 106:44.0 111:70.0 112:72.0 113:237.0 114:123.0 115:66.0 116:225.0 118:63.0 120:33.0 122:3.0 124:60.0 126:25.0 127:83.0 128:28.0 129:197.0 130:94.0 135:60.0 137:59.0 138:17.0 139:7.0 140:152.0 141:89.0 142:637.0 143:129.0 144:137.0 150:33.0 152:42.0 153:48.0 154:116.0 155:167.0 156:7246.0 157:1528.0 158:422.0 159:77.0 160:114.0 162:1.0 164:51.0 170:29.0 174:8.0 179:92.0 180:17.0 181:42.0 182:33.0 183:24.0 184:10.0 189:71.0 193:26.0 195:62.0 196:19.0 198:26.0 201:1.0 204:186.0 205:8.0 206:85.0 207:106.0 208:54.0 209:172.0 211:44.0 212:10.0 214:13.0 217:232.0 218:2.0 221:60.0 225:75.0 226:31.0 227:12.0 230:82.0 231:21.0 232:30.0 233:7.0 237:86.0 239:67.0 240:13.0 245:10.0 250:41.0 251:74.0 253:618.0 254:82.0 255:50.0 260:6.0 265:59.0 267:132.0 268:20.0 274:30.0 275:16.0 280:91.0 281:350.0 282:88.0 283:135.0 286:24.0 291:30.0 295:26.0 299:173.0 303:40.0 314:49.0 318:14.0 327:74.0 328:4.0 332:7.0 335:22.0 337:8.0 339:16.0 340:8.0 341:58.0 342:59.0 344:28.0 346:2.0 347:16.0 350:21.0 351:12.0 361:31.0 363:4.0 366:9.0 371:66.0 372:33.0 374:1.0 375:49.0 384:32.0 393:6.0 396:28.0 398:26.0 400:107.0 401:33.0 410:7.0 416:49.0 418:28.0 419:17.0 421:4.0 429:3.0 434:13.0 443:14.0 446:1.0 448:11.0 453:15.0 462:38.0 465:10.0 468:59.0 470:3.0 477:19.0 490:19.0 492:22.0 497:21.0 500:15.0</t>
  </si>
  <si>
    <t>85:401.0 86:117.0 89:561.0 90:28.0 95:15.0 96:13.0 98:201.0 99:331.0 100:64.0 101:2827.0 102:406.0 103:4644.0 104:463.0 105:182.0 106:11.0 107:174.0 109:144.0 110:277.0 111:142.0 113:367.0 114:170.0 115:532.0 116:1752.0 117:2178.0 118:210.0 119:360.0 121:52.0 123:10.0 125:4.0 127:313.0 128:113.0 129:5631.0 130:807.0 131:1560.0 132:227.0 133:2675.0 134:253.0 135:324.0 137:139.0 138:21.0 139:17.0 141:49.0 142:219.0 143:241.0 145:129.0 147:5297.0 148:769.0 149:880.0 150:34.0 151:259.0 152:11.0 153:74.0 154:36.0 155:382.0 156:103.0 157:699.0 158:191.0 159:98.0 161:34.0 163:159.0 164:11.0 168:3.0 169:147.0 170:763.0 171:430.0 172:89.0 173:168.0 175:21.0 177:318.0 178:21.0 179:34.0 181:141.0 183:103.0 184:41.0 185:94.0 187:20.0 188:28.0 189:427.0 190:156.0 191:704.0 192:108.0 193:355.0 194:62.0 195:201.0 200:23.0 201:48.0 203:242.0 204:493.0 205:359.0 207:207.0 208:68.0 209:81.0 211:829.0 212:96.0 213:1.0 215:56.0 216:21.0 217:4686.0 218:1286.0 219:539.0 220:118.0 221:52.0 224:1.0 225:241.0 226:45.0 227:163.0 228:6.0 230:25.0 231:18.0 232:58.0 234:7.0 236:5.0 242:131.0 243:539.0 244:103.0 245:48.0 246:84.0 247:225.0 248:23.0 253:10.0 256:10.0 261:48.0 267:38.0 269:56.0 271:43.0 274:17.0 278:2.0 283:130.0 284:20.0 285:95.0 286:9.0 287:15.0 289:8.0 292:5.0 298:7.0 299:3657.0 300:1034.0 301:474.0 302:95.0 303:17.0 304:7.0 306:38.0 307:70.0 308:9.0 310:23.0 313:53.0 314:432.0 315:1919.0 316:531.0 317:246.0 318:19.0 323:1.0 328:18.0 329:7.0 332:28.0 333:3.0 341:32.0 348:13.0 350:9.0 351:17.0 356:51.0 357:718.0 358:245.0 359:79.0 363:3.0 364:1.0 366:1.0 369:42.0 370:201.0 371:23.0 372:66.0 374:37.0 375:8.0 385:15.0 386:34.0 387:645.0 388:216.0 389:168.0 390:17.0 394:21.0 396:28.0 399:23.0 403:6.0 414:8.0 417:33.0 426:7.0 431:7.0 432:20.0 434:2.0 440:2.0 443:30.0 444:24.0 445:14.0 447:12.0 449:20.0 454:3.0 456:14.0 459:51.0 460:5.0 468:8.0 471:7.0 472:11.0 477:14.0 485:44.0 490:1.0 500:33.0</t>
  </si>
  <si>
    <t>85:52.0 86:269.0 90:3.0 95:30.0 96:13.0 97:94.0 99:121.0 100:551.0 101:68.0 102:5.0 103:123.0 104:3.0 108:24.0 112:577.0 113:23.0 114:90.0 116:185.0 117:270.0 124:25.0 127:209.0 128:26.0 129:447.0 130:164.0 131:249.0 133:59.0 140:112.0 142:382.0 143:77.0 144:31.0 147:1550.0 148:132.0 149:136.0 154:185.0 155:136.0 156:4046.0 157:566.0 158:328.0 167:9.0 168:173.0 170:80.0 172:66.0 174:56.0 181:50.0 182:43.0 184:99.0 185:7.0 188:46.0 195:55.0 196:50.0 197:11.0 203:4.0 204:22.0 205:49.0 209:123.0 211:30.0 214:63.0 217:141.0 222:51.0 223:61.0 224:55.0 225:177.0 226:3.0 228:175.0 229:388.0 230:368.0 231:8.0 232:26.0 238:319.0 239:203.0 240:45.0 241:39.0 254:1.0 256:66.0 257:28.0 258:4.0 267:6.0 269:199.0 270:52.0 273:2.0 274:516.0 275:60.0 283:29.0 286:81.0 293:17.0 299:29.0 325:2.0 341:137.0 343:31.0 345:7.0 356:48.0 371:26.0 382:12.0 387:109.0 388:6.0 400:9.0 415:182.0 416:16.0 417:29.0 443:61.0 459:24.0 464:5.0</t>
  </si>
  <si>
    <t>114:63.0 116:19.0 125:12.0 129:28.0 130:112.0 136:7.0 141:43.0 142:33.0 143:48.0 154:24.0 155:21.0 156:310.0 157:63.0 158:82.0 169:50.0 189:32.0 191:50.0 193:60.0 194:2.0 198:1.0 200:83.0 201:40.0 202:2298.0 203:406.0 204:470.0 206:55.0 207:643.0 208:283.0 209:254.0 214:11.0 215:9.0 223:28.0 224:10.0 228:13.0 233:5.0 237:27.0 239:46.0 242:34.0 248:10.0 249:45.0 252:41.0 253:34.0 255:19.0 256:1.0 265:31.0 267:39.0 280:8.0 281:22.0 298:11.0 313:38.0 316:28.0 327:92.0 329:29.0 330:14.0 331:207.0 332:58.0 333:27.0 337:6.0 341:6.0 342:33.0 357:35.0 362:68.0 365:6.0 369:1.0 384:15.0 386:4.0 388:39.0 389:25.0 397:1.0 400:7.0 409:11.0 410:24.0 418:22.0 440:10.0 459:24.0 461:11.0 462:9.0 464:7.0 469:6.0 475:14.0 478:43.0 480:1.0 490:16.0</t>
  </si>
  <si>
    <t>86:95.0 89:3.0 90:5.0 94:313.0 98:236.0 99:1.0 100:842.0 102:33.0 103:986.0 113:338.0 114:63.0 115:160.0 117:84.0 120:3.0 122:65.0 123:48.0 125:111.0 127:358.0 128:403.0 131:2.0 132:5.0 133:10.0 134:46.0 140:262.0 141:51.0 142:23919.0 143:3399.0 144:1383.0 147:1585.0 149:893.0 151:87.0 152:92.0 153:61.0 154:464.0 155:150.0 156:45.0 157:458.0 158:743.0 159:11.0 160:123.0 166:197.0 167:29.0 173:108.0 181:118.0 182:57.0 188:54.0 197:1.0 198:2.0 200:799.0 201:63.0 202:82.0 205:205.0 217:10.0 227:1.0 229:8.0 232:91.0 236:45.0 237:21.0 238:27.0 241:64.0 244:40.0 267:57.0 268:1.0 269:154.0 271:24.0 272:507.0 273:86.0 280:50.0 282:23.0 284:4.0 288:54.0 290:17.0 292:1.0 298:4.0 299:34.0 309:32.0 313:7.0 314:61.0 319:138.0 321:10.0 331:8.0 337:2.0 340:5.0 345:15.0 355:9.0 357:62.0 368:51.0 369:52.0 370:30.0 385:1.0 402:41.0 409:4.0 410:7.0 421:55.0 423:10.0 439:35.0 444:38.0 449:6.0 452:13.0 459:26.0 465:20.0 472:42.0 480:34.0 483:17.0 495:12.0</t>
  </si>
  <si>
    <t>85:252.0 86:1410.0 88:240.0 89:1045.0 90:106.0 94:101.0 95:107.0 96:565.0 97:127.0 99:90.0 100:807.0 101:342.0 102:363.0 103:4887.0 104:407.0 105:151.0 106:118.0 107:153.0 110:48.0 112:297.0 113:60.0 114:220.0 115:66.0 116:343.0 117:1592.0 118:265.0 123:127.0 126:82.0 128:795.0 129:756.0 130:404.0 131:276.0 132:24.0 133:848.0 134:131.0 138:10.0 139:177.0 140:116.0 141:44.0 142:606.0 143:210.0 144:235.0 145:136.0 146:150.0 147:2823.0 148:120.0 149:445.0 151:14.0 152:53.0 153:56.0 154:319.0 155:150.0 156:3714.0 157:568.0 158:344.0 159:66.0 160:72.0 162:5.0 163:114.0 164:4.0 165:72.0 167:78.0 168:147.0 169:73.0 170:68.0 171:63.0 172:294.0 173:394.0 174:2113.0 175:381.0 176:190.0 177:43.0 181:69.0 182:5.0 183:16.0 184:68.0 186:210.0 188:22.0 189:225.0 190:72.0 191:46.0 192:12.0 195:34.0 197:97.0 198:11.0 199:26.0 200:586.0 201:400.0 202:103.0 204:337.0 205:548.0 206:98.0 207:142.0 208:156.0 209:1.0 211:66.0 212:14.0 213:21.0 214:265.0 215:43.0 216:101.0 217:1338.0 218:190.0 219:85.0 221:131.0 222:3.0 225:11.0 226:22.0 227:60.0 228:123.0 229:82.0 230:37.0 239:5.0 240:36.0 241:12.0 243:91.0 244:16.0 246:73.0 255:5.0 256:188.0 257:20.0 258:128.0 259:41.0 260:47.0 262:8.0 265:10.0 267:23.0 269:97.0 270:11.0 272:66.0 273:2.0 277:43.0 283:17.0 287:23.0 290:31.0 293:35.0 295:7.0 299:53.0 300:13.0 301:40.0 303:17.0 307:35.0 311:42.0 315:99.0 327:33.0 328:36.0 331:3.0 340:14.0 342:8.0 344:16.0 355:28.0 357:1.0 361:10.0 369:19.0 375:8.0 387:65.0 388:12.0 410:7.0 422:4.0 433:10.0 442:5.0 462:5.0 475:5.0 483:1.0</t>
  </si>
  <si>
    <t>85:1.0 86:22.0 89:1.0 101:69.0 103:236.0 104:1.0 111:1.0 113:1.0 115:2.0 126:87.0 129:34.0 133:3.0 142:3013.0 143:342.0 144:113.0 147:10.0 148:1.0 149:102.0 155:18.0 162:10.0 165:2.0 176:89.0 177:10.0 178:261.0 179:238.0 181:51.0 189:1.0 191:3.0 192:10.0 193:49.0 204:24.0 206:19.0 207:211.0 208:6.0 217:81.0 218:2.0 219:18.0 221:149.0 235:20.0 237:3.0 238:1.0 243:6.0 253:13.0 258:1.0 259:1.0 264:1.0 279:36.0 280:2.0 281:76.0 295:23.0 306:1.0 312:1.0 322:1.0 341:35.0 343:7.0 358:6.0 359:7.0 361:27.0 383:31.0 387:17.0 445:7.0</t>
  </si>
  <si>
    <t>86:255.0 93:9.0 98:143.0 100:206.0 101:135.0 102:76.0 103:71.0 110:80.0 113:51.0 114:136.0 116:216.0 117:74.0 123:222.0 124:12.0 128:166.0 129:138.0 130:99.0 131:90.0 140:31.0 141:21.0 142:119.0 144:2.0 149:67.0 152:46.0 154:3.0 155:33.0 156:3637.0 157:739.0 158:1124.0 159:76.0 167:111.0 170:13.0 174:926.0 175:107.0 176:41.0 184:64.0 201:48.0 204:39.0 208:18.0 218:14.0 238:39.0 240:118.0 241:15.0 253:57.0 254:28.0 258:125.0 330:76.0 332:2.0 389:19.0</t>
  </si>
  <si>
    <t>86:112.0 89:145.0 98:46.0 99:110.0 101:1.0 102:107.0 103:472.0 107:128.0 114:20.0 116:82.0 117:296.0 118:9.0 128:30.0 129:464.0 130:34.0 133:261.0 134:189.0 142:7137.0 143:1296.0 144:687.0 147:1218.0 148:99.0 149:51.0 154:35.0 156:33.0 157:214.0 158:384.0 159:57.0 160:340.0 169:69.0 170:60.0 171:101.0 173:24.0 174:260.0 175:31.0 185:3.0 189:62.0 203:344.0 204:268.0 205:462.0 206:49.0 215:13.0 217:509.0 229:29.0 231:39.0 232:9.0 233:18.0 253:27.0 281:18.0 299:9.0 304:31.0 305:15.0 315:29.0 318:4.0 319:245.0 320:60.0 321:7.0 325:6.0 333:39.0 342:2.0 343:14.0 344:19.0 348:9.0 350:6.0 363:18.0 368:7.0 386:24.0 407:3.0 412:30.0 418:7.0 425:17.0 436:16.0 439:26.0 450:4.0 473:5.0 479:2.0 488:16.0 490:5.0</t>
  </si>
  <si>
    <t>85:183.0 86:107.0 89:130.0 95:4.0 98:160.0 99:41.0 100:118.0 101:74.0 103:592.0 107:165.0 114:46.0 115:15.0 116:137.0 117:117.0 126:192.0 127:17.0 128:9.0 129:410.0 130:67.0 131:53.0 133:128.0 134:47.0 136:156.0 140:12.0 141:23.0 142:3310.0 143:469.0 144:194.0 146:19.0 147:1362.0 148:142.0 151:29.0 153:122.0 154:289.0 157:6.0 166:112.0 168:31.0 169:131.0 173:1.0 174:172.0 179:66.0 181:18.0 184:62.0 193:47.0 195:9.0 197:97.0 203:13.0 204:26.0 205:106.0 210:22.0 211:30.0 217:832.0 218:130.0 219:19.0 223:6.0 224:75.0 225:184.0 226:37.0 240:51.0 241:24.0 243:10.0 252:3.0 255:5.0 257:30.0 258:24.0 269:672.0 270:94.0 282:16.0 290:18.0 293:25.0 308:25.0 321:4.0 332:7.0 340:45.0 356:44.0 368:79.0 408:4.0 409:72.0 410:27.0 429:14.0 431:1.0 440:6.0</t>
  </si>
  <si>
    <t>85:758.0 86:860.0 87:497.0 88:24.0 89:2.0 94:171.0 95:181.0 97:173.0 98:173.0 99:310.0 100:810.0 101:987.0 102:329.0 103:181.0 107:19.0 108:62.0 111:162.0 112:148.0 113:315.0 114:218.0 115:838.0 116:293.0 117:21510.0 118:1942.0 119:892.0 121:46.0 124:32.0 125:34.0 127:50.0 128:268.0 129:1353.0 130:1242.0 131:1059.0 132:386.0 133:1506.0 134:8.0 135:106.0 137:3.0 139:8.0 140:291.0 141:232.0 142:392.0 143:690.0 144:224.0 145:187.0 146:54.0 147:4290.0 148:736.0 149:643.0 151:118.0 152:201.0 153:193.0 154:132.0 155:75.0 157:6.0 158:214.0 159:90.0 161:6.0 166:110.0 167:267.0 168:307.0 169:467.0 170:102.0 171:27.0 172:142.0 173:110.0 174:936.0 175:24.0 176:89.0 179:162.0 180:23.0 181:117.0 182:313.0 183:231.0 184:95.0 185:149.0 186:12.0 190:41.0 193:33.0 194:24.0 195:181.0 196:68.0 198:60.0 207:44.0 211:510.0 212:84.0 213:77.0 214:33.0 215:39.0 217:787.0 218:1538.0 219:252.0 220:55.0 221:44.0 223:46.0 225:137.0 226:131.0 227:273.0 228:59.0 229:60.0 230:84.0 231:54.0 232:8.0 237:67.0 239:244.0 240:136.0 241:3109.0 242:940.0 243:409.0 244:36.0 251:9.0 253:124.0 254:10.0 255:341.0 256:131.0 257:7635.0 258:1974.0 259:697.0 260:25.0 267:293.0 268:48.0 269:463.0 270:182.0 271:188.0 272:31.0 281:30.0 282:6.0 283:176.0 284:88.0 285:108.0 286:4.0 293:3.0 294:3.0 295:17.0 297:637.0 298:139.0 299:94.0 311:1933.0 312:495.0 313:244.0 314:95.0 315:54.0 323:2.0 329:434.0 330:215.0 331:55.0 339:392.0 340:87.0 341:18.0 371:99.0 373:14.0 385:46.0 386:14.0 387:87.0 399:25.0 400:99.0 401:2709.0 402:2044.0 403:763.0 404:211.0 405:29.0 413:113.0 459:29.0</t>
  </si>
  <si>
    <t>85:212.0 86:303.0 87:179.0 88:18.0 89:67.0 94:21.0 95:82.0 97:219.0 98:113.0 99:137.0 100:1772.0 101:408.0 102:167.0 103:142.0 105:26.0 108:4.0 110:72.0 111:369.0 112:48.0 113:102.0 114:35.0 115:10.0 116:155.0 117:153.0 118:37.0 122:25.0 123:3.0 125:36.0 127:56.0 128:46.0 129:353.0 130:210.0 131:234.0 132:48.0 135:12.0 138:104.0 139:31.0 141:36.0 143:82.0 144:49.0 150:6.0 153:39.0 157:89.0 158:170.0 159:140.0 160:163.0 161:8.0 166:60.0 169:79.0 170:3.0 171:108.0 172:159.0 173:57.0 175:70.0 176:25.0 179:13.0 181:39.0 182:47.0 183:4.0 184:15.0 185:143.0 186:50.0 188:16.0 192:7.0 195:16.0 196:27.0 199:6.0 202:6.0 203:3.0 210:53.0 211:89.0 212:13.0 213:9.0 220:9.0 222:10.0 223:59.0 224:35.0 225:41.0 226:30.0 227:58.0 228:84.0 229:204.0 230:6.0 231:13.0 234:8.0 235:48.0 237:22.0 238:116.0 239:13.0 240:38.0 242:26.0 243:44.0 247:20.0 251:13.0 252:15.0 253:114.0 254:48.0 255:31.0 256:20.0 258:3.0 259:2.0 262:31.0 263:22.0 264:5.0 265:190.0 266:94.0 267:31.0 268:5.0 272:12.0 273:1.0 275:30.0 277:13.0 278:5.0 279:30.0 280:55.0 281:100.0 282:41.0 283:22.0 284:44.0 285:15.0 286:6.0 287:1.0 291:33.0 294:14.0 295:74.0 296:58.0 298:11.0 300:4.0 303:3.0 304:34.0 306:33.0 307:2.0 308:13.0 309:42.0 310:26.0 312:67.0 314:26.0 315:11.0 321:4.0 322:1.0 323:18.0 324:12.0 326:9.0 329:36.0 330:1.0 333:35.0 334:13.0 335:32.0 337:18.0 339:11.0 343:31.0 344:26.0 347:15.0 349:3.0 351:53.0 352:132.0 353:2757.0 354:932.0 355:391.0 356:123.0 357:48.0 358:2.0 359:18.0 360:12.0 363:65.0 364:9.0 367:74.0 368:562.0 369:145.0 370:125.0 371:44.0 375:25.0 376:28.0 379:28.0 381:22.0 388:8.0 395:7.0 396:26.0 398:28.0 401:22.0 402:4.0 403:29.0 406:2.0 410:16.0 413:1.0 415:7.0 417:14.0 418:16.0 421:20.0 428:2.0 429:4.0 431:14.0 432:1.0 434:10.0 435:20.0 437:21.0 439:13.0 440:43.0 442:9.0 443:7.0 446:3.0 447:20.0 449:5.0 450:13.0 451:17.0 455:6.0 457:8.0 458:17.0 463:34.0 465:14.0 468:40.0 471:8.0 473:31.0 476:16.0 477:24.0 479:18.0 480:8.0 482:13.0 483:4.0 485:32.0 488:2.0 497:8.0 498:14.0 499:16.0</t>
  </si>
  <si>
    <t>85:2637.0 86:1767.0 87:297.0 89:13214.0 90:1027.0 91:782.0 93:210.0 97:199.0 98:709.0 99:1262.0 100:672.0 101:97.0 103:1.0 104:5.0 105:144.0 106:1.0 110:3056.0 111:110.0 112:344.0 113:4243.0 114:2662.0 115:2018.0 116:113.0 117:317.0 120:1.0 123:22.0 126:594.0 127:300.0 128:525.0 129:1855.0 130:73.0 131:1353.0 132:8.0 136:1.0 140:756.0 141:501.0 142:229.0 143:38.0 144:48.0 151:1.0 153:5.0 154:95.0 156:562.0 157:212.0 158:152.0 160:115.0 166:210.0 167:6.0 168:108.0 171:80.0 172:2074.0 173:315.0 177:35.0 181:18.0 184:68.0 189:3977.0 190:501.0 197:23.0 200:3838.0 201:553.0 202:69.0 203:1413.0 204:162.0 216:3584.0 217:396.0 227:29.0 228:3.0 248:1.0 261:51.0 262:2.0 263:5.0 264:3.0 274:1.0 276:35.0 315:1.0 334:1.0 372:2.0 410:1.0</t>
  </si>
  <si>
    <t>3-phosphoglycerate</t>
  </si>
  <si>
    <t>89:282.0 91:24.0 93:91.0 94:5.0 95:70.0 98:38.0 101:2347.0 102:375.0 103:234.0 104:128.0 105:88.0 106:56.0 107:59.0 115:196.0 116:602.0 117:492.0 119:175.0 120:31.0 121:60.0 123:93.0 124:6.0 129:4.0 130:11.0 131:45.0 133:1871.0 134:314.0 135:528.0 136:47.0 137:161.0 139:17.0 140:47.0 142:52.0 143:659.0 144:41.0 145:2.0 147:4231.0 148:475.0 149:623.0 150:203.0 151:117.0 152:768.0 153:67.0 154:14.0 162:7.0 163:1.0 165:19.0 166:35.0 167:65.0 173:7.0 174:40.0 177:20.0 178:9.0 179:18.0 180:57.0 181:255.0 182:47.0 183:117.0 189:293.0 190:65.0 191:180.0 192:69.0 193:330.0 194:316.0 195:376.0 196:98.0 197:45.0 200:19.0 201:55.0 205:54.0 207:469.0 208:36.0 209:164.0 210:50.0 211:2134.0 212:313.0 213:127.0 214:2.0 217:1111.0 218:79.0 219:21.0 221:114.0 222:13.0 224:74.0 225:265.0 226:83.0 227:1943.0 228:277.0 229:115.0 231:1.0 237:283.0 238:19.0 243:11.0 251:32.0 253:105.0 254:17.0 255:4.0 258:17.0 259:17.0 266:14.0 267:73.0 269:47.0 272:18.0 275:3.0 280:5.0 283:37.0 284:21.0 285:194.0 287:21.0 292:5.0 293:1.0 295:135.0 296:16.0 298:29.0 299:2398.0 300:544.0 301:324.0 302:19.0 303:36.0 307:1.0 310:7.0 312:216.0 313:89.0 314:220.0 315:745.0 316:246.0 317:150.0 318:29.0 328:19.0 332:2.0 333:4.0 334:1.0 341:150.0 342:16.0 343:16.0 352:13.0 355:3.0 356:43.0 357:1182.0 358:368.0 359:195.0 360:30.0 369:17.0 371:12.0 386:43.0 387:495.0 388:165.0 389:91.0 390:23.0 392:2.0 393:1.0 398:9.0 412:2.0 415:28.0 416:16.0 428:6.0 444:3.0 459:224.0 460:99.0 461:51.0 474:3.0 495:2.0</t>
  </si>
  <si>
    <t>3-phenyllactic acid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</si>
  <si>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</si>
  <si>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85:575.0 86:95.0 90:144.0 93:31.0 97:3.0 99:128.0 100:55.0 103:68.0 106:140.0 107:209.0 108:17.0 110:140.0 113:42.0 114:13.0 126:26.0 127:208.0 131:75.0 134:331.0 140:1843.0 141:139.0 147:6.0 169:474.0 171:21.0 183:113.0 184:63.0 186:4.0 215:7.0 231:39.0 299:8.0 313:3.0 335:15.0 336:3.0 389:14.0 426:5.0 439:4.0 460:8.0 498:10.0</t>
  </si>
  <si>
    <t>85:159.0 86:670.0 87:116.0 88:43.0 89:88.0 90:11.0 99:24.0 100:2753.0 101:117.0 102:264.0 110:140.0 113:137.0 114:120.0 116:133.0 117:90.0 119:5080.0 120:506.0 121:278.0 126:1.0 127:3.0 128:27.0 130:1178.0 131:468.0 132:390.0 133:1124.0 134:101.0 135:76.0 140:46.0 141:57.0 146:6143.0 147:1907.0 148:498.0 155:79.0 156:1.0 161:555.0 162:536.0 163:23.0 174:12.0 177:18.0 214:8.0 233:307.0 234:60.0 236:17.0 238:7.0 248:26.0 261:16.0 262:22.0 272:4.0 290:2.0 303:26.0 314:9.0 340:28.0 381:20.0 398:28.0 400:5.0 408:17.0 421:1.0 426:10.0 428:4.0 448:4.0 451:13.0 453:20.0 459:11.0 468:8.0 474:5.0 495:3.0</t>
  </si>
  <si>
    <t>85:136.0 86:890.0 87:12.0 89:902.0 90:676.0 91:3995.0 92:629.0 93:186.0 99:87.0 100:5898.0 101:4799.0 102:2202.0 103:1490.0 104:364.0 107:1406.0 110:347.0 112:105.0 113:28.0 114:63.0 117:3229.0 119:289.0 120:948.0 121:1.0 128:1160.0 129:1962.0 130:3874.0 131:904.0 132:606.0 133:1392.0 134:2325.0 142:2678.0 143:1282.0 144:498.0 145:245.0 146:671.0 147:13431.0 148:585.0 149:655.0 156:115.0 157:14.0 160:295.0 162:66.0 163:252.0 174:234.0 176:58.0 189:699.0 190:226.0 202:69.0 203:561.0 204:1322.0 205:120.0 206:50.0 215:653.0 216:311.0 217:1228.0 218:7290.0 219:2245.0 220:380.0 221:120.0 222:6.0 223:81.0 230:3.0 231:944.0 232:101.0 233:3.0 244:22.0 245:254.0 246:948.0 247:200.0 248:1078.0 249:188.0 259:421.0 260:105.0 266:12.0 276:37.0 291:2320.0 292:592.0 293:308.0 294:65.0 322:56.0 364:44.0 465:2.0</t>
  </si>
  <si>
    <t>85:450.0 86:66.0 87:2218.0 88:237.0 89:1422.0 90:319.0 91:629.0 94:293.0 95:86.0 97:613.0 98:4035.0 99:650.0 100:171.0 101:2356.0 102:409.0 103:10831.0 104:801.0 105:458.0 108:135.0 109:293.0 110:1577.0 111:552.0 112:59.0 113:477.0 114:252.0 115:732.0 116:1042.0 117:6463.0 118:1054.0 119:1294.0 120:38.0 122:115.0 124:6.0 127:7.0 128:67.0 129:7652.0 130:769.0 131:3071.0 132:852.0 133:6118.0 134:1117.0 135:406.0 136:17.0 138:36.0 140:842.0 141:344.0 142:342.0 143:4277.0 144:912.0 145:686.0 146:330.0 147:16781.0 148:2478.0 149:1911.0 150:157.0 151:158.0 152:16.0 153:153.0 154:55.0 155:2181.0 156:329.0 157:1762.0 158:154.0 159:691.0 161:433.0 162:36.0 163:81.0 167:86.0 168:114.0 169:1335.0 170:538.0 171:265.0 172:20.0 173:166.0 174:78.0 175:487.0 177:201.0 178:36.0 180:116.0 182:147.0 183:51.0 184:403.0 186:61.0 187:158.0 188:129.0 189:5756.0 190:1784.0 191:26226.0 192:5030.0 193:2047.0 194:134.0 195:104.0 197:204.0 198:119.0 199:287.0 200:245.0 201:501.0 202:132.0 203:1405.0 204:52407.0 205:12119.0 206:4700.0 207:407.0 209:1.0 211:71.0 212:169.0 213:129.0 214:12.0 215:253.0 217:10339.0 218:2714.0 219:1343.0 220:182.0 221:246.0 222:248.0 224:21.0 227:120.0 228:93.0 229:424.0 230:322.0 231:1363.0 232:626.0 233:197.0 235:72.0 238:115.0 239:39.0 241:86.0 242:177.0 243:860.0 244:198.0 245:212.0 246:55.0 247:163.0 248:11.0 252:139.0 255:4.0 256:24.0 257:168.0 258:7.0 259:368.0 260:91.0 261:57.0 262:52.0 263:131.0 266:137.0 268:142.0 269:55.0 270:60.0 271:448.0 272:71.0 273:266.0 274:123.0 275:76.0 277:101.0 278:122.0 279:125.0 280:24.0 287:90.0 288:958.0 289:137.0 290:170.0 291:652.0 292:810.0 293:325.0 294:67.0 296:1.0 297:15.0 300:51.0 301:175.0 302:53.0 303:76.0 304:32.0 305:820.0 306:245.0 307:363.0 308:51.0 313:3.0 314:55.0 315:43.0 316:139.0 317:471.0 318:188.0 319:1007.0 320:154.0 321:121.0 324:14.0 330:16.0 331:156.0 332:233.0 333:829.0 334:276.0 335:157.0 336:33.0 337:73.0 339:13.0 341:1.0 342:129.0 345:323.0 346:171.0 347:98.0 349:9.0 350:3.0 353:29.0 357:54.0 359:62.0 361:228.0 362:67.0 365:30.0 372:1.0 374:25.0 376:50.0 377:24.0 379:152.0 380:43.0 389:5.0 391:13.0 393:119.0 394:13.0 395:59.0 400:311.0 401:95.0 402:39.0 405:28.0 407:8.0 418:1.0 420:3.0 421:16.0 422:12.0 424:24.0 425:2.0 427:11.0 433:77.0 434:14.0 435:396.0 436:164.0 437:111.0 438:8.0 439:15.0 440:4.0 443:23.0 450:5.0 453:21.0 462:25.0 468:21.0 470:6.0</t>
  </si>
  <si>
    <t>85:123.0 86:66.0 87:76.0 90:71.0 98:12.0 100:643.0 101:1206.0 102:394.0 103:1893.0 105:4.0 110:15.0 113:76.0 114:92.0 115:429.0 116:903.0 117:463.0 119:64.0 121:197.0 128:41.0 129:454.0 130:672.0 131:701.0 132:84.0 133:2964.0 134:253.0 135:769.0 136:22.0 137:335.0 139:35.0 142:208.0 143:1444.0 144:226.0 145:1.0 146:309.0 147:4498.0 148:325.0 149:794.0 150:139.0 151:109.0 154:11.0 155:295.0 156:840.0 157:93.0 158:53.0 160:13.0 165:15.0 166:37.0 167:12.0 169:14.0 172:13.0 174:147.0 177:58.0 179:1.0 181:512.0 182:29.0 183:179.0 185:21.0 188:19.0 189:354.0 191:390.0 193:304.0 195:390.0 196:54.0 197:53.0 203:34.0 204:336.0 205:21.0 207:580.0 208:19.0 209:22.0 210:2.0 211:2670.0 212:363.0 213:294.0 214:45.0 215:32.0 216:9.0 217:2268.0 218:992.0 219:287.0 220:115.0 221:14.0 225:459.0 226:26.0 227:361.0 230:97.0 231:84.0 232:79.0 238:18.0 243:124.0 245:121.0 247:6.0 252:121.0 253:54.0 254:54.0 255:86.0 256:19.0 269:162.0 270:20.0 273:39.0 281:30.0 283:38.0 285:593.0 286:140.0 287:99.0 291:5.0 292:82.0 293:20.0 298:488.0 299:3386.0 300:1130.0 301:509.0 302:75.0 309:5.0 314:33.0 315:1567.0 316:284.0 317:264.0 318:9.0 319:24.0 330:3.0 334:9.0 341:160.0 342:60.0 343:42.0 345:3.0 357:65.0 358:19.0 361:1.0 368:48.0 369:1375.0 370:403.0 371:292.0 372:39.0 373:63.0 374:19.0 384:15.0 386:107.0 387:874.0 388:341.0 389:244.0 390:2.0 391:16.0 415:9.0 416:74.0 417:54.0 418:23.0 431:25.0 432:4.0 434:50.0 436:1.0 444:180.0 445:20.0 449:11.0 450:1.0 451:2.0 458:79.0 459:861.0 460:390.0 461:180.0</t>
  </si>
  <si>
    <t>86:92.0 89:698.0 95:264.0 96:629.0 100:191.0 101:58.0 103:174.0 104:98.0 109:139.0 113:13.0 116:137.0 117:423.0 125:7.0 129:372.0 130:144.0 135:35.0 136:82.0 137:142.0 138:47.0 140:4.0 143:150.0 149:308.0 151:34.0 153:2029.0 154:531.0 155:160.0 156:125.0 157:938.0 158:133.0 159:5.0 166:30.0 167:76.0 168:295.0 169:15.0 172:54.0 173:1157.0 174:443.0 180:138.0 181:11.0 183:43.0 184:111.0 194:25.0 196:26.0 199:26.0 204:239.0 218:123.0 220:51.0 227:117.0 239:30.0 244:20.0 245:138.0 246:87.0 254:39.0 258:72.0 260:32.0 262:7.0 265:17.0 267:35.0 271:6.0 274:79.0 276:11.0 277:60.0 278:2677.0 279:512.0 280:142.0 283:24.0 284:4.0 285:2.0 292:29.0 299:33.0 303:92.0 307:76.0 308:21.0 310:17.0 312:2.0 314:19.0 316:152.0 317:41.0 326:7.0 330:17.0 336:7.0 364:26.0 367:10.0 373:1.0 380:249.0 381:13.0 382:33.0 395:59.0 396:20.0 398:4.0 427:15.0 471:4.0 474:2.0 500:5.0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</si>
  <si>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</si>
  <si>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</si>
  <si>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102:98.0 114:443.0 115:398.0 116:597.0 117:144.0 125:16.0 127:111.0 130:3759.0 131:531.0 134:137.0 142:1.0 144:504.0 145:27.0 146:3344.0 147:228.0 148:199.0 154:53.0 157:4.0 158:681.0 160:2922.0 161:381.0 162:49.0 169:33.0 172:199.0 182:82.0 196:3.0 197:1.0 218:2.0 220:3.0 223:11.0 246:3.0 281:5.0 282:1.0 353:7.0 383:2.0 433:6.0 450:1.0 489:2.0</t>
  </si>
  <si>
    <t>85:1565.0 86:3857.0 87:596.0 88:1210.0 89:1115.0 90:412.0 91:98.0 92:185.0 93:75.0 94:326.0 95:437.0 96:280.0 97:162.0 98:584.0 99:482.0 100:5478.0 101:2538.0 102:2461.0 103:2663.0 104:388.0 105:74.0 106:805.0 107:200.0 108:48.0 109:178.0 110:379.0 111:218.0 112:533.0 113:267.0 114:2123.0 115:2879.0 116:54131.0 117:6644.0 118:3234.0 119:433.0 120:70.0 121:104.0 122:54.0 123:106.0 124:126.0 125:267.0 126:492.0 127:117.0 128:1442.0 129:5617.0 130:1258.0 131:2510.0 132:12393.0 133:3620.0 134:1410.0 135:521.0 136:83.0 137:127.0 138:39.0 139:974.0 140:896.0 141:527.0 142:1250.0 143:1393.0 144:1341.0 145:366.0 147:5608.0 148:864.0 149:1540.0 150:273.0 151:251.0 152:160.0 153:391.0 154:286.0 155:564.0 156:2834.0 157:1599.0 158:30015.0 159:4892.0 160:2989.0 161:387.0 162:133.0 163:196.0 164:73.0 165:65.0 166:5.0 167:605.0 168:234.0 169:660.0 170:885.0 171:367.0 172:428.0 173:309.0 178:7.0 179:274.0 180:57.0 181:238.0 182:223.0 183:335.0 184:308.0 185:271.0 186:601.0 187:184.0 188:1881.0 189:440.0 190:636.0 191:566.0 192:102.0 193:64.0 194:29.0 195:275.0 196:141.0 197:349.0 198:338.0 199:138.0 200:326.0 201:241.0 202:340.0 203:1886.0 204:33792.0 205:6612.0 206:4202.0 207:754.0 208:243.0 209:296.0 210:272.0 211:459.0 212:381.0 213:212.0 214:399.0 215:85.0 216:2449.0 217:1383.0 218:548.0 219:319.0 220:114.0 221:82.0 222:6.0 223:50.0 224:65.0 225:200.0 226:229.0 227:217.0 228:135.0 229:232.0 230:630.0 231:239.0 232:171.0 233:172.0 234:141.0 235:35.0 236:225.0 237:77.0 238:127.0 239:502.0 240:77.0 241:86.0 242:270.0 243:191.0 244:278.0 245:82.0 246:152.0 247:31.0 248:1.0 249:17.0 251:24.0 252:1.0 253:90.0 254:92.0 255:150.0 256:43.0 257:619.0 258:354.0 259:97.0 260:128.0 261:161.0 262:82.0 263:8.0 266:45.0 267:45.0 268:4.0 269:134.0 270:126.0 271:103.0 272:153.0 273:334.0 274:600.0 275:451.0 276:423.0 277:148.0 278:37.0 279:24.0 280:10.0 282:3.0 283:100.0 284:59.0 285:203.0 286:156.0 287:432.0 288:198.0 289:89.0 290:131.0 291:43.0 292:15.0 296:34.0 297:59.0 298:12.0 299:304.0 300:159.0 301:239.0 302:127.0 303:56.0 304:188.0 305:103.0 306:29.0 308:30.0 310:140.0 311:275.0 312:92.0 313:62.0 314:139.0 315:270.0 316:37.0 317:64.0 318:38.0 319:39.0 320:37.0 324:15.0 325:3.0 326:57.0 327:136.0 328:227.0 329:529.0 330:135.0 331:113.0 333:28.0 334:59.0 337:175.0 338:70.0 341:12.0 343:17.0 344:32.0 345:151.0 346:28.0 347:320.0 348:64.0 349:100.0 354:55.0 356:12.0 357:80.0 359:37.0 360:67.0 361:121.0 362:25.0 363:48.0 365:1.0 366:24.0 370:16.0 372:3.0 373:16.0 374:39.0 375:49.0 376:35.0 378:20.0 380:5.0 381:2.0 384:17.0 387:73.0 388:18.0 389:10.0 390:78.0 391:20.0 392:169.0 393:5.0 394:16.0 397:23.0 400:13.0 401:70.0 402:42.0 403:38.0 404:29.0 405:20.0 415:1.0 416:69.0 417:117.0 418:161.0 419:1213.0 420:536.0 421:219.0 422:51.0 424:1.0 425:20.0 426:30.0 427:3.0 434:65.0 435:251.0 436:161.0 437:41.0 438:1.0 439:8.0 441:36.0 444:21.0 453:1.0 458:8.0 460:21.0 461:315.0 462:190.0 463:62.0 464:8.0 466:14.0 469:4.0 471:13.0 472:81.0 473:83.0 474:30.0 475:11.0 476:21.0 477:11.0 490:2.0 494:4.0 500:18.0</t>
  </si>
  <si>
    <t>85:635.0 86:2222.0 87:214.0 88:508.0 89:440.0 90:92.0 94:38.0 95:40.0 97:142.0 98:180.0 99:313.0 100:2564.0 101:1020.0 102:1206.0 103:387.0 106:87.0 107:30.0 110:162.0 111:122.0 112:232.0 113:155.0 114:923.0 115:832.0 116:15403.0 117:1911.0 118:794.0 120:34.0 123:22.0 124:32.0 125:84.0 126:107.0 128:598.0 129:2519.0 130:578.0 131:380.0 132:2315.0 133:1103.0 134:249.0 135:45.0 137:11.0 139:175.0 140:370.0 141:260.0 142:608.0 143:390.0 144:399.0 145:89.0 147:770.0 148:334.0 149:565.0 150:43.0 151:3.0 152:12.0 153:76.0 154:33.0 155:139.0 156:1206.0 157:608.0 158:19697.0 159:3305.0 160:1603.0 161:229.0 162:58.0 163:24.0 167:190.0 168:100.0 169:208.0 170:313.0 171:14.0 172:190.0 173:61.0 174:636.0 175:138.0 176:35.0 177:57.0 179:69.0 180:26.0 181:26.0 183:56.0 184:112.0 185:10.0 186:143.0 187:56.0 188:738.0 189:131.0 190:187.0 191:71.0 193:112.0 194:9.0 195:82.0 196:29.0 197:196.0 198:65.0 199:87.0 200:140.0 201:83.0 202:150.0 203:677.0 204:15346.0 205:3037.0 206:1934.0 207:62.0 208:156.0 209:6.0 210:6.0 211:203.0 212:119.0 213:41.0 214:164.0 216:765.0 217:232.0 218:72.0 220:19.0 221:18.0 224:33.0 225:78.0 227:16.0 229:75.0 230:236.0 231:82.0 232:104.0 233:10.0 234:11.0 236:27.0 239:267.0 240:31.0 241:55.0 242:90.0 243:78.0 244:41.0 245:55.0 247:44.0 252:1.0 253:22.0 255:13.0 256:34.0 257:104.0 258:106.0 259:33.0 260:65.0 261:2.0 262:4.0 269:23.0 270:23.0 271:6.0 273:101.0 274:316.0 275:234.0 276:156.0 277:46.0 278:8.0 279:20.0 282:10.0 285:36.0 286:75.0 287:124.0 288:16.0 290:2.0 291:1.0 299:93.0 300:49.0 301:102.0 302:40.0 304:27.0 306:2.0 310:14.0 311:103.0 312:5.0 313:60.0 315:32.0 316:11.0 317:17.0 318:25.0 323:8.0 324:69.0 325:42.0 326:35.0 327:37.0 328:35.0 329:219.0 330:67.0 337:31.0 341:9.0 343:7.0 345:6.0 346:8.0 347:36.0 348:12.0 349:8.0 353:7.0 354:10.0 355:13.0 357:40.0 359:35.0 361:8.0 362:4.0 372:3.0 373:27.0 376:41.0 377:7.0 382:25.0 385:25.0 387:10.0 390:56.0 392:34.0 397:3.0 400:21.0 401:2.0 402:5.0 417:45.0 418:88.0 419:568.0 420:214.0 421:94.0 422:19.0 423:6.0 427:7.0 434:1.0 435:1.0 442:23.0 446:19.0 461:285.0 462:67.0 469:8.0 472:33.0 473:2.0 489:4.0 492:15.0 494:18.0 496:4.0</t>
  </si>
  <si>
    <t>85:3752.0 86:3135.0 87:1400.0 88:364.0 89:173.0 90:76.0 92:52.0 93:44.0 94:53.0 95:37.0 96:112.0 97:255.0 98:1280.0 99:1058.0 100:4312.0 101:1317.0 102:1107.0 103:1617.0 104:393.0 105:686.0 106:8.0 107:225.0 108:146.0 110:635.0 111:195.0 112:2728.0 113:1308.0 114:1570.0 115:696.0 116:15319.0 117:2279.0 118:971.0 119:282.0 120:6.0 121:1566.0 122:116.0 123:28.0 124:198.0 126:261.0 127:95.0 128:775.0 129:1967.0 130:1355.0 131:3554.0 132:910.0 133:1575.0 135:76.0 136:46.0 138:95.0 139:272.0 140:6034.0 141:2162.0 142:5264.0 143:563.0 144:377.0 146:327.0 147:33510.0 148:5777.0 149:3022.0 150:243.0 151:59.0 154:926.0 155:851.0 156:87524.0 157:31840.0 158:9816.0 159:1666.0 160:180.0 161:70.0 164:3.0 166:1.0 167:499.0 168:95.0 170:57.0 172:20.0 173:3.0 174:550.0 175:26.0 176:20.0 178:6.0 180:3.0 182:152.0 183:88.0 184:60.0 185:116.0 186:1823.0 187:173.0 188:453.0 189:355.0 190:133.0 194:2.0 199:14.0 201:7.0 204:36.0 206:1.0 207:5.0 212:47.0 213:20.0 214:586.0 215:109.0 216:137.0 217:36.0 220:11.0 224:8.0 228:68.0 230:3410.0 231:804.0 232:308.0 233:11.0 239:1.0 240:6.0 241:22.0 252:2.0 257:1310.0 258:444.0 259:152.0 266:2.0 267:2.0 268:3.0 271:3.0 274:1.0 283:6.0 289:9.0 290:1.0 296:2.0 297:2.0 298:6.0 299:31.0 300:8.0 312:1.0 313:11.0 314:5.0 320:1.0 335:2.0 336:1.0 346:1.0 355:3.0 358:1.0 376:3.0 377:3.0 379:13.0 392:1.0 400:5.0 404:4.0 411:3.0 412:3.0 413:7.0 416:1.0 424:19.0 429:1.0 438:15.0 440:8.0 446:3.0 455:2.0 459:11.0 465:2.0 469:1.0 475:1.0 478:1.0 498:13.0</t>
  </si>
  <si>
    <t>86:171.0 93:8.0 100:33.0 101:10.0 116:93.0 126:28.0 128:19.0 129:478.0 136:26.0 140:60.0 141:26.0 142:85.0 143:81.0 147:85.0 155:5.0 156:4581.0 157:786.0 158:793.0 159:5.0 160:15.0 161:14.0 168:24.0 171:15.0 173:3.0 181:11.0 184:19.0 188:86.0 195:6.0 199:10.0 208:7.0 211:106.0 216:14.0 217:231.0 218:66.0 227:30.0 245:2.0 246:8.0 247:27.0 251:20.0 262:6.0 269:119.0 270:34.0 277:9.0 289:35.0 290:219.0 291:79.0 292:5.0 299:238.0 300:40.0 301:7.0 314:30.0 315:357.0 316:87.0 317:45.0 325:13.0 330:31.0 331:1.0 350:2.0 357:41.0 360:5.0 371:33.0 388:14.0 395:20.0 417:17.0 426:3.0 435:4.0</t>
  </si>
  <si>
    <t>85:5.0 86:517.0 87:31.0 90:3.0 97:12.0 98:20.0 99:131.0 100:516.0 102:248.0 106:17.0 112:12.0 113:12.0 116:346.0 117:60.0 118:11.0 122:3.0 125:3.0 127:6.0 128:127.0 129:228.0 130:30.0 133:262.0 135:4.0 139:28.0 140:107.0 141:199.0 142:160.0 144:91.0 145:1.0 147:223.0 148:3.0 151:3.0 152:2.0 154:117.0 155:159.0 156:5346.0 157:1154.0 158:661.0 159:17.0 165:2.0 167:12.0 168:67.0 169:80.0 170:4.0 171:24.0 172:84.0 173:15.0 174:3042.0 175:533.0 176:614.0 177:4.0 179:1.0 181:137.0 182:49.0 183:115.0 184:4.0 188:34.0 192:4.0 193:39.0 194:40.0 195:101.0 196:146.0 197:30.0 202:26.0 203:25.0 207:50.0 208:2.0 209:488.0 210:108.0 211:251.0 212:93.0 213:3.0 214:28.0 215:1.0 216:41.0 217:157.0 218:199.0 223:17.0 224:14.0 225:323.0 226:123.0 227:20.0 229:66.0 230:5.0 231:69.0 232:25.0 233:2.0 236:33.0 237:46.0 239:139.0 240:65.0 242:23.0 243:42.0 244:17.0 245:94.0 247:1.0 253:14.0 255:24.0 256:24.0 259:39.0 261:1.0 265:873.0 266:209.0 267:9.0 268:29.0 269:1.0 270:1.0 272:1.0 273:24.0 274:21.0 275:31.0 277:12.0 278:1.0 280:235.0 281:37.0 283:81.0 284:91.0 285:62.0 287:9.0 291:10.0 296:2.0 297:54.0 299:125.0 300:143.0 301:29.0 302:29.0 305:37.0 306:13.0 307:1.0 308:14.0 310:78.0 311:30.0 312:7.0 314:21.0 315:162.0 316:39.0 317:26.0 321:2.0 324:4.0 331:1.0 332:7.0 336:5.0 338:1.0 342:32.0 343:8.0 347:1.0 350:1.0 353:1.0 356:44.0 371:15.0 372:6.0 373:4.0 374:12.0 375:30.0 385:3.0 386:2.0 395:1.0 398:31.0 401:2.0 402:24.0 413:2.0 417:125.0 419:24.0 427:4.0 430:1.0 435:11.0 437:1.0 446:5.0 447:5.0 449:1.0 451:3.0 459:1.0 463:104.0 464:111.0 465:17.0 469:9.0 472:26.0 473:1.0 477:1.0 498:1.0</t>
  </si>
  <si>
    <t>89:5.0 91:376.0 96:47.0 100:2.0 101:68.0 103:49.0 104:109.0 105:6.0 116:206.0 120:3.0 124:16.0 131:30.0 140:67.0 141:3.0 142:42.0 147:427.0 154:27.0 155:168.0 156:5930.0 157:1425.0 158:1287.0 159:89.0 166:51.0 169:17.0 170:44.0 171:49.0 177:48.0 181:18.0 182:36.0 183:49.0 184:11.0 188:37.0 192:5.0 194:35.0 196:9.0 207:30.0 208:52.0 211:6.0 212:19.0 213:2.0 214:12.0 215:120.0 217:30.0 219:55.0 220:9.0 222:45.0 224:14.0 231:47.0 233:26.0 236:23.0 239:8.0 240:2.0 243:106.0 244:80.0 249:49.0 254:52.0 263:7.0 271:9.0 281:16.0 290:14.0 296:14.0 297:29.0 298:1.0 299:275.0 300:51.0 301:21.0 303:234.0 304:31.0 305:17.0 306:5.0 309:2.0 310:6.0 315:30.0 329:38.0 332:3.0 336:5.0 347:1.0 357:10.0 358:38.0 371:4.0 372:20.0 373:1.0 375:4.0 383:4.0 387:12.0 389:2.0 405:135.0 406:9.0 415:14.0 420:45.0 421:25.0 422:16.0 424:10.0 447:5.0 466:1.0</t>
  </si>
  <si>
    <t>86:245.0 89:3.0 93:13.0 100:173.0 102:97.0 107:72.0 110:43.0 114:26.0 116:1405.0 118:113.0 128:3.0 129:12.0 130:15.0 131:29.0 134:85.0 140:82.0 142:74.0 144:75.0 147:134.0 156:4082.0 157:709.0 158:1743.0 159:221.0 160:28.0 169:5.0 172:34.0 173:14.0 176:28.0 182:13.0 183:9.0 184:122.0 191:1.0 197:9.0 204:61.0 211:48.0 216:7.0 227:145.0 232:70.0 234:27.0 239:7.0 246:39.0 247:3.0 248:5.0 258:4.0 275:16.0 277:3.0 296:64.0 299:56.0 300:9.0 301:38.0 329:79.0 330:25.0 367:22.0 382:1.0 404:22.0 408:9.0 412:4.0 419:3.0 422:3.0 425:1.0 474:4.0 494:13.0</t>
  </si>
  <si>
    <t>85:240.0 86:493.0 89:226.0 91:1.0 96:29.0 97:215.0 98:117.0 99:13.0 100:360.0 102:91.0 103:242.0 114:150.0 116:360.0 124:66.0 128:348.0 129:796.0 130:525.0 131:53.0 132:101.0 138:104.0 139:57.0 140:156.0 141:5.0 142:112.0 143:263.0 144:8652.0 145:1141.0 146:1305.0 147:235.0 149:18.0 152:41.0 153:36.0 154:23.0 155:46.0 156:356.0 157:256.0 158:12.0 167:3.0 168:41.0 169:47.0 170:100.0 172:44.0 174:29.0 183:10.0 186:272.0 193:34.0 197:11.0 201:87.0 202:40.0 203:143.0 206:7.0 207:1.0 209:4.0 212:93.0 213:3.0 214:17.0 215:46.0 217:276.0 218:68.0 219:10.0 220:17.0 223:57.0 225:2.0 229:19.0 230:120.0 231:135.0 239:31.0 240:27.0 241:18.0 242:29.0 243:35.0 245:52.0 248:1.0 249:5.0 251:22.0 255:23.0 257:58.0 259:6.0 261:2.0 264:1.0 266:4.0 269:1.0 272:9.0 273:1.0 275:4.0 276:2.0 287:17.0 292:4.0 300:4.0 304:2.0 305:5.0 308:8.0 315:12.0 326:23.0 327:50.0 328:13.0 329:49.0 331:9.0 332:6.0 360:3.0 361:3.0 364:3.0 412:12.0 419:24.0 447:27.0 458:2.0</t>
  </si>
  <si>
    <t>85:118.0 86:402.0 88:60.0 90:35.0 95:32.0 98:2.0 100:765.0 101:216.0 103:95.0 108:49.0 110:18.0 112:45.0 113:107.0 114:203.0 115:43.0 116:16110.0 117:1817.0 118:1715.0 119:104.0 122:12.0 128:343.0 129:664.0 130:206.0 131:324.0 132:133.0 135:13.0 137:73.0 139:35.0 140:120.0 142:98.0 143:107.0 144:73.0 147:805.0 149:338.0 150:7.0 152:19.0 154:69.0 155:84.0 156:239.0 157:128.0 158:267.0 159:164.0 168:56.0 169:48.0 170:109.0 171:20.0 173:1144.0 174:162.0 175:40.0 183:84.0 184:210.0 185:34.0 186:167.0 187:43.0 189:82.0 190:9.0 194:50.0 196:28.0 197:15.0 200:11.0 202:70.0 203:11.0 204:15.0 211:79.0 212:12.0 213:14.0 214:51.0 215:8.0 217:201.0 218:254.0 220:11.0 221:45.0 224:2.0 227:96.0 230:127.0 231:9.0 233:272.0 234:74.0 235:1.0 238:9.0 239:10.0 240:16.0 242:6.0 243:36.0 244:7.0 245:25.0 246:94.0 247:24.0 249:20.0 256:22.0 258:119.0 259:59.0 265:1.0 267:9.0 271:15.0 274:40.0 276:105.0 277:36.0 281:32.0 283:41.0 286:68.0 288:28.0 290:3.0 293:1.0 295:4.0 297:44.0 298:4.0 299:24.0 300:73.0 301:53.0 303:28.0 305:71.0 307:48.0 310:4.0 311:2.0 314:21.0 316:22.0 317:9.0 318:5.0 319:57.0 330:24.0 331:9.0 332:22.0 333:4.0 341:22.0 346:15.0 348:11.0 355:48.0 381:13.0 391:9.0 392:21.0 394:5.0 399:2.0 410:4.0 416:3.0 419:108.0 420:52.0 421:46.0 424:7.0 425:1.0 447:2.0 458:11.0 459:39.0 474:12.0 476:10.0 477:23.0 482:1.0 492:16.0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</si>
  <si>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</si>
  <si>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85:496.0 86:1746.0 87:746.0 88:3145.0 89:668.0 90:446.0 91:5.0 95:8.0 97:109.0 98:233.0 99:184.0 100:844.0 101:290.0 102:51963.0 103:4555.0 104:1962.0 105:20.0 106:108.0 107:81.0 109:13.0 111:10.0 112:8.0 113:72.0 114:542.0 115:176.0 116:426.0 118:11.0 123:17.0 126:258.0 127:37.0 128:276.0 133:24.0 142:84.0 144:152.0 147:205.0 148:653.0 154:9.0 158:191.0 159:44.0 164:2.0 170:17.0 172:32.0 175:46.0 176:12.0 179:16.0 184:126.0 186:20.0 200:1.0 214:27.0 215:5.0 242:1327.0 243:335.0 244:38.0 252:27.0 254:2.0 256:81.0 257:236.0 258:36.0 315:7.0 323:8.0 353:9.0 379:2.0 386:1.0 408:5.0 416:18.0 418:1.0 456:16.0 497:16.0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</si>
  <si>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</si>
  <si>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</si>
  <si>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91:59.0 93:49.0 100:45.0 104:86.0 109:71.0 118:312.0 119:13.0 120:192.0 126:31.0 127:296.0 130:159.0 134:30.0 144:25.0 146:7.0 149:69.0 150:22.0 158:4.0 176:24.0 178:2194.0 179:310.0 180:19.0 184:25.0 193:379.0 194:15.0 247:18.0 492:2.0</t>
  </si>
  <si>
    <t>86:57.0 89:530.0 97:4.0 99:31.0 101:166.0 102:36.0 103:958.0 104:104.0 111:1.0 113:3.0 115:8.0 117:508.0 119:1.0 125:7.0 126:59.0 127:1.0 129:266.0 130:270.0 133:1563.0 134:58.0 140:69.0 141:33.0 142:51.0 143:70.0 147:1599.0 151:25.0 154:23.0 156:381.0 157:422.0 158:12.0 160:13.0 163:2.0 170:32.0 172:185.0 173:1.0 182:2.0 185:1.0 186:99.0 189:116.0 190:145.0 191:16.0 192:36.0 200:84.0 203:12.0 204:352.0 205:602.0 206:171.0 214:97.0 215:28.0 216:1.0 217:633.0 218:47.0 219:45.0 224:16.0 228:5.0 229:87.0 230:35.0 232:10.0 233:1.0 234:58.0 240:28.0 244:24.0 246:259.0 247:49.0 249:30.0 250:65.0 255:4.0 257:14.0 259:18.0 261:40.0 262:1.0 265:1.0 271:12.0 273:39.0 277:5.0 288:23.0 290:1689.0 291:401.0 292:169.0 293:106.0 305:63.0 306:22.0 307:25.0 312:15.0 315:1.0 316:6.0 318:1.0 319:643.0 320:112.0 321:114.0 331:6.0 340:13.0 341:64.0 342:3.0 345:1.0 349:4.0 358:27.0 363:19.0 364:44.0 386:5.0 391:5.0 392:65.0 404:72.0 405:28.0 406:27.0 420:6.0 426:10.0 447:8.0 491:10.0 492:1.0</t>
  </si>
  <si>
    <t>85:448.0 86:19.0 88:227.0 89:3286.0 90:360.0 92:10.0 94:42.0 97:130.0 98:117.0 99:215.0 100:450.0 101:752.0 102:163.0 103:9120.0 104:768.0 105:1091.0 106:26.0 110:173.0 112:13.0 113:209.0 114:2299.0 115:557.0 116:305.0 117:4583.0 118:468.0 119:385.0 124:435.0 125:68.0 128:102.0 129:5619.0 130:961.0 131:1115.0 132:112.0 133:2942.0 134:727.0 135:229.0 140:48.0 141:113.0 142:391.0 143:638.0 144:142.0 145:199.0 146:45.0 147:13163.0 148:1732.0 149:1464.0 150:44.0 151:31.0 152:55.0 153:1.0 154:177.0 155:73.0 156:118.0 157:4565.0 158:985.0 159:286.0 160:25.0 161:92.0 162:36.0 163:473.0 164:52.0 166:29.0 169:257.0 170:373.0 171:137.0 172:410.0 173:534.0 174:319.0 175:251.0 176:35.0 177:94.0 178:27.0 179:31.0 180:40.0 181:79.0 182:70.0 183:40.0 185:35.0 186:10.0 187:14.0 188:72.0 189:1364.0 190:344.0 191:629.0 192:129.0 193:40.0 196:13.0 198:155.0 199:28.0 200:25.0 201:215.0 202:288.0 203:157.0 204:1279.0 205:8140.0 206:1862.0 207:970.0 208:97.0 209:13.0 211:5.0 212:10.0 213:62.0 214:79.0 215:96.0 216:169.0 217:4912.0 218:1203.0 219:323.0 220:102.0 221:346.0 222:99.0 224:10.0 226:35.0 228:60.0 229:1195.0 230:448.0 231:472.0 232:112.0 233:53.0 234:10.0 235:37.0 236:15.0 239:64.0 240:90.0 241:68.0 242:74.0 243:62.0 244:128.0 246:79.0 247:81.0 248:72.0 249:17.0 251:33.0 252:16.0 253:49.0 255:20.0 256:81.0 257:2.0 258:60.0 259:55.0 260:71.0 261:44.0 262:1977.0 263:362.0 264:259.0 265:1.0 266:5.0 268:33.0 270:23.0 273:11.0 274:7.0 275:3.0 277:229.0 278:78.0 279:82.0 284:3.0 288:158.0 289:53.0 290:21.0 291:385.0 292:99.0 293:33.0 295:51.0 297:3.0 298:8.0 300:49.0 301:27.0 302:66.0 303:9.0 304:75.0 305:346.0 306:86.0 307:266.0 308:57.0 309:90.0 310:14.0 312:13.0 314:13.0 315:12.0 318:100.0 319:7907.0 320:2778.0 321:1488.0 322:276.0 323:58.0 324:29.0 325:64.0 326:17.0 327:42.0 329:52.0 331:54.0 332:48.0 333:118.0 334:57.0 335:25.0 336:186.0 337:34.0 338:8.0 340:36.0 341:24.0 343:38.0 345:9.0 346:6.0 347:95.0 348:21.0 350:14.0 351:11.0 353:50.0 354:89.0 355:31.0 357:3.0 358:31.0 359:6.0 360:20.0 362:14.0 364:29.0 365:30.0 366:35.0 367:72.0 368:87.0 370:6.0 372:55.0 373:25.0 374:4.0 376:117.0 377:15.0 378:19.0 379:32.0 382:2.0 383:9.0 384:11.0 386:14.0 387:11.0 389:3.0 390:79.0 392:3.0 393:14.0 396:39.0 397:12.0 400:1.0 402:24.0 403:30.0 404:33.0 407:10.0 408:2.0 412:11.0 415:8.0 417:13.0 418:4.0 420:20.0 422:24.0 424:22.0 425:9.0 426:16.0 429:2.0 432:17.0 433:14.0 434:11.0 435:38.0 437:31.0 440:32.0 442:7.0 445:13.0 446:14.0 448:2.0 452:27.0 453:4.0 454:10.0 456:21.0 457:8.0 458:23.0 459:37.0 460:83.0 462:44.0 463:7.0 466:36.0 467:56.0 468:29.0 470:37.0 474:33.0 475:56.0 476:25.0 477:16.0 478:41.0 479:4.0 481:9.0 482:23.0 484:25.0 485:29.0 487:17.0 491:20.0 492:28.0 493:1.0 494:28.0 495:39.0 498:30.0 499:39.0</t>
  </si>
  <si>
    <t>88:870.0 90:482.0 96:2716.0 97:2250.0 103:631.0 104:621.0 112:43.0 113:77.0 115:424.0 117:257.0 118:138.0 119:1952.0 120:256.0 121:194.0 122:83.0 125:363.0 129:112.0 131:67.0 132:166.0 133:3440.0 135:395.0 136:106.0 138:39.0 141:21.0 145:164.0 149:421.0 150:173.0 151:182.0 152:45.0 154:77.0 155:180.0 156:36.0 157:200.0 158:36.0 159:131.0 161:759.0 162:447.0 163:1977.0 166:330.0 167:295.0 168:4.0 170:10.0 173:94.0 175:124.0 176:637.0 177:1963.0 178:690.0 179:148.0 180:38.0 181:219.0 182:38.0 183:2.0 186:2.0 187:182.0 189:487.0 190:372.0 191:1783.0 192:915.0 193:1860.0 194:329.0 195:169.0 196:45.0 197:163.0 198:48.0 199:14.0 200:57.0 201:3.0 202:133.0 203:264.0 204:132.0 205:739.0 206:106.0 207:4991.0 208:5365.0 209:1574.0 210:94.0 211:416.0 212:218.0 216:8.0 217:443.0 218:3.0 219:185.0 220:36.0 221:1273.0 222:317.0 223:219.0 224:132.0 225:32.0 229:32.0 230:75.0 231:129.0 232:33.0 233:209.0 234:82.0 235:46.0 237:81.0 238:97.0 239:168.0 240:36.0 242:22.0 243:37.0 246:21.0 247:23.0 249:676.0 250:268.0 251:567.0 252:187.0 253:393.0 254:33.0 255:196.0 256:54.0 257:32.0 259:69.0 261:29.0 262:22.0 264:78.0 265:809.0 266:430.0 267:805.0 268:257.0 269:324.0 270:40.0 271:74.0 272:9.0 273:70.0 277:84.0 278:8.0 280:50.0 281:1369.0 282:375.0 283:914.0 284:214.0 285:50.0 286:34.0 289:10.0 292:18.0 293:179.0 294:7.0 295:170.0 296:338.0 297:94.0 298:21.0 299:7.0 301:11.0 303:5.0 305:36.0 309:22.0 310:29.0 311:23.0 312:63.0 313:183.0 315:49.0 316:74.0 317:22.0 320:8.0 321:12.0 322:7.0 323:7.0 325:202.0 326:170.0 327:543.0 328:86.0 329:50.0 330:32.0 331:57.0 333:7.0 338:30.0 339:129.0 341:520.0 342:190.0 343:50.0 344:77.0 345:12.0 349:2.0 350:1.0 353:32.0 355:703.0 356:76.0 357:347.0 358:121.0 361:32.0 365:8.0 367:82.0 368:69.0 369:185.0 370:144.0 371:6.0 376:2.0 382:26.0 385:33.0 386:37.0 387:176.0 388:95.0 390:10.0 391:4.0 392:24.0 397:10.0 399:92.0 400:61.0 401:160.0 402:211.0 403:75.0 404:45.0 405:12.0 407:6.0 411:11.0 414:51.0 415:145.0 416:111.0 417:138.0 418:11.0 419:34.0 420:19.0 424:14.0 426:9.0 427:19.0 428:36.0 430:263.0 431:160.0 432:13.0 434:14.0 437:8.0 439:22.0 441:10.0 445:24.0 454:18.0 457:20.0 458:25.0 461:177.0 462:46.0 463:40.0 465:4.0 467:3.0 468:6.0 474:31.0 475:153.0 476:149.0 477:95.0 478:27.0 479:18.0 480:25.0 481:9.0 484:34.0 487:6.0 489:29.0 491:126.0 492:39.0 496:9.0</t>
  </si>
  <si>
    <t>86:6657.0 87:9319.0 88:16567.0 90:848.0 91:3774.0 92:2198.0 93:1455.0 96:228939.0 97:10443.0 106:2912.0 107:14801.0 108:8.0 119:13945.0 120:4349.0 121:4903.0 122:655.0 126:3084.0 134:4013.0 135:9932.0 136:1610.0 137:90.0 138:175.0 162:188.0 165:16550.0 166:204.0 176:618.0 177:13745.0 178:2488.0 179:8535.0 180:798.0 207:833165.0 208:169497.0 209:104915.0 210:17474.0 211:1487.0 238:325.0 249:4777.0 250:871.0 251:6524.0 252:993.0 253:4598.0 254:657.0 267:10755.0 268:2525.0 269:1486.0 281:55784.0 282:16004.0 283:10436.0 284:654.0 285:120.0 295:606.0 296:132.0 297:126.0 298:66.0 299:71.0 300:8.0 311:427.0 314:1.0 325:626.0 326:76.0 327:8569.0 328:2070.0 339:186.0 340:346.0 341:12762.0 342:4077.0 343:1923.0 353:176.0 354:267.0 355:10550.0 356:3716.0 357:2807.0 358:452.0 360:3443.0 369:1108.0 370:17.0 371:348.0 372:119.0 383:290.0 385:651.0 386:365.0 387:1352.0 388:277.0 389:86.0 390:27.0 397:33.0 399:349.0 400:279.0 401:3915.0 402:1051.0 403:447.0 411:47.0 412:33.0 413:62.0 414:342.0 415:4999.0 416:2873.0 417:997.0 418:233.0 420:157.0 424:13.0 425:71.0 426:23.0 428:282.0 429:2028.0 430:1039.0 431:612.0 440:19.0 443:14.0 444:3.0 446:140.0 447:92.0 456:10.0 457:3.0 458:14.0 459:165.0 460:110.0 461:1565.0 470:7.0 471:191.0 473:375.0 474:234.0 475:1696.0 476:856.0 477:498.0 478:158.0 479:6.0 480:31.0 482:22.0 483:7.0 486:177.0 488:504.0 489:2178.0 490:1567.0 491:1205.0 492:267.0 493:126.0 495:4.0 496:7.0 497:4.0 498:1.0 499:2.0</t>
  </si>
  <si>
    <t>87:1297.0 88:1292.0 89:1040.0 90:172.0 91:147.0 92:58.0 94:91.0 95:110.0 96:6962.0 98:22.0 99:44.0 100:153.0 102:683.0 103:842.0 104:88.0 105:343.0 113:554.0 114:1145.0 115:2503.0 118:131.0 119:916.0 121:535.0 122:165.0 123:80.0 125:290.0 126:14.0 127:750.0 128:282.0 129:297.0 132:170.0 133:1967.0 135:368.0 138:68.0 139:107.0 141:692.0 142:75.0 144:187.0 145:722.0 146:147.0 147:935.0 148:509.0 151:141.0 152:151.0 153:103.0 154:94.0 155:402.0 156:258.0 157:52.0 159:450.0 160:205.0 161:346.0 162:162.0 163:1237.0 164:527.0 165:949.0 166:130.0 167:137.0 169:100.0 170:113.0 171:1318.0 172:279.0 173:691.0 174:71.0 175:333.0 176:566.0 177:2104.0 178:969.0 179:407.0 181:238.0 182:32.0 183:173.0 184:71.0 185:1348.0 186:1279.0 187:633.0 188:296.0 189:829.0 190:427.0 191:2775.0 192:1493.0 193:1609.0 194:692.0 195:365.0 196:62.0 197:75.0 198:71.0 199:263.0 200:305.0 201:1478.0 202:470.0 203:3662.0 204:793.0 205:767.0 206:610.0 207:35324.0 208:9950.0 209:4675.0 210:987.0 211:453.0 212:211.0 213:272.0 214:233.0 215:793.0 216:5251.0 217:1846.0 218:570.0 219:2015.0 220:714.0 221:653.0 222:242.0 223:349.0 224:25.0 225:220.0 226:194.0 228:36.0 229:296.0 230:334.0 231:1076.0 232:591.0 233:279.0 234:58.0 235:72.0 236:73.0 237:138.0 238:105.0 239:115.0 240:37.0 241:64.0 242:253.0 243:217.0 245:404.0 247:297.0 248:70.0 249:493.0 250:284.0 251:206.0 252:148.0 253:412.0 254:59.0 255:290.0 256:32.0 257:39.0 258:77.0 259:264.0 260:55.0 261:135.0 262:54.0 264:64.0 265:507.0 266:190.0 267:359.0 268:256.0 269:301.0 270:60.0 271:458.0 272:151.0 273:302.0 274:64.0 275:190.0 276:77.0 277:40.0 278:93.0 279:185.0 280:60.0 281:2420.0 282:547.0 283:222.0 284:419.0 285:237.0 287:258.0 288:38.0 289:319.0 290:235.0 291:629.0 292:379.0 293:527.0 294:389.0 295:307.0 296:349.0 297:244.0 298:194.0 299:64.0 301:47.0 302:34.0 303:166.0 304:1297.0 305:478.0 306:250.0 307:469.0 308:216.0 309:48.0 310:96.0 311:168.0 312:3.0 313:97.0 314:86.0 315:170.0 316:104.0 317:75.0 318:46.0 319:172.0 320:59.0 321:70.0 322:78.0 323:84.0 324:75.0 325:111.0 326:84.0 328:156.0 329:136.0 330:49.0 332:174.0 333:114.0 334:41.0 335:66.0 336:49.0 337:41.0 338:33.0 339:191.0 340:131.0 341:408.0 342:121.0 343:369.0 344:352.0 345:354.0 346:140.0 347:21.0 348:21.0 349:63.0 350:51.0 351:67.0 352:5.0 353:50.0 354:107.0 355:742.0 356:352.0 357:519.0 358:193.0 359:361.0 360:340.0 361:348.0 362:104.0 363:16.0 364:13.0 365:4.0 367:97.0 368:31.0 369:338.0 370:125.0 371:59.0 372:109.0 373:527.0 374:651.0 375:252.0 376:87.0 377:80.0 378:26.0 382:44.0 383:56.0 385:131.0 386:5.0 387:141.0 388:110.0 389:209.0 390:266.0 393:26.0 395:58.0 397:28.0 398:35.0 399:109.0 400:48.0 401:183.0 402:156.0 403:149.0 404:106.0 405:48.0 406:33.0 409:9.0 410:5.0 411:42.0 413:51.0 415:136.0 417:300.0 418:44.0 419:31.0 420:19.0 422:19.0 423:39.0 424:9.0 425:19.0 428:57.0 429:240.0 430:113.0 431:307.0 432:76.0 433:66.0 434:56.0 437:23.0 438:29.0 439:13.0 440:12.0 441:18.0 442:26.0 443:13.0 444:160.0 445:172.0 446:7.0 447:228.0 448:198.0 449:152.0 450:69.0 451:22.0 455:25.0 459:74.0 460:28.0 461:292.0 462:2078.0 463:1570.0 464:609.0 465:163.0 466:52.0 467:7.0 469:31.0 470:14.0 471:1.0 473:18.0 474:44.0 475:135.0 476:27.0 477:660.0 479:877.0 480:449.0 481:199.0 482:97.0 483:38.0 485:5.0 487:13.0 489:30.0 491:44.0 492:35.0 493:23.0 494:18.0</t>
  </si>
  <si>
    <t>87:417.0 88:153.0 89:710.0 90:658.0 94:25.0 96:7041.0 97:1306.0 98:19.0 102:397.0 103:1482.0 104:490.0 105:814.0 106:14.0 111:332.0 112:115.0 115:628.0 116:53.0 117:288.0 119:2176.0 120:892.0 121:843.0 122:24.0 123:87.0 125:765.0 133:1846.0 135:957.0 137:11.0 145:405.0 150:373.0 153:18.0 157:40.0 159:211.0 161:884.0 162:315.0 163:2105.0 164:546.0 165:1280.0 167:412.0 168:50.0 173:45.0 174:61.0 175:569.0 176:465.0 178:679.0 179:930.0 180:243.0 181:285.0 182:188.0 186:2.0 187:11.0 188:73.0 189:164.0 190:244.0 191:5302.0 192:1516.0 193:1744.0 194:367.0 195:441.0 196:49.0 197:194.0 198:10.0 200:35.0 201:28.0 202:72.0 203:251.0 204:134.0 205:602.0 206:423.0 207:20120.0 208:3746.0 209:2763.0 210:520.0 211:690.0 212:157.0 213:64.0 216:15.0 217:233.0 219:224.0 220:78.0 221:506.0 222:407.0 223:519.0 224:96.0 225:214.0 230:67.0 231:90.0 234:28.0 235:71.0 236:64.0 237:379.0 238:166.0 239:93.0 245:73.0 247:127.0 249:979.0 250:266.0 251:376.0 252:233.0 253:417.0 254:137.0 255:136.0 260:24.0 261:8.0 262:32.0 263:125.0 264:97.0 265:867.0 266:111.0 267:385.0 268:254.0 269:132.0 270:73.0 271:88.0 272:38.0 273:22.0 274:23.0 277:125.0 278:41.0 279:246.0 280:442.0 281:900.0 282:1105.0 283:1076.0 284:328.0 285:252.0 286:55.0 287:3.0 292:68.0 293:128.0 294:18.0 295:315.0 296:114.0 297:15.0 298:57.0 299:116.0 305:40.0 307:91.0 309:4.0 310:1.0 311:3.0 313:199.0 314:26.0 315:77.0 319:28.0 321:36.0 322:38.0 323:118.0 325:382.0 327:157.0 328:82.0 329:169.0 330:64.0 331:48.0 332:32.0 334:7.0 335:23.0 336:7.0 338:11.0 339:64.0 341:165.0 342:468.0 343:228.0 344:171.0 345:16.0 346:16.0 347:27.0 353:90.0 354:42.0 355:491.0 356:555.0 357:196.0 358:115.0 359:20.0 361:20.0 366:17.0 367:121.0 368:14.0 369:303.0 370:98.0 371:49.0 372:48.0 373:31.0 374:29.0 375:4.0 381:17.0 382:32.0 384:29.0 385:168.0 386:142.0 387:90.0 388:83.0 389:41.0 390:29.0 392:5.0 394:9.0 395:4.0 399:82.0 400:108.0 401:100.0 402:68.0 403:195.0 404:17.0 412:20.0 414:57.0 415:396.0 416:164.0 417:66.0 418:24.0 419:47.0 424:32.0 425:43.0 427:13.0 428:73.0 429:334.0 430:69.0 431:97.0 432:70.0 435:5.0 442:17.0 443:44.0 445:44.0 446:8.0 447:53.0 448:39.0 460:21.0 461:273.0 462:123.0 463:99.0 466:8.0 473:120.0 475:182.0 477:76.0 478:29.0 485:12.0 487:19.0 489:36.0 490:99.0 491:163.0 492:33.0 493:20.0 496:13.0 500:12.0</t>
  </si>
  <si>
    <t>85:372.0 86:495.0 87:839.0 88:97.0 89:2335.0 90:218.0 91:515.0 92:120.0 95:461.0 97:161.0 98:68.0 99:2118.0 100:1119.0 101:15163.0 102:945.0 103:22841.0 104:2006.0 105:952.0 107:181.0 108:124.0 109:27.0 110:1861.0 111:2122.0 113:1314.0 114:701.0 115:498.0 116:10842.0 117:4923.0 118:151.0 119:425.0 120:435.0 121:117.0 122:2648.0 123:84.0 124:20.0 125:2.0 126:51.0 127:609.0 128:304.0 129:31403.0 130:4292.0 131:8191.0 132:1224.0 133:8681.0 134:1513.0 135:1169.0 137:52.0 138:39.0 141:1223.0 142:499.0 143:4182.0 144:549.0 145:621.0 146:49.0 147:25383.0 148:2689.0 149:4423.0 150:639.0 151:462.0 152:17.0 153:8.0 154:33.0 155:1256.0 156:804.0 160:56.0 161:204.0 163:422.0 164:15.0 165:148.0 166:57.0 169:1236.0 170:7368.0 171:3021.0 172:3303.0 173:680.0 174:1301.0 175:516.0 176:1167.0 177:3722.0 178:609.0 179:440.0 181:92.0 184:201.0 185:301.0 186:280.0 187:2.0 188:45.0 189:2280.0 190:567.0 191:4105.0 192:879.0 193:208.0 195:5.0 196:130.0 197:62.0 198:7.0 201:195.0 202:109.0 203:1502.0 204:2513.0 205:435.0 206:204.0 207:446.0 208:945.0 209:405.0 210:66.0 211:5.0 212:92.0 215:159.0 216:89.0 217:31815.0 218:8102.0 219:4266.0 220:553.0 221:45.0 222:34.0 223:1236.0 224:299.0 225:105.0 227:30.0 228:99.0 230:57.0 234:20.0 237:15.0 238:38.0 239:63.0 240:68.0 241:6.0 243:259.0 244:47.0 245:423.0 246:42.0 247:1456.0 248:303.0 249:35.0 251:34.0 252:25.0 253:121.0 254:5.0 255:54.0 258:14.0 260:232.0 261:793.0 262:78.0 263:52.0 264:54.0 267:46.0 268:74.0 269:146.0 270:10.0 271:4.0 277:59.0 278:15.0 280:3.0 282:31.0 283:33.0 284:225.0 286:19.0 288:2.0 304:1.0 305:2.0 306:158.0 307:61.0 309:8.0 311:147.0 312:22.0 313:7.0 315:6.0 325:22.0 326:86.0 328:10.0 329:266.0 332:7.0 333:6.0 335:96.0 349:90.0 353:3.0 358:1.0 366:14.0 367:18.0 368:34.0 369:143.0 370:25.0 387:2.0 388:1.0 398:2.0 403:67.0 418:62.0 419:18.0 421:9.0 422:2.0 423:3.0 433:1.0 434:1.0 435:2.0 436:2.0 440:1.0 452:2.0 467:8.0 469:1.0 477:10.0 492:1.0 494:1.0 500:4.0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</si>
  <si>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</si>
  <si>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86:44.0 88:28.0 99:131.0 101:457.0 102:989.0 103:17.0 104:130.0 106:109.0 110:73.0 113:281.0 114:68.0 116:64.0 128:95.0 129:496.0 130:1150.0 131:88.0 133:1551.0 134:241.0 135:93.0 137:25.0 138:11.0 142:181.0 143:184.0 147:1276.0 149:63.0 153:48.0 156:31.0 158:35.0 159:16.0 160:284.0 169:3628.0 170:430.0 171:165.0 175:8.0 181:412.0 182:43.0 183:225.0 184:382.0 185:61.0 186:2.0 193:84.0 195:378.0 197:121.0 198:1.0 203:35.0 204:633.0 210:51.0 211:3543.0 212:595.0 213:203.0 215:59.0 217:276.0 221:1.0 225:513.0 226:26.0 227:2317.0 228:346.0 229:380.0 230:1120.0 231:1377.0 232:282.0 233:63.0 234:4.0 241:43.0 243:888.0 244:128.0 245:63.0 246:644.0 247:279.0 248:98.0 250:28.0 251:1.0 253:180.0 254:94.0 255:50.0 258:1.0 259:130.0 260:59.0 261:14.0 262:25.0 268:32.0 269:388.0 270:19.0 274:62.0 285:337.0 286:50.0 287:12.0 289:2.0 290:26.0 291:34.0 294:18.0 296:11.0 297:10.0 299:2955.0 300:951.0 301:566.0 302:39.0 303:8.0 304:5.0 305:34.0 306:11.0 307:33.0 308:19.0 309:37.0 313:14.0 314:102.0 315:2416.0 316:619.0 317:512.0 318:136.0 322:9.0 323:19.0 326:62.0 333:3.0 338:16.0 341:131.0 342:52.0 346:20.0 351:32.0 352:92.0 353:17.0 359:18.0 368:28.0 369:187.0 370:87.0 371:1.0 373:56.0 374:49.0 375:15.0 376:6.0 381:10.0 382:52.0 389:85.0 390:25.0 391:1.0 394:26.0 401:3.0 406:2.0 411:138.0 412:33.0 414:7.0 417:1.0 419:6.0 427:29.0 434:16.0 437:8.0 441:30.0 443:20.0 453:9.0 457:33.0 458:10.0 462:7.0 463:7.0 464:20.0 466:14.0 467:1.0 474:45.0 475:1.0 485:25.0 487:9.0 490:1.0 492:1.0</t>
  </si>
  <si>
    <t>85:496.0 86:1099.0 87:640.0 89:201.0 90:37.0 93:471.0 94:245.0 95:504.0 96:565.0 97:528.0 98:860.0 99:388.0 100:459.0 102:72.0 103:513.0 104:27.0 107:550.0 108:67.0 109:279.0 111:76.0 112:280.0 113:563.0 115:411.0 116:1084.0 117:2807.0 120:9.0 124:171.0 125:95.0 128:380.0 129:1324.0 130:317.0 131:2843.0 133:1666.0 138:84.0 139:175.0 140:102.0 141:27.0 142:48.0 143:542.0 144:170.0 145:1302.0 147:20243.0 148:3359.0 149:1012.0 150:56.0 151:61.0 152:42.0 153:131.0 154:42.0 156:295.0 157:48.0 158:301.0 159:324.0 162:35.0 163:74.0 164:101.0 167:21.0 168:142.0 169:52.0 170:126.0 171:41.0 172:69.0 173:79.0 174:1438.0 175:191.0 176:74.0 177:59.0 182:47.0 183:47.0 184:165.0 185:36.0 186:99.0 189:153.0 190:32.0 191:1124.0 192:117.0 193:34.0 194:120.0 199:13.0 200:88.0 205:793.0 206:112.0 207:8488.0 208:1883.0 209:687.0 210:92.0 212:66.0 213:26.0 214:52.0 215:108.0 216:6.0 217:352.0 219:12.0 220:31.0 221:21433.0 222:4727.0 223:2960.0 224:448.0 225:70.0 230:169.0 231:36.0 232:45.0 234:8.0 235:17.0 237:39.0 238:53.0 240:98.0 242:10.0 243:29.0 245:44.0 246:176.0 247:161.0 248:91.0 249:286.0 250:166.0 251:182.0 252:129.0 254:27.0 256:50.0 260:6.0 261:13.0 263:145.0 264:43.0 265:1049.0 266:212.0 267:1302.0 268:306.0 269:205.0 270:54.0 271:111.0 272:25.0 273:20.0 277:38.0 279:328.0 280:136.0 281:5587.0 282:1723.0 283:910.0 284:222.0 285:31.0 286:18.0 288:2.0 291:40.0 292:19.0 293:73.0 294:11.0 295:6421.0 296:1968.0 297:1137.0 298:170.0 299:350.0 300:116.0 305:179.0 306:32.0 309:20.0 310:30.0 311:61.0 312:118.0 313:105.0 314:110.0 315:69.0 317:4.0 318:161.0 319:5.0 320:7.0 322:58.0 323:114.0 324:69.0 325:400.0 326:217.0 327:559.0 328:147.0 329:134.0 330:60.0 331:13.0 332:38.0 333:46.0 334:1.0 336:15.0 339:171.0 340:188.0 341:1191.0 342:464.0 343:197.0 344:15.0 345:14.0 346:7.0 348:12.0 353:45.0 354:79.0 355:1164.0 356:578.0 357:219.0 358:73.0 360:10.0 361:24.0 362:17.0 363:6.0 364:18.0 367:35.0 368:65.0 369:2669.0 370:1171.0 371:816.0 372:161.0 373:73.0 374:27.0 376:39.0 383:27.0 384:49.0 385:109.0 386:21.0 388:28.0 389:10.0 393:41.0 398:12.0 399:200.0 400:71.0 401:383.0 402:116.0 403:60.0 404:7.0 409:4.0 413:5.0 414:32.0 415:179.0 416:89.0 419:8.0 423:8.0 427:4.0 428:15.0 429:242.0 430:29.0 431:21.0 432:56.0 434:6.0 439:6.0 440:1.0 443:135.0 444:90.0 445:53.0 457:5.0 459:29.0 460:30.0 461:144.0 462:28.0 474:2.0 475:54.0 476:33.0 477:9.0 481:21.0 491:38.0</t>
  </si>
  <si>
    <t>85:107.0 86:452.0 89:2406.0 91:183.0 93:9.0 94:148.0 98:232.0 99:231.0 100:1912.0 101:452.0 102:611.0 103:2032.0 105:49.0 108:294.0 109:114.0 112:2.0 113:241.0 114:93.0 116:174.0 117:884.0 118:33.0 124:2.0 128:64.0 129:2126.0 130:259.0 131:117.0 132:627.0 133:1240.0 134:330.0 135:161.0 136:33.0 137:30.0 142:60.0 143:680.0 144:7.0 145:359.0 146:291.0 147:2187.0 148:1166.0 149:475.0 150:64.0 152:1.0 153:11.0 154:22.0 155:1.0 157:791.0 158:207.0 161:20.0 162:26.0 169:352.0 170:45.0 172:225.0 173:57.0 182:22.0 183:28.0 187:84.0 189:1166.0 190:225.0 191:240.0 193:153.0 195:89.0 196:54.0 197:214.0 198:17.0 200:54.0 202:82.0 203:89.0 204:12382.0 205:3186.0 206:1346.0 207:3.0 209:43.0 217:2686.0 218:743.0 219:506.0 220:2441.0 222:188.0 223:29.0 227:4.0 229:51.0 230:13.0 231:128.0 233:368.0 234:80.0 235:42.0 237:6.0 239:56.0 241:54.0 242:10.0 243:139.0 244:11.0 245:62.0 247:21.0 255:2.0 259:81.0 261:20.0 262:9.0 265:104.0 269:62.0 271:96.0 273:2.0 287:4.0 292:14.0 293:3.0 296:4.0 304:16.0 305:37.0 306:26.0 307:132.0 309:58.0 313:3.0 318:33.0 319:1639.0 320:480.0 321:131.0 322:2.0 329:3.0 330:17.0 331:6.0 333:11.0 338:6.0 341:40.0 344:15.0 350:12.0 352:17.0 355:2.0 357:151.0 361:8.0 364:24.0 382:6.0 388:4.0 391:22.0 395:7.0 398:25.0 403:10.0 404:4.0 406:52.0 407:11.0 410:3.0 415:4.0 416:26.0 418:59.0 422:5.0 427:5.0 428:5.0 431:27.0 438:1.0 440:1.0 441:6.0 450:5.0 452:8.0 458:6.0 460:4.0 474:15.0 478:4.0 479:43.0 481:23.0 482:4.0 484:3.0 491:3.0 495:2.0 497:3.0 498:2.0 500:8.0</t>
  </si>
  <si>
    <t>85:253.0 86:998.0 89:20.0 94:39.0 95:46.0 98:350.0 99:501.0 100:59.0 102:354.0 107:141.0 110:250.0 112:360.0 113:27.0 115:76.0 116:949.0 117:1379.0 118:191.0 123:106.0 129:613.0 135:214.0 136:17.0 139:51.0 140:1135.0 141:405.0 142:671.0 143:1012.0 144:502.0 145:169.0 152:20.0 154:387.0 155:536.0 156:46742.0 157:8414.0 158:7150.0 159:986.0 161:57.0 162:25.0 167:194.0 168:79.0 169:104.0 170:116.0 171:301.0 172:97.0 173:82.0 174:338.0 183:179.0 186:100.0 196:1.0 197:84.0 198:67.0 199:25.0 200:83.0 201:69.0 202:49.0 203:15.0 204:571.0 206:16.0 212:32.0 213:13.0 214:83.0 218:45.0 219:66.0 220:3.0 225:81.0 226:12.0 229:121.0 230:98.0 231:150.0 232:6.0 234:13.0 243:47.0 245:120.0 246:82.0 247:3.0 253:45.0 259:47.0 261:30.0 263:51.0 264:22.0 266:43.0 269:2586.0 270:539.0 271:136.0 272:1.0 273:57.0 274:22.0 283:22.0 285:72.0 286:12.0 287:12.0 288:146.0 289:28.0 291:10.0 296:45.0 299:7.0 301:32.0 302:5.0 304:50.0 305:422.0 306:113.0 307:64.0 308:77.0 310:56.0 311:54.0 312:2.0 313:1.0 317:35.0 318:16.0 319:78.0 320:49.0 326:4.0 331:176.0 338:7.0 341:94.0 342:88.0 344:18.0 345:213.0 346:114.0 349:6.0 351:7.0 352:711.0 353:322.0 354:102.0 357:13.0 362:27.0 363:5.0 365:1.0 368:49.0 369:52.0 370:5.0 371:542.0 372:118.0 373:254.0 383:9.0 386:125.0 387:93.0 388:43.0 391:10.0 392:23.0 395:18.0 397:20.0 399:2.0 402:3.0 403:65.0 405:7.0 406:2.0 407:12.0 408:4.0 411:5.0 412:25.0 414:25.0 416:13.0 418:1.0 421:6.0 423:5.0 426:10.0 428:21.0 433:29.0 435:92.0 436:47.0 437:50.0 445:20.0 447:5.0 448:44.0 449:4.0 453:30.0 454:3.0 456:4.0 457:1.0 458:7.0 459:22.0 461:1.0 463:75.0 464:39.0 465:7.0 467:10.0 477:25.0 495:27.0</t>
  </si>
  <si>
    <t>85:8.0 89:318.0 91:137.0 94:9.0 95:6.0 96:43.0 97:60.0 105:88.0 110:13.0 117:274.0 119:214.0 120:33.0 121:45.0 123:14.0 129:78.0 135:105.0 136:111.0 137:3.0 138:2.0 143:119.0 145:451.0 146:35.0 150:20.0 151:77.0 159:40.0 161:134.0 162:14.0 163:203.0 165:160.0 168:15.0 175:97.0 176:42.0 177:329.0 178:110.0 179:911.0 180:183.0 181:22.0 183:2.0 190:36.0 191:193.0 192:266.0 193:1351.0 194:400.0 195:72.0 196:18.0 202:73.0 205:68.0 206:112.0 207:1328.0 208:827.0 209:402.0 210:94.0 211:23.0 215:19.0 216:2.0 217:85.0 218:28.0 219:223.0 220:9.0 221:915.0 222:531.0 223:389.0 224:31.0 231:67.0 233:44.0 234:9.0 235:16.0 236:37.0 237:41.0 238:47.0 239:16.0 247:60.0 248:48.0 249:616.0 250:157.0 251:49.0 252:73.0 253:217.0 254:81.0 255:77.0 256:32.0 264:6.0 265:533.0 266:226.0 267:4799.0 268:1183.0 269:575.0 271:16.0 274:34.0 278:13.0 279:390.0 280:775.0 281:548.0 282:230.0 283:101.0 285:4.0 295:190.0 296:96.0 297:9.0 300:2.0 305:10.0 306:1.0 311:7.0 312:21.0 314:38.0 315:14.0 319:7.0 321:24.0 323:81.0 324:35.0 326:52.0 327:141.0 328:112.0 329:22.0 330:14.0 341:44.0 342:101.0 343:29.0 344:43.0 354:7.0 355:121.0 356:112.0 358:50.0 361:18.0 369:30.0 370:23.0 381:14.0 385:55.0 387:13.0 388:86.0 396:18.0 400:42.0 401:227.0 403:98.0 404:4.0 407:23.0 415:322.0 416:54.0 417:34.0 429:105.0 430:182.0 431:69.0 434:2.0 439:43.0 443:24.0 445:8.0 446:1.0 459:24.0 460:6.0 461:43.0 462:5.0 464:3.0 469:2.0 475:134.0 476:51.0 477:52.0 478:8.0 483:5.0 487:16.0 488:17.0 489:127.0 490:76.0 491:2.0</t>
  </si>
  <si>
    <t>85:401.0 87:154.0 88:117.0 92:23.0 94:8.0 99:270.0 100:67.0 101:2071.0 102:474.0 103:37562.0 104:3393.0 105:1516.0 106:13.0 107:117.0 108:1.0 111:8.0 112:21.0 113:143.0 114:55.0 115:897.0 116:124.0 117:1664.0 118:30.0 119:490.0 125:91.0 126:7.0 127:287.0 128:5.0 129:6983.0 130:1849.0 131:2267.0 132:194.0 133:3635.0 134:1225.0 135:256.0 140:278.0 141:120.0 142:2.0 143:1643.0 144:232.0 145:338.0 147:12538.0 148:1019.0 149:2088.0 150:18.0 151:11.0 153:121.0 157:145.0 158:14.0 159:142.0 163:86.0 171:3.0 174:5.0 175:296.0 177:907.0 178:140.0 179:44.0 184:383.0 185:23.0 188:1.0 189:647.0 190:361.0 191:177.0 199:24.0 200:1.0 203:1080.0 204:243.0 205:88.0 206:11.0 209:2.0 211:49.0 215:1287.0 216:194.0 217:2116.0 218:454.0 219:7281.0 220:2345.0 221:1057.0 222:175.0 223:57.0 227:36.0 229:45.0 230:438.0 231:266.0 232:13.0 233:107.0 235:25.0 236:10.0 237:19.0 239:262.0 240:38.0 241:47.0 246:71.0 254:180.0 259:8.0 262:1.0 263:48.0 270:2.0 272:8.0 278:5.0 291:209.0 292:34.0 293:156.0 294:12.0 309:1.0 311:3.0 321:434.0 322:89.0 323:41.0 330:1.0 332:1.0 339:13.0 343:5.0 347:16.0 357:5.0 362:1.0 387:1.0 391:7.0 412:6.0 413:4.0 449:19.0 469:10.0 499:6.0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</si>
  <si>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</si>
  <si>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85:500.0 86:756.0 87:583.0 88:459.0 92:217.0 97:436.0 98:810.0 99:282.0 100:1416.0 101:95.0 102:349.0 104:53.0 106:297.0 112:103.0 113:244.0 114:2396.0 115:538.0 117:69.0 121:1.0 122:46.0 123:174.0 125:204.0 126:268.0 127:508.0 128:1371.0 129:1344.0 130:41490.0 131:5024.0 132:1949.0 133:303.0 134:360.0 139:52.0 140:5.0 143:23.0 144:31.0 146:3614.0 147:9218.0 148:1920.0 156:1.0 157:10.0 163:5.0 168:317.0 169:77.0 172:1.0 193:2.0 196:35.0 199:42.0 201:75.0 215:3.0 218:865.0 223:19.0 225:2.0 255:68.0 265:1.0 270:45.0 312:1.0 313:1.0 372:1.0</t>
  </si>
  <si>
    <t>85:337.0 88:1727.0 89:1883.0 95:61.0 97:67.0 98:55.0 99:2659.0 101:1350.0 102:292.0 103:4809.0 104:379.0 105:327.0 111:840.0 112:63.0 113:292.0 114:399.0 115:540.0 116:1230.0 117:36.0 124:30.0 128:553.0 129:30705.0 130:3298.0 131:1704.0 132:235.0 133:579.0 134:1498.0 142:733.0 143:473.0 144:91.0 145:798.0 147:10104.0 148:240.0 150:82.0 156:5.0 159:1.0 160:21.0 165:88.0 173:96.0 178:60.0 184:373.0 186:118.0 189:270.0 190:1.0 199:87.0 211:30.0 212:79.0 217:177.0 228:109.0 230:1.0 232:923.0 233:78.0 258:2.0 259:1.0 261:1.0 282:93.0 343:9.0 356:2.0 455:5.0 492:2.0</t>
  </si>
  <si>
    <t>85:657.0 87:325.0 88:2.0 89:126.0 92:37.0 94:446.0 95:279.0 96:6.0 97:421.0 99:164.0 101:69.0 103:98.0 106:266.0 107:67.0 109:1243.0 110:99.0 111:51.0 112:77.0 114:324.0 116:9.0 117:479.0 118:33.0 122:70.0 123:353.0 124:3.0 125:4.0 128:265.0 129:934.0 130:27.0 132:31.0 133:1193.0 139:137.0 140:66.0 141:103.0 142:583.0 143:801.0 144:1.0 145:78.0 146:105.0 147:2382.0 148:261.0 150:123.0 151:330.0 152:89.0 153:45.0 154:655.0 155:46.0 156:1159.0 158:52.0 159:62.0 166:43.0 167:195.0 168:283.0 169:155.0 170:121.0 171:64.0 172:31.0 178:1.0 180:31.0 181:2.0 182:182.0 183:63.0 184:101.0 185:115.0 186:151.0 187:320.0 188:61.0 189:362.0 190:173.0 192:11.0 194:53.0 196:14.0 198:88.0 199:39.0 200:28.0 203:343.0 204:1395.0 205:60.0 208:3.0 209:90.0 211:82.0 212:434.0 213:31.0 214:105.0 215:202.0 216:154.0 217:3101.0 218:764.0 219:162.0 221:38.0 224:174.0 225:94.0 226:51.0 227:2.0 228:48.0 229:151.0 230:1049.0 231:191.0 232:376.0 233:804.0 234:142.0 235:91.0 236:9.0 237:68.0 238:31.0 239:267.0 240:8.0 241:888.0 242:272.0 243:78.0 244:71.0 246:57.0 251:46.0 252:58.0 253:50.0 254:45.0 255:296.0 256:52.0 257:283.0 258:36.0 259:82.0 265:45.0 268:36.0 269:735.0 270:59.0 271:270.0 272:60.0 274:23.0 275:51.0 276:17.0 279:45.0 281:53.0 282:58.0 283:202.0 284:82.0 285:121.0 287:10.0 290:12.0 295:16.0 296:68.0 297:338.0 298:20.0 299:24.0 300:5.0 301:35.0 303:3.0 304:2.0 305:30.0 309:23.0 310:41.0 311:5140.0 312:1234.0 313:482.0 314:219.0 315:42.0 316:55.0 323:21.0 324:8.0 326:57.0 329:74.0 339:126.0 340:54.0 343:52.0 344:1.0 345:5.0 348:24.0 349:5.0 350:3.0 353:52.0 354:16.0 363:25.0 367:9.0 368:34.0 373:2.0 375:5.0 376:16.0 383:38.0 384:132.0 385:70.0 386:55.0 389:8.0 393:26.0 399:3.0 400:100.0 401:3098.0 402:1201.0 403:574.0 404:128.0 405:161.0 406:16.0 415:80.0 416:15.0 418:10.0 419:4.0 420:1.0 427:12.0 428:44.0 429:24.0 441:6.0 443:305.0 444:90.0 445:73.0 446:13.0 449:5.0 451:2.0 456:32.0 457:55.0 462:1.0 465:1.0 476:2.0 488:1.0</t>
  </si>
  <si>
    <t>85:678.0 86:799.0 87:247.0 88:683.0 90:84.0 91:266.0 93:274.0 95:147.0 97:686.0 98:29.0 99:48.0 100:955.0 102:94.0 104:213.0 105:223.0 106:260.0 107:2873.0 108:455.0 109:261.0 110:1837.0 111:623.0 112:76.0 113:31.0 114:154.0 116:7.0 118:631.0 120:59.0 125:98.0 126:380.0 127:1670.0 130:6239.0 131:1396.0 132:106.0 134:6387.0 135:572.0 136:397.0 143:569.0 144:71.0 146:166.0 147:10856.0 148:1468.0 149:517.0 150:101.0 152:90.0 154:43.0 160:8.0 170:284.0 184:1683.0 185:286.0 186:111.0 199:199.0 292:9.0 388:3.0</t>
  </si>
  <si>
    <t>85:1899.0 86:1196.0 87:796.0 88:469.0 89:1911.0 90:288.0 91:340.0 92:5.0 94:8.0 97:1476.0 98:158.0 99:1106.0 100:8392.0 101:3727.0 102:839.0 103:7550.0 104:593.0 109:197.0 110:302.0 111:843.0 112:522.0 113:697.0 114:3804.0 115:1961.0 116:2310.0 117:8350.0 118:826.0 119:757.0 121:1.0 124:78.0 125:233.0 126:37.0 127:289.0 128:886.0 129:7029.0 130:2180.0 131:7962.0 132:1222.0 133:4408.0 134:376.0 138:92.0 139:325.0 140:188.0 141:254.0 142:452.0 143:1933.0 144:33255.0 145:4727.0 146:3258.0 147:17697.0 148:2995.0 149:2506.0 150:232.0 151:286.0 152:125.0 153:2030.0 154:2461.0 155:1345.0 156:941.0 157:888.0 158:1075.0 159:323.0 160:39.0 161:352.0 162:52.0 163:79.0 164:29.0 166:109.0 167:284.0 168:91.0 169:1500.0 170:506.0 171:334.0 172:1792.0 173:437.0 174:701.0 175:70.0 177:37.0 181:35.0 182:92.0 183:157.0 184:335.0 185:109.0 186:117.0 187:43.0 188:237.0 189:2765.0 190:557.0 191:8273.0 192:1346.0 193:687.0 194:14.0 195:123.0 196:10.0 197:103.0 198:42.0 199:81.0 200:225.0 201:87.0 202:132.0 203:902.0 204:45612.0 205:10112.0 206:4225.0 207:665.0 208:145.0 209:1.0 211:255.0 212:175.0 213:84.0 214:89.0 215:210.0 217:6738.0 218:2176.0 219:780.0 220:168.0 221:188.0 222:58.0 223:82.0 225:153.0 226:1346.0 227:920.0 228:236.0 229:141.0 230:248.0 231:836.0 233:76.0 236:10.0 238:375.0 239:379.0 240:78.0 241:81.0 242:119.0 243:505.0 244:152.0 245:222.0 246:423.0 247:163.0 248:66.0 249:4159.0 250:906.0 251:435.0 252:84.0 253:112.0 254:170.0 255:316.0 256:115.0 257:140.0 258:87.0 259:95.0 260:97.0 261:21.0 262:39.0 263:8.0 264:16.0 265:8.0 266:101.0 269:70.0 271:309.0 272:72.0 273:51.0 274:24.0 275:131.0 276:545.0 277:138.0 278:135.0 279:33.0 280:16.0 281:93.0 282:3.0 283:61.0 284:3.0 285:53.0 286:49.0 288:153.0 289:78.0 290:3723.0 291:1328.0 292:479.0 293:131.0 294:36.0 296:11.0 297:1.0 298:23.0 301:81.0 302:2.0 303:32.0 304:63.0 305:388.0 306:70.0 307:52.0 310:147.0 311:49.0 313:11.0 314:4.0 315:47.0 317:125.0 318:21.0 319:98.0 320:51.0 321:40.0 325:14.0 326:2967.0 327:2064.0 328:745.0 329:264.0 330:77.0 331:160.0 332:64.0 333:57.0 334:1.0 335:1.0 338:19.0 342:8.0 343:2.0 345:157.0 346:7.0 347:29.0 351:2.0 352:181.0 353:111.0 354:47.0 360:23.0 361:595.0 362:225.0 363:150.0 364:18.0 366:9.0 367:26.0 368:31.0 369:13.0 372:157.0 373:42.0 374:12.0 376:9.0 377:27.0 379:1.0 385:1.0 386:6.0 387:170.0 388:92.0 389:13.0 390:24.0 392:5.0 393:9.0 394:1.0 400:498.0 401:353.0 402:122.0 403:25.0 406:10.0 411:1.0 416:6.0 418:8.0 419:219.0 420:44.0 421:62.0 427:6.0 428:924.0 429:605.0 430:271.0 431:100.0 432:3.0 437:28.0 440:32.0 442:4.0 445:2.0 447:290.0 448:94.0 449:8.0 450:1.0 455:22.0 457:1.0 460:12.0 474:18.0 475:642.0 476:371.0 477:227.0 478:89.0 487:4.0 489:1.0</t>
  </si>
  <si>
    <t>85:296.0 86:583.0 89:821.0 91:424.0 93:163.0 94:56.0 95:306.0 97:430.0 98:217.0 99:151.0 100:127.0 101:809.0 103:5703.0 104:543.0 105:38.0 108:183.0 109:145.0 110:152.0 112:54.0 113:330.0 115:1132.0 116:609.0 117:206.0 118:333.0 119:251.0 122:49.0 123:92.0 124:20.0 126:138.0 128:78.0 129:1907.0 130:580.0 131:1138.0 136:49.0 137:8.0 138:58.0 141:141.0 142:47.0 143:154.0 144:140.0 145:108.0 147:8748.0 148:387.0 149:604.0 152:68.0 153:106.0 155:506.0 157:292.0 158:81.0 159:7851.0 160:1250.0 161:203.0 162:40.0 169:74.0 170:105.0 171:400.0 172:62.0 182:1.0 183:460.0 184:321.0 186:50.0 189:257.0 190:56.0 192:420.0 197:82.0 198:51.0 199:391.0 200:123.0 201:34.0 202:75.0 203:122.0 204:78.0 205:93.0 206:373.0 211:19.0 214:52.0 215:12.0 216:128.0 217:2739.0 218:702.0 219:65.0 220:259.0 224:5.0 226:1.0 228:9.0 231:216.0 232:98.0 233:79.0 237:3.0 239:25.0 240:5.0 245:33.0 252:2.0 253:2.0 255:24.0 257:29.0 260:31.0 261:274.0 263:30.0 269:9.0 270:6.0 272:1.0 273:17.0 277:35.0 280:2.0 282:5.0 283:4.0 285:2.0 286:6.0 287:2.0 288:12.0 289:45.0 290:1.0 291:3.0 295:2.0 296:1.0 300:4.0 302:216.0 303:47.0 304:139.0 306:37.0 307:212.0 308:34.0 309:4.0 312:3.0 314:4.0 315:10.0 320:13.0 321:2.0 322:1.0 329:11.0 330:8.0 335:20.0 337:14.0 341:54.0 343:2.0 344:3.0 345:106.0 346:60.0 347:10.0 349:1.0 358:1.0 360:16.0 361:2.0 363:3.0 388:1.0 397:1.0 401:1.0 405:2.0 420:1.0 422:1.0 435:53.0 436:9.0 447:1.0 465:1.0 466:2.0 472:1.0 476:1.0 485:1.0 486:1.0 498:1.0 499:1.0 500:2.0</t>
  </si>
  <si>
    <t>88:85.0 89:503.0 90:51.0 95:28.0 97:3.0 98:58.0 99:693.0 100:688.0 101:268.0 102:442.0 103:2599.0 104:231.0 105:71.0 107:464.0 109:137.0 110:303.0 111:139.0 112:20.0 113:402.0 115:100.0 116:116.0 117:5423.0 118:645.0 119:97.0 124:18.0 125:35.0 126:356.0 128:201.0 129:1144.0 130:549.0 131:3155.0 132:85.0 133:1001.0 134:278.0 135:5.0 136:78.0 139:51.0 140:195.0 141:254.0 142:947.0 143:404.0 144:312.0 147:2485.0 149:427.0 150:15.0 155:238.0 156:353.0 157:321.0 159:8505.0 160:847.0 161:163.0 162:2.0 163:6.0 164:1.0 167:10.0 168:9.0 171:1180.0 172:221.0 173:213.0 183:73.0 184:159.0 189:740.0 190:30.0 191:2.0 196:1.0 198:45.0 199:126.0 200:84.0 203:331.0 204:545.0 206:76.0 210:35.0 213:4.0 214:192.0 215:149.0 216:129.0 217:2839.0 218:613.0 219:54.0 228:71.0 229:186.0 230:97.0 231:335.0 232:350.0 233:44.0 235:4.0 240:89.0 241:29.0 243:18.0 245:153.0 246:157.0 254:81.0 255:70.0 256:45.0 269:35.0 273:201.0 274:35.0 277:11.0 286:8.0 287:5.0 288:5.0 291:85.0 298:124.0 302:41.0 304:427.0 305:70.0 306:33.0 316:5.0 326:4.0 328:1139.0 329:423.0 330:269.0 331:1.0 334:374.0 335:51.0 336:10.0 342:106.0 343:211.0 344:73.0 345:370.0 363:24.0 392:31.0 435:132.0 500:8.0</t>
  </si>
  <si>
    <t>85:2478.0 86:22051.0 87:2411.0 88:1123.0 89:75.0 90:102.0 91:327.0 92:2.0 93:61.0 94:196.0 95:478.0 96:452.0 98:2440.0 99:1737.0 100:14302.0 101:2051.0 102:3555.0 103:12602.0 104:1073.0 105:639.0 106:46.0 108:324.0 109:656.0 110:1134.0 111:22.0 112:451.0 113:796.0 114:1451.0 115:1914.0 116:2143.0 117:10418.0 118:963.0 119:633.0 120:233.0 122:4.0 123:165.0 124:723.0 126:3.0 127:13.0 128:1246.0 129:3444.0 130:3545.0 131:2020.0 132:460.0 133:871.0 134:839.0 135:360.0 136:129.0 137:90.0 138:113.0 140:102.0 141:174.0 142:1234.0 143:464.0 144:3497.0 145:1646.0 146:1473.0 151:205.0 152:93.0 154:661.0 155:334.0 156:1117.0 157:6290.0 158:2035.0 159:4227.0 160:1446.0 161:168.0 162:104.0 163:61.0 164:16.0 165:149.0 166:223.0 167:75.0 168:134.0 170:693.0 171:373.0 172:2131.0 173:442.0 174:53742.0 175:9285.0 176:4103.0 177:502.0 179:10.0 181:216.0 182:139.0 183:439.0 184:214.0 185:304.0 186:674.0 187:632.0 188:1464.0 193:51.0 195:59.0 196:23.0 198:102.0 199:149.0 200:626.0 201:5561.0 202:862.0 203:584.0 209:360.0 210:2.0 211:127.0 213:113.0 214:112.0 215:24.0 216:263.0 224:7.0 227:278.0 228:270.0 231:18.0 238:8.0 239:100.0 240:220.0 241:62.0 242:86.0 244:30.0 246:317.0 247:2602.0 248:629.0 249:124.0 250:27.0 254:6.0 255:764.0 256:568.0 257:174.0 258:22.0 259:74.0 260:178.0 261:706.0 262:247.0 263:16.0 267:23.0 268:35.0 270:83.0 272:309.0 273:186.0 274:157.0 275:147.0 276:43.0 281:11.0 283:105.0 284:10.0 285:217.0 286:115.0 287:113.0 288:20.0 290:32.0 291:4262.0 298:35.0 299:88.0 300:73.0 301:58.0 302:6.0 313:21.0 327:2.0 328:19.0 330:344.0 332:5.0 338:2.0 340:4.0 342:32.0 349:9.0 353:266.0 354:71.0 355:50.0 356:67.0 363:16.0 368:113.0 369:46.0 371:10.0 372:312.0 373:8195.0 374:3155.0 375:1394.0 376:491.0 377:122.0 378:5.0 380:2.0 382:61.0 383:21.0 387:51.0 388:118.0 389:29.0 390:12.0 392:5.0 397:4.0 411:6.0 420:427.0 421:115.0 460:11.0 461:5.0 468:1.0 470:4.0 474:13.0 475:2.0 479:15.0 482:2.0 485:1.0 487:12.0 496:2.0 498:1.0</t>
  </si>
  <si>
    <t>85:512.0 86:3204.0 87:1.0 88:511.0 89:292.0 91:118.0 94:13.0 98:4.0 99:244.0 100:1166.0 101:1179.0 103:172.0 104:184.0 105:2.0 107:423.0 108:161.0 109:157.0 110:320.0 114:589.0 115:15.0 118:527.0 119:3.0 123:1.0 124:16.0 126:544.0 127:95.0 131:2.0 133:158.0 134:1312.0 135:4.0 136:40.0 143:88.0 144:948.0 145:39.0 146:268.0 147:5.0 151:3.0 158:64.0 160:269.0 164:9.0 165:1.0 167:1.0 168:20.0 171:78.0 172:38.0 174:12.0 175:41.0 176:22.0 179:1.0 180:24.0 181:3.0 182:19.0 183:1.0 184:431.0 185:82.0 186:209.0 188:3209.0 189:560.0 190:112.0 191:116.0 192:1.0 193:7.0 194:1.0 195:1.0 198:26.0 199:167.0 200:2.0 203:474.0 207:6.0 208:1.0 209:1.0 211:111.0 216:4.0 217:36.0 225:3.0 227:1.0 258:21.0 263:26.0 283:2.0 284:10.0 285:3.0 295:6.0 298:1.0 299:644.0 300:129.0 301:32.0 302:1.0 314:48.0 315:2.0 325:54.0 326:11.0 327:32.0 329:1.0 340:1.0 341:200.0 342:58.0 343:15.0 344:4.0 358:14.0 364:4.0 393:4.0 417:1.0 425:5.0 429:3.0 430:7.0 431:13.0 432:2.0 435:3.0 444:12.0 462:5.0 500:5.0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</si>
  <si>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</si>
  <si>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</si>
  <si>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85:37498.0 86:2456.0 91:49.0 93:175.0 95:161.0 96:575.0 97:2056.0 98:1689.0 99:8205.0 100:209.0 101:141.0 109:88.0 110:643.0 111:1080.0 112:502.0 113:3792.0 114:317.0 119:128.0 122:26.0 123:92.0 125:131.0 126:826.0 127:3614.0 128:222.0 130:161.0 131:570.0 132:170.0 133:1168.0 134:226.0 135:5.0 139:367.0 140:230.0 141:1421.0 142:22.0 143:88.0 146:66.0 154:461.0 155:626.0 156:2.0 182:121.0 183:637.0 184:200.0 193:109.0 197:61.0 203:73.0 225:1.0 229:181.0 313:14.0 352:1.0 357:26.0 367:20.0 369:29.0 383:13.0 408:3.0 425:12.0 427:5.0 451:14.0 477:3.0</t>
  </si>
  <si>
    <t>2-methylglyceric acid NIST</t>
  </si>
  <si>
    <t>85:18628.0 87:7876.0 88:4929.0 89:9992.0 90:1840.0 91:1863.0 92:492.0 93:629.0 94:501.0 95:20.0 96:2643.0 97:473.0 99:5589.0 101:27534.0 102:1171.0 103:140740.0 104:15787.0 105:13899.0 106:799.0 107:3828.0 108:105.0 109:198.0 110:4625.0 111:914.0 112:714.0 113:4484.0 115:62903.0 116:62008.0 117:30985.0 118:5880.0 119:16982.0 120:2395.0 121:1806.0 122:377.0 124:1690.0 125:133.0 127:2949.0 128:1365.0 129:214926.0 130:30858.0 131:190655.0 132:23647.0 133:172225.0 134:34339.0 135:17790.0 136:1891.0 137:588.0 139:350.0 140:530.0 141:1034.0 143:3017.0 144:2528.0 145:9075.0 146:1355.0 147:357861.0 148:55387.0 149:84229.0 150:11049.0 151:9794.0 152:1742.0 153:739.0 156:1407.0 157:2683.0 158:298.0 159:1741.0 161:973.0 162:602.0 163:66835.0 164:11412.0 165:5422.0 166:520.0 168:100.0 170:45.0 171:16.0 173:493.0 177:12755.0 178:1791.0 179:1181.0 181:62.0 182:24.0 184:1824.0 186:652.0 187:875.0 189:59778.0 190:12441.0 191:4499.0 195:257.0 196:16.0 197:6.0 198:1703.0 199:606.0 201:221.0 203:97975.0 204:18058.0 205:16177.0 206:2526.0 207:3255.0 208:1323.0 211:2209.0 212:236.0 213:298.0 214:185.0 215:542.0 216:294.0 217:1489.0 218:6217.0 219:233559.0 220:47732.0 221:28560.0 222:4594.0 223:1654.0 224:97.0 225:102.0 226:302.0 227:225.0 228:2240.0 229:530.0 230:392.0 231:14436.0 232:2749.0 233:63843.0 234:13156.0 235:5444.0 236:751.0 237:236.0 238:166.0 239:82.0 240:133.0 242:113.0 254:313.0 263:106.0 265:2734.0 266:658.0 267:266.0 268:7.0 269:77.0 270:14.0 272:9.0 277:1534.0 279:187.0 280:33.0 285:18.0 288:13.0 292:71.0 293:11679.0 294:3942.0 295:1906.0 296:461.0 298:129.0 300:194.0 303:17.0 304:25.0 305:386.0 306:14727.0 307:4088.0 308:2189.0 309:507.0 310:141.0 314:8.0 317:2.0 319:154.0 320:318.0 321:10649.0 322:3162.0 323:1694.0 324:145.0 325:48.0 336:243.0 337:5.0 341:9.0 342:12.0 343:40.0 345:3.0 355:5.0 361:1.0 400:1.0 401:17.0 429:12.0 475:1.0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</si>
  <si>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</si>
  <si>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</si>
  <si>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</si>
  <si>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85:5201.0 86:362.0 87:3305.0 91:3934.0 92:157.0 93:5012.0 94:3556.0 95:14256.0 96:18687.0 97:26079.0 98:18863.0 99:5994.0 100:2397.0 101:3618.0 105:1126.0 106:415.0 107:2342.0 108:1905.0 109:7351.0 110:8617.0 111:11475.0 112:3908.0 113:1424.0 114:2822.0 115:2108.0 119:1568.0 120:360.0 121:2742.0 122:1091.0 123:6354.0 124:4182.0 125:4565.0 126:1290.0 127:2828.0 128:515.0 129:1036.0 132:113.0 133:1435.0 134:1461.0 135:1968.0 136:589.0 137:4151.0 138:2929.0 139:2321.0 140:614.0 141:263.0 142:458.0 147:502.0 148:897.0 149:591.0 150:427.0 151:2435.0 152:2880.0 153:1399.0 154:273.0 155:408.0 161:700.0 162:142.0 163:407.0 164:303.0 165:1759.0 166:1657.0 167:640.0 168:111.0 169:1355.0 170:176.0 171:523.0 172:267.0 175:86.0 176:37.0 178:74.0 179:1067.0 180:2472.0 181:436.0 183:1412.0 184:263.0 185:321.0 193:94.0 194:301.0 195:2.0 196:44.0 204:2044.0 208:182.0 211:183.0 212:36.0 213:87.0 217:790.0 218:121.0 220:432.0 221:224.0 222:1743.0 223:438.0 227:6.0 235:287.0 236:242.0 237:98.0 239:341.0 240:4.0 242:24.0 243:64.0 244:40.0 245:440.0 246:530.0 247:220.0 249:27.0 253:1.0 255:1.0 256:1.0 258:3.0 260:155.0 263:315.0 264:3600.0 265:3830.0 266:708.0 267:17.0 271:82.0 282:13.0 283:311.0 285:1.0 286:24.0 287:77.0 288:19.0 290:20.0 296:49.0 297:18.0 298:25.0 299:344.0 300:55.0 301:115.0 303:303.0 305:69.0 312:1.0 313:1.0 315:140.0 316:12.0 317:100.0 318:263.0 319:76.0 320:80.0 325:44.0 327:35.0 334:123.0 335:59.0 336:10.0 338:326.0 339:84.0 342:4.0 343:105.0 350:55.0 361:79.0 364:27.0 366:3.0 387:85.0 388:52.0 396:6.0 401:22.0 445:66.0 446:45.0 450:8.0 451:6.0 455:1.0 460:5.0 466:1.0 468:7.0 479:8.0 480:2.0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</si>
  <si>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</si>
  <si>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85:257.0 86:181.0 90:84.0 94:17.0 96:43.0 97:123.0 98:130.0 99:201.0 100:1314.0 101:628.0 102:973.0 103:1448.0 104:39.0 110:30.0 111:21.0 112:195.0 114:556.0 115:542.0 116:846.0 117:765.0 118:44.0 122:95.0 128:1162.0 129:1260.0 130:1737.0 131:150.0 133:89.0 138:22.0 140:207.0 141:34.0 142:192.0 143:127.0 144:910.0 145:265.0 146:117.0 152:11.0 153:167.0 154:244.0 155:512.0 156:1049.0 157:420.0 158:195.0 163:6.0 167:49.0 168:226.0 169:307.0 170:263.0 171:82.0 172:1174.0 173:52.0 174:16.0 180:21.0 181:85.0 182:415.0 183:521.0 184:242.0 185:40.0 186:81.0 188:79.0 191:275.0 192:54.0 193:10.0 195:95.0 196:119.0 197:43.0 198:105.0 199:55.0 200:502.0 202:253.0 203:91.0 204:243.0 205:221.0 206:109.0 207:213.0 210:87.0 212:265.0 215:58.0 216:159.0 217:178.0 218:428.0 219:232.0 220:23.0 224:40.0 225:37.0 228:119.0 229:9.0 230:6.0 231:91.0 232:195.0 233:40.0 238:3.0 240:93.0 241:74.0 242:46.0 243:64.0 244:67.0 245:211.0 246:115.0 247:9.0 248:24.0 251:49.0 254:8.0 255:76.0 256:44.0 257:80.0 258:778.0 259:174.0 260:104.0 263:6.0 270:27.0 271:166.0 272:337.0 273:228.0 274:184.0 275:27.0 276:24.0 284:170.0 286:226.0 287:105.0 288:51.0 289:17.0 290:10.0 291:12.0 292:6.0 293:13.0 297:35.0 298:75.0 299:45.0 300:46.0 302:38.0 306:22.0 307:186.0 313:96.0 314:40.0 315:4.0 317:35.0 318:12.0 319:317.0 320:139.0 323:1.0 324:8.0 329:49.0 330:1552.0 331:522.0 332:147.0 333:13.0 341:30.0 346:140.0 347:16.0 360:2.0 363:70.0 369:2.0 377:11.0 383:1.0 387:46.0 388:66.0 389:55.0 390:13.0 399:37.0 431:19.0 449:4.0 476:109.0 477:557.0 478:330.0 479:145.0 480:70.0 481:6.0 489:21.0</t>
  </si>
  <si>
    <t>85:79.0 88:349.0 89:3627.0 90:75.0 91:728.0 92:19.0 93:92.0 96:119.0 98:341.0 100:1384.0 101:953.0 102:122.0 104:4132.0 105:278.0 106:52.0 107:15327.0 108:655.0 109:463.0 110:3937.0 112:209.0 113:57.0 115:438.0 117:1764.0 119:1377.0 120:234.0 121:363.0 123:13.0 124:31.0 126:399.0 127:1806.0 128:80.0 130:810.0 131:1086.0 132:637.0 134:3001.0 136:1029.0 137:126.0 138:75.0 139:125.0 140:29.0 141:316.0 143:680.0 144:327.0 147:178.0 148:121.0 150:122.0 151:685.0 152:137.0 165:158.0 166:375.0 167:2.0 168:175.0 170:170.0 171:11.0 175:4.0 180:18.0 182:14.0 186:734.0 188:6.0 190:263.0 194:11.0 198:180.0 199:279.0 200:681.0 201:94.0 211:7.0 216:19.0 219:27.0 228:61.0 236:94.0 237:4.0 240:268.0 241:49.0 242:101.0 244:50.0 247:7.0 255:5.0 258:36.0 259:2968.0 260:398.0 261:219.0 272:73.0 283:2.0 285:3.0 289:17.0 290:312.0 291:17.0 314:1.0 320:1.0 331:2.0 341:1.0 343:12.0 347:26.0 348:1.0 355:1.0 356:3.0 360:3.0 381:1.0 398:1.0 402:5.0 421:5.0 426:2.0 429:1.0 431:2.0 438:1.0 441:14.0 451:3.0 457:2.0 463:1.0 466:1.0 469:2.0 485:1.0 488:1.0 494:2.0 497:1.0</t>
  </si>
  <si>
    <t>85:3039.0 86:2210.0 87:4202.0 88:496.0 89:12885.0 90:1160.0 91:1544.0 94:178.0 95:1.0 97:2.0 98:2124.0 99:1187.0 100:2986.0 101:11159.0 102:2423.0 103:1137.0 104:1824.0 105:819.0 106:201.0 108:550.0 109:222.0 110:888.0 111:606.0 112:2339.0 113:659.0 114:1109.0 115:198.0 116:3929.0 117:49081.0 118:5823.0 119:2176.0 120:115.0 122:34.0 124:141.0 125:251.0 126:1777.0 127:723.0 128:2842.0 129:1986.0 130:4037.0 131:277.0 132:280.0 133:2725.0 137:96.0 138:156.0 139:712.0 140:1851.0 141:589.0 142:2710.0 143:1034.0 144:223.0 145:214.0 147:13139.0 148:1127.0 149:665.0 150:98.0 151:35.0 152:61.0 154:5354.0 155:1431.0 156:14232.0 157:2130.0 158:931.0 159:46.0 163:1574.0 164:273.0 165:162.0 166:149.0 167:1.0 168:196.0 169:120.0 170:2786.0 171:747.0 172:452.0 173:110.0 174:886.0 175:80.0 180:222.0 182:11141.0 183:2185.0 184:311.0 186:440.0 187:31.0 188:100.0 189:90.0 190:185.0 194:19.0 196:25.0 198:4223.0 199:821.0 200:188.0 202:95.0 203:81.0 204:24.0 207:5.0 208:1.0 213:33.0 214:280.0 215:61.0 216:46.0 225:5.0 227:27.0 228:43.0 229:1874.0 230:408.0 231:110.0 234:45.0 242:39.0 244:10018.0 245:1845.0 246:770.0 247:56.0 251:18.0 255:31.0 260:101.0 264:3.0 271:1.0 272:559.0 273:1899.0 274:553.0 275:217.0 276:36.0 283:2.0 287:57.0 288:5788.0 289:1444.0 290:514.0 291:59.0 299:142.0 301:4.0 304:618.0 305:166.0 306:2.0 344:2.0 353:7.0 354:19.0 364:12.0 379:5.0 385:7.0 395:29.0 402:22.0 403:1.0 404:19.0 421:1.0 423:13.0 448:9.0 454:10.0 460:31.0 463:5.0 475:5.0 476:1.0 485:1.0 487:3.0 490:5.0</t>
  </si>
  <si>
    <t>85:48.0 86:997.0 87:12.0 90:49.0 94:72.0 95:6.0 98:135.0 99:50.0 100:873.0 103:250.0 104:23.0 105:21.0 109:27.0 110:20.0 111:47.0 112:14.0 113:36.0 114:114.0 115:88.0 116:22.0 120:572.0 121:401.0 127:47.0 128:19.0 130:186.0 131:45.0 132:45.0 134:113.0 135:90.0 140:15.0 141:60.0 142:375.0 145:75.0 147:53.0 148:199.0 149:6.0 151:83.0 155:4.0 158:22.0 160:5.0 164:11.0 166:1.0 167:9.0 168:80.0 169:216.0 173:81.0 174:3290.0 175:509.0 176:324.0 177:23.0 178:8.0 183:71.0 184:19.0 185:28.0 186:25.0 188:3.0 190:70.0 191:33.0 192:441.0 193:6.0 201:2.0 204:208.0 205:51.0 206:2.0 207:143.0 208:5.0 213:15.0 214:83.0 215:32.0 217:80.0 222:351.0 223:3.0 224:141.0 230:38.0 233:9.0 234:72.0 235:10.0 243:18.0 244:17.0 245:5.0 246:23.0 248:1.0 249:2.0 255:15.0 256:8.0 259:89.0 260:974.0 261:87.0 262:66.0 266:473.0 270:61.0 271:64.0 275:10.0 281:409.0 282:78.0 285:23.0 288:8.0 296:15.0 302:1.0 304:3.0 306:30.0 308:11.0 309:6.0 317:3.0 318:404.0 319:180.0 320:26.0 321:4.0 324:7.0 332:2.0 343:100.0 344:28.0 345:6.0 346:4.0 360:7.0 361:54.0 365:6.0 367:3.0 368:1.0 374:10.0 375:42.0 376:7.0 378:4.0 381:12.0 390:1.0 393:4.0 409:2.0 417:5.0 432:16.0 434:1.0 450:25.0 476:1.0 481:12.0 483:7.0 486:17.0 489:6.0 490:3.0 491:7.0 496:7.0 499:3.0 500:4.0</t>
  </si>
  <si>
    <t>85:132.0 86:73.0 89:237.0 90:14.0 98:129.0 99:72.0 102:140.0 103:1320.0 104:25.0 107:1100.0 109:3.0 110:205.0 114:118.0 115:2366.0 116:344.0 117:558.0 118:97.0 119:181.0 122:9.0 123:28.0 128:141.0 129:828.0 130:370.0 133:330.0 134:1479.0 135:91.0 136:63.0 139:55.0 140:71.0 141:184.0 143:1080.0 144:227.0 146:156.0 147:2603.0 152:26.0 153:76.0 155:243.0 156:76.0 157:108.0 169:43.0 171:174.0 172:50.0 173:1.0 177:11.0 179:27.0 180:26.0 184:280.0 185:42.0 187:117.0 188:3.0 189:553.0 191:521.0 193:130.0 196:1.0 198:1.0 199:115.0 203:52.0 205:79.0 207:2173.0 208:345.0 209:230.0 212:13.0 213:70.0 215:292.0 216:65.0 217:7704.0 218:325.0 219:478.0 221:630.0 222:126.0 223:22.0 226:11.0 228:164.0 229:110.0 230:301.0 237:1.0 241:41.0 243:150.0 244:38.0 245:124.0 246:263.0 247:70.0 249:47.0 251:19.0 254:102.0 255:42.0 256:210.0 257:89.0 259:97.0 260:69.0 261:47.0 262:25.0 267:55.0 269:18.0 271:15.0 275:712.0 276:177.0 277:83.0 278:1.0 281:388.0 282:39.0 283:12.0 292:25.0 297:27.0 299:20.0 300:1.0 303:1.0 305:65.0 306:27.0 307:12.0 312:6.0 313:28.0 314:36.0 315:24.0 327:160.0 328:71.0 329:192.0 330:115.0 331:5.0 332:45.0 333:49.0 334:12.0 341:26.0 342:36.0 346:5.0 354:21.0 355:720.0 356:254.0 357:150.0 358:96.0 373:3.0 377:1.0 381:2.0 385:36.0 395:5.0 396:2.0 399:48.0 400:14.0 401:146.0 402:55.0 403:4.0 404:53.0 415:21.0 416:31.0 417:40.0 430:7.0 483:2.0</t>
  </si>
  <si>
    <t>85:1588.0 86:2334.0 88:301.0 90:1095.0 91:399.0 97:304.0 98:622.0 100:2674.0 102:3117.0 103:840.0 104:789.0 105:400.0 106:249.0 107:3384.0 108:332.0 110:2671.0 114:674.0 116:12562.0 117:2202.0 118:1690.0 119:582.0 120:1994.0 121:150.0 123:81.0 126:639.0 127:2662.0 130:1106.0 131:1667.0 132:856.0 133:5502.0 134:9898.0 135:1967.0 136:422.0 140:1375.0 141:53.0 143:462.0 144:103.0 146:548.0 147:11229.0 148:2480.0 149:1794.0 150:192.0 160:859.0 161:183.0 162:267.0 163:66.0 167:52.0 169:110.0 174:105.0 175:15.0 176:6.0 184:6457.0 185:705.0 186:665.0 189:470.0 190:536.0 191:329.0 192:42.0 198:56.0 199:166.0 200:152.0 205:417.0 206:56.0 207:496.0 208:107.0 220:1134.0 221:345.0 222:369.0 227:3048.0 228:353.0 229:78.0 236:47.0 237:178.0 242:435.0 243:19.0 246:8.0 248:11.0 249:7.0 251:3.0 252:3.0 262:5.0 267:843.0 268:103.0 269:29.0 285:49.0 310:11.0 322:3.0 332:7.0 355:258.0 356:88.0 357:18.0 358:25.0 363:19.0 406:6.0 414:2.0 417:4.0 443:3.0 495:8.0</t>
  </si>
  <si>
    <t>85:2037.0 86:280.0 90:286.0 91:287.0 93:364.0 94:40.0 95:885.0 96:890.0 97:5891.0 98:1986.0 99:2370.0 100:365.0 101:341.0 102:29.0 103:6798.0 106:2192.0 107:1946.0 108:105.0 110:1143.0 111:319.0 112:745.0 113:19137.0 114:1989.0 115:453.0 116:39.0 118:310.0 119:87.0 122:45.0 123:14.0 125:121.0 126:338.0 128:2620.0 129:69.0 130:2939.0 131:20.0 133:844.0 134:5139.0 135:1373.0 136:5821.0 137:428.0 138:29.0 140:43.0 143:257.0 146:84.0 147:4777.0 150:54.0 151:48.0 152:16.0 153:34.0 154:195.0 155:25.0 156:30.0 157:12.0 161:251.0 162:10.0 163:423.0 164:22.0 168:445.0 169:280.0 170:39.0 180:8.0 182:3.0 184:499.0 185:120.0 187:33.0 189:214.0 191:858.0 192:40.0 196:118.0 199:519.0 200:53.0 207:3504.0 208:693.0 209:295.0 213:23.0 214:1.0 218:125.0 237:84.0 238:7.0 240:1.0 242:122.0 256:1.0 261:4.0 279:8.0 280:1.0 295:342.0 296:93.0 297:32.0 410:15.0 428:12.0 445:1.0 450:3.0 456:5.0 472:1.0</t>
  </si>
  <si>
    <t>85:1649.0 86:1498.0 93:206.0 96:155.0 98:354.0 99:24550.0 100:16396.0 101:897.0 102:143.0 107:861.0 108:119.0 110:189.0 111:1299.0 113:160.0 114:3468.0 115:5585.0 116:225.0 117:1271.0 118:78.0 119:25.0 127:132.0 128:157.0 130:2625.0 131:235.0 133:1582.0 134:3239.0 135:200.0 136:11.0 139:150.0 140:33.0 141:323.0 151:60.0 152:33.0 155:1031.0 158:243.0 159:47.0 161:63.0 163:68.0 165:8.0 171:36151.0 172:7156.0 173:3516.0 174:202.0 175:425.0 176:37.0 177:671.0 178:80.0 184:1372.0 185:197.0 186:2049.0 187:407.0 188:781.0 189:458.0 190:416.0 191:1963.0 192:369.0 193:634.0 194:53.0 195:42.0 199:84.0 203:41.0 205:388.0 207:5061.0 208:1055.0 209:478.0 210:73.0 211:6.0 216:24.0 217:75.0 219:140.0 221:1249.0 222:172.0 223:74.0 227:4.0 230:6.0 232:17.0 233:148.0 234:39.0 235:15.0 241:8.0 247:25.0 248:1379.0 249:6448.0 250:1622.0 251:805.0 252:80.0 255:9.0 260:68.0 263:221.0 264:104.0 265:56.0 266:43.0 271:84.0 279:327.0 280:76.0 281:123.0 286:6.0 289:32.0 290:472.0 291:1093.0 292:273.0 293:83.0 294:23.0 299:120.0 300:42.0 308:1.0 310:2.0 313:25.0 321:22.0 327:33.0 329:41.0 330:1.0 335:13.0 339:7.0 347:19.0 348:10.0 362:9.0 363:53.0 364:21.0 365:5.0 376:7.0 377:47.0 378:407.0 379:944.0 380:389.0 381:192.0 382:34.0 383:3.0 389:6.0 391:1.0 392:15.0 411:19.0 412:9.0 419:8.0 426:15.0 427:5.0 428:2.0 437:6.0 444:10.0 459:27.0 462:9.0 467:4.0 468:1.0 469:2.0 471:12.0 476:9.0 477:4.0 483:6.0 485:7.0 495:3.0 500:2.0</t>
  </si>
  <si>
    <t>86:1554.0 98:180.0 99:132.0 100:1134.0 101:518.0 102:331.0 103:175.0 110:20.0 112:85.0 128:68.0 129:310.0 130:22.0 132:295.0 134:72.0 140:111.0 154:52.0 155:163.0 160:61.0 170:19.0 171:112.0 172:38.0 174:4228.0 175:686.0 176:287.0 184:250.0 185:72.0 186:56.0 188:79.0 194:39.0 196:35.0 197:34.0 200:15.0 202:28.0 204:86.0 207:244.0 211:22.0 212:26.0 216:8.0 217:98.0 221:305.0 222:51.0 223:83.0 227:603.0 228:113.0 229:52.0 237:36.0 253:6.0 254:7.0 256:28.0 258:33.0 259:1.0 260:16.0 281:1.0 282:69.0 283:12.0 286:8.0 295:100.0 296:10.0 297:30.0 324:33.0 327:1.0 330:15.0 340:10.0 342:16.0 356:28.0 369:32.0 371:32.0 375:9.0 387:5.0 399:33.0 400:11.0</t>
  </si>
  <si>
    <t>86:245.0 90:31.0 92:51.0 93:2.0 94:1.0 97:127.0 98:42.0 100:165.0 101:275.0 103:8.0 104:13.0 107:107.0 111:298.0 112:811.0 115:13.0 118:294.0 120:1.0 121:7.0 123:8.0 124:41.0 126:296.0 127:74.0 128:663.0 130:2171.0 133:267.0 134:611.0 136:214.0 137:210.0 138:47.0 139:103.0 143:224.0 145:407.0 146:13.0 153:21.0 158:305.0 167:23.0 168:111.0 169:51.0 170:6.0 174:21.0 175:3.0 181:259.0 184:621.0 185:699.0 186:123.0 189:8.0 195:210.0 196:1.0 199:145.0 201:18.0 205:2.0 211:2775.0 212:35.0 213:94.0 214:30.0 215:590.0 220:15.0 222:4.0 223:7.0 225:20.0 226:43.0 227:299.0 228:4.0 229:2.0 238:2.0 243:64.0 244:2.0 245:6.0 246:7.0 248:22.0 255:431.0 256:27.0 257:169.0 270:148.0 279:2.0 299:67.0 308:2.0 327:3.0 352:6.0 382:5.0 389:1.0 397:5.0 404:13.0 414:9.0 420:1.0 476:8.0 485:6.0 491:5.0</t>
  </si>
  <si>
    <t>85:3283.0 86:1365.0 87:220.0 88:1088.0 89:629.0 90:466.0 91:1009.0 92:148.0 93:1.0 95:1.0 96:429.0 97:1464.0 98:2036.0 99:2310.0 100:6474.0 101:2615.0 102:365.0 104:163.0 105:4955.0 106:655.0 107:9796.0 108:11386.0 109:1103.0 110:62560.0 111:2201.0 112:532.0 113:1462.0 114:667.0 115:34968.0 116:4176.0 118:2274.0 120:40.0 121:43.0 123:51.0 125:40.0 126:1323.0 127:5276.0 128:969.0 129:4836.0 130:16035.0 131:101443.0 132:12199.0 133:1990.0 134:47156.0 135:2853.0 136:1659.0 138:34.0 140:8.0 141:13.0 143:1809.0 144:264.0 145:24789.0 146:3806.0 150:377.0 154:18.0 158:114.0 162:2104.0 163:147.0 166:241.0 167:155.0 168:7814.0 169:511.0 170:30.0 171:86.0 172:432.0 173:105.0 180:24.0 182:10.0 183:57.0 184:36813.0 185:4165.0 186:1404.0 187:651.0 188:137.0 189:2.0 190:1865.0 199:190.0 200:23334.0 201:2557.0 202:782.0 203:1683.0 204:286.0 205:95.0 212:1192.0 213:111.0 214:33.0 216:10.0 218:860.0 223:1.0 226:3.0 242:2631.0 243:277.0 244:87.0 255:37.0 259:10.0 263:1.0 268:12.0 278:12.0 289:40.0 321:7.0 325:8.0 333:9.0 335:13.0 371:2.0 426:4.0 466:21.0 495:5.0 497:3.0</t>
  </si>
  <si>
    <t>87:24.0 88:2907.0 89:334.0 90:1313.0 91:592.0 92:175.0 93:189.0 94:203.0 95:235.0 96:145.0 97:675.0 100:1365.0 101:363.0 102:35.0 103:806.0 104:1510.0 105:293.0 106:8.0 107:1526.0 108:477.0 109:246.0 113:136.0 115:503.0 116:304.0 117:1387.0 118:249.0 120:49.0 121:371.0 122:166.0 124:78.0 125:173.0 127:173.0 129:662.0 131:667.0 132:253.0 134:2756.0 135:34.0 136:228.0 137:256.0 138:23.0 140:1067.0 141:194.0 142:5.0 143:29.0 144:340.0 147:887.0 148:1075.0 150:536.0 151:449.0 152:61.0 153:83.0 154:11.0 162:75.0 164:95.0 165:448.0 167:92.0 170:57.0 171:39.0 172:317.0 177:46.0 178:620.0 179:119.0 180:379.0 181:10.0 185:26.0 186:3.0 187:101.0 189:400.0 190:98.0 192:550.0 194:178.0 196:136.0 198:21.0 201:45.0 202:27.0 208:12966.0 209:1970.0 210:1169.0 211:82.0 212:23.0 214:104.0 217:237.0 218:11.0 219:1.0 222:1807.0 223:2943.0 224:526.0 225:191.0 228:105.0 230:604.0 231:334.0 235:7.0 238:1.0 240:1.0 243:131.0 244:32.0 248:2.0 255:31.0 256:112.0 257:59.0 262:3.0 272:9.0 275:22.0 282:28.0 284:23.0 290:17.0 294:23.0 299:34.0 300:6.0 301:3.0 304:21.0 305:13.0 308:12.0 311:10.0 316:30.0 318:1.0 322:27.0 325:5.0 331:7.0 332:12.0 333:3.0 339:1.0 341:1.0 343:6.0 344:1.0 350:17.0 352:15.0 354:17.0 359:23.0 379:3.0 386:34.0 389:2.0 392:1.0 396:16.0 399:1.0 400:25.0 403:24.0 405:8.0 407:14.0 417:33.0 422:5.0 425:48.0 427:10.0 434:21.0 438:2.0 446:13.0 447:226.0 448:96.0 449:20.0 453:15.0 455:9.0 458:13.0 460:10.0 467:21.0 468:11.0 472:1.0 473:8.0 481:4.0 482:16.0 484:14.0 487:8.0 492:9.0 493:28.0 497:11.0 499:1.0 500:7.0</t>
  </si>
  <si>
    <t>86:87.0 89:378.0 90:155.0 91:328.0 98:4.0 99:213.0 106:147.0 112:75.0 115:785.0 125:65.0 126:323.0 127:499.0 128:818.0 129:346.0 139:250.0 140:23.0 141:1495.0 142:31.0 150:60.0 151:384.0 152:1218.0 153:2268.0 154:836.0 155:4489.0 156:508.0 163:2.0 165:1058.0 166:204.0 167:298.0 168:93.0 169:597.0 170:132.0 178:1.0 179:120.0 181:199.0 182:50.0 189:10.0 197:5220.0 198:849.0 212:2109.0 213:300.0 214:14.0 238:25.0 241:25.0 248:31.0 250:5.0 267:62.0 276:5.0 288:7.0 289:6.0 308:1.0 309:8.0 327:6.0 333:5.0 341:72.0 345:16.0 348:11.0 355:11.0 360:6.0 365:1.0 396:1.0 399:21.0 411:4.0 421:11.0 425:12.0 429:40.0 434:19.0 449:21.0 456:19.0 458:13.0 468:48.0 470:36.0 471:5.0 472:9.0 474:1.0 479:24.0 480:4.0 492:7.0</t>
  </si>
  <si>
    <t>2,6-diaminopimelic acid</t>
  </si>
  <si>
    <t>100:1052.0 102:23.0 112:35.0 114:283.0 115:39.0 122:34.0 124:33.0 126:351.0 128:2461.0 129:204.0 130:328.0 132:31.0 134:116.0 139:17.0 140:4.0 142:101.0 154:388.0 155:385.0 156:381.0 157:32.0 159:22.0 160:16.0 165:25.0 171:19.0 172:132.0 179:10.0 181:386.0 182:570.0 183:115.0 184:220.0 188:63.0 189:39.0 190:54.0 192:19.0 200:3641.0 201:442.0 202:105.0 205:344.0 216:47.0 217:471.0 218:265.0 219:82.0 228:33.0 229:205.0 230:36.0 232:64.0 233:56.0 240:1.0 241:5.0 242:24.0 243:88.0 244:8.0 246:48.0 247:53.0 255:146.0 258:40.0 259:14.0 271:174.0 272:1914.0 273:493.0 274:131.0 277:44.0 278:43.0 279:39.0 281:2.0 282:36.0 283:11.0 284:7.0 288:3.0 290:4.0 301:35.0 305:7.0 307:103.0 318:33.0 319:135.0 320:154.0 321:55.0 322:20.0 323:29.0 324:4.0 343:3.0 345:50.0 346:12.0 347:53.0 373:21.0 374:53.0 379:20.0 391:23.0 404:1.0 416:5.0 418:17.0 420:14.0 435:3.0 478:65.0</t>
  </si>
  <si>
    <t>99:227.0 100:598.0 101:257.0 102:60.0 103:110.0 107:269.0 108:2.0 111:41.0 112:180.0 113:12.0 114:112.0 115:8.0 116:681.0 117:4019.0 118:451.0 124:21.0 127:13.0 128:236.0 130:269.0 131:625.0 132:113.0 134:91.0 138:71.0 140:518.0 141:416.0 142:252.0 143:171.0 144:11.0 146:6.0 147:681.0 154:96.0 155:112.0 156:16853.0 157:2678.0 158:2866.0 159:332.0 160:58.0 170:8.0 172:4.0 181:338.0 182:67.0 183:145.0 184:42.0 188:38.0 189:58.0 190:6.0 196:60.0 200:18.0 203:82.0 204:410.0 206:45.0 208:30.0 209:27.0 215:5.0 217:333.0 218:678.0 219:108.0 220:45.0 224:13.0 225:126.0 226:120.0 228:125.0 229:69.0 230:143.0 231:105.0 232:72.0 240:191.0 243:13.0 246:8.0 251:3.0 254:7.0 256:126.0 257:41.0 258:83.0 264:36.0 266:10.0 273:43.0 283:60.0 285:29.0 288:25.0 293:1.0 297:104.0 298:1.0 299:365.0 300:159.0 303:5.0 307:5.0 311:3.0 312:113.0 313:66.0 314:70.0 319:3.0 329:146.0 330:355.0 331:70.0 332:15.0 341:26.0 343:1.0 348:12.0 349:26.0 358:5.0 362:1.0 368:29.0 373:5.0 394:4.0 398:5.0 400:12.0 402:626.0 403:238.0 404:66.0 405:30.0 413:36.0 421:5.0 422:8.0 431:321.0 432:113.0 436:6.0 454:2.0 495:3.0 497:5.0</t>
  </si>
  <si>
    <t>86:899.0 88:35.0 93:4.0 98:144.0 99:174.0 100:395.0 101:44.0 102:98.0 106:3.0 107:175.0 108:18.0 114:95.0 116:9.0 127:6.0 129:87.0 130:438.0 134:105.0 142:104.0 143:112.0 144:48.0 153:185.0 157:346.0 158:6699.0 159:973.0 160:728.0 168:6.0 170:45.0 172:51.0 173:9.0 174:836.0 175:64.0 184:155.0 186:1.0 197:1.0 199:258.0 205:233.0 211:78.0 212:22.0 215:8.0 217:10.0 224:10.0 227:5.0 234:43.0 239:1.0 241:7.0 242:15.0 246:1.0 248:6.0 256:5.0 271:78.0 274:168.0 275:25.0 278:137.0 279:3.0 282:1.0 287:18.0 299:102.0 300:162.0 301:113.0 314:16.0 316:35.0 317:20.0 319:189.0 321:30.0 329:1.0 334:4.0 359:8.0 360:22.0 368:11.0 373:33.0 387:20.0 398:7.0 399:21.0 402:7.0 428:5.0 461:8.0 462:6.0 463:23.0 498:4.0</t>
  </si>
  <si>
    <t>86:3594.0 87:177.0 88:148.0 89:189.0 90:2.0 91:5.0 94:360.0 95:45.0 96:942.0 100:1671.0 101:420.0 102:393.0 104:16.0 106:42.0 107:275.0 108:63.0 109:39.0 110:19.0 111:29.0 112:90.0 113:747.0 114:330.0 115:33.0 116:117.0 117:1.0 118:94.0 126:38.0 127:237.0 128:157.0 130:657.0 131:116.0 132:55.0 134:86.0 139:15.0 140:51.0 142:67.0 144:17.0 146:125.0 150:2.0 152:13.0 158:37.0 160:41.0 161:24.0 168:1519.0 169:391.0 170:231.0 171:10.0 172:197.0 174:2877.0 175:461.0 176:139.0 183:20.0 184:117.0 185:45.0 186:24.0 188:17.0 190:124.0 197:4.0 200:88.0 214:15.0 215:51.0 216:2.0 229:1.0 237:8.0 240:9.0 241:130.0 242:42.0 243:270.0 244:54.0 257:214.0 258:47.0 259:17.0 277:7.0 317:16.0 350:8.0 353:15.0 359:11.0 369:7.0 376:1.0 400:1.0 403:9.0 405:1.0 412:1.0 418:22.0 422:9.0 437:12.0 444:5.0 449:10.0 460:17.0 469:8.0 476:8.0</t>
  </si>
  <si>
    <t>85:165.0 89:79.0 90:58.0 91:43.0 92:128.0 99:551.0 100:1440.0 101:118.0 104:26.0 108:33.0 109:125.0 110:2805.0 111:51.0 112:126.0 113:119.0 118:3.0 123:66.0 125:351.0 129:378.0 130:2219.0 131:156.0 134:1107.0 136:216.0 138:9.0 139:14.0 140:122.0 141:2107.0 142:257.0 143:1386.0 144:659.0 152:48.0 153:18.0 154:16.0 157:412.0 160:86.0 167:53.0 170:1471.0 171:280.0 172:12.0 173:278.0 181:35.0 182:95.0 183:27.0 184:1144.0 185:304.0 186:126.0 198:50.0 199:79.0 201:1.0 213:157.0 215:1171.0 216:172.0 229:31.0 230:18.0 231:3249.0 232:611.0 233:234.0 252:72.0 260:20.0 268:488.0 269:8.0 270:9.0 288:254.0 289:110.0 342:890.0 343:330.0 344:56.0 356:21.0 371:3.0 386:4.0 475:16.0</t>
  </si>
  <si>
    <t>86:119.0 87:128.0 88:2019.0 90:227.0 92:120.0 97:204.0 98:132.0 106:2.0 107:522.0 109:73.0 110:87.0 111:131.0 113:13.0 114:88.0 116:773.0 117:249.0 118:473.0 128:421.0 129:14.0 130:5721.0 131:1827.0 132:1306.0 134:242.0 136:135.0 138:40.0 141:25.0 143:247.0 144:146.0 146:1914.0 148:135.0 160:72.0 161:1293.0 162:31.0 163:24.0 166:16.0 173:204.0 174:4104.0 175:508.0 176:58.0 177:54.0 182:17.0 185:64.0 186:42.0 189:213.0 199:210.0 226:46.0 255:12.0 269:5.0 281:22.0 305:4.0 317:10.0 327:6.0 337:9.0 405:2.0 410:17.0 412:4.0 433:8.0 444:10.0 453:3.0 469:1.0 480:18.0 492:9.0</t>
  </si>
  <si>
    <t>86:110.0 88:3950.0 91:369.0 92:27.0 97:27.0 98:67.0 99:189.0 100:115.0 107:1340.0 110:3465.0 111:50.0 120:53.0 123:2.0 129:406.0 134:2194.0 135:16.0 136:225.0 137:215.0 140:34.0 141:52.0 142:19.0 144:207.0 151:63.0 154:2.0 155:157.0 157:97.0 161:2.0 163:2.0 170:11.0 177:78.0 179:10.0 181:76.0 184:627.0 185:28.0 186:59.0 191:1015.0 192:152.0 193:392.0 194:7.0 195:196.0 196:19.0 197:81.0 198:37.0 199:238.0 203:7.0 207:3500.0 208:797.0 209:315.0 210:3.0 211:1039.0 212:145.0 213:182.0 215:36.0 218:2.0 219:11.0 225:88.0 226:38.0 227:1.0 228:396.0 229:3187.0 230:582.0 231:565.0 232:63.0 233:30.0 238:4.0 240:3.0 241:4.0 249:126.0 251:9.0 255:3.0 257:37.0 265:26.0 279:155.0 281:95.0 283:1.0 286:45.0 288:7.0 299:15.0 302:1.0 314:2066.0 315:405.0 316:142.0 317:22.0 318:21.0 328:14.0 329:1.0 337:7.0 343:90.0 351:2.0 352:791.0 353:262.0 354:85.0 405:18.0 406:993.0 407:394.0 408:180.0 409:11.0</t>
  </si>
  <si>
    <t>85:294.0 86:277.0 90:192.0 91:10.0 93:305.0 94:178.0 98:773.0 99:271.0 100:427.0 104:13.0 106:61.0 107:1440.0 108:347.0 109:102.0 112:71.0 114:159.0 117:90.0 118:222.0 119:15.0 120:31.0 122:4969.0 123:507.0 124:614.0 125:7.0 127:156.0 128:119.0 130:1434.0 134:969.0 135:183.0 136:193.0 138:30.0 139:97.0 140:97.0 142:55.0 143:155.0 147:583.0 148:24.0 150:91.0 154:6.0 155:950.0 156:383.0 174:20.0 182:3.0 183:30.0 184:130.0 185:89.0 186:114.0 196:193.0 198:9.0 212:5558.0 213:870.0 214:230.0 227:10.0 312:3.0 319:7.0 336:3.0 359:12.0 382:5.0 398:1.0 487:1.0</t>
  </si>
  <si>
    <t>86:1003.0 87:412.0 91:128.0 92:37.0 94:149.0 95:80.0 97:6.0 98:174.0 99:555.0 100:434.0 102:36.0 106:23.0 107:72.0 109:60.0 110:119.0 111:486.0 112:422.0 113:235.0 114:467.0 116:327.0 117:116.0 118:27.0 119:250.0 124:398.0 128:682.0 129:1056.0 130:521.0 131:166.0 134:902.0 136:6.0 139:240.0 140:1316.0 141:1116.0 151:40.0 152:51.0 154:399.0 155:191.0 156:35595.0 157:7422.0 158:2269.0 159:349.0 160:364.0 161:10.0 162:129.0 164:19.0 166:30.0 167:37.0 168:570.0 169:581.0 170:318.0 171:120.0 172:14.0 174:1101.0 175:133.0 176:62.0 178:55.0 179:17.0 180:137.0 181:117.0 182:418.0 183:437.0 186:1.0 188:22.0 196:36.0 198:164.0 202:84.0 204:265.0 207:46.0 208:3.0 210:46.0 212:45.0 214:146.0 216:199.0 218:28.0 221:66.0 222:25.0 223:34.0 224:18.0 226:114.0 227:16.0 228:34.0 230:561.0 231:100.0 232:441.0 233:196.0 234:17.0 235:39.0 236:128.0 237:229.0 238:29.0 240:23.0 241:72.0 242:181.0 244:160.0 250:26.0 251:394.0 252:46.0 253:18.0 255:3.0 260:39.0 261:53.0 262:16.0 263:9.0 264:22.0 265:7.0 267:38.0 271:73.0 274:261.0 275:137.0 276:202.0 277:43.0 278:187.0 279:137.0 280:17.0 281:53.0 282:69.0 284:5.0 286:55.0 289:47.0 290:23.0 291:84.0 293:6.0 296:50.0 297:63.0 298:26.0 299:187.0 300:110.0 304:299.0 306:50.0 309:174.0 310:79.0 311:11.0 312:75.0 313:80.0 315:83.0 316:10.0 318:100.0 320:59.0 321:4.0 322:30.0 324:10.0 325:78.0 327:154.0 328:51.0 329:46.0 334:37.0 335:37.0 339:10.0 340:106.0 341:281.0 342:8.0 344:48.0 346:46.0 347:9.0 348:4.0 349:3.0 350:5.0 352:10.0 353:99.0 354:20.0 355:122.0 358:1.0 359:51.0 360:40.0 362:103.0 363:41.0 364:17.0 365:27.0 366:111.0 368:107.0 369:73.0 370:18.0 371:7.0 372:12.0 374:2.0 375:532.0 376:193.0 377:68.0 378:38.0 380:5.0 381:6.0 382:26.0 383:13.0 387:43.0 388:36.0 389:55.0 390:12.0 396:8.0 399:9.0 401:5.0 403:7.0 404:3.0 406:4.0 414:4.0 415:44.0 416:62.0 417:1.0 418:4.0 420:6.0 422:1.0 423:29.0 424:13.0 426:4.0 429:15.0 430:23.0 440:31.0 442:83.0 443:1349.0 444:585.0 445:262.0 446:57.0 447:5.0 448:15.0 449:2.0 450:3.0 451:19.0 454:10.0 455:5.0 458:141.0 459:76.0 465:15.0 469:30.0 479:17.0 483:3.0 487:13.0 488:5.0 492:32.0 493:8.0 495:9.0 499:7.0</t>
  </si>
  <si>
    <t>85:1079.0 87:281.0 88:111.0 89:3015.0 90:233.0 91:927.0 95:559.0 99:884.0 100:6721.0 101:793.0 102:765.0 103:145.0 104:1322.0 107:724.0 108:1034.0 109:350.0 110:1256.0 111:56.0 112:1074.0 113:1224.0 114:2033.0 115:2049.0 116:915.0 117:3955.0 118:599.0 122:163.0 123:69.0 126:579.0 128:5604.0 129:17873.0 130:4277.0 131:1226.0 132:1749.0 133:1088.0 137:306.0 140:79.0 141:251.0 142:1960.0 144:1048.0 145:313.0 146:706.0 149:298.0 150:902.0 156:303.0 158:505.0 159:287.0 161:872.0 162:764.0 164:238.0 168:68.0 172:646.0 173:904.0 176:135.0 178:233.0 179:106.0 180:79.0 182:9.0 184:78.0 185:411.0 186:961.0 187:98.0 188:2086.0 189:722.0 190:553.0 195:194.0 200:753.0 202:262.0 203:36733.0 204:7309.0 205:4323.0 206:15.0 211:109.0 212:63.0 213:126.0 214:547.0 215:86.0 216:4372.0 217:3116.0 218:1800.0 219:488.0 220:230.0 227:70.0 228:205.0 230:439.0 231:353.0 233:92.0 236:172.0 237:160.0 239:9.0 240:246.0 241:18.0 243:289.0 244:132.0 252:38.0 253:55.0 254:1.0 256:43.0 258:313.0 260:17.0 261:104.0 264:171.0 265:83.0 267:192.0 270:339.0 271:109.0 272:30.0 273:177.0 274:468.0 275:72.0 279:44.0 280:46.0 287:131.0 289:33.0 290:306.0 291:207.0 292:293.0 293:154.0 294:54.0 299:230.0 301:133.0 303:70.0 304:1994.0 305:771.0 306:1341.0 307:1113.0 308:254.0 309:6.0 312:7.0 313:95.0 314:54.0 315:211.0 316:220.0 318:214.0 322:316.0 325:50.0 326:58.0 328:43.0 329:227.0 330:467.0 331:78.0 332:27.0 335:51.0 336:28.0 337:6.0 339:52.0 343:33.0 344:54.0 346:39.0 347:421.0 348:93.0 349:148.0 351:24.0 353:6.0 356:31.0 357:1791.0 358:360.0 359:330.0 360:56.0 361:11.0 367:2.0 368:4.0 371:4.0 375:30.0 380:69.0 382:1.0 383:3.0 385:29.0 386:35.0 387:32.0 392:34.0 398:49.0 399:25.0 400:127.0 401:9.0 413:7.0 415:30.0 416:29.0 420:295.0 421:174.0 422:118.0 428:82.0 430:86.0 434:221.0 435:171.0 436:37.0 438:4.0 439:24.0 443:27.0 446:15.0 447:17.0 448:14.0 449:192.0 450:15.0 451:66.0 452:21.0 453:30.0 456:16.0 457:24.0 459:8.0 460:41.0 463:34.0 468:16.0 469:2.0 472:1.0 476:3.0 477:1.0 483:10.0 484:2.0 486:27.0 489:13.0</t>
  </si>
  <si>
    <t>85:210.0 86:5.0 89:62.0 91:747.0 93:6.0 95:53.0 98:274.0 99:25.0 100:58.0 101:15.0 102:61.0 103:441.0 105:3257.0 106:305.0 107:47.0 108:66.0 110:1.0 112:103.0 113:227.0 116:152.0 117:26.0 122:21.0 123:31.0 124:67.0 129:724.0 133:39.0 137:44.0 140:346.0 143:27.0 144:139.0 145:449.0 146:28.0 147:656.0 148:80.0 151:62.0 152:47.0 153:2.0 154:60.0 155:302.0 156:8976.0 157:1678.0 158:1067.0 159:104.0 160:4.0 161:75.0 168:25.0 169:168.0 170:269.0 171:609.0 172:155.0 173:109.0 174:10.0 176:4.0 179:107.0 182:84.0 184:52.0 186:36.0 187:112.0 188:116.0 200:4.0 201:5.0 202:78.0 203:52.0 204:59.0 207:58.0 211:26.0 212:22.0 214:21.0 215:33.0 217:1916.0 218:486.0 219:72.0 220:45.0 225:8.0 226:3.0 229:11.0 230:124.0 231:81.0 234:22.0 235:26.0 236:8.0 238:15.0 240:44.0 243:105.0 244:60.0 245:102.0 246:1.0 247:24.0 248:20.0 249:26.0 253:53.0 256:3.0 259:295.0 260:88.0 261:46.0 262:21.0 267:32.0 273:15.0 274:22.0 277:26.0 278:195.0 281:9.0 282:2.0 289:86.0 290:47.0 291:69.0 292:52.0 293:106.0 296:6.0 298:6.0 300:19.0 301:12.0 304:5.0 305:19.0 306:25.0 307:10.0 308:6.0 310:15.0 312:1.0 313:51.0 314:47.0 319:2.0 321:20.0 323:1.0 325:5.0 327:36.0 328:5.0 329:53.0 330:36.0 331:6.0 333:10.0 334:12.0 335:91.0 336:11.0 343:45.0 344:3.0 347:64.0 355:11.0 357:36.0 359:32.0 360:9.0 366:6.0 368:7.0 370:14.0 375:137.0 376:23.0 377:12.0 378:4.0 380:39.0 385:10.0 387:44.0 391:11.0 395:2.0 396:1.0 398:4.0 402:8.0 405:4.0 409:1.0 413:1.0 415:1.0 423:1.0 442:2.0 444:22.0 445:121.0 446:92.0 448:17.0 449:5.0 450:2.0 451:19.0 459:4.0 460:11.0 462:6.0 471:4.0 481:5.0 482:1.0 494:3.0 495:2.0 496:1.0 497:5.0 500:2.0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</si>
  <si>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</si>
  <si>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85:38.0 86:394.0 87:82.0 88:23.0 90:57.0 91:317.0 93:12.0 94:69.0 95:67.0 96:5.0 97:4.0 98:109.0 99:96.0 100:425.0 101:49.0 102:123.0 108:7.0 110:59.0 111:4.0 112:2.0 114:121.0 115:11.0 117:8.0 118:6.0 121:6.0 122:1.0 124:48.0 125:1.0 126:14.0 127:186.0 128:17.0 130:70.0 131:12.0 134:9.0 135:13.0 138:39.0 139:6.0 140:29.0 141:5.0 142:87.0 145:1.0 148:12.0 149:6.0 152:1.0 153:8.0 154:26.0 156:129.0 158:34.0 159:1.0 160:6.0 163:67.0 164:78.0 165:2.0 166:1.0 168:60.0 169:5.0 171:4.0 172:86.0 174:2507.0 175:304.0 176:66.0 179:7662.0 180:1191.0 181:285.0 182:44.0 184:108.0 185:21.0 186:32.0 187:63.0 193:41.0 194:89.0 195:3.0 196:31.0 197:297.0 198:37.0 199:17.0 201:3.0 202:3.0 204:13.0 205:2.0 207:69.0 208:134.0 209:149.0 212:9.0 214:18.0 215:1.0 218:115.0 219:1.0 221:152.0 223:5.0 225:112.0 227:13.0 228:6.0 229:48.0 239:4.0 241:94.0 242:1.0 246:14.0 247:3.0 250:1.0 253:19.0 254:2.0 255:3.0 256:1.0 257:70.0 258:5.0 262:1.0 266:40.0 267:1.0 269:19.0 270:4.0 272:49.0 274:1.0 275:24.0 277:4.0 278:2.0 281:92.0 282:106.0 283:132.0 284:21.0 290:5.0 295:194.0 296:69.0 297:202.0 298:1303.0 299:453.0 300:186.0 301:64.0 302:46.0 305:4.0 306:3.0 310:14.0 311:145.0 312:17.0 313:11.0 315:18.0 318:29.0 324:6.0 325:157.0 326:6.0 327:2.0 328:37.0 330:14.0 331:32.0 340:17.0 341:176.0 343:39.0 348:11.0 354:84.0 355:1.0 357:78.0 358:10.0 376:10.0 379:13.0 385:45.0 386:146.0 387:124.0 388:53.0 389:144.0 390:31.0 391:51.0 395:2.0 399:54.0 401:123.0 402:11.0 404:36.0 405:2.0 410:3.0 422:5.0 427:11.0 429:50.0 430:67.0 431:20.0 435:12.0 438:15.0 445:10.0 451:1.0 460:7.0 462:6.0 463:11.0 465:12.0 467:2.0 475:69.0 476:36.0 480:7.0 483:12.0 486:6.0 489:64.0 490:2.0 491:4.0 492:2.0</t>
  </si>
  <si>
    <t>85:479.0 86:473.0 87:47.0 88:258.0 89:73.0 91:63.0 92:158.0 94:148.0 95:97.0 96:317.0 98:647.0 99:475.0 100:807.0 101:607.0 102:604.0 103:2294.0 104:117.0 106:63.0 107:175.0 109:71.0 112:147.0 113:474.0 114:299.0 115:267.0 117:14.0 121:166.0 123:225.0 124:83.0 126:37.0 127:340.0 128:186.0 129:11.0 130:170.0 131:241.0 132:1.0 134:1397.0 137:6.0 138:167.0 139:12.0 140:278.0 141:141.0 142:358.0 143:267.0 144:471.0 146:73.0 149:335.0 151:77.0 152:230.0 153:297.0 154:412.0 155:68.0 156:67.0 157:99.0 160:45.0 161:1.0 166:90.0 167:2.0 168:261.0 169:239.0 170:1155.0 171:199.0 172:84.0 173:42.0 179:47.0 180:5.0 181:363.0 182:155.0 183:13.0 184:698.0 185:238.0 186:221.0 187:112.0 188:284.0 190:70.0 195:107.0 196:757.0 197:1513.0 198:460.0 199:42.0 201:11.0 203:7.0 204:6.0 208:23.0 209:4729.0 210:847.0 211:276.0 212:155.0 213:453.0 214:78.0 215:33.0 216:327.0 217:110.0 220:25.0 222:10.0 223:338.0 224:97.0 225:7267.0 226:1353.0 227:596.0 228:59.0 229:16.0 230:79.0 231:58.0 237:67.0 238:233.0 239:141.0 240:30.0 241:116.0 242:4.0 243:87.0 244:36.0 245:73.0 246:13.0 247:44.0 248:41.0 255:546.0 256:15.0 258:148.0 260:43.0 261:18.0 262:63.0 263:24.0 269:185.0 270:55.0 271:723.0 272:230.0 273:287.0 277:16.0 278:16.0 283:107.0 285:316.0 286:214.0 287:36.0 288:8.0 291:3.0 292:9.0 293:1.0 294:3.0 295:1.0 296:22.0 297:3912.0 298:2653.0 299:961.0 300:356.0 301:139.0 302:12.0 303:28.0 304:1.0 305:32.0 307:1.0 311:116.0 313:1235.0 314:405.0 315:148.0 316:46.0 317:11.0 320:7.0 321:2.0 322:1.0 324:30.0 327:29.0 328:2795.0 329:806.0 330:263.0 331:93.0 333:50.0 338:12.0 340:23.0 341:1.0 345:8.0 347:14.0 349:42.0 350:16.0 354:2.0 356:9.0 357:1.0 358:67.0 359:112.0 360:14.0 362:11.0 363:4.0 365:149.0 366:37.0 369:4.0 374:9.0 376:17.0 377:6.0 379:28.0 380:37.0 381:12.0 383:9.0 394:27.0 398:2.0 400:1.0 402:4.0 405:11.0 407:14.0 409:30.0 410:10.0 411:9.0 412:16.0 413:29.0 414:16.0 416:38.0 417:69.0 420:14.0 422:20.0 423:19.0 424:39.0 425:9.0 429:5.0 430:100.0 431:11.0 432:36.0 433:36.0 438:9.0 439:33.0 441:10.0 443:5.0 445:129.0 446:48.0 447:2.0 448:27.0 449:41.0 450:36.0 451:24.0 456:8.0 457:14.0 461:8.0 463:67.0 465:17.0 466:21.0 467:7.0 469:27.0 470:19.0 471:18.0 473:1.0 477:12.0 479:16.0 481:17.0 482:1.0 483:11.0 484:25.0 485:9.0 486:2.0 487:17.0 491:9.0 492:10.0 495:39.0 496:5.0 498:16.0 500:22.0</t>
  </si>
  <si>
    <t>86:2444.0 88:25.0 95:1.0 98:13.0 100:1385.0 101:45.0 102:378.0 108:11.0 114:124.0 116:300.0 128:351.0 129:95.0 130:200.0 131:148.0 132:95.0 139:77.0 142:250.0 143:43.0 144:90.0 154:45.0 156:837.0 157:16.0 158:102.0 160:55.0 170:45.0 172:252.0 174:9849.0 175:1582.0 176:807.0 181:118.0 183:110.0 187:36.0 188:152.0 200:21.0 201:10.0 202:15.0 209:188.0 213:32.0 218:88.0 227:16.0 228:17.0 229:6.0 231:2.0 239:15.0 243:3.0 251:15.0 252:30.0 255:198.0 256:67.0 267:69.0 271:60.0 272:10.0 275:14.0 281:109.0 292:13.0 295:104.0 306:20.0 312:300.0 317:135.0 318:82.0 319:6.0 326:38.0 330:8.0 331:5.0 339:8.0 341:111.0 342:91.0 343:97.0 354:95.0 357:22.0 374:38.0 385:51.0 398:2.0 399:5.0 400:6.0 419:29.0 427:13.0 428:12.0 429:29.0 430:2.0 431:56.0 438:7.0 442:19.0 443:18.0 444:1003.0 445:483.0 446:158.0 447:5.0 448:1.0 451:8.0 459:55.0 468:22.0 469:10.0 476:16.0 483:4.0 491:58.0 492:15.0</t>
  </si>
  <si>
    <t>85:436.0 89:529.0 91:440.0 92:428.0 94:1046.0 96:447.0 97:3.0 98:130.0 99:7758.0 100:5058.0 103:232.0 105:74.0 106:669.0 107:3335.0 108:916.0 109:296.0 110:3583.0 111:648.0 112:4211.0 113:9669.0 114:2384.0 115:4737.0 116:597.0 121:1731.0 122:413.0 123:121.0 124:354.0 125:726.0 126:1164.0 127:1101.0 128:2993.0 129:58.0 131:1256.0 132:353.0 133:638.0 134:586.0 136:704.0 137:22.0 138:384.0 139:13135.0 140:234.0 141:193.0 142:2377.0 143:1563.0 147:11721.0 148:1496.0 149:1720.0 150:3718.0 151:826.0 152:333.0 153:2201.0 154:2082.0 155:129278.0 156:22658.0 157:6408.0 158:1755.0 161:204.0 163:191.0 164:92.0 166:2444.0 167:1302.0 168:1078.0 169:1142.0 170:1941.0 171:3815.0 174:418.0 175:1386.0 179:69.0 180:85.0 181:130.0 182:541.0 183:1006.0 184:320.0 185:174.0 186:227.0 187:3311.0 188:1022.0 189:245.0 191:7836.0 192:1124.0 193:500.0 194:2.0 195:16.0 196:4407.0 197:2468.0 198:657.0 199:229.0 200:1048.0 201:379.0 202:1473.0 203:1030.0 207:1795.0 210:4.0 211:203.0 212:99.0 213:458.0 214:1236.0 215:654.0 219:57.0 220:282.0 221:719.0 224:4.0 225:14.0 227:152.0 228:2492.0 229:535.0 230:25.0 232:296.0 235:133.0 236:8.0 237:15.0 238:74.0 239:161.0 240:2003.0 241:142.0 242:5343.0 243:1116.0 244:449.0 245:614.0 247:902.0 248:71.0 249:11.0 250:126.0 251:29.0 252:44.0 253:15.0 254:1751.0 255:1363.0 257:15958.0 258:2357.0 259:1302.0 260:171.0 262:26.0 263:22492.0 264:5455.0 265:1199.0 266:141.0 268:18.0 269:28.0 270:36.0 272:1659.0 273:418.0 274:73.0 276:3.0 277:36.0 278:2583.0 279:667.0 280:138.0 283:19.0 284:316.0 285:57.0 286:171.0 287:6.0 293:5.0 296:38.0 298:8.0 299:111.0 300:47.0 302:211.0 303:35.0 304:20.0 305:225.0 306:138.0 307:19.0 308:6.0 312:62.0 313:14.0 314:33.0 315:16.0 318:58.0 319:45.0 320:3.0 322:23.0 323:59.0 324:1.0 327:120.0 330:35.0 331:6.0 333:557.0 334:101.0 335:54.0 337:2.0 340:14.0 344:139.0 348:24.0 349:7.0 350:2.0 353:18.0 355:61.0 356:15.0 357:16.0 359:35.0 365:19.0 366:7.0 367:52.0 368:21.0 369:13.0 370:16.0 372:162.0 373:117.0 375:5.0 377:1.0 380:2.0 382:15.0 383:6.0 384:7.0 387:24.0 390:1.0 397:2.0 401:39.0 407:5.0 411:2.0 425:1.0 437:1.0 447:32.0 452:7.0 459:4.0 467:2.0 473:2.0 475:38.0 490:4.0</t>
  </si>
  <si>
    <t>85:13167.0 86:4436.0 87:4749.0 88:515.0 89:1191.0 90:524.0 91:30927.0 92:10446.0 93:45667.0 94:121709.0 95:102197.0 96:21488.0 97:14617.0 98:10461.0 99:7789.0 100:2572.0 101:4035.0 102:1049.0 103:2239.0 104:2480.0 105:22518.0 106:35320.0 107:31239.0 108:86944.0 109:30450.0 110:17905.0 111:10648.0 112:7887.0 113:4351.0 114:1611.0 115:3298.0 116:1963.0 117:13335.0 118:6435.0 119:19193.0 120:20284.0 121:21849.0 122:27068.0 123:11299.0 124:7058.0 125:4109.0 126:2703.0 127:3536.0 128:1443.0 129:11464.0 130:4189.0 131:20393.0 132:9004.0 133:14447.0 134:14108.0 135:21200.0 136:22146.0 137:9798.0 138:5958.0 139:2565.0 140:1706.0 141:1931.0 142:725.0 143:4099.0 144:2503.0 145:14968.0 146:6584.0 147:11350.0 148:13766.0 149:12337.0 150:17419.0 151:5203.0 152:3911.0 153:2855.0 154:1167.0 155:2180.0 156:1422.0 157:4986.0 158:3708.0 159:7858.0 160:3814.0 161:7874.0 162:16222.0 163:8927.0 164:10704.0 165:6200.0 166:2691.0 167:1949.0 168:1735.0 169:2792.0 170:1530.0 171:3144.0 172:3250.0 173:4956.0 174:2990.0 175:12962.0 176:37909.0 177:7620.0 178:6051.0 179:1677.0 180:2462.0 181:1854.0 182:937.0 183:1760.0 184:1854.0 185:3082.0 186:6416.0 187:3679.0 188:2230.0 189:2393.0 190:17328.0 191:4119.0 192:5764.0 193:1026.0 194:3350.0 195:2082.0 196:1388.0 197:870.0 198:1140.0 199:1335.0 200:1074.0 201:3051.0 202:1843.0 203:1174.0 204:15410.0 205:2815.0 206:1630.0 208:8939.0 209:3927.0 210:1911.0 211:1348.0 212:739.0 213:1618.0 214:854.0 215:1874.0 216:1314.0 217:778.0 218:2576.0 219:1044.0 220:1037.0 222:9026.0 223:3035.0 224:1881.0 225:4050.0 226:1797.0 227:1332.0 228:634.0 229:659.0 230:874.0 231:1253.0 232:1405.0 233:1312.0 234:824.0 235:1147.0 236:3078.0 238:2123.0 239:692.0 240:541.0 241:818.0 242:1227.0 243:2743.0 244:1905.0 245:1256.0 246:1311.0 247:820.0 248:641.0 249:943.0 250:11721.0 251:4456.0 252:3335.0 253:860.0 254:287.0 255:1717.0 256:513.0 257:353.0 258:798.0 259:941.0 260:2256.0 261:10405.0 262:2829.0 263:1042.0 264:31459.0 265:14393.0 266:3290.0 267:556.0 268:1673.0 269:975.0 270:2742.0 271:1579.0 272:762.0 273:11943.0 274:2424.0 275:913.0 276:506.0 277:294.0 278:24124.0 279:5665.0 280:1224.0 281:473.0 282:695.0 284:166.0 285:173.0 286:444.0 287:1187.0 288:10173.0 289:2733.0 290:1226.0 291:746.0 292:6350.0 293:2395.0 294:929.0 295:158.0 296:1186.0 297:229.0 298:327.0 300:19.0 301:417.0 302:124.0 303:65.0 305:2018.0 306:4690.0 307:1452.0 308:335.0 309:228.0 310:233.0 311:201.0 312:58.0 314:96.0 315:170.0 316:60.0 317:542.0 318:515.0 319:545.0 320:5162.0 321:1400.0 322:67.0 323:53.0 324:387.0 325:356.0 326:104.0 327:88.0 328:454.0 329:158.0 330:221.0 331:19.0 332:173.0 333:379.0 334:1509.0 335:881.0 336:545.0 337:314.0 338:223.0 339:180.0 340:108.0 342:272.0 343:37.0 344:475.0 345:301.0 346:239.0 347:1671.0 348:550.0 349:162.0 350:152.0 351:227.0 352:191.0 353:59.0 354:135.0 356:221.0 357:188.0 358:117.0 360:18.0 361:452.0 362:3601.0 363:1272.0 364:600.0 365:216.0 366:378.0 367:196.0 368:24.0 369:74.0 372:84.0 373:24.0 375:15.0 376:76.0 377:2.0 378:206.0 379:218.0 380:812.0 381:365.0 382:141.0 384:63.0 388:131.0 390:15.0 391:16.0 392:294.0 393:301.0 394:4343.0 395:1597.0 396:360.0 397:99.0 399:38.0 401:134.0 403:87.0 405:5.0 406:298.0 407:200.0 408:27.0 411:187.0 412:218.0 413:228.0 415:340.0 419:24.0 420:81.0 421:273.0 422:181.0 423:57.0 424:29.0 428:38.0 429:49.0 430:70.0 431:319.0 432:58.0 433:48.0 434:279.0 435:776.0 436:6538.0 437:3254.0 438:865.0 439:164.0 440:1.0 441:59.0 445:11.0 446:70.0 447:73.0 448:103.0 449:139.0 450:72.0 453:19.0 455:43.0 456:103.0 457:20.0 458:25.0 459:34.0 461:73.0 463:49.0 464:5.0 466:490.0 467:3320.0 468:1859.0 469:412.0 470:32.0 473:18.0 476:18.0 477:53.0 478:1.0 479:63.0 481:1.0 489:244.0 490:199.0 491:83.0 492:28.0 493:13.0 500:8.0</t>
  </si>
  <si>
    <t>85:254.0 86:1293.0 87:132.0 89:31.0 90:40.0 91:3283.0 92:157.0 93:105.0 95:58.0 96:25.0 98:413.0 99:145.0 100:1400.0 102:221.0 103:1156.0 104:2377.0 105:133.0 107:51.0 108:2.0 109:4.0 110:123.0 112:148.0 114:7.0 115:134.0 117:95.0 120:4.0 121:41.0 123:1.0 124:129.0 125:80.0 126:19.0 127:124.0 128:919.0 129:227.0 131:377.0 132:435.0 135:9.0 136:4.0 140:209.0 141:29.0 142:197.0 143:15.0 144:116.0 146:137.0 152:29.0 153:140.0 154:376.0 155:44.0 156:1998.0 157:324.0 158:22.0 160:94.0 164:2.0 168:96.0 169:176.0 170:842.0 171:101.0 172:220.0 173:191.0 174:4728.0 175:868.0 176:335.0 179:1.0 181:104.0 182:76.0 186:38.0 187:20.0 188:6.0 190:18.0 194:1.0 195:125.0 196:453.0 197:5583.0 198:988.0 199:308.0 200:92.0 201:394.0 202:154.0 203:1.0 204:28.0 205:8.0 208:5.0 209:1998.0 210:247.0 211:2.0 212:141.0 213:19.0 216:20.0 218:221.0 219:6.0 220:3.0 221:6.0 223:61.0 224:157.0 225:6451.0 226:1123.0 227:262.0 231:2.0 232:7.0 233:1.0 238:4.0 239:3.0 244:3.0 246:268.0 251:37.0 252:1.0 253:4.0 256:3.0 258:1.0 266:3.0 267:2.0 270:3.0 272:59.0 273:219.0 274:28.0 275:1.0 277:2.0 279:1.0 280:1.0 281:4.0 293:3.0 294:2.0 296:6.0 301:588.0 302:128.0 310:1.0 312:1.0 313:212.0 314:44.0 315:30.0 316:1423.0 317:534.0 318:125.0 329:1.0 335:1.0 342:57.0 356:1.0 357:17.0 368:5.0 369:5.0 372:1.0 381:16.0 383:9.0 404:2.0 419:2.0 459:1.0 460:1.0 475:2.0 486:38.0 487:14.0 490:1.0</t>
  </si>
  <si>
    <t>85:26.0 86:1120.0 93:30.0 94:15.0 95:4.0 96:12.0 98:76.0 99:87.0 100:1036.0 101:375.0 115:16.0 122:14.0 124:81.0 126:120.0 129:12.0 130:171.0 134:56.0 135:15.0 137:1.0 139:41.0 140:193.0 141:168.0 142:8762.0 143:850.0 144:1358.0 145:3.0 149:3.0 150:28.0 152:157.0 156:66.0 157:19.0 158:49.0 166:3.0 169:19.0 170:23.0 171:25.0 172:127.0 173:44.0 174:1669.0 176:35.0 179:50.0 181:5.0 182:3.0 188:74.0 189:12.0 193:5.0 197:3.0 198:38.0 199:83.0 201:55.0 202:1.0 204:10.0 205:13.0 206:5.0 208:7.0 209:86.0 213:27.0 215:2.0 217:9.0 218:44.0 219:7.0 221:10.0 226:15.0 227:116.0 228:46.0 229:118.0 230:137.0 238:14.0 239:4.0 240:23.0 241:138.0 242:6.0 243:3.0 244:36.0 246:2.0 248:46.0 252:16.0 256:4.0 257:277.0 258:15.0 260:1.0 263:1.0 265:39.0 267:72.0 269:24.0 270:1.0 273:74.0 274:12.0 278:56.0 280:7.0 282:64.0 284:6.0 286:6.0 289:48.0 294:19.0 297:31.0 300:2.0 301:2.0 307:296.0 308:119.0 310:36.0 311:32.0 312:13.0 313:5.0 315:2.0 317:1.0 318:2.0 320:49.0 321:13.0 323:52.0 324:1.0 331:49.0 332:27.0 333:6.0 334:1.0 337:1.0 340:48.0 342:4.0 343:1.0 347:303.0 348:165.0 349:35.0 352:50.0 354:1185.0 355:277.0 356:82.0 357:69.0 358:25.0 366:13.0 368:57.0 369:67.0 374:26.0 380:13.0 382:14.0 383:9.0 384:5.0 386:150.0 388:7.0 390:1.0 396:3.0 399:5.0 404:3.0 405:26.0 408:18.0 425:2.0 429:53.0 430:19.0 433:8.0 440:13.0 460:9.0 461:23.0 469:2.0 472:7.0 476:31.0</t>
  </si>
  <si>
    <t>85:20.0 86:211.0 88:12.0 90:239.0 91:332.0 95:135.0 96:32.0 99:263.0 100:842.0 101:122.0 109:89.0 112:55.0 113:23.0 114:60.0 116:59.0 120:82.0 122:6.0 126:116.0 127:3.0 131:518.0 133:374.0 134:959.0 140:69.0 144:51.0 145:44.0 146:66.0 149:88.0 151:200.0 152:5.0 153:9.0 154:367.0 155:21.0 156:196.0 161:43.0 162:38.0 163:355.0 164:273.0 165:59.0 168:20.0 169:75.0 172:69.0 174:6.0 176:92.0 177:286.0 179:16096.0 180:2237.0 181:429.0 182:104.0 183:28.0 187:101.0 188:33.0 190:41.0 191:229.0 193:358.0 194:65.0 195:14.0 196:37.0 197:392.0 198:34.0 204:12.0 205:53.0 208:73.0 209:537.0 210:420.0 212:8.0 216:107.0 219:26.0 223:89.0 224:179.0 225:434.0 226:57.0 228:45.0 234:46.0 235:21.0 237:9.0 238:4.0 239:17.0 240:7.0 242:27.0 244:75.0 245:62.0 246:17.0 247:18.0 249:33.0 252:40.0 254:14.0 256:13.0 263:22.0 267:237.0 268:49.0 271:49.0 272:14.0 273:35.0 274:5.0 276:4.0 278:43.0 279:13.0 280:19.0 281:423.0 282:175.0 283:18.0 284:16.0 289:6.0 292:4.0 293:11.0 294:2.0 296:94.0 297:563.0 298:2643.0 299:542.0 300:295.0 301:27.0 302:19.0 305:34.0 306:27.0 311:51.0 312:27.0 313:8.0 323:48.0 324:47.0 326:10.0 327:185.0 328:86.0 329:88.0 330:9.0 331:26.0 332:33.0 333:8.0 335:12.0 337:4.0 338:1.0 341:55.0 342:286.0 344:76.0 345:18.0 346:5.0 347:12.0 348:1.0 349:8.0 350:5.0 351:2.0 352:9.0 353:45.0 356:224.0 357:189.0 358:118.0 360:35.0 363:31.0 366:20.0 367:12.0 369:126.0 373:14.0 374:1.0 376:9.0 377:67.0 379:48.0 382:17.0 383:39.0 384:28.0 386:36.0 389:398.0 390:110.0 391:12.0 392:32.0 394:1.0 397:71.0 398:48.0 400:111.0 401:189.0 402:90.0 403:73.0 404:240.0 405:185.0 406:10.0 407:7.0 408:7.0 410:15.0 411:4.0 414:2.0 416:171.0 418:1.0 419:15.0 421:9.0 422:2.0 425:11.0 427:15.0 429:252.0 430:232.0 431:87.0 432:69.0 433:3.0 435:41.0 439:3.0 440:9.0 444:33.0 455:5.0 456:2.0 457:54.0 459:46.0 461:10.0 463:12.0 464:44.0 465:7.0 471:62.0 472:94.0 473:38.0 474:39.0 479:24.0 481:14.0 482:17.0 487:8.0 490:26.0 492:76.0 493:27.0 496:5.0 498:17.0</t>
  </si>
  <si>
    <t>85:104.0 86:8387.0 87:839.0 88:13.0 92:6.0 94:2.0 95:67.0 98:71.0 99:169.0 100:4157.0 101:444.0 102:848.0 107:329.0 109:171.0 112:48.0 114:568.0 115:73.0 116:304.0 117:100.0 118:104.0 128:453.0 129:225.0 130:509.0 131:342.0 140:188.0 141:573.0 142:5249.0 143:639.0 144:489.0 146:51.0 149:354.0 154:45.0 155:44.0 156:564.0 157:320.0 158:534.0 159:21.0 164:34.0 167:187.0 168:141.0 169:107.0 170:256.0 171:126.0 172:816.0 173:221.0 174:30907.0 175:5624.0 176:2447.0 177:194.0 178:53.0 179:14.0 181:100.0 182:112.0 183:255.0 184:124.0 185:149.0 186:84.0 187:316.0 188:154.0 189:5.0 195:3.0 197:112.0 198:383.0 199:172.0 200:236.0 201:150.0 202:33.0 209:3.0 210:16.0 213:112.0 214:100.0 216:6.0 222:64.0 223:149.0 224:19.0 225:2.0 226:47.0 227:254.0 228:197.0 229:67.0 232:4.0 233:22.0 237:23.0 240:5.0 241:726.0 242:146.0 243:258.0 244:57.0 248:41.0 253:115.0 254:13.0 255:1467.0 256:788.0 257:408.0 258:106.0 267:1.0 268:60.0 269:140.0 270:129.0 271:641.0 272:626.0 273:288.0 274:73.0 281:116.0 282:211.0 283:29.0 284:4.0 287:17.0 295:30.0 296:60.0 297:48.0 298:24.0 299:4428.0 300:1169.0 301:491.0 302:78.0 303:3.0 305:25.0 313:45.0 314:27.0 325:79.0 326:64.0 327:44.0 328:49.0 329:157.0 332:6.0 335:2.0 338:28.0 341:539.0 342:103.0 344:32.0 356:56.0 357:66.0 358:95.0 360:1.0 366:6.0 367:46.0 368:31.0 369:2.0 371:465.0 372:167.0 373:133.0 378:2.0 379:20.0 380:2.0 382:1.0 385:38.0 386:2.0 389:23.0 392:10.0 394:2.0 396:21.0 399:7.0 400:63.0 401:60.0 402:44.0 403:11.0 413:42.0 415:42.0 416:111.0 419:21.0 426:27.0 429:202.0 431:21.0 432:9.0 433:2.0 435:19.0 437:13.0 438:32.0 443:21.0 444:2.0 446:10.0 449:4.0 457:10.0 460:4.0 461:8.0 462:7.0 463:42.0 465:11.0 466:5.0 467:39.0 470:3.0 473:8.0 475:59.0 488:32.0 491:5.0 492:5.0 495:14.0 498:11.0</t>
  </si>
  <si>
    <t>85:500.0 86:36361.0 87:3238.0 88:1504.0 90:53.0 92:17.0 94:55.0 97:687.0 98:682.0 99:1398.0 100:20004.0 101:3441.0 102:3206.0 103:603.0 104:53.0 106:90.0 110:293.0 111:308.0 112:615.0 113:1345.0 114:1137.0 115:876.0 116:1702.0 117:3286.0 118:513.0 119:468.0 124:36.0 125:60.0 126:26.0 127:295.0 128:675.0 129:906.0 130:7121.0 131:2197.0 132:671.0 133:2466.0 134:806.0 139:154.0 140:755.0 141:212.0 142:519.0 143:751.0 144:3364.0 145:390.0 146:1386.0 147:6036.0 149:201.0 151:23.0 153:56.0 154:1065.0 155:901.0 156:755.0 157:275.0 158:2807.0 159:2988.0 160:1677.0 161:488.0 162:39.0 167:122.0 169:120.0 170:1092.0 171:511.0 172:2967.0 173:909.0 174:85208.0 175:15302.0 176:7111.0 177:763.0 179:452.0 183:135.0 184:759.0 185:453.0 186:1517.0 187:532.0 188:464.0 189:15.0 190:19.0 199:360.0 200:214.0 201:51.0 202:115.0 204:202.0 205:1.0 210:1.0 212:115.0 213:490.0 214:1083.0 215:206.0 216:2479.0 217:518.0 222:1.0 227:234.0 228:399.0 229:290.0 230:277.0 232:33.0 241:32.0 242:92.0 243:134.0 244:67.0 248:39.0 256:132.0 258:23.0 262:291.0 287:304.0 288:142.0 289:36.0 301:73.0 302:34.0 312:1.0 314:89.0 315:8883.0 316:2486.0 317:1250.0 318:209.0 319:32.0 328:5.0 329:2723.0 330:885.0 331:394.0 332:83.0 344:253.0 345:34.0 346:46.0 365:1.0 389:4.0 420:3.0 439:6.0 461:9.0 500:4.0</t>
  </si>
  <si>
    <t>87:67.0 89:5.0 90:62.0 92:57.0 93:29.0 94:55.0 95:37.0 96:63.0 98:41.0 99:58.0 100:126.0 102:34.0 103:162.0 104:22.0 106:10.0 107:364.0 109:23.0 110:82.0 111:25.0 112:10.0 113:55.0 114:62.0 115:5.0 116:50.0 117:213.0 118:100.0 119:10.0 120:4.0 121:2.0 122:6.0 123:7.0 124:67.0 127:154.0 128:53.0 129:25.0 130:160.0 131:60.0 134:226.0 137:39.0 138:6.0 139:7.0 140:30.0 141:3.0 142:217.0 143:92.0 144:101.0 146:22.0 147:146.0 150:7.0 152:5.0 153:13.0 154:139.0 155:5.0 156:146.0 157:62.0 158:19.0 160:31.0 164:19.0 167:6.0 168:44.0 169:50.0 170:459.0 171:82.0 172:31.0 177:7.0 179:8.0 181:2.0 182:13.0 183:10.0 184:267.0 185:54.0 186:56.0 187:4.0 189:4.0 190:4.0 194:4.0 195:6.0 196:2.0 197:69.0 198:30.0 199:116.0 200:28.0 203:3.0 204:1.0 206:1.0 208:4.0 209:71.0 210:30.0 211:175.0 212:89.0 216:1.0 217:96.0 218:3.0 220:2.0 224:10.0 225:156.0 226:967.0 227:134.0 228:28.0 229:11.0 231:2.0 232:6.0 234:1.0 236:18.0 238:4.0 239:493.0 240:89.0 241:25.0 242:4.0 243:13.0 245:1.0 246:8.0 251:3.0 254:5.0 255:1.0 256:6.0 258:1.0 259:6.0 262:16.0 265:7.0 266:5.0 267:248.0 268:26.0 269:16.0 274:4.0 277:3.0 280:6.0 283:8.0 286:1.0 287:3.0 290:4.0 292:4.0 293:3.0 295:17.0 297:29.0 298:6.0 300:4.0 307:19.0 308:7.0 309:9.0 311:1.0 312:18.0 313:19.0 314:4.0 315:8.0 316:2.0 320:4.0 321:5.0 322:1.0 324:3.0 327:3.0 333:3.0 336:2.0 337:2.0 338:3.0 341:27.0 343:11.0 344:3.0 348:3.0 350:4.0 353:1.0 354:11.0 355:18.0 356:5.0 358:4.0 360:12.0 364:3.0 365:6.0 366:13.0 367:1.0 369:4.0 372:1.0 374:2.0 375:6.0 376:3.0 379:2.0 383:1.0 386:5.0 387:1.0 390:9.0 392:3.0 396:1.0 398:1.0 404:1.0 405:1.0 406:4.0 409:1.0 413:2.0 418:3.0 420:1.0 423:1.0 424:5.0 425:9.0 426:1.0 432:2.0 433:1.0 434:1.0 436:7.0 437:5.0 439:1.0 440:1.0 445:3.0 446:1.0 447:1.0 448:2.0 449:7.0 454:5.0 455:9.0 457:2.0 458:6.0 461:3.0 462:8.0 470:1.0 471:3.0 475:3.0 480:3.0 482:3.0 483:2.0 484:4.0 485:10.0 487:2.0 488:3.0 490:8.0 492:5.0 493:4.0 494:2.0 495:1.0 500:3.0</t>
  </si>
  <si>
    <t>85:1233.0 86:316.0 87:63.0 88:171.0 89:32.0 90:106.0 95:111.0 96:4.0 98:33.0 99:123.0 100:1299.0 101:712.0 102:128.0 103:541.0 104:96.0 106:18.0 107:414.0 109:307.0 110:109.0 111:96.0 113:1.0 114:437.0 115:444.0 116:469.0 118:94.0 119:7.0 121:11.0 122:7.0 123:9.0 125:4.0 126:27.0 127:427.0 128:8.0 129:5019.0 130:325.0 131:440.0 132:101.0 133:921.0 134:73.0 135:84.0 136:14.0 137:8.0 139:34.0 142:244.0 143:73.0 147:5572.0 148:417.0 149:614.0 150:58.0 151:18.0 153:75.0 154:176.0 155:317.0 157:9659.0 158:1206.0 159:613.0 160:80.0 161:6.0 162:15.0 163:29.0 164:4.0 168:16.0 169:115.0 170:118.0 172:65.0 173:23.0 174:72.0 175:31.0 177:1.0 180:35.0 181:6.0 182:107.0 183:80.0 184:166.0 185:140.0 188:48.0 189:32.0 191:18.0 193:1.0 199:50.0 200:6.0 201:6.0 203:900.0 204:173.0 205:21.0 207:1.0 208:10.0 209:5.0 214:4.0 215:4.0 218:15.0 220:5.0 224:4.0 228:149.0 229:3.0 231:369.0 232:10.0 233:2.0 243:716.0 244:1043.0 245:287.0 246:99.0 247:1493.0 248:308.0 249:32.0 251:3.0 252:1.0 264:2.0 273:240.0 274:35.0 275:5.0 277:2.0 281:7.0 285:170.0 286:20.0 292:1.0 297:17.0 298:7.0 299:4.0 300:2.0 306:1.0 307:1.0 311:1.0 320:1.0 321:17.0 323:5.0 325:2.0 330:51.0 331:1.0 333:8.0 335:2.0 337:1.0 338:1.0 341:1.0 349:205.0 350:36.0 351:4.0 354:1.0 355:2.0 356:3.0 357:6.0 362:7.0 367:2.0 371:1.0 372:3.0 380:1.0 381:1.0 382:1.0 386:1.0 387:7.0 390:1.0 396:1.0 413:2.0 428:1.0 429:5.0 438:1.0 446:1.0 455:1.0 457:1.0 461:1.0 462:1.0 466:1.0 475:1.0 476:1.0 482:1.0 489:3.0 498:1.0 499:1.0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</si>
  <si>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</si>
  <si>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85:2.0 86:22.0 88:26.0 89:3.0 90:3.0 92:12.0 94:61.0 99:1.0 102:3.0 106:7.0 110:175.0 112:89.0 113:16.0 116:82.0 117:14.0 118:48.0 122:18.0 128:2.0 132:194.0 134:196.0 138:63.0 139:104.0 140:225.0 141:233.0 142:18.0 145:73.0 149:16.0 151:1.0 153:74.0 154:26.0 155:2.0 156:6715.0 157:777.0 158:192.0 159:24.0 167:9.0 168:93.0 173:4.0 175:5.0 180:8.0 181:72.0 183:12.0 185:11.0 186:13.0 187:13.0 189:9.0 198:26.0 199:13.0 206:2.0 207:5.0 209:2.0 214:24.0 215:1.0 217:15.0 218:5.0 220:8.0 226:23.0 228:5.0 229:5.0 231:17.0 235:2.0 237:2.0 238:51.0 242:150.0 243:3.0 245:90.0 259:10.0 264:4.0 269:14.0 271:82.0 273:27.0 278:2.0 283:2.0 285:99.0 289:9.0 292:19.0 293:3.0 294:2.0 295:1.0 298:2.0 301:3.0 305:3.0 311:3.0 313:21.0 316:24.0 318:10.0 320:34.0 321:20.0 324:1.0 325:12.0 333:1.0 337:24.0 339:1.0 340:56.0 353:37.0 365:34.0 368:29.0 370:1.0 375:2.0 376:1.0 379:6.0 380:11.0 381:1.0 384:15.0 385:20.0 390:1.0 394:6.0 407:34.0 408:30.0 422:4.0 425:24.0 430:2.0 433:1.0 434:5.0 435:3.0 441:1.0 444:1.0 450:20.0 452:9.0 487:13.0 491:2.0 492:8.0 497:1.0</t>
  </si>
  <si>
    <t>85:124.0 86:172.0 87:367.0 89:68.0 92:76.0 94:656.0 95:44.0 97:341.0 99:97.0 101:522.0 102:413.0 103:13.0 104:61.0 105:6.0 107:1434.0 110:164.0 113:10.0 114:1320.0 115:147.0 116:367.0 117:248.0 118:338.0 119:23.0 122:93.0 124:21.0 128:46.0 129:68.0 130:690.0 131:8.0 132:25.0 133:865.0 134:1046.0 135:47.0 141:21.0 142:638.0 143:308.0 144:256.0 145:112.0 147:73.0 148:71.0 149:7.0 150:29.0 151:4.0 155:530.0 156:6.0 158:3.0 159:130.0 160:5.0 164:67.0 166:3.0 168:141.0 169:13.0 170:207.0 172:52.0 174:143.0 175:108.0 179:86.0 180:47.0 181:126.0 182:16.0 183:14.0 185:310.0 186:137.0 187:46.0 189:82.0 190:6.0 191:54.0 192:2.0 193:154.0 195:202.0 196:9.0 197:46.0 199:12.0 200:114.0 202:94.0 203:19.0 204:234.0 205:1.0 207:112.0 210:9.0 211:1126.0 212:123.0 213:102.0 214:48.0 215:5.0 216:165.0 217:957.0 218:151.0 219:95.0 221:6.0 223:15.0 225:178.0 227:224.0 230:2.0 232:2655.0 233:347.0 234:195.0 241:2.0 242:12.0 243:18.0 245:15.0 249:1.0 251:3.0 252:13.0 253:55.0 255:57.0 259:24.0 260:46.0 268:174.0 269:123.0 270:125.0 271:503.0 272:47.0 274:10.0 276:2.0 278:3.0 279:31.0 280:16.0 283:35.0 284:1.0 285:136.0 286:11.0 287:7.0 292:16.0 293:11.0 294:3.0 298:221.0 299:1789.0 300:586.0 301:250.0 302:12.0 303:27.0 306:29.0 309:5.0 310:11.0 312:44.0 314:50.0 315:613.0 316:157.0 317:62.0 320:1.0 334:13.0 341:65.0 343:3.0 356:14.0 357:5.0 368:223.0 369:669.0 370:194.0 371:104.0 373:17.0 384:19.0 386:47.0 387:367.0 388:71.0 389:106.0 391:20.0 408:1.0 411:3.0 421:2.0 428:5.0 443:7.0 444:27.0 445:8.0 446:21.0 458:5.0 459:347.0 460:185.0 461:54.0 469:31.0 477:1.0</t>
  </si>
  <si>
    <t>85:1113.0 86:644.0 88:180.0 92:122.0 95:47.0 98:691.0 102:580.0 103:1155.0 107:357.0 108:28.0 109:23.0 110:713.0 112:91.0 116:992.0 117:802.0 121:45.0 122:85.0 123:29.0 124:139.0 128:1.0 131:3779.0 132:529.0 133:2655.0 134:48.0 135:1039.0 136:298.0 137:627.0 138:41.0 139:123.0 140:916.0 142:384.0 143:260.0 147:4442.0 148:837.0 149:2960.0 150:102.0 151:207.0 153:17.0 154:80.0 156:1739.0 157:2017.0 158:1824.0 159:164.0 166:42.0 167:26.0 168:39.0 170:81.0 181:376.0 182:41.0 183:212.0 184:555.0 185:137.0 186:1043.0 187:34.0 189:421.0 190:21.0 191:1189.0 192:20.0 193:164.0 194:37.0 195:396.0 196:117.0 197:79.0 199:39.0 200:173.0 201:97.0 207:14.0 209:53.0 210:294.0 211:3294.0 212:456.0 213:324.0 214:391.0 215:215.0 216:32.0 217:1608.0 218:268.0 219:42.0 223:15.0 225:790.0 226:39.0 227:783.0 228:755.0 229:109.0 230:11.0 233:65.0 235:43.0 237:1.0 238:163.0 239:56.0 240:245.0 242:9.0 243:422.0 244:83.0 245:36.0 254:93.0 256:44.0 266:62.0 267:39.0 270:7.0 272:247.0 273:33.0 279:1.0 281:1.0 285:95.0 299:1389.0 300:435.0 301:270.0 303:10.0 309:7.0 311:5.0 314:56.0 315:47.0 328:188.0 329:14.0 340:130.0 341:9.0 342:5.0 343:82.0 344:24.0 356:131.0 357:9.0 359:3.0 368:51.0 369:1922.0 370:551.0 371:211.0 372:34.0 373:40.0 383:2.0 384:110.0 385:43.0 389:1.0 417:6.0 488:8.0</t>
  </si>
  <si>
    <t>85:417.0 100:40.0 101:97.0 102:16.0 109:51.0 111:66.0 112:48.0 114:24.0 116:69.0 117:179.0 130:1896.0 142:111.0 144:847.0 146:250.0 158:178.0 160:1959.0 161:139.0 168:71.0 174:430.0 184:6.0 192:15.0 193:15.0 214:18.0 234:4.0 239:63.0 249:84.0 262:1867.0 263:383.0 264:157.0 268:14.0 270:11.0 284:16.0 289:19.0 292:18.0 295:22.0 298:6.0 302:3.0 303:20.0 307:66.0 310:12.0 337:8.0 338:31.0 345:3.0 351:4.0 355:120.0 356:1621.0 357:634.0 358:228.0 359:21.0 366:1.0 371:6.0 387:29.0 404:16.0 415:26.0 418:7.0 430:3.0 442:18.0 443:9.0 444:78.0 445:4.0 447:5.0 461:20.0 475:28.0 489:13.0 490:4.0</t>
  </si>
  <si>
    <t>85:359.0 86:94.0 87:314.0 91:167.0 95:78.0 99:156.0 100:47.0 110:298.0 113:1.0 114:11.0 116:65.0 117:404.0 122:90.0 124:51.0 125:30.0 128:266.0 131:706.0 133:118.0 137:25.0 142:52.0 147:10537.0 148:1274.0 150:183.0 156:69.0 158:34.0 168:57.0 169:234.0 170:27.0 177:77.0 183:2.0 186:28.0 187:58.0 188:891.0 189:193.0 190:14.0 193:105.0 194:200.0 198:21.0 200:73.0 203:7569.0 204:1716.0 205:476.0 206:51.0 207:858.0 208:327.0 212:26.0 216:1551.0 217:422.0 218:179.0 228:30.0 230:340.0 231:90.0 232:31.0 243:5.0 244:57.0 248:51.0 249:93.0 253:21.0 254:21.0 257:9.0 258:77.0 259:2.0 260:2.0 262:50.0 266:44.0 271:21.0 272:118.0 276:57.0 281:38.0 282:91.0 284:9.0 286:54.0 293:33.0 296:9.0 297:34.0 300:30.0 305:32.0 308:37.0 309:3.0 313:52.0 314:12.0 320:26.0 321:8.0 324:50.0 325:11.0 326:29.0 327:171.0 328:127.0 329:31.0 332:30.0 333:15.0 334:25.0 337:3.0 341:62.0 344:12.0 345:6.0 346:1.0 355:154.0 358:24.0 363:21.0 364:12.0 368:29.0 373:10.0 376:10.0 379:21.0 382:42.0 383:6.0 387:9.0 388:12.0 390:21.0 391:29.0 392:38.0 394:8.0 395:11.0 396:15.0 397:5.0 398:10.0 400:10.0 402:91.0 403:16.0 410:4.0 413:34.0 414:13.0 416:108.0 418:33.0 421:1.0 422:8.0 423:19.0 424:29.0 428:2.0 430:27.0 431:6.0 433:48.0 441:5.0 442:3.0 443:4.0 463:48.0 464:3.0 466:88.0 467:68.0 474:31.0 475:24.0 476:52.0 479:4.0 480:29.0 481:76.0 485:15.0 490:2.0 491:36.0 492:22.0 495:4.0 496:6.0 498:4.0 499:20.0</t>
  </si>
  <si>
    <t>85:5.0 86:766.0 88:349.0 91:86.0 93:437.0 95:109.0 97:263.0 98:205.0 100:223.0 101:384.0 105:117.0 111:45.0 112:167.0 114:78.0 116:252.0 117:345.0 118:36.0 123:13.0 128:90.0 129:174.0 130:1480.0 140:36.0 142:97.0 144:808.0 146:223.0 147:516.0 153:13.0 154:77.0 156:18.0 157:38.0 158:194.0 160:3458.0 161:441.0 162:76.0 166:6.0 168:32.0 169:61.0 170:45.0 172:42.0 174:418.0 175:38.0 176:48.0 182:97.0 187:8.0 192:22.0 196:4.0 201:8.0 202:1.0 208:177.0 214:1.0 218:54.0 224:9.0 225:6.0 226:8.0 227:6.0 228:26.0 229:1.0 232:32.0 234:107.0 235:66.0 239:60.0 242:36.0 247:1.0 248:14.0 256:62.0 262:307.0 263:23.0 264:23.0 274:19.0 276:21.0 277:3.0 278:19.0 279:27.0 284:19.0 289:33.0 291:47.0 292:2.0 293:34.0 294:18.0 298:17.0 299:68.0 300:6.0 305:3.0 306:15.0 307:53.0 308:24.0 309:20.0 314:6.0 315:73.0 316:24.0 317:11.0 319:2.0 322:5.0 324:8.0 327:76.0 328:3005.0 329:988.0 330:211.0 331:69.0 334:6.0 335:14.0 338:37.0 341:66.0 357:13.0 362:10.0 363:5.0 366:7.0 367:24.0 387:23.0 390:5.0 397:22.0 415:54.0 416:188.0 417:36.0 418:18.0 423:6.0 430:12.0 432:3.0 437:6.0 438:30.0 440:2.0 442:19.0 446:2.0 450:2.0 454:14.0 475:20.0 482:12.0 485:25.0 487:8.0 491:16.0 494:8.0 496:14.0 498:18.0 500:4.0</t>
  </si>
  <si>
    <t>88:39.0 93:22.0 95:89.0 98:206.0 99:69.0 100:544.0 101:118.0 102:183.0 103:357.0 107:270.0 112:71.0 113:64.0 114:98.0 116:198.0 117:544.0 122:89.0 123:33.0 124:141.0 130:748.0 139:38.0 142:21.0 144:1000.0 146:374.0 154:18.0 158:162.0 160:2575.0 161:117.0 164:15.0 168:52.0 170:116.0 172:202.0 174:405.0 182:95.0 196:9.0 198:38.0 224:66.0 226:9.0 228:29.0 239:61.0 240:239.0 241:70.0 242:39.0 245:35.0 262:2128.0 263:312.0 264:271.0 266:47.0 268:246.0 273:4.0 288:3.0 291:2.0 302:5.0 303:6.0 310:41.0 320:6.0 327:38.0 328:2138.0 329:750.0 330:255.0 331:40.0 344:18.0 351:38.0 353:10.0 365:12.0 379:8.0 380:2.0 388:35.0 415:3.0 416:94.0 417:17.0 418:6.0 419:4.0 432:1.0 445:3.0 455:1.0 467:7.0 494:2.0</t>
  </si>
  <si>
    <t>85:36146.0 86:1806.0 87:38236.0 88:17967.0 89:22571.0 90:2303.0 91:34241.0 92:2827.0 93:1884.0 94:618.0 95:15052.0 96:1859.0 97:10204.0 99:18876.0 100:3569.0 101:28469.0 102:186234.0 103:1813981.0 104:171624.0 105:79841.0 106:4389.0 108:870.0 109:1602.0 111:4974.0 112:3803.0 113:31044.0 114:3093.0 115:96162.0 116:14756.0 117:1022139.0 118:103445.0 119:71955.0 120:6188.0 121:3085.0 122:651.0 123:1908.0 124:1022.0 125:3321.0 127:4866.0 128:23958.0 129:85168.0 130:199003.0 131:116764.0 132:24997.0 133:282775.0 134:24279.0 135:25810.0 136:1860.0 137:1080.0 138:312.0 139:590.0 140:913.0 141:11268.0 142:2091.0 143:55250.0 144:31667.0 145:107673.0 146:15848.0 147:953238.0 148:142380.0 149:197049.0 150:26201.0 151:13017.0 152:1326.0 153:348.0 154:141.0 155:1172.0 156:9345.0 157:710047.0 158:93736.0 159:51003.0 160:4320.0 161:9694.0 162:1891.0 163:35420.0 164:5724.0 165:2687.0 166:435.0 167:337.0 168:1274.0 169:3703.0 170:986.0 171:4972.0 172:2362.0 173:2493.0 174:1370.0 175:10148.0 176:2034.0 177:63345.0 178:10195.0 179:5342.0 180:886.0 181:323.0 182:630.0 183:728.0 185:9280.0 186:2065.0 187:3006.0 188:988.0 189:6814.0 190:11014.0 191:64763.0 192:12440.0 193:8565.0 194:1306.0 195:501.0 196:660.0 197:460.0 198:659.0 199:363.0 201:358.0 202:1944.0 203:8146.0 204:23045.0 205:12748.0 206:3647.0 207:3217.0 208:670.0 209:460.0 210:8605.0 211:1247.0 212:1231.0 213:283.0 214:270.0 215:5044.0 216:1804.0 217:18593.0 218:28349.0 219:13277.0 220:203936.0 221:50918.0 222:21085.0 223:3752.0 224:786.0 225:177.0 226:34.0 229:5116.0 230:2897.0 231:94838.0 232:21173.0 233:9882.0 234:1487.0 235:349.0 236:118.0 237:419.0 238:108.0 239:95.0 240:23.0 241:6.0 243:160.0 244:1362.0 245:3967.0 246:2246.0 247:344595.0 248:72420.0 249:31259.0 250:4677.0 251:944.0 252:577.0 253:98.0 254:127.0 255:193.0 256:73.0 258:92.0 259:16496.0 260:3754.0 261:4901.0 262:879.0 263:353.0 264:99.0 265:1994.0 266:542.0 267:214.0 268:83.0 272:21.0 273:85.0 274:4927.0 275:1328.0 276:538.0 277:225.0 278:124.0 279:177.0 280:25.0 289:47.0 290:51.0 291:409.0 292:16228.0 293:5065.0 294:2430.0 295:512.0 296:172.0 298:18.0 305:1355.0 306:590.0 307:251.0 308:51.0 309:15.0 310:27.0 311:12.0 312:10.0 318:513.0 319:4702.0 320:826.0 321:2219.0 322:802.0 323:350.0 324:127.0 325:59.0 326:10.0 327:18.0 328:28.0 332:1.0 333:175.0 334:140.0 335:97.0 336:48.0 337:40.0 338:26.0 340:34.0 341:39.0 342:22.0 346:189.0 347:17.0 348:143.0 349:13420.0 350:4799.0 351:2357.0 352:418.0 353:118.0 354:25.0 361:17.0 363:21.0 364:339.0 365:83.0 366:38.0 371:12.0 373:2.0 381:1.0 382:2.0 398:2.0 400:2.0 402:1.0 412:2.0 415:6.0 417:2.0 418:1.0 435:1.0 440:3.0 442:4.0 447:11.0 451:1.0 457:2.0 489:1.0 490:4.0 492:4.0 493:1.0 495:1.0 496:1.0</t>
  </si>
  <si>
    <t>85:41523.0 86:4854.0 87:9829.0 88:5816.0 89:40121.0 90:7179.0 91:144011.0 92:14585.0 93:4794.0 94:14691.0 95:6010.0 96:1991.0 97:5896.0 98:3054.0 99:12140.0 100:1912.0 101:39571.0 102:11601.0 103:218009.0 104:35128.0 105:190178.0 106:36980.0 107:63494.0 108:5606.0 109:1982.0 110:470.0 111:20090.0 112:2301.0 113:5815.0 114:1718.0 115:22350.0 116:18583.0 117:106090.0 118:19993.0 119:506313.0 120:51233.0 121:4538.0 122:794.0 123:442.0 124:504.0 125:1674.0 126:371.0 127:6273.0 128:3820.0 129:63866.0 130:10173.0 131:37713.0 132:18325.0 133:565241.0 134:207745.0 135:61295.0 136:5751.0 137:1162.0 138:337.0 139:1141.0 140:507.0 141:3347.0 142:15345.0 143:29112.0 144:10511.0 145:34372.0 146:9827.0 147:131514.0 148:23069.0 149:25069.0 150:10186.0 151:4763.0 152:851.0 153:922.0 154:1183.0 155:18459.0 156:6202.0 157:28039.0 158:13955.0 159:15326.0 160:3505.0 161:13689.0 162:4947.0 163:4653.0 164:554.0 165:634.0 166:297.0 167:5582.0 168:2887.0 169:7334.0 170:3082.0 171:36372.0 172:11403.0 173:11788.0 174:2571.0 175:9971.0 176:2530.0 177:102283.0 178:12940.0 179:1933.0 180:228.0 181:620.0 182:605.0 183:10663.0 184:4862.0 185:20061.0 186:3716.0 187:7698.0 188:1656.0 189:16606.0 190:41128.0 191:11355.0 192:1743.0 193:1757.0 194:506.0 195:232.0 196:155.0 197:955.0 198:823.0 199:2590.0 200:2361.0 201:4260.0 202:6457.0 203:11300.0 204:27627.0 205:45024.0 206:11533.0 207:182348.0 208:36365.0 209:11599.0 210:1838.0 211:1375.0 212:156.0 213:648.0 214:343.0 215:3530.0 216:1413.0 217:18222.0 218:8762.0 219:10887.0 220:21294.0 221:6706.0 222:2230.0 223:7052.0 224:1409.0 225:408.0 226:173.0 227:779.0 228:528.0 229:1341.0 230:6735.0 231:7419.0 232:2057.0 233:6026.0 234:1599.0 235:2733.0 236:2773.0 237:6924.0 238:1579.0 239:379.0 240:121.0 241:54.0 242:57.0 243:1201.0 244:1014.0 245:2927.0 246:985.0 247:10099.0 248:2432.0 249:2991.0 250:852.0 251:617.0 252:969.0 253:187.0 254:169.0 255:281.0 256:65.0 257:3239.0 258:867.0 259:2131.0 260:833.0 261:2002.0 262:1794.0 263:860.0 264:571.0 265:1081.0 266:208.0 267:403.0 268:127.0 269:102.0 270:30.0 271:398.0 272:162.0 273:5500.0 274:2318.0 275:4058.0 276:1169.0 277:2403.0 278:3045.0 279:1016.0 280:352.0 281:1604.0 282:818.0 283:476.0 284:176.0 285:483.0 286:161.0 287:417.0 288:367.0 289:823.0 290:406.0 291:1274.0 292:1379.0 293:611.0 294:229.0 295:546.0 296:193.0 300:123.0 301:572.0 302:186.0 303:762.0 304:1719.0 305:1037.0 306:459.0 307:311.0 308:169.0 309:261.0 310:36.0 311:212.0 312:65.0 313:99.0 314:36.0 316:215.0 317:438.0 318:194.0 319:637.0 320:319.0 321:4377.0 322:1155.0 323:631.0 324:234.0 325:419.0 326:169.0 327:47.0 328:146.0 329:160.0 331:26.0 332:21.0 333:323.0 334:455.0 335:704.0 336:380.0 337:2682.0 338:805.0 339:315.0 340:69.0 341:481.0 342:128.0 343:208.0 344:75.0 345:101.0 346:19.0 348:26.0 349:532.0 350:325.0 351:204.0 352:426.0 353:8598.0 354:2698.0 355:777.0 356:32.0 357:146.0 358:73.0 360:29.0 361:61.0 363:114.0 364:91.0 365:554.0 366:111.0 367:340.0 368:119.0 369:118.0 371:63.0 373:61.0 374:51.0 375:103.0 376:12.0 377:18.0 378:240.0 379:48.0 380:158.0 381:987.0 382:382.0 383:155.0 384:14.0 385:45.0 386:33.0 387:25.0 389:14.0 390:15.0 391:76.0 392:5.0 394:37.0 399:23.0 400:22.0 401:14.0 402:97.0 403:76.0 404:11.0 405:65.0 406:25.0 407:50.0 408:100.0 409:1318.0 410:672.0 411:222.0 412:105.0 415:171.0 416:126.0 417:88.0 419:8.0 421:22.0 422:161.0 423:1654.0 424:904.0 425:442.0 426:150.0 427:69.0 429:62.0 430:46.0 431:106.0 432:38.0 433:26.0 437:136.0 438:168.0 439:167.0 440:61.0 441:14.0 442:45.0 443:26.0 446:12.0 449:11.0 454:300.0 455:2593.0 456:1268.0 457:439.0 458:73.0 459:31.0 460:46.0 461:115.0 464:9.0 467:172.0 468:572.0 469:491.0 470:101.0 471:51.0 473:16.0 475:52.0 476:69.0 489:86.0 490:9.0 494:12.0 497:3.0</t>
  </si>
  <si>
    <t>85:249.0 86:7204.0 89:61.0 91:7.0 93:225.0 94:34.0 95:186.0 97:32.0 98:437.0 99:741.0 100:4294.0 101:849.0 102:1059.0 103:887.0 104:235.0 105:39.0 107:272.0 108:28.0 109:29.0 110:396.0 111:191.0 112:302.0 113:479.0 114:512.0 115:236.0 116:805.0 117:952.0 118:148.0 120:12.0 121:243.0 122:24.0 124:29.0 125:93.0 128:144.0 129:933.0 130:4508.0 131:740.0 132:606.0 133:1098.0 134:277.0 136:81.0 139:188.0 140:159.0 141:40.0 142:828.0 143:182.0 144:87.0 146:4881.0 147:5223.0 148:1035.0 149:2.0 150:38.0 151:193.0 152:89.0 153:1653.0 154:2556.0 155:714.0 156:272.0 157:113.0 158:365.0 160:707.0 161:344.0 162:38.0 165:238.0 166:571.0 167:3875.0 168:648.0 169:576.0 170:281.0 171:107.0 172:689.0 173:235.0 174:5695.0 175:939.0 176:1782.0 177:181.0 178:55.0 180:315.0 181:274.0 182:1095.0 183:212.0 184:37.0 185:60.0 186:37.0 188:80.0 189:192.0 190:112.0 191:338.0 192:44.0 193:552.0 194:447.0 195:206.0 196:11.0 199:52.0 200:70.0 201:106.0 202:59.0 203:113.0 204:1835.0 205:556.0 206:1203.0 207:549.0 208:298.0 209:142.0 210:6.0 211:129.0 212:71.0 213:40.0 214:192.0 215:293.0 216:104.0 217:979.0 218:544.0 219:46.0 220:57.0 222:149.0 223:32.0 224:75.0 225:44.0 226:82.0 227:165.0 228:53.0 229:102.0 231:1012.0 232:282.0 233:182.0 234:75.0 236:194.0 237:174.0 238:548.0 239:605.0 240:323.0 241:125.0 242:99.0 243:177.0 244:164.0 246:37.0 248:12.0 249:49.0 250:28.0 252:130.0 253:161.0 254:541.0 255:153.0 256:11.0 257:36.0 258:42.0 259:137.0 260:8.0 261:76.0 262:51.0 263:24.0 266:77.0 267:626.0 268:196.0 269:159.0 270:45.0 271:179.0 272:32.0 274:20.0 275:44.0 278:66.0 279:31.0 280:32.0 281:46.0 282:433.0 283:563.0 284:623.0 285:134.0 286:70.0 287:40.0 288:36.0 289:32.0 290:1.0 291:27.0 292:157.0 293:16.0 294:32.0 295:34.0 296:216.0 297:46.0 298:149.0 299:7.0 300:323.0 301:199.0 302:114.0 303:30.0 304:42.0 305:210.0 306:4.0 307:85.0 308:26.0 309:137.0 310:85.0 311:36.0 312:64.0 313:173.0 314:72.0 315:16.0 316:45.0 317:12.0 318:42.0 319:148.0 320:9.0 322:58.0 323:85.0 324:17.0 326:135.0 327:150.0 328:60.0 329:129.0 330:19.0 331:11.0 332:9.0 334:16.0 335:17.0 336:91.0 337:42.0 338:67.0 339:56.0 340:43.0 341:161.0 342:114.0 343:76.0 344:59.0 345:34.0 350:7.0 351:47.0 352:126.0 353:17.0 354:141.0 355:16.0 356:74.0 357:60.0 358:36.0 360:5.0 361:718.0 362:201.0 363:106.0 364:42.0 365:16.0 366:20.0 367:21.0 369:25.0 370:123.0 371:68.0 372:32.0 373:42.0 375:26.0 380:22.0 381:53.0 382:256.0 383:229.0 384:115.0 385:23.0 387:28.0 388:5.0 389:15.0 396:6.0 398:393.0 399:146.0 400:31.0 401:27.0 404:15.0 405:2.0 408:45.0 409:55.0 410:1034.0 411:506.0 412:179.0 413:134.0 414:29.0 415:61.0 416:32.0 417:15.0 419:22.0 421:6.0 423:3.0 427:49.0 428:50.0 429:134.0 430:35.0 432:21.0 441:6.0 448:32.0 449:19.0 451:55.0 452:27.0 460:14.0 461:25.0 464:19.0 466:8.0 473:4.0 475:45.0 476:15.0 480:6.0 487:7.0 488:23.0 490:135.0 498:147.0 499:1011.0 500:623.0</t>
  </si>
  <si>
    <t>85:18.0 86:76.0 89:1799.0 90:10.0 91:1467.0 92:168.0 93:228.0 95:316.0 101:7376.0 102:250.0 103:286.0 105:420.0 106:456.0 107:530.0 109:1050.0 110:371.0 111:97.0 112:162.0 113:88.0 116:4810.0 117:5658.0 118:576.0 119:4.0 121:1544.0 122:183.0 123:2631.0 125:2546.0 127:414.0 129:1832.0 130:762.0 137:1518.0 138:1469.0 139:2373.0 140:638.0 141:536.0 142:69.0 143:1170.0 144:345.0 146:295.0 147:169.0 148:58.0 149:30.0 150:8.0 153:2910.0 154:495.0 155:52659.0 156:3923.0 157:4237.0 158:1767.0 159:1148.0 160:705.0 162:10.0 163:507.0 164:9.0 165:83.0 167:181.0 169:1027.0 170:66.0 171:21273.0 172:2087.0 173:855.0 175:5.0 181:872.0 182:6.0 183:494.0 185:781.0 186:300.0 187:115.0 189:938.0 191:110.0 192:1.0 197:1423.0 198:338.0 199:758.0 200:111.0 202:28.0 204:885.0 205:93.0 209:2.0 210:13.0 211:1536.0 212:286.0 213:50.0 215:68.0 216:3.0 217:45.0 218:36.0 222:5.0 225:235.0 226:44.0 227:4368.0 228:335.0 229:149.0 232:60.0 234:20.0 237:14.0 239:382.0 240:7.0 242:303.0 243:246.0 245:38.0 247:24.0 248:1.0 249:1.0 253:162.0 255:3.0 259:147.0 262:1.0 263:22.0 264:1.0 267:154.0 270:346.0 271:75.0 272:43.0 274:19.0 275:465.0 276:62.0 277:11.0 285:29.0 286:57.0 287:52.0 290:137.0 291:45.0 299:12.0 300:1.0 301:21.0 302:17.0 305:113.0 306:7.0 311:13.0 313:5.0 318:8.0 319:1.0 324:2.0 325:2.0 329:1.0 330:78.0 334:2.0 337:5.0 338:1.0 342:58.0 343:9.0 345:62.0 348:44.0 362:3.0 367:58.0 372:17.0 376:13.0 391:9.0 402:40.0 421:24.0 422:37.0 424:5.0 426:14.0 427:12.0 433:9.0 436:40.0 439:22.0 445:26.0 447:3.0 452:44.0 456:14.0 478:12.0 486:11.0 496:2.0 497:4.0 500:16.0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</si>
  <si>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</si>
  <si>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85:125.0 110:47.0 112:56.0 113:47.0 129:26.0 130:119.0 133:224.0 136:59.0 138:29.0 140:24.0 143:117.0 144:12.0 151:57.0 155:74.0 157:45.0 169:1899.0 170:296.0 171:192.0 172:24.0 176:11.0 179:79.0 181:55.0 184:38.0 185:23.0 194:14.0 197:86.0 203:42.0 204:27.0 206:7.0 208:28.0 210:20.0 211:342.0 212:25.0 213:12.0 214:22.0 218:15.0 222:10.0 224:114.0 225:61.0 227:82.0 228:28.0 229:12.0 230:258.0 231:35.0 232:14.0 234:35.0 237:77.0 238:43.0 239:10.0 243:216.0 244:1.0 245:37.0 249:66.0 250:43.0 252:44.0 253:140.0 254:42.0 258:261.0 259:75.0 260:23.0 264:104.0 266:227.0 268:132.0 269:46.0 271:29.0 276:33.0 277:3.0 278:29.0 280:356.0 283:91.0 284:3.0 286:27.0 288:23.0 289:6.0 290:38.0 293:3.0 294:79.0 295:7.0 296:104.0 297:73.0 298:36.0 299:482.0 300:107.0 301:50.0 305:91.0 306:14.0 307:20.0 308:17.0 309:3.0 311:90.0 314:69.0 315:395.0 316:69.0 317:17.0 321:5.0 322:5.0 324:164.0 325:165.0 326:14.0 327:349.0 328:19.0 330:22.0 335:3.0 336:18.0 337:5.0 338:19.0 340:17.0 341:44.0 343:97.0 346:3.0 348:19.0 350:14.0 351:13.0 352:79.0 353:58.0 354:39.0 355:72.0 356:103.0 357:6.0 359:25.0 361:25.0 367:37.0 368:29.0 369:73.0 371:21.0 373:24.0 376:1.0 381:24.0 382:51.0 383:35.0 385:53.0 387:58.0 388:42.0 389:5.0 390:22.0 392:56.0 393:43.0 394:55.0 395:21.0 398:6.0 401:58.0 402:86.0 403:11.0 404:14.0 405:33.0 407:12.0 410:36.0 411:5.0 414:35.0 415:113.0 416:23.0 417:33.0 419:37.0 425:24.0 426:19.0 428:21.0 429:18.0 430:81.0 431:67.0 433:20.0 434:15.0 439:9.0 440:13.0 445:1.0 448:26.0 449:14.0 451:11.0 455:6.0 458:19.0 460:14.0 461:24.0 462:63.0 463:28.0 464:7.0 465:23.0 466:13.0 467:14.0 469:7.0 475:80.0 476:29.0 477:12.0 478:49.0 481:13.0 485:1.0 487:9.0 488:6.0 491:17.0 496:27.0 498:5.0</t>
  </si>
  <si>
    <t>91:1144.0 92:66.0 93:42.0 105:137.0 107:259.0 116:73.0 128:143.0 131:329.0 132:46.0 142:39.0 159:121.0 163:371.0 175:314.0 188:43.0 191:984.0 192:150.0 193:306.0 194:90.0 195:135.0 197:85.0 204:215.0 205:200.0 206:101.0 207:495.0 208:409.0 209:39.0 210:151.0 211:59.0 219:69.0 222:25.0 225:5.0 230:8.0 231:40.0 235:11.0 237:213.0 243:82.0 245:24.0 249:212.0 251:268.0 252:22.0 253:199.0 265:74.0 266:10.0 267:62.0 268:136.0 271:67.0 273:2.0 274:7.0 275:7.0 279:14.0 281:144.0 282:143.0 283:372.0 285:14.0 286:8.0 289:43.0 290:20.0 291:274.0 292:18.0 295:80.0 296:2.0 297:3.0 299:2.0 300:7.0 302:14.0 303:63.0 305:112.0 307:68.0 308:10.0 309:27.0 310:43.0 312:7.0 315:40.0 316:936.0 317:407.0 318:37.0 319:46.0 322:8.0 323:3.0 324:16.0 325:66.0 326:43.0 327:201.0 329:44.0 335:8.0 342:124.0 343:47.0 345:83.0 346:23.0 347:3.0 352:22.0 354:21.0 356:104.0 357:37.0 361:107.0 362:63.0 364:5.0 365:2.0 367:231.0 368:40.0 369:86.0 370:61.0 371:34.0 373:32.0 381:1.0 383:46.0 386:75.0 387:87.0 388:54.0 389:9.0 392:7.0 396:17.0 398:11.0 400:59.0 401:170.0 402:72.0 403:41.0 407:5.0 409:2.0 415:157.0 419:16.0 423:95.0 424:16.0 429:142.0 437:34.0 443:40.0 444:9.0 445:32.0 446:20.0 451:4.0 452:10.0 457:6.0 460:29.0 461:34.0 462:13.0 475:21.0 476:85.0 479:47.0 480:45.0 481:8.0 489:95.0 490:33.0 491:67.0 492:47.0 493:16.0 500:4.0</t>
  </si>
  <si>
    <t>89:835.0 90:100.0 94:52.0 100:756.0 102:1171.0 103:5188.0 104:668.0 105:273.0 114:88.0 115:39.0 117:1354.0 118:140.0 122:28.0 124:7.0 128:181.0 129:988.0 130:742.0 133:277.0 142:197.0 144:89.0 145:29.0 147:3384.0 148:185.0 153:90.0 157:302.0 158:164.0 160:1309.0 161:82.0 168:47.0 170:235.0 172:285.0 173:80.0 182:71.0 184:165.0 185:24.0 186:72.0 189:487.0 199:46.0 200:39.0 201:277.0 204:37.0 205:725.0 207:110.0 212:105.0 214:125.0 216:398.0 217:1839.0 218:378.0 219:320.0 228:62.0 229:69.0 230:8.0 231:108.0 239:55.0 240:17.0 241:14.0 242:98.0 243:32.0 244:111.0 246:14.0 248:35.0 253:16.0 256:19.0 259:22.0 260:162.0 270:9.0 274:123.0 289:259.0 290:71.0 291:143.0 299:2.0 302:93.0 303:73.0 304:6.0 305:34.0 307:244.0 309:55.0 315:4.0 318:8.0 319:9.0 320:67.0 325:50.0 326:19.0 330:14.0 331:729.0 332:2952.0 333:895.0 334:322.0 335:27.0 341:14.0 342:2.0 344:13.0 345:28.0 346:27.0 349:27.0 355:40.0 370:25.0 373:114.0 377:9.0 380:41.0 388:22.0 390:8.0 391:21.0 402:39.0 404:10.0 421:7.0 423:13.0 425:9.0 428:9.0 429:16.0 437:4.0 444:2.0 459:57.0 466:7.0 475:6.0 480:12.0 487:7.0 490:19.0</t>
  </si>
  <si>
    <t>85:805.0 86:669.0 89:2922.0 90:157.0 94:495.0 96:811.0 97:84.0 99:607.0 100:1956.0 101:196.0 102:31.0 103:16707.0 104:860.0 105:1758.0 106:320.0 107:86.0 109:104.0 112:216.0 113:314.0 114:1148.0 115:589.0 116:77.0 117:554.0 120:431.0 122:355.0 123:202.0 124:908.0 125:89.0 126:443.0 127:122.0 128:183.0 129:2974.0 131:456.0 133:1063.0 134:229.0 139:84.0 140:320.0 141:105.0 142:2174.0 143:182.0 145:6.0 146:52.0 147:8446.0 148:1116.0 149:527.0 152:76.0 153:165.0 154:740.0 155:575.0 157:842.0 158:59.0 160:789.0 163:7.0 164:911.0 165:698.0 166:378.0 167:191.0 168:513.0 169:333.0 170:11536.0 171:2268.0 172:996.0 173:577.0 174:87.0 178:3.0 181:258.0 182:3.0 183:377.0 184:770.0 185:678.0 186:716.0 187:158.0 188:1098.0 189:858.0 190:139.0 192:177.0 197:373.0 198:390.0 199:101.0 200:186.0 201:171.0 202:357.0 205:2696.0 206:279.0 209:271.0 210:170.0 211:551.0 212:433.0 213:4.0 215:9.0 216:251.0 217:6911.0 218:1158.0 219:566.0 223:205.0 224:198.0 225:796.0 226:3452.0 227:515.0 228:192.0 229:342.0 230:12.0 231:256.0 237:52.0 238:193.0 239:3195.0 240:782.0 241:131.0 242:212.0 244:53.0 255:1541.0 256:239.0 260:19.0 262:395.0 263:212.0 264:216.0 266:15.0 267:20.0 268:31.0 270:566.0 271:33.0 276:1.0 277:494.0 278:284.0 280:534.0 289:8.0 290:5.0 291:158.0 295:7.0 300:16.0 303:8.0 305:41.0 306:42.0 307:2031.0 308:492.0 309:201.0 310:14.0 313:16.0 315:54.0 318:23.0 319:1518.0 320:488.0 321:312.0 326:15.0 334:3.0 335:76.0 336:41.0 337:30.0 342:3.0 343:17.0 344:13.0 345:5.0 351:23.0 353:20.0 354:39.0 356:46.0 358:38.0 360:74.0 361:1.0 364:237.0 365:160.0 368:56.0 369:115.0 370:26.0 372:8.0 384:4.0 385:9.0 386:89.0 387:18.0 388:12.0 391:2.0 395:1.0 403:3.0 405:143.0 406:75.0 409:21.0 411:6.0 422:3.0 426:5.0 436:3.0 437:2.0 443:9.0 450:21.0 454:5.0 461:50.0 464:194.0 465:91.0 479:7.0 485:1.0 491:1.0 496:2.0</t>
  </si>
  <si>
    <t>85:3100.0 86:29333.0 87:3203.0 88:2126.0 89:3870.0 91:1011.0 92:141.0 93:798.0 95:5389.0 96:946.0 97:3313.0 98:4370.0 99:3168.0 100:30806.0 101:4953.0 102:4267.0 104:1607.0 105:2946.0 108:592.0 110:1641.0 111:697.0 112:1083.0 113:1698.0 114:2780.0 115:18037.0 116:5402.0 117:46500.0 118:4424.0 119:1635.0 120:1216.0 121:441.0 122:361.0 123:29.0 124:659.0 125:1093.0 126:2888.0 127:1753.0 128:28134.0 129:20828.0 130:5581.0 131:11918.0 132:12646.0 133:2186.0 137:338.0 138:95.0 139:80.0 141:10356.0 142:3805.0 143:3530.0 144:1351.0 145:5200.0 146:1067.0 147:7118.0 151:173.0 152:942.0 153:2442.0 155:792.0 156:10170.0 157:3288.0 158:1076.0 159:720.0 160:758.0 161:487.0 162:48.0 163:17.0 164:18.0 168:147.0 169:4789.0 170:3921.0 171:1263.0 172:305.0 173:280.0 174:32072.0 175:5820.0 176:2649.0 177:183.0 178:131.0 180:101.0 185:1314.0 186:877.0 187:770.0 188:103.0 192:12.0 193:14.0 194:16.0 196:199.0 197:176.0 198:14.0 199:180.0 201:1080.0 202:245.0 203:363.0 209:14.0 210:26.0 213:629.0 214:216.0 215:300.0 216:1003.0 217:415.0 218:18.0 219:309.0 225:144.0 228:729.0 229:13329.0 230:2261.0 231:679.0 232:477.0 233:295.0 234:937.0 238:30.0 239:317.0 241:388.0 242:72.0 243:4133.0 244:1295.0 245:420.0 246:19.0 249:2.0 254:13.0 256:48.0 257:50.0 258:400.0 259:141.0 260:10.0 262:1.0 265:205.0 267:347.0 268:1.0 273:1.0 274:61.0 276:38.0 281:123.0 282:42.0 283:3.0 284:33.0 285:13.0 287:8.0 292:40.0 293:10.0 301:67.0 304:25.0 305:477.0 306:169.0 308:5.0 309:2.0 311:93.0 313:4.0 321:10.0 322:1.0 323:3.0 324:1.0 325:17.0 326:7.0 327:64.0 328:26.0 329:8.0 332:12.0 341:19.0 342:10.0 343:5.0 344:2.0 345:4.0 346:1.0 347:4.0 350:2.0 351:1.0 352:1.0 356:1.0 362:1.0 365:31.0 371:38.0 375:1.0 377:1.0 378:1.0 379:1.0 383:6.0 384:2.0 385:4.0 386:1.0 390:3.0 391:13.0 392:2.0 395:3.0 397:1.0 398:2.0 399:9.0 400:3.0 401:2.0 406:2.0 408:1.0 410:4.0 411:1.0 414:4.0 415:22.0 416:11.0 417:3.0 418:4.0 419:3.0 420:32.0 427:38.0 432:2.0 433:5.0 436:1.0 443:1.0 444:5.0 447:11.0 449:5.0 452:1.0 453:2.0 460:1.0 462:3.0 465:1.0 468:1.0 470:3.0 479:1.0 482:6.0 485:2.0 487:1.0 490:1.0 494:2.0 497:21.0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</si>
  <si>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</si>
  <si>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91:99.0 93:136.0 94:86.0 95:115.0 97:461.0 98:2090.0 109:767.0 110:338.0 111:738.0 116:1089.0 117:1159.0 119:1098.0 121:403.0 122:138.0 123:44.0 124:33.0 129:906.0 132:133.0 137:166.0 141:212.0 145:157.0 147:161.0 153:83.0 165:14.0 169:894.0 171:129.0 175:4241.0 179:19.0 180:4.0 181:104.0 185:28.0 188:600.0 189:1585.0 191:1336.0 193:25.0 195:72.0 197:393.0 203:726.0 204:31964.0 205:1451.0 206:2096.0 211:32.0 217:2979.0 218:161.0 221:62.0 223:9.0 224:89.0 225:46.0 243:224.0 245:9.0 249:52.0 251:33.0 253:65.0 255:10.0 261:1.0 263:27.0 265:24.0 271:54.0 276:3.0 288:29.0 289:129.0 290:81.0 291:148.0 298:3.0 299:73.0 300:34.0 306:99.0 312:26.0 313:56.0 314:68.0 324:549.0 325:145.0 326:85.0 327:60.0 332:444.0 333:124.0 334:171.0 335:41.0 346:11.0 353:22.0 361:174.0 362:22.0 363:33.0 366:5.0 367:12.0 368:32.0 377:3.0 381:22.0 382:6.0 387:14.0 388:61.0 395:4.0 399:3.0 422:9.0 449:61.0 452:14.0 454:27.0 455:13.0 472:2.0 476:14.0 489:16.0 499:10.0</t>
  </si>
  <si>
    <t>85:72.0 91:1450.0 94:256.0 99:669.0 101:901.0 102:190.0 103:5421.0 104:498.0 109:403.0 110:400.0 113:381.0 120:255.0 121:119.0 122:182.0 123:92.0 124:277.0 125:414.0 129:3877.0 133:3060.0 134:316.0 136:161.0 137:198.0 138:105.0 139:490.0 140:304.0 142:94.0 144:1042.0 147:20868.0 148:3437.0 149:2507.0 150:587.0 151:72.0 153:151.0 155:531.0 156:233.0 157:265.0 161:303.0 162:4.0 163:769.0 164:285.0 166:1332.0 167:70.0 169:236.0 171:227.0 173:353.0 174:47.0 175:185.0 181:29.0 182:32.0 189:194.0 195:121.0 202:43.0 203:537.0 204:1958.0 205:1493.0 206:198.0 210:153.0 211:75.0 213:584.0 215:267.0 217:2865.0 218:631.0 219:1706.0 220:315.0 221:639.0 225:17.0 227:480.0 228:273.0 231:552.0 232:31.0 233:106.0 236:22.0 239:256.0 241:280.0 243:2090.0 244:440.0 245:23048.0 246:5144.0 247:2276.0 248:499.0 255:247.0 256:460.0 257:693.0 258:240.0 259:202.0 260:15.0 264:118.0 271:865.0 272:300.0 275:1.0 277:196.0 288:185.0 289:114.0 290:59.0 291:304.0 292:425.0 293:130.0 294:69.0 300:145.0 302:40.0 305:83.0 306:118.0 307:49.0 308:26.0 309:8.0 316:11.0 317:215.0 318:18.0 319:275.0 320:44.0 321:36.0 322:12.0 331:209.0 333:186.0 334:118.0 335:1727.0 336:425.0 337:117.0 343:4.0 345:441.0 346:182.0 347:614.0 348:103.0 349:47.0 350:8.0 359:19.0 361:1.0 365:20.0 373:4.0 374:28.0 384:1.0 387:63.0 389:54.0 391:17.0 395:2.0 409:15.0 410:39.0 423:13.0 424:5.0 428:9.0 435:35.0 438:9.0 450:10.0 452:24.0 454:8.0 457:7.0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</si>
  <si>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</si>
  <si>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85:2188.0 86:1058.0 87:5407.0 88:778.0 90:317.0 93:602.0 94:423.0 95:733.0 96:3034.0 97:2184.0 98:518.0 99:118.0 103:6241.0 104:1581.0 107:78.0 111:153.0 112:189.0 115:1927.0 117:6123.0 118:808.0 119:1643.0 120:96.0 123:191.0 124:310.0 125:591.0 126:730.0 128:2.0 131:8318.0 132:1582.0 133:10478.0 134:2922.0 135:910.0 136:1125.0 137:533.0 138:73.0 139:101.0 140:303.0 141:177.0 143:151.0 144:214.0 145:3497.0 146:1002.0 147:166260.0 148:24663.0 149:13472.0 150:766.0 151:366.0 152:219.0 154:62.0 155:502.0 156:470.0 157:2.0 159:33.0 161:269.0 162:101.0 163:1361.0 164:440.0 165:433.0 166:293.0 170:38.0 174:210.0 175:129.0 176:212.0 177:1440.0 178:737.0 179:767.0 180:140.0 181:186.0 184:158.0 186:77.0 189:1508.0 191:7151.0 192:1405.0 193:4317.0 194:625.0 195:393.0 196:56.0 198:10.0 199:10.0 202:43.0 203:246.0 204:56.0 205:6147.0 206:2019.0 207:61587.0 208:12116.0 209:7516.0 210:919.0 211:331.0 214:29.0 217:2.0 219:433.0 220:198.0 221:165756.0 222:40699.0 223:22159.0 224:3052.0 225:599.0 226:124.0 228:51.0 231:2.0 235:467.0 236:127.0 237:85.0 238:58.0 239:258.0 241:64.0 245:183.0 247:608.0 248:146.0 249:2852.0 250:973.0 251:2030.0 252:531.0 253:435.0 254:65.0 255:249.0 256:112.0 257:296.0 259:66.0 260:16.0 261:102.0 262:279.0 263:855.0 264:454.0 265:6836.0 266:1833.0 267:9968.0 268:2506.0 269:1711.0 270:294.0 271:396.0 272:8.0 273:26.0 274:89.0 275:37.0 276:193.0 277:62.0 279:4163.0 280:1531.0 281:42016.0 282:12385.0 283:6755.0 284:1206.0 285:487.0 286:158.0 287:64.0 289:50.0 291:19.0 293:210.0 294:398.0 295:56813.0 296:18068.0 297:10983.0 298:1969.0 299:505.0 300:87.0 301:148.0 305:202.0 309:347.0 310:80.0 311:207.0 312:52.0 313:176.0 314:114.0 315:6.0 318:58.0 319:60.0 321:30.0 322:189.0 323:841.0 324:451.0 325:3606.0 326:1551.0 327:4261.0 328:1107.0 329:864.0 330:309.0 331:147.0 332:143.0 333:59.0 334:93.0 335:30.0 336:8.0 337:219.0 338:51.0 339:1390.0 340:703.0 341:8229.0 342:3169.0 343:1593.0 344:767.0 345:392.0 346:111.0 347:46.0 348:37.0 353:602.0 354:557.0 355:11009.0 356:3936.0 357:2391.0 358:710.0 359:340.0 360:170.0 361:87.0 362:22.0 363:90.0 365:18.0 367:74.0 368:1120.0 369:24617.0 370:11105.0 371:7339.0 372:1805.0 373:697.0 374:127.0 375:191.0 376:10.0 378:122.0 380:104.0 381:86.0 382:144.0 383:387.0 384:269.0 385:469.0 386:345.0 387:97.0 388:147.0 389:75.0 390:6.0 393:36.0 394:18.0 395:114.0 397:261.0 398:305.0 399:1117.0 400:700.0 401:2589.0 402:1132.0 403:748.0 404:194.0 405:89.0 411:52.0 412:52.0 413:356.0 414:151.0 415:1563.0 416:880.0 417:209.0 418:216.0 419:202.0 427:284.0 428:378.0 429:2543.0 430:1318.0 431:674.0 432:121.0 433:39.0 441:45.0 442:90.0 443:1383.0 444:942.0 445:565.0 446:82.0 447:109.0 448:73.0 449:60.0 451:10.0 453:25.0 454:6.0 457:162.0 458:5.0 459:357.0 460:444.0 461:340.0 462:340.0 463:306.0 465:79.0 466:14.0 471:19.0 473:219.0 474:240.0 475:411.0 476:154.0 477:190.0 478:43.0 487:131.0 488:168.0 489:296.0 490:283.0 493:4.0</t>
  </si>
  <si>
    <t>85:239.0 86:665.0 87:1431.0 89:1508.0 94:1.0 99:125.0 101:3451.0 102:83.0 103:7595.0 104:691.0 105:386.0 109:129.0 111:328.0 113:502.0 114:169.0 115:714.0 116:2335.0 117:7013.0 118:792.0 119:95.0 120:56.0 127:74.0 129:4714.0 130:589.0 131:1606.0 133:5221.0 134:540.0 135:179.0 137:132.0 140:47.0 141:22.0 142:130.0 143:1018.0 147:15076.0 148:1752.0 149:2047.0 150:146.0 151:502.0 153:33.0 154:153.0 155:488.0 156:161.0 157:1917.0 158:255.0 159:293.0 165:81.0 167:160.0 169:372.0 170:443.0 173:27.0 174:199.0 175:98.0 181:137.0 182:103.0 183:743.0 184:94.0 185:61.0 186:86.0 188:31.0 189:626.0 190:357.0 191:1724.0 192:361.0 193:803.0 194:46.0 195:316.0 203:416.0 204:1492.0 205:3431.0 206:986.0 207:1462.0 208:28.0 209:72.0 210:48.0 211:1645.0 212:270.0 213:101.0 215:471.0 217:4525.0 218:1896.0 219:600.0 220:118.0 221:46.0 222:71.0 223:89.0 225:408.0 226:50.0 227:229.0 228:103.0 229:317.0 230:486.0 231:818.0 232:32.0 234:16.0 235:15.0 239:178.0 240:14.0 243:606.0 244:267.0 245:157.0 246:207.0 247:122.0 248:38.0 250:7.0 252:48.0 253:81.0 255:369.0 256:44.0 257:525.0 258:84.0 259:1088.0 260:173.0 261:52.0 263:74.0 264:51.0 267:132.0 269:101.0 271:451.0 272:570.0 273:278.0 274:5.0 275:20.0 276:11.0 277:54.0 278:62.0 282:12.0 283:168.0 285:180.0 287:82.0 289:76.0 290:31.0 291:219.0 298:12.0 299:5948.0 300:1585.0 301:698.0 302:98.0 303:51.0 305:123.0 306:183.0 307:430.0 308:163.0 309:91.0 310:22.0 311:41.0 312:60.0 313:164.0 314:480.0 315:3242.0 316:924.0 317:519.0 318:107.0 319:1150.0 320:654.0 321:87.0 322:4.0 323:84.0 325:64.0 326:7.0 328:150.0 329:196.0 330:119.0 331:449.0 332:221.0 333:115.0 334:34.0 339:25.0 341:242.0 343:18.0 344:64.0 345:301.0 346:130.0 347:124.0 348:96.0 349:206.0 350:37.0 352:56.0 354:41.0 356:126.0 357:1377.0 358:358.0 359:180.0 360:98.0 361:58.0 362:135.0 363:67.0 364:11.0 369:4.0 370:91.0 371:33.0 372:42.0 373:144.0 374:96.0 375:16.0 377:15.0 378:9.0 379:46.0 383:3.0 385:22.0 386:267.0 387:4092.0 388:1706.0 389:911.0 390:273.0 391:108.0 393:15.0 395:28.0 400:38.0 401:43.0 408:1.0 411:18.0 415:66.0 416:37.0 417:15.0 421:61.0 425:2.0 426:9.0 429:57.0 432:47.0 436:3.0 439:3.0 443:8.0 446:8.0 450:15.0 457:49.0 459:41.0 461:88.0 463:25.0 465:7.0 467:13.0 468:16.0 470:4.0 471:281.0 472:159.0 473:32.0 475:47.0 482:1.0 483:1.0 490:5.0 491:41.0</t>
  </si>
  <si>
    <t>85:421.0 86:177.0 89:2898.0 90:329.0 91:356.0 92:53.0 94:147.0 98:316.0 99:648.0 100:335.0 101:952.0 102:379.0 103:7525.0 104:970.0 105:74.0 106:142.0 107:648.0 108:141.0 109:158.0 110:39.0 111:35.0 112:175.0 113:373.0 114:623.0 115:474.0 116:284.0 117:1911.0 118:108.0 119:262.0 123:32.0 124:147.0 126:190.0 128:171.0 129:1996.0 130:431.0 131:836.0 133:3125.0 134:923.0 135:533.0 136:70.0 137:187.0 138:64.0 139:126.0 140:125.0 141:97.0 142:2380.0 143:732.0 144:310.0 147:6821.0 148:1022.0 149:554.0 151:215.0 152:273.0 153:8.0 154:161.0 155:114.0 156:392.0 157:210.0 158:290.0 159:107.0 160:190.0 163:784.0 164:47.0 165:424.0 166:100.0 168:231.0 169:43.0 170:190.0 172:139.0 173:2842.0 174:407.0 175:283.0 177:114.0 178:2.0 179:63.0 180:278.0 181:194.0 182:57.0 183:98.0 185:55.0 186:105.0 189:558.0 190:251.0 191:801.0 192:317.0 193:512.0 194:55.0 195:427.0 196:273.0 197:73.0 198:83.0 199:109.0 200:93.0 201:53.0 202:9.0 203:9.0 204:108.0 205:680.0 206:120.0 207:3092.0 208:771.0 209:466.0 210:361.0 211:1071.0 212:145.0 213:133.0 214:105.0 215:62.0 216:32.0 217:2183.0 218:460.0 219:64.0 220:5.0 223:85.0 224:57.0 225:430.0 226:93.0 227:220.0 228:66.0 229:21.0 230:129.0 236:326.0 237:55.0 238:121.0 239:112.0 240:38.0 241:64.0 242:87.0 243:79.0 244:835.0 245:311.0 246:59.0 247:18.0 248:29.0 249:74.0 250:77.0 251:74.0 253:470.0 254:189.0 255:26.0 256:122.0 257:6.0 258:45.0 260:4.0 261:7.0 264:49.0 265:110.0 266:190.0 267:177.0 268:238.0 269:69.0 270:95.0 272:37.0 275:46.0 277:110.0 278:31.0 281:1215.0 282:389.0 283:232.0 284:116.0 285:48.0 286:198.0 287:121.0 288:40.0 290:9.0 291:29.0 293:18.0 294:18.0 295:20.0 296:5.0 298:90.0 299:2827.0 300:874.0 301:388.0 302:180.0 304:12.0 305:36.0 306:128.0 307:249.0 308:11.0 309:142.0 310:172.0 311:59.0 312:4.0 313:10.0 314:211.0 315:1966.0 316:570.0 317:277.0 318:130.0 319:129.0 320:4.0 322:15.0 323:7.0 324:18.0 325:258.0 326:101.0 327:310.0 328:61.0 329:59.0 330:34.0 331:1.0 332:8.0 340:43.0 341:623.0 342:220.0 343:153.0 344:58.0 347:6.0 351:11.0 353:35.0 354:399.0 355:140.0 356:28.0 362:2.0 368:19.0 369:102.0 371:32.0 372:24.0 373:71.0 374:75.0 375:54.0 376:39.0 377:16.0 380:10.0 381:11.0 382:6.0 384:54.0 385:27.0 386:415.0 387:3397.0 388:1387.0 389:786.0 390:217.0 391:44.0 392:58.0 393:24.0 394:6.0 396:48.0 400:48.0 401:12.0 403:21.0 406:21.0 407:74.0 408:37.0 409:12.0 413:6.0 414:321.0 415:178.0 416:87.0 417:23.0 422:22.0 425:4.0 429:119.0 430:62.0 431:9.0 432:20.0 434:16.0 440:7.0 452:14.0 459:3.0 460:6.0 461:29.0 462:20.0 463:13.0 471:6.0 484:64.0 485:41.0 486:3.0 489:18.0 496:4.0</t>
  </si>
  <si>
    <t>85:1703.0 87:462.0 89:111.0 91:11.0 92:134.0 93:10.0 95:328.0 98:338.0 99:884.0 100:307.0 101:4235.0 102:140.0 103:711.0 104:5.0 105:1321.0 106:7.0 109:165.0 110:89.0 111:78.0 113:558.0 114:18.0 115:2773.0 116:580.0 117:172.0 125:1.0 129:40881.0 130:5940.0 131:5432.0 132:291.0 133:6.0 134:136.0 135:126.0 138:5.0 144:634.0 145:1993.0 146:44.0 148:13.0 149:9.0 151:17.0 152:3.0 154:101.0 155:5.0 157:109.0 160:68.0 162:5.0 166:36.0 168:51.0 170:73.0 171:2.0 172:287.0 173:73.0 174:7.0 179:66.0 184:112.0 188:136.0 189:4.0 190:28.0 191:11.0 192:84.0 201:5001.0 202:581.0 203:84.0 207:1.0 208:2.0 209:30.0 212:48.0 213:1.0 214:1.0 215:304.0 216:81.0 217:472.0 218:157.0 219:1.0 229:49.0 230:12.0 232:2.0 233:1.0 235:3.0 237:141.0 238:27.0 243:149.0 244:32.0 247:73.0 251:5.0 252:25.0 253:40.0 254:1.0 257:887.0 258:130.0 267:104.0 268:2.0 269:143.0 271:3.0 272:16.0 273:1.0 275:10.0 281:170.0 282:76.0 283:47.0 284:1.0 286:22.0 293:17.0 295:88.0 296:14.0 299:1.0 300:40.0 302:1.0 305:12.0 306:63.0 307:5.0 309:27.0 311:43.0 314:7.0 317:13.0 319:92.0 320:19.0 325:3.0 327:1.0 329:5.0 331:5.0 333:27.0 335:24.0 339:30.0 340:6.0 341:64.0 349:1.0 354:5.0 355:16.0 356:1.0 358:6.0 359:732.0 360:224.0 361:97.0 362:5.0 367:4.0 374:215.0 375:84.0 382:201.0 383:74.0 386:17.0 389:2.0 391:1.0 399:12.0 401:15.0 402:2.0 408:4.0 415:3.0 416:1.0 420:2.0 428:1.0 429:118.0 430:31.0 440:13.0 449:1.0 452:2.0 458:2.0 464:1.0 487:5.0 488:11.0</t>
  </si>
  <si>
    <t>85:1882.0 86:4273.0 87:2808.0 90:170.0 94:1539.0 95:968.0 97:995.0 98:13233.0 99:2421.0 100:2820.0 101:9923.0 102:1000.0 103:6739.0 104:553.0 107:310.0 109:189.0 110:650.0 111:383.0 113:528.0 114:484.0 115:1837.0 116:5287.0 117:4559.0 118:303.0 119:1056.0 121:214.0 123:25.0 125:213.0 126:525.0 127:1015.0 129:7247.0 131:6175.0 132:839.0 133:8680.0 134:843.0 135:662.0 138:84.0 139:147.0 140:877.0 141:811.0 142:271.0 143:3254.0 144:107.0 146:199.0 147:55472.0 148:8401.0 149:2914.0 151:112.0 153:60.0 156:2381.0 157:2277.0 158:1660.0 159:625.0 161:41.0 162:6.0 163:105.0 168:101.0 169:1081.0 170:650.0 171:1414.0 172:295.0 173:213.0 174:6769.0 175:1475.0 176:340.0 177:68.0 180:216.0 181:63.0 182:88.0 183:28.0 185:315.0 186:786.0 187:236.0 188:364.0 189:9841.0 190:2003.0 191:29610.0 192:5140.0 193:1699.0 194:177.0 195:335.0 196:509.0 197:262.0 198:316.0 199:330.0 200:525.0 201:577.0 202:329.0 203:402.0 204:34105.0 205:5643.0 206:3099.0 207:50.0 210:210.0 212:177.0 213:86.0 214:205.0 215:1663.0 216:277.0 217:35629.0 218:6082.0 219:3034.0 220:533.0 221:1215.0 222:145.0 223:184.0 229:46.0 230:486.0 231:369.0 232:286.0 233:136.0 234:1553.0 236:781.0 238:1363.0 240:30.0 242:25.0 243:680.0 244:61.0 245:386.0 246:474.0 247:134.0 248:4.0 252:115.0 255:171.0 256:130.0 257:185.0 258:61.0 259:1096.0 260:220.0 262:32.0 263:13.0 268:14.0 270:330.0 272:70.0 273:41.0 274:27.0 276:49.0 277:19.0 279:288.0 281:33.0 283:290.0 284:367.0 285:200.0 286:440.0 287:370.0 288:168.0 289:59.0 290:1740.0 291:1006.0 292:428.0 293:89.0 297:132.0 298:111.0 299:54.0 301:121.0 302:106.0 303:144.0 304:315.0 305:1156.0 306:553.0 307:224.0 308:60.0 310:10.0 312:60.0 313:191.0 317:82.0 318:72.0 320:8.0 325:216.0 326:739.0 327:264.0 328:131.0 329:19.0 331:96.0 333:413.0 334:214.0 335:33.0 340:74.0 341:908.0 342:494.0 343:41.0 346:341.0 347:111.0 348:100.0 349:86.0 350:23.0 355:95.0 360:6.0 361:6.0 363:2.0 366:8.0 371:8.0 372:34.0 382:5.0 383:35.0 393:16.0 397:6.0 400:2.0 401:31.0 403:71.0 406:20.0 411:62.0 413:6.0 422:28.0 423:23.0 432:13.0 436:2.0 446:1.0 448:2.0 451:8.0 454:13.0 456:16.0 460:8.0 462:6.0 487:4.0 491:4.0 495:25.0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</si>
  <si>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</si>
  <si>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85:912.0 87:119.0 89:596.0 90:9.0 92:38.0 94:9.0 95:178.0 96:5.0 99:31.0 101:354.0 104:11.0 107:4564.0 108:384.0 110:3507.0 111:4.0 114:474.0 115:2408.0 116:1251.0 117:1492.0 120:227.0 121:35.0 122:110.0 123:24.0 124:15.0 126:44.0 127:811.0 130:4505.0 131:1140.0 132:561.0 133:220.0 134:5999.0 136:62.0 137:2.0 138:11.0 139:15.0 140:73.0 143:234.0 144:157.0 147:628.0 151:32.0 156:71.0 157:171.0 158:88.0 160:183.0 161:39.0 171:190.0 175:334.0 177:104.0 180:16.0 181:1.0 182:27.0 184:2918.0 185:537.0 186:164.0 189:1276.0 190:93.0 191:699.0 192:132.0 193:72.0 196:6.0 197:1.0 198:22.0 199:307.0 200:206.0 201:4.0 202:1.0 203:33.0 205:23.0 207:2349.0 208:174.0 209:135.0 213:15.0 216:4.0 217:78.0 225:1.0 228:1.0 229:21.0 233:35.0 247:1.0 248:555.0 249:2863.0 250:658.0 251:243.0 252:22.0 260:1.0 263:41.0 266:15.0 271:6.0 274:1.0 279:122.0 280:30.0 290:152.0 291:444.0 292:71.0 293:44.0 302:9.0 306:3.0 311:1.0 321:1.0 324:1.0 326:1.0 330:16.0 338:9.0 340:2.0 343:3.0 376:9.0 377:5.0 378:233.0 379:390.0 380:240.0 381:71.0 382:8.0 429:4.0 436:1.0 437:5.0 439:2.0 446:12.0 459:4.0 468:1.0</t>
  </si>
  <si>
    <t>85:2670.0 87:5883.0 88:398.0 89:1752.0 91:6531.0 92:499.0 93:337.0 94:508.0 95:323.0 96:322.0 97:541.0 98:373.0 99:2771.0 100:1891.0 101:23560.0 102:4349.0 103:7673.0 104:752.0 105:3129.0 106:246.0 108:166.0 111:655.0 112:158.0 113:2411.0 114:2087.0 115:15297.0 116:64972.0 117:255439.0 118:29043.0 119:15681.0 120:1511.0 121:539.0 122:139.0 123:61.0 125:170.0 126:25.0 127:1001.0 128:210.0 129:9867.0 131:15840.0 132:2703.0 133:49208.0 134:1418.0 135:4748.0 136:247.0 137:143.0 139:157.0 140:72.0 141:239.0 142:416.0 143:50626.0 144:14575.0 145:13057.0 146:1595.0 147:111903.0 148:19916.0 149:39252.0 150:5285.0 151:2744.0 152:586.0 153:27.0 154:34.0 156:16.0 157:1029.0 158:73.0 159:687.0 160:109.0 161:432.0 162:143.0 163:1810.0 164:328.0 165:208.0 166:7.0 167:5.0 168:16.0 171:754.0 172:216.0 173:477.0 174:67.0 175:5869.0 176:964.0 177:1902.0 178:238.0 179:19.0 180:52.0 182:59.0 183:2.0 184:305.0 185:82.0 186:191.0 187:155.0 188:176.0 189:1405.0 190:806.0 191:1984.0 192:385.0 194:1.0 195:68.0 196:45.0 197:71.0 198:15.0 199:272.0 200:207.0 201:245.0 202:24.0 203:8793.0 204:1668.0 205:1626.0 206:264.0 207:481.0 208:33.0 209:57.0 210:55.0 211:41.0 212:36.0 213:9.0 214:16.0 215:58.0 216:161.0 217:4977.0 218:3020.0 219:1485.0 220:439.0 221:5193.0 222:1170.0 223:511.0 224:180.0 225:57.0 226:41.0 227:1089.0 228:179.0 229:97.0 230:72.0 231:820.0 232:836.0 233:17002.0 234:21864.0 235:5370.0 236:1713.0 237:288.0 238:97.0 239:32.0 240:3.0 241:30.0 243:295.0 244:72.0 245:7022.0 246:1660.0 247:1601.0 248:290.0 249:28.0 250:10.0 251:24.0 252:6.0 253:35.0 254:4.0 258:5.0 259:24.0 260:2.0 262:13.0 263:46.0 264:14.0 265:193.0 266:35.0 268:2.0 269:6.0 272:5.0 273:5.0 274:45.0 276:2.0 277:12.0 279:119.0 282:28.0 283:12.0 286:1.0 289:8.0 291:897.0 292:320.0 293:437.0 294:139.0 295:62.0 301:1.0 305:408.0 306:25754.0 307:8964.0 308:4229.0 309:1005.0 310:205.0 311:15.0 313:3.0 314:19.0 315:11.0 319:98.0 322:1.0 323:3.0 325:2.0 332:1.0 334:70.0 335:1850.0 336:601.0 337:285.0 338:61.0 339:10.0 355:12.0 356:18.0 357:1.0 369:1.0 374:2.0 375:1.0 379:2.0 403:1.0 404:5.0 408:1.0 433:15.0 434:7.0 440:1.0 443:7.0 444:4.0 449:7.0 466:19.0 470:28.0 474:4.0 477:7.0 484:6.0</t>
  </si>
  <si>
    <t>85:73.0 86:222.0 88:187.0 89:329.0 92:51.0 98:197.0 99:22.0 100:386.0 101:575.0 103:4569.0 105:164.0 112:50.0 116:159.0 117:1873.0 119:121.0 121:15.0 129:1387.0 133:486.0 134:493.0 141:35.0 142:23.0 143:103.0 147:2198.0 150:145.0 152:41.0 153:11.0 155:15.0 157:823.0 158:174.0 159:46.0 163:66.0 168:3.0 170:17.0 172:388.0 173:191.0 174:150.0 185:56.0 186:36.0 188:15.0 189:103.0 201:82.0 204:224.0 205:1819.0 206:256.0 209:1.0 212:15.0 214:8.0 215:31.0 216:84.0 217:985.0 218:154.0 219:106.0 220:2.0 227:4.0 228:79.0 229:252.0 230:157.0 231:42.0 235:18.0 242:30.0 243:16.0 244:29.0 245:9.0 247:18.0 250:3.0 252:17.0 254:45.0 257:12.0 258:21.0 260:57.0 262:70.0 263:79.0 273:32.0 274:67.0 275:23.0 276:37.0 277:45.0 278:13.0 281:62.0 286:43.0 290:11.0 291:111.0 293:12.0 296:10.0 299:17.0 302:24.0 303:32.0 305:104.0 306:28.0 307:86.0 309:13.0 310:9.0 312:24.0 319:1764.0 320:457.0 321:186.0 327:37.0 329:2.0 332:25.0 333:6.0 334:29.0 336:31.0 344:7.0 346:7.0 347:17.0 363:31.0 367:6.0 368:22.0 372:6.0 375:23.0 377:2.0 385:16.0 386:5.0 390:17.0 391:3.0 393:31.0 402:3.0 405:8.0 407:3.0 412:13.0 417:6.0 419:16.0 425:17.0 433:24.0 437:2.0 442:4.0 445:7.0 447:33.0 450:1.0 451:16.0 453:13.0 456:2.0 459:16.0 460:22.0 471:11.0 475:13.0 476:20.0 478:3.0 480:27.0 489:1.0 498:10.0 500:4.0</t>
  </si>
  <si>
    <t>85:260.0 87:7.0 90:219.0 91:6.0 93:245.0 100:72.0 101:66.0 102:231.0 103:485.0 104:1.0 107:1072.0 108:365.0 109:305.0 110:2101.0 114:511.0 116:93.0 117:416.0 118:329.0 119:200.0 120:7.0 121:30.0 122:78.0 123:49.0 126:530.0 130:1260.0 132:11.0 133:198.0 134:239.0 135:49.0 136:81.0 138:36.0 140:61.0 145:3.0 146:200.0 147:24.0 148:12.0 149:5.0 152:25.0 154:226.0 156:1.0 158:43.0 160:13.0 162:2.0 167:266.0 175:35.0 176:2.0 177:180.0 179:152.0 180:2753.0 181:106.0 182:31.0 184:1366.0 186:51.0 188:4.0 190:1.0 191:96.0 193:774.0 194:117.0 195:29.0 197:1.0 199:18.0 200:75.0 201:11.0 204:3.0 207:5892.0 208:1236.0 209:519.0 210:53.0 211:72.0 215:2.0 217:51.0 221:6.0 223:12.0 228:953.0 229:61.0 230:47.0 231:28.0 232:13.0 234:1.0 238:65.0 240:34.0 241:43.0 242:20.0 244:3.0 245:97.0 247:50.0 256:20.0 259:35.0 261:150.0 263:18.0 267:7.0 268:1.0 275:1971.0 276:629.0 277:265.0 278:72.0 286:6.0 292:2.0 298:37.0 299:6.0 301:30.0 308:1.0 329:104.0 330:8.0 331:8.0 342:538.0 343:117.0 344:95.0 458:5.0</t>
  </si>
  <si>
    <t>86:625.0 87:1067.0 89:432.0 92:164.0 97:431.0 98:217.0 99:161.0 100:5997.0 101:519.0 103:429.0 112:471.0 113:165.0 114:168.0 118:620.0 124:33.0 127:219.0 129:325.0 130:825.0 132:223.0 134:435.0 139:300.0 141:130.0 143:632.0 147:6967.0 148:811.0 150:63.0 153:1290.0 154:1685.0 155:776.0 156:303.0 166:190.0 167:89.0 170:6.0 172:1260.0 173:183.0 174:232.0 181:48.0 182:41.0 184:161.0 187:3.0 188:31.0 191:2702.0 192:198.0 193:13.0 195:24.0 198:10.0 199:28.0 201:31.0 204:306.0 211:167.0 212:56.0 214:40.0 217:223.0 226:1388.0 227:927.0 228:144.0 231:90.0 238:271.0 239:137.0 240:28.0 241:15.0 245:38.0 246:207.0 247:73.0 248:37.0 252:105.0 253:69.0 254:178.0 255:98.0 260:15.0 264:54.0 269:17.0 275:102.0 276:7.0 290:3385.0 291:863.0 292:385.0 293:1.0 296:3.0 299:61.0 301:39.0 302:1.0 305:31.0 306:30.0 307:643.0 308:90.0 309:11.0 310:158.0 311:3.0 313:38.0 315:7.0 316:1.0 319:26.0 321:15.0 325:15.0 326:2664.0 327:1141.0 328:462.0 329:89.0 330:11.0 340:18.0 348:38.0 361:15.0 364:3.0 372:21.0 400:516.0 401:222.0 402:92.0 403:61.0 417:25.0 428:1028.0 429:401.0 430:158.0 431:29.0 437:7.0 443:10.0 485:11.0 490:38.0</t>
  </si>
  <si>
    <t>89:9.0 92:8.0 94:37.0 101:123.0 103:322.0 113:131.0 116:13.0 117:405.0 120:1.0 129:87.0 133:270.0 134:302.0 140:4.0 141:39.0 144:89.0 145:181.0 146:99.0 147:4091.0 148:705.0 149:436.0 151:68.0 155:33.0 158:20.0 163:132.0 168:30.0 169:122.0 173:1.0 175:32.0 183:31.0 184:148.0 188:17.0 189:170.0 191:156.0 193:135.0 194:66.0 195:67.0 203:24.0 204:653.0 205:233.0 206:37.0 207:2732.0 208:536.0 209:243.0 213:2.0 214:4.0 215:43.0 217:137.0 218:106.0 219:6.0 221:6566.0 222:1420.0 223:745.0 224:183.0 225:18.0 227:4.0 239:20.0 242:26.0 243:47.0 245:2.0 249:43.0 251:53.0 252:7.0 254:21.0 265:268.0 266:58.0 267:284.0 268:72.0 269:21.0 271:9.0 277:4.0 278:7.0 279:99.0 281:1810.0 282:415.0 283:357.0 284:35.0 291:46.0 295:2208.0 296:705.0 297:329.0 298:51.0 299:71.0 304:24.0 307:2.0 310:2.0 311:27.0 313:10.0 314:14.0 315:3.0 317:23.0 318:26.0 319:19.0 320:6.0 323:13.0 325:112.0 327:164.0 328:52.0 330:3.0 339:57.0 341:382.0 342:160.0 343:137.0 345:6.0 351:4.0 354:11.0 355:399.0 356:215.0 357:133.0 358:1.0 363:30.0 369:1020.0 370:349.0 371:212.0 372:56.0 373:11.0 375:2.0 389:10.0 399:21.0 400:1.0 401:108.0 403:62.0 404:15.0 410:2.0 415:132.0 416:35.0 429:102.0 430:18.0 433:1.0 435:23.0 442:18.0 443:42.0 445:18.0 450:10.0 455:4.0 460:2.0 461:28.0 462:10.0 475:3.0 476:25.0 489:52.0 491:3.0</t>
  </si>
  <si>
    <t>87:392.0 88:65.0 90:91.0 91:1106.0 93:115.0 96:27.0 103:2501.0 104:252.0 106:53.0 107:518.0 109:130.0 110:812.0 111:28.0 114:112.0 118:806.0 119:19.0 121:32.0 124:119.0 129:760.0 130:2125.0 131:141.0 132:1215.0 133:456.0 134:1178.0 136:387.0 137:3.0 141:198.0 142:453.0 144:260.0 145:21.0 147:465.0 148:49.0 152:36.0 153:17.0 156:130.0 157:139.0 159:122.0 160:96.0 162:45.0 163:152.0 165:8.0 169:99.0 170:23.0 171:228.0 173:5.0 180:14.0 182:3.0 185:177.0 186:5.0 189:584.0 191:1993.0 196:8.0 199:330.0 200:197.0 201:75.0 204:2365.0 205:372.0 206:87.0 210:131.0 212:89.0 213:183.0 215:190.0 216:239.0 217:3764.0 218:82.0 220:21.0 222:17.0 223:785.0 224:66.0 226:10.0 228:47.0 229:57.0 231:1.0 233:21.0 234:8.0 237:24.0 238:137.0 239:9.0 240:15.0 241:34.0 243:219.0 244:3.0 245:38.0 259:11.0 260:14.0 263:18.0 270:21.0 271:12.0 277:81.0 289:1.0 292:5.0 296:23.0 299:9.0 300:71.0 302:54.0 304:19.0 305:46.0 306:59.0 307:500.0 308:72.0 309:3.0 310:7.0 312:28.0 313:25.0 314:28.0 319:37.0 327:11.0 329:9.0 332:1.0 333:17.0 334:2.0 342:2.0 343:34.0 346:49.0 359:2.0 363:1.0 365:2.0 374:4.0 379:13.0 381:4.0 383:3.0 388:47.0 402:10.0 406:2.0 407:2.0 412:4.0 422:2.0 439:17.0 447:31.0 451:5.0 461:10.0 478:1.0 499:2.0 500:2.0</t>
  </si>
  <si>
    <t>85:291.0 86:256.0 88:22.0 89:452.0 91:277.0 93:47.0 94:61.0 96:7.0 97:265.0 98:267.0 100:230.0 104:57.0 105:21.0 106:116.0 107:293.0 108:386.0 109:238.0 110:1300.0 113:221.0 114:211.0 116:215.0 117:410.0 118:258.0 120:2.0 122:13.0 123:77.0 128:353.0 129:745.0 130:757.0 131:441.0 133:13.0 134:1351.0 136:287.0 138:37.0 140:100.0 142:3.0 143:401.0 144:182.0 145:96.0 148:21.0 149:76.0 151:8.0 153:5.0 158:9.0 159:533.0 166:44.0 167:3.0 168:54.0 174:260.0 175:51.0 182:201.0 183:27.0 184:1584.0 185:299.0 186:47.0 187:56.0 191:714.0 192:40.0 198:2.0 199:81.0 200:56.0 201:97.0 202:21.0 213:24.0 215:47.0 217:94.0 218:275.0 219:22.0 220:9.0 227:45.0 228:3656.0 229:511.0 230:201.0 236:34.0 240:1.0 242:98.0 243:285.0 244:33.0 248:2.0 255:26.0 257:1.0 258:116.0 259:75.0 260:4.0 261:35.0 262:9.0 270:26.0 297:8.0 299:18.0 302:1.0 304:12.0 307:25.0 308:4.0 312:16.0 326:17.0 339:27.0 348:5.0 352:1.0 357:143.0 367:4.0 375:4.0 385:5.0 399:1.0 423:20.0 424:3.0 431:8.0 446:17.0 447:18.0 448:6.0 475:18.0 491:1.0 494:1.0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</si>
  <si>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</si>
  <si>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85:176.0 86:2376.0 89:341.0 91:121.0 96:113.0 99:158.0 100:1377.0 101:251.0 102:264.0 106:11.0 108:26.0 110:92.0 112:11.0 114:115.0 116:149.0 117:5.0 120:80.0 121:97.0 123:126.0 125:642.0 128:211.0 130:221.0 131:80.0 134:2.0 137:32.0 139:117.0 140:27.0 144:27.0 147:1.0 152:7.0 153:163.0 155:4042.0 156:249.0 157:174.0 167:27.0 168:794.0 169:353.0 170:107.0 171:1482.0 172:260.0 173:124.0 174:4422.0 175:628.0 176:280.0 181:3.0 183:59.0 184:7.0 185:8.0 186:125.0 189:43.0 197:71.0 198:2.0 199:9.0 200:37.0 201:7.0 211:29.0 215:47.0 227:351.0 228:11.0 237:6.0 239:8.0 257:249.0 258:56.0 275:11.0 282:4.0 305:75.0 311:9.0 312:20.0 367:7.0 371:3.0 374:8.0 377:1.0 402:4.0 418:11.0 455:2.0 469:2.0</t>
  </si>
  <si>
    <t>86:115.0 98:206.0 99:618.0 100:171.0 102:53.0 110:34.0 114:20.0 119:92.0 120:42.0 126:39.0 130:5.0 132:351.0 139:54.0 140:142.0 141:152.0 155:323.0 156:4867.0 157:474.0 158:91.0 168:5.0 170:119.0 174:304.0 184:30.0 188:3.0 194:8.0 207:30.0 209:38.0 212:42.0 214:50.0 217:432.0 218:22.0 222:16.0 233:12.0 238:2.0 241:11.0 242:39.0 243:102.0 244:7.0 245:23.0 246:15.0 251:1.0 253:17.0 260:55.0 288:8.0 291:7.0 292:23.0 293:11.0 299:18.0 311:57.0 312:105.0 313:28.0 320:29.0 326:66.0 327:51.0 338:5.0 346:5.0 352:2.0 373:5.0 379:18.0 382:4.0 417:6.0 432:9.0 437:3.0 442:1.0 465:18.0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</si>
  <si>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</si>
  <si>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85:78308.0 86:6070.0 88:3708.0 89:252.0 90:189.0 91:1234.0 92:564.0 93:1452.0 94:49.0 95:586.0 96:405.0 97:2307.0 98:6380.0 99:6506.0 100:12960.0 103:977.0 105:1651.0 106:111.0 107:21067.0 108:1123.0 109:416.0 110:11507.0 111:523.0 112:4055.0 113:4632.0 115:598.0 116:13699.0 117:633.0 118:773.0 119:157.0 120:1112.0 121:935.0 125:195.0 126:4583.0 127:17952.0 128:367.0 130:13812.0 131:11762.0 132:3355.0 133:1866.0 134:31102.0 135:683.0 136:805.0 137:158.0 140:570.0 141:288.0 142:829.0 143:336.0 147:58203.0 148:9264.0 149:4540.0 150:387.0 151:468.0 153:66.0 155:4760.0 156:524.0 157:117.0 158:7261.0 159:687.0 160:843.0 162:733.0 163:231.0 165:5532.0 166:91.0 167:14.0 170:533.0 172:172.0 173:497.0 184:5434.0 189:195.0 190:151.0 191:320.0 192:6.0 193:68.0 194:24.0 199:753.0 200:51.0 201:2.0 204:16283.0 206:188.0 209:91.0 212:6.0 219:485.0 220:25.0 221:1008.0 222:245.0 225:1259.0 226:168.0 227:97.0 240:1177.0 241:171.0 242:5.0 248:2746.0 249:386.0 250:57.0 263:2.0 278:569.0 279:95.0 302:696.0 303:121.0 332:274.0</t>
  </si>
  <si>
    <t>85:140.0 89:331.0 91:1509.0 92:60.0 93:129.0 95:85.0 96:88.0 100:73.0 101:83.0 102:231.0 103:1864.0 104:126.0 106:21.0 109:6.0 110:176.0 115:460.0 116:66.0 117:277.0 119:438.0 127:296.0 129:250.0 130:290.0 131:131.0 133:120.0 134:114.0 135:3.0 146:60.0 150:3.0 151:60.0 152:208.0 153:108.0 157:67.0 159:10.0 160:44.0 164:10.0 165:234.0 167:7.0 178:240.0 179:137.0 181:31.0 187:8.0 191:166.0 193:5.0 199:31.0 200:5.0 203:6.0 204:94.0 205:149.0 206:35.0 207:62.0 216:17.0 217:212.0 221:18.0 237:4.0 251:3.0 253:52.0 254:20.0 269:2667.0 270:577.0 271:90.0 272:2.0 278:33.0 284:368.0 285:109.0 319:120.0 321:6.0 340:16.0 355:3.0 359:2.0 368:34.0 377:11.0 408:13.0 434:2.0 436:15.0 449:10.0 456:7.0 467:6.0 470:26.0 480:18.0 482:5.0 493:29.0 495:4.0 499:27.0</t>
  </si>
  <si>
    <t>86:483.0 87:63.0 88:52.0 89:216.0 91:1329.0 92:258.0 93:738.0 94:200.0 95:76.0 97:44.0 98:9.0 99:1.0 100:398.0 101:149.0 102:52.0 103:21.0 104:6.0 105:478.0 106:288.0 107:158.0 108:33.0 109:29.0 110:27.0 112:33.0 114:59.0 116:79.0 117:324.0 118:140.0 119:114.0 120:438.0 121:224.0 122:54.0 124:38.0 128:96.0 129:271.0 130:187.0 131:139.0 132:170.0 138:4.0 139:25.0 142:14.0 143:18.0 144:3882.0 145:436.0 146:393.0 147:289.0 148:51.0 150:7.0 152:4.0 156:68.0 158:16.0 160:59.0 162:12.0 169:28.0 172:53.0 174:570.0 175:55.0 176:53.0 180:105.0 186:9.0 199:6.0 200:2.0 202:11.0 203:3.0 204:315.0 205:65.0 206:8.0 214:2.0 216:19.0 217:15.0 226:22.0 227:1.0 228:7.0 229:11.0 246:17.0 265:7.0 272:7.0 281:2.0 312:3.0 321:11.0 323:11.0 332:11.0 355:4.0 362:10.0 365:5.0 377:1.0 383:2.0 387:3.0 403:2.0 407:5.0 413:1.0 414:15.0 431:3.0 443:18.0 470:2.0 474:5.0 484:4.0 497:9.0</t>
  </si>
  <si>
    <t>85:1101.0 86:267.0 88:690.0 89:1614.0 90:775.0 91:675.0 92:249.0 93:199.0 94:396.0 95:78.0 96:623.0 97:1375.0 98:1247.0 99:694.0 100:6087.0 101:352.0 102:714.0 103:506.0 104:389.0 106:160.0 107:965.0 108:6.0 109:217.0 110:2076.0 111:1655.0 112:1853.0 113:663.0 114:613.0 115:268.0 116:239.0 117:46.0 118:776.0 119:270.0 120:37.0 121:104.0 122:447.0 124:305.0 125:795.0 126:1429.0 127:373.0 128:945.0 129:223.0 130:2833.0 132:196.0 134:5814.0 135:379.0 136:327.0 137:23.0 138:129.0 139:242.0 140:2197.0 141:481.0 142:9017.0 143:1228.0 144:1588.0 145:108.0 146:116.0 150:387.0 151:24.0 152:342.0 153:310.0 154:1541.0 155:1214.0 156:16383.0 157:3053.0 158:1093.0 159:45.0 163:191.0 164:37.0 165:51.0 167:58.0 168:277.0 169:160.0 170:198.0 171:17.0 172:445.0 174:640.0 175:137.0 176:73.0 177:96.0 178:13.0 180:75.0 181:79.0 182:17.0 183:3.0 184:2533.0 185:2144.0 186:341.0 187:227.0 188:36.0 189:54.0 192:388.0 194:366.0 195:13.0 197:20.0 198:223.0 199:64.0 200:49.0 201:25.0 206:23.0 207:1.0 208:6.0 209:71.0 210:13.0 211:507.0 212:57.0 213:301.0 214:59.0 215:34.0 216:105.0 217:31.0 218:28.0 223:166.0 224:55.0 225:3.0 226:50.0 227:2.0 231:2.0 233:14.0 234:20.0 235:10.0 237:9.0 239:58.0 240:40.0 241:112.0 242:745.0 243:34.0 251:16.0 253:1733.0 254:160.0 255:125.0 257:85.0 258:23.0 267:443.0 268:83.0 270:32.0 275:3.0 276:1.0 282:2391.0 283:367.0 284:68.0 285:11.0 288:15.0 292:6.0 293:12.0 295:10.0 304:7.0 305:3.0 308:8.0 309:6.0 317:3.0 321:4.0 324:4.0 330:14.0 332:1.0 333:1.0 344:1.0 346:4.0 349:1.0 351:1.0 353:2.0 357:3.0 368:1.0 375:3.0 377:6.0 388:1.0 389:11.0 397:1.0 398:1.0 404:32.0 405:6.0 418:18.0 424:4.0 427:3.0 441:13.0 449:3.0 460:5.0 461:2.0 466:2.0 470:2.0 482:1.0 487:5.0 494:5.0 500:5.0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</si>
  <si>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</si>
  <si>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</si>
  <si>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85:87.0 86:347.0 87:80.0 88:7.0 90:49.0 91:119.0 92:50.0 93:102.0 94:63.0 95:218.0 96:73.0 97:90.0 98:89.0 100:1119.0 101:337.0 102:254.0 103:947.0 104:162.0 105:78.0 106:7.0 107:108.0 108:1.0 109:54.0 110:345.0 111:13.0 112:48.0 113:3.0 114:42.0 115:38.0 118:18.0 120:19.0 121:13.0 123:100.0 124:39.0 125:93.0 126:21.0 127:98.0 128:19.0 129:1440.0 131:216.0 132:14.0 134:41.0 135:9.0 136:43.0 137:9.0 138:16.0 139:48.0 140:143.0 141:21.0 142:101.0 143:129.0 144:47.0 145:4.0 146:29.0 147:1725.0 148:455.0 149:970.0 150:37.0 151:8.0 153:2170.0 154:214.0 155:129.0 157:57.0 159:16.0 161:15.0 162:4.0 163:59.0 164:3.0 165:21.0 167:62.0 168:70.0 169:45.0 172:199.0 173:28.0 174:207.0 175:42.0 176:28.0 177:1963.0 178:107.0 180:9.0 181:6.0 182:9.0 183:38.0 184:85.0 185:11.0 189:12.0 190:12.0 192:26.0 193:5.0 194:2.0 195:10.0 196:3.0 197:2753.0 198:350.0 199:95.0 201:26.0 202:7.0 203:1.0 204:99.0 205:4.0 206:9.0 207:12.0 208:9.0 209:18.0 210:36.0 211:3.0 212:1.0 213:8.0 216:22.0 219:52.0 220:9.0 221:3.0 222:18.0 224:14.0 225:27.0 228:106.0 229:2.0 230:1.0 231:10.0 233:4.0 235:9.0 237:6.0 238:2.0 239:7.0 240:7.0 241:2.0 245:2.0 247:14.0 249:2.0 250:5.0 251:180.0 252:31.0 255:9.0 256:7.0 257:13.0 259:3.0 260:9.0 261:3.0 262:6.0 264:9.0 269:3.0 270:3.0 272:5.0 273:3.0 274:3.0 280:2.0 281:11.0 282:33.0 283:9.0 284:17.0 286:15.0 287:3.0 288:9.0 289:6.0 290:2.0 291:10.0 292:13.0 293:2.0 294:8.0 297:9.0 298:6.0 299:5.0 300:13.0 301:7.0 302:7.0 303:12.0 304:4.0 305:1.0 307:12.0 308:2.0 309:2.0 310:9.0 311:6.0 313:15.0 314:1.0 315:6.0 316:3.0 317:1.0 318:2.0 319:3.0 320:9.0 323:7.0 325:6.0 326:1.0 327:7.0 328:12.0 330:3.0 332:1.0 333:25.0 334:6.0 335:4.0 336:21.0 337:6.0 338:12.0 339:1.0 340:7.0 341:12.0 342:12.0 343:3.0 344:9.0 345:3.0 346:5.0 347:6.0 348:7.0 349:9.0 350:8.0 352:12.0 353:4.0 354:2.0 355:7.0 357:2.0 358:14.0 359:1.0 360:8.0 361:8.0 364:1.0 365:15.0 367:13.0 371:3.0 372:16.0 374:8.0 375:5.0 377:8.0 378:10.0 380:4.0 381:1.0 382:6.0 384:9.0 386:19.0 387:1.0 388:2.0 390:2.0 391:8.0 392:1.0 397:4.0 398:16.0 399:8.0 400:7.0 401:16.0 402:3.0 403:5.0 404:1.0 405:3.0 406:4.0 407:2.0 408:6.0 410:7.0 411:3.0 412:1.0 414:4.0 415:15.0 417:17.0 418:3.0 420:15.0 422:2.0 423:1.0 425:8.0 426:7.0 427:15.0 428:3.0 429:17.0 430:4.0 431:14.0 432:2.0 433:11.0 434:6.0 435:3.0 436:3.0 437:8.0 438:12.0 439:3.0 442:18.0 445:1.0 446:5.0 447:3.0 449:15.0 450:10.0 451:18.0 452:2.0 453:2.0 454:14.0 455:8.0 456:5.0 457:18.0 458:1.0 459:3.0 461:4.0 462:1.0 463:2.0 464:16.0 465:20.0 466:3.0 467:4.0 468:2.0 469:13.0 470:4.0 471:2.0 472:7.0 473:12.0 475:3.0 476:2.0 477:4.0 479:2.0 480:1.0 481:4.0 482:4.0 485:8.0 486:18.0 487:3.0 489:7.0 490:2.0 491:13.0 492:4.0 493:4.0 494:4.0 495:5.0 497:19.0 499:26.0 500:3.0</t>
  </si>
  <si>
    <t>85:473.0 86:318.0 87:6.0 88:1.0 89:1146.0 90:649.0 91:3570.0 92:317.0 93:14529.0 94:1293.0 95:785.0 96:16.0 97:943.0 98:316.0 100:545.0 101:4.0 102:217.0 103:7.0 104:69.0 106:1169.0 107:694.0 108:58.0 109:26.0 110:77.0 111:6.0 112:19.0 113:1060.0 114:37.0 115:31.0 116:63.0 117:8.0 118:40.0 120:176.0 121:21.0 122:125.0 123:348.0 125:10.0 126:14391.0 127:447.0 128:8.0 130:207.0 134:102.0 136:1026.0 137:316.0 138:14.0 140:31.0 142:164.0 143:10.0 144:6.0 146:112.0 149:2.0 153:17.0 157:17.0 159:26.0 164:3.0 165:1.0 171:8.0 172:77.0 177:6.0 179:9.0 186:644.0 187:34.0 189:2.0 191:13.0 193:13.0 194:4.0 198:514.0 199:345.0 200:24.0 212:5.0 216:5144.0 217:349.0 218:91.0 232:4.0 238:7.0 251:7.0 266:8.0 267:6.0 272:6.0 276:3.0 283:9.0 284:7.0 296:2.0 297:6.0 361:8.0 378:4.0 379:1.0 405:2.0 409:1.0 413:1.0 420:1.0 427:1.0 436:2.0 480:1.0 483:2.0</t>
  </si>
  <si>
    <t>85:64.0 86:27.0 87:619.0 88:65.0 89:155.0 90:18.0 95:14.0 96:4.0 97:21.0 98:36.0 99:20.0 100:56.0 101:168.0 102:26.0 103:352.0 104:44.0 105:3.0 106:6.0 107:4.0 108:7.0 109:2.0 110:5.0 111:10.0 112:13.0 113:22.0 114:20.0 115:39.0 116:40.0 117:816.0 118:57.0 119:51.0 120:3.0 121:2.0 124:2.0 125:2.0 126:18.0 127:4.0 128:12.0 129:123.0 130:20.0 131:146.0 132:29.0 133:237.0 134:61.0 135:2.0 136:3.0 137:1.0 139:10.0 141:2.0 142:20.0 143:52.0 144:9.0 145:82.0 146:4.0 147:1188.0 148:153.0 149:46.0 150:3.0 151:7.0 153:5.0 154:88.0 155:16.0 156:62.0 157:45.0 158:86.0 159:2.0 160:30.0 163:2.0 164:11.0 166:1.0 169:13.0 170:1.0 171:5.0 172:93.0 173:25.0 175:28.0 176:6.0 181:1.0 183:12.0 184:1.0 185:13.0 186:74.0 187:12.0 188:2.0 189:171.0 190:24.0 191:18.0 192:1.0 193:4.0 194:2.0 195:6.0 197:1.0 198:2.0 199:1.0 200:46.0 201:493.0 202:100.0 203:49.0 204:83.0 205:283.0 206:45.0 207:15.0 208:7.0 212:3.0 214:16.0 215:11.0 216:1.0 217:4.0 218:5.0 219:37.0 220:1.0 221:2.0 224:8.0 229:2.0 230:9.0 231:6.0 232:7.0 233:4.0 235:2.0 236:6.0 238:1.0 240:4.0 242:4.0 243:3.0 244:1.0 245:1.0 246:49.0 247:5.0 248:18.0 249:4.0 250:3.0 251:6.0 254:11.0 256:2.0 257:3.0 258:7.0 260:7.0 261:7.0 262:1.0 264:1.0 267:8.0 268:4.0 269:7.0 271:2.0 273:8.0 276:1.0 277:4.0 278:2.0 282:4.0 283:1.0 284:4.0 285:5.0 286:2.0 287:3.0 288:9.0 291:2.0 292:2.0 293:1.0 294:6.0 295:3.0 296:1.0 297:1.0 298:2.0 299:5.0 301:3.0 303:7.0 306:4.0 307:1.0 308:5.0 309:1.0 311:1.0 313:1.0 315:2.0 316:5.0 317:1.0 318:21.0 319:5.0 320:9.0 322:7.0 323:1.0 324:6.0 325:2.0 326:1.0 327:1.0 330:1.0 331:2.0 332:3.0 333:1.0 335:6.0 337:3.0 338:9.0 339:1.0 340:3.0 341:2.0 344:5.0 345:1.0 346:1.0 347:9.0 348:1.0 350:6.0 352:5.0 353:1.0 355:10.0 356:5.0 357:1.0 358:5.0 361:4.0 362:3.0 363:2.0 364:13.0 365:5.0 366:4.0 367:2.0 368:10.0 371:5.0 372:2.0 374:3.0 377:6.0 378:5.0 379:4.0 380:3.0 381:7.0 382:1.0 383:5.0 384:2.0 385:1.0 386:4.0 387:1.0 388:1.0 392:1.0 393:7.0 394:8.0 395:1.0 396:7.0 398:1.0 399:1.0 400:7.0 401:4.0 402:5.0 403:7.0 404:2.0 405:10.0 406:8.0 407:10.0 408:6.0 409:3.0 411:1.0 412:1.0 413:5.0 414:9.0 416:1.0 417:3.0 418:1.0 419:1.0 420:4.0 421:5.0 422:1.0 423:1.0 424:4.0 425:1.0 426:2.0 427:4.0 429:5.0 430:3.0 433:1.0 435:1.0 436:7.0 437:1.0 438:2.0 439:3.0 443:4.0 444:4.0 445:7.0 446:1.0 447:3.0 452:9.0 455:8.0 460:3.0 462:5.0 466:6.0 467:1.0 468:5.0 470:4.0 471:2.0 472:7.0 473:5.0 474:3.0 475:3.0 476:1.0 477:2.0 479:9.0 481:3.0 482:1.0 483:1.0 484:2.0 485:2.0 487:8.0 488:5.0 490:2.0 491:3.0 492:7.0 493:6.0 494:6.0 495:1.0 496:7.0 497:2.0 498:2.0 499:2.0 500:1.0</t>
  </si>
  <si>
    <t>85:3.0 86:44.0 87:13.0 88:10.0 89:270.0 90:23.0 91:1.0 93:1.0 95:1.0 97:1.0 98:5.0 99:3.0 100:60.0 101:52.0 102:3.0 103:858.0 104:66.0 105:35.0 106:2.0 107:3.0 108:1.0 109:6.0 111:3.0 112:2.0 113:8.0 114:23.0 115:13.0 116:66.0 117:296.0 118:22.0 119:13.0 122:2.0 123:1.0 126:2.0 127:1.0 128:14.0 129:73.0 130:46.0 131:72.0 132:20.0 133:121.0 134:2.0 135:15.0 136:2.0 138:2.0 139:4.0 141:30.0 142:15.0 143:8.0 144:69.0 145:22.0 146:59.0 147:617.0 148:87.0 149:37.0 150:6.0 151:6.0 152:5.0 153:30.0 154:16.0 155:6.0 157:2.0 158:37.0 159:1.0 160:13.0 161:4.0 169:7.0 170:3.0 171:3.0 172:10.0 173:23.0 174:2.0 175:6.0 176:2.0 179:22.0 181:4.0 183:3.0 184:2.0 185:1.0 189:37.0 190:2.0 191:9.0 192:7.0 193:3.0 195:3.0 196:3.0 197:2.0 198:8.0 199:1.0 200:8.0 201:19.0 202:6.0 203:7.0 204:19.0 205:99.0 206:14.0 207:9.0 211:1.0 212:2.0 213:3.0 214:4.0 215:1.0 216:3.0 217:182.0 218:52.0 219:27.0 221:6.0 224:4.0 228:2.0 232:254.0 233:48.0 234:27.0 235:2.0 239:2.0 240:4.0 241:2.0 242:7.0 243:21.0 244:5.0 246:5.0 248:18.0 251:3.0 255:15.0 256:9.0 257:7.0 258:1.0 259:2.0 261:4.0 263:1.0 264:4.0 265:1.0 266:1.0 267:2.0 268:7.0 269:3.0 270:1.0 272:13.0 277:11.0 278:5.0 279:3.0 280:3.0 286:9.0 287:3.0 289:7.0 290:3.0 292:5.0 298:3.0 299:1.0 300:1.0 302:1.0 303:3.0 306:3.0 307:8.0 308:10.0 311:1.0 312:1.0 313:5.0 314:10.0 315:2.0 316:3.0 317:1.0 319:1.0 321:2.0 323:1.0 325:1.0 326:8.0 327:7.0 330:6.0 331:2.0 333:2.0 336:1.0 337:5.0 341:2.0 343:1.0 344:2.0 346:3.0 349:1.0 350:2.0 353:3.0 354:2.0 357:1.0 366:2.0 367:3.0 369:6.0 371:4.0 372:11.0 374:4.0 375:1.0 380:1.0 381:5.0 384:2.0 385:1.0 386:1.0 387:8.0 388:7.0 389:1.0 390:2.0 397:1.0 399:2.0 401:1.0 402:5.0 403:8.0 404:3.0 405:2.0 406:3.0 408:4.0 410:7.0 411:5.0 412:4.0 415:1.0 418:1.0 419:1.0 421:1.0 422:4.0 424:3.0 425:1.0 430:6.0 431:2.0 432:4.0 434:6.0 437:4.0 439:5.0 441:2.0 444:4.0 445:5.0 447:2.0 449:1.0 451:3.0 454:3.0 455:2.0 456:1.0 460:2.0 461:5.0 463:1.0 466:1.0 467:4.0 468:2.0 469:2.0 471:1.0 474:7.0 475:39.0 476:35.0 477:12.0 481:4.0 482:2.0 484:3.0 489:2.0 490:2.0 492:3.0 493:1.0 494:1.0 495:1.0 496:1.0 499:2.0</t>
  </si>
  <si>
    <t>85:27.0 86:44.0 89:103.0 92:1.0 93:8.0 98:2.0 99:5.0 100:37.0 101:32.0 103:980.0 104:54.0 105:8.0 106:4.0 107:2.0 108:1.0 113:41.0 114:6.0 116:8.0 117:90.0 118:1.0 126:2.0 128:14.0 129:94.0 130:4.0 131:17.0 132:6.0 133:52.0 136:1.0 137:2.0 139:2.0 141:12.0 142:9.0 146:5.0 147:381.0 148:32.0 149:7.0 150:3.0 151:3.0 152:1.0 153:5.0 154:3.0 155:2.0 156:4.0 159:1011.0 160:103.0 161:21.0 162:3.0 164:4.0 166:5.0 168:3.0 169:1.0 170:4.0 171:1.0 172:2.0 175:9.0 176:1.0 182:4.0 184:1.0 189:32.0 190:1.0 191:7.0 192:16.0 193:1.0 195:8.0 196:1.0 197:9.0 200:7.0 202:5.0 203:9.0 205:68.0 206:9.0 207:6.0 208:3.0 212:3.0 213:2.0 214:6.0 215:2.0 216:2.0 217:341.0 218:66.0 219:26.0 221:18.0 222:4.0 223:4.0 225:2.0 228:4.0 230:8.0 231:13.0 232:6.0 237:13.0 238:3.0 240:1.0 241:2.0 243:8.0 244:6.0 246:1.0 247:11.0 248:7.0 249:8.0 250:4.0 254:2.0 255:6.0 256:5.0 258:1.0 259:4.0 262:1.0 264:7.0 266:1.0 272:9.0 273:5.0 274:7.0 275:1.0 277:9.0 278:1.0 279:8.0 280:5.0 282:3.0 283:6.0 284:5.0 286:1.0 288:2.0 290:1.0 291:13.0 292:11.0 294:5.0 295:2.0 297:4.0 298:7.0 300:8.0 301:5.0 303:2.0 304:3.0 306:3.0 307:60.0 308:28.0 309:6.0 313:3.0 315:1.0 318:1.0 319:20.0 320:3.0 322:2.0 323:2.0 326:4.0 327:1.0 328:2.0 329:1.0 330:2.0 331:2.0 332:3.0 336:4.0 338:3.0 340:2.0 341:2.0 343:10.0 344:2.0 345:3.0 347:5.0 348:2.0 349:2.0 351:2.0 353:1.0 355:5.0 357:2.0 358:4.0 359:4.0 363:4.0 364:2.0 367:5.0 369:1.0 370:1.0 371:2.0 372:6.0 374:8.0 375:6.0 376:4.0 377:4.0 379:2.0 383:7.0 384:3.0 385:2.0 387:3.0 388:2.0 389:1.0 391:2.0 395:1.0 396:1.0 398:14.0 399:6.0 400:11.0 401:1.0 403:2.0 404:1.0 405:7.0 406:3.0 407:1.0 409:5.0 411:1.0 412:1.0 413:4.0 414:1.0 415:5.0 416:7.0 418:2.0 419:2.0 421:1.0 422:3.0 426:4.0 428:1.0 429:1.0 430:1.0 431:5.0 434:2.0 435:6.0 438:6.0 440:3.0 441:1.0 442:2.0 443:1.0 444:1.0 445:4.0 446:1.0 447:3.0 448:3.0 450:2.0 451:4.0 454:8.0 456:1.0 457:2.0 458:5.0 460:6.0 462:2.0 463:3.0 464:3.0 465:7.0 466:2.0 469:2.0 474:5.0 475:9.0 477:3.0 478:8.0 479:4.0 480:1.0 482:5.0 483:7.0 486:3.0 487:3.0 488:4.0 490:1.0 491:3.0 492:5.0 493:9.0 495:4.0 496:4.0 497:4.0 498:1.0 500:3.0</t>
  </si>
  <si>
    <t>85:87.0 86:425.0 87:49.0 88:43.0 89:224.0 90:4.0 92:1.0 93:1.0 95:2.0 96:12.0 97:10.0 98:24.0 99:30.0 100:210.0 101:87.0 102:71.0 103:567.0 104:42.0 105:13.0 106:8.0 107:6.0 109:35.0 110:15.0 111:18.0 112:49.0 113:32.0 114:61.0 115:46.0 116:35.0 117:384.0 118:45.0 119:23.0 120:2.0 123:26.0 124:3.0 125:5.0 126:38.0 127:3.0 128:84.0 129:101.0 130:97.0 131:76.0 132:21.0 133:119.0 134:1.0 135:8.0 136:5.0 140:41.0 141:13.0 142:1369.0 143:168.0 144:111.0 145:12.0 146:86.0 147:639.0 148:89.0 149:40.0 150:4.0 152:1.0 153:4.0 154:18.0 155:4.0 156:41.0 157:18.0 158:26.0 159:3.0 160:2.0 163:2.0 164:5.0 166:1.0 167:2.0 168:10.0 169:5.0 170:3.0 171:2.0 172:71.0 173:67.0 174:364.0 175:63.0 176:10.0 177:4.0 178:3.0 179:1.0 182:16.0 183:8.0 184:13.0 186:20.0 187:5.0 189:36.0 190:6.0 191:2.0 192:1.0 193:3.0 194:9.0 195:1.0 196:7.0 198:8.0 199:3.0 200:55.0 201:75.0 202:8.0 203:6.0 204:21.0 205:128.0 206:23.0 207:14.0 209:4.0 210:2.0 211:2.0 212:5.0 213:16.0 214:78.0 215:17.0 216:13.0 217:75.0 218:6.0 219:1.0 220:1.0 224:6.0 227:3.0 228:9.0 229:9.0 230:7.0 234:2.0 235:5.0 237:28.0 238:3.0 239:1.0 240:5.0 243:5.0 244:6.0 246:1.0 251:2.0 252:6.0 253:1.0 255:49.0 256:10.0 257:6.0 258:27.0 259:10.0 260:5.0 261:5.0 263:2.0 264:4.0 269:2.0 272:3.0 273:3.0 275:6.0 277:1.0 279:2.0 283:2.0 285:7.0 286:4.0 288:1.0 291:1.0 298:2.0 299:4.0 304:3.0 307:13.0 308:21.0 310:6.0 315:1.0 317:6.0 318:4.0 319:1.0 320:2.0 322:1.0 324:2.0 326:9.0 327:10.0 328:12.0 330:1.0 331:2.0 335:1.0 336:1.0 337:1.0 338:4.0 343:4.0 345:6.0 349:4.0 355:5.0 356:1.0 357:4.0 360:2.0 361:2.0 363:4.0 367:3.0 374:7.0 375:2.0 378:1.0 381:6.0 384:1.0 385:7.0 387:5.0 390:1.0 391:4.0 394:1.0 395:5.0 397:2.0 398:1.0 399:7.0 400:2.0 401:3.0 403:2.0 404:6.0 407:2.0 408:2.0 412:3.0 416:6.0 417:1.0 418:3.0 419:3.0 422:2.0 424:1.0 428:1.0 432:5.0 434:5.0 436:1.0 437:4.0 441:3.0 442:2.0 445:2.0 447:2.0 450:2.0 451:5.0 454:3.0 455:2.0 462:2.0 463:7.0 465:1.0 468:3.0 469:1.0 470:1.0 472:3.0 475:1.0 476:2.0 477:2.0 478:3.0 482:4.0 484:2.0 486:5.0 488:26.0 489:14.0 490:16.0 494:2.0 496:1.0 498:4.0 499:4.0 500:1.0</t>
  </si>
  <si>
    <t>85:60.0 86:493.0 87:54.0 88:39.0 89:302.0 90:12.0 93:1.0 96:1.0 98:1.0 99:120.0 100:262.0 101:78.0 102:68.0 103:939.0 104:75.0 105:15.0 106:12.0 109:5.0 110:10.0 112:20.0 113:18.0 114:37.0 115:24.0 116:168.0 117:346.0 118:31.0 119:3.0 125:3.0 126:138.0 127:3.0 128:117.0 129:72.0 130:90.0 131:68.0 132:9.0 133:106.0 134:12.0 135:1.0 136:1.0 138:1.0 140:66.0 141:9.0 142:415.0 143:45.0 144:24.0 145:23.0 146:112.0 147:627.0 148:71.0 149:28.0 152:1.0 154:6.0 155:7.0 156:1635.0 157:201.0 158:77.0 159:7.0 160:3.0 166:1.0 169:1.0 170:3.0 172:96.0 173:57.0 174:382.0 175:65.0 176:12.0 177:1.0 182:5.0 184:1.0 186:11.0 189:28.0 190:7.0 191:5.0 193:3.0 198:9.0 200:15.0 201:59.0 202:10.0 203:7.0 204:24.0 205:133.0 206:11.0 207:14.0 214:184.0 215:22.0 216:12.0 217:186.0 218:25.0 219:3.0 224:1.0 228:1.0 229:15.0 232:3.0 242:3.0 244:1.0 248:1.0 253:5.0 255:5.0 267:7.0 271:1.0 274:3.0 278:1.0 288:5.0 295:5.0 307:3.0 308:3.0 313:1.0 314:3.0 316:5.0 317:49.0 318:7.0 319:7.0 330:5.0 332:1.0 333:3.0 346:5.0 348:3.0 356:1.0 357:1.0 368:1.0 371:1.0 381:1.0 383:3.0 390:1.0 391:1.0 399:5.0 416:1.0 417:7.0 418:1.0 428:3.0 430:3.0 431:5.0 443:1.0 447:3.0 454:1.0 456:3.0 457:3.0 459:1.0 463:7.0 477:3.0 478:7.0 490:3.0 499:1.0</t>
  </si>
  <si>
    <t>85:85.0 86:349.0 87:1035.0 88:2121.0 89:366.0 90:201.0 91:662.0 92:153.0 93:30.0 94:55.0 98:37.0 99:89.0 100:431.0 101:784.0 102:715.0 103:599.0 104:431.0 105:315.0 106:92.0 107:3309.0 108:293.0 109:130.0 110:2715.0 111:61.0 112:11.0 113:79.0 114:97.0 115:485.0 116:245.0 117:13592.0 118:2130.0 119:917.0 120:122.0 121:56.0 122:23.0 123:3.0 124:5.0 126:81.0 127:294.0 128:74.0 129:326.0 130:5060.0 131:1557.0 132:388.0 133:1868.0 134:6194.0 135:750.0 136:236.0 137:25.0 139:9.0 140:57.0 141:4.0 142:3.0 143:162.0 144:34.0 145:182.0 146:49.0 147:15587.0 148:2641.0 149:1446.0 150:156.0 152:14.0 153:5.0 154:22.0 156:24.0 157:17.0 158:4.0 159:35.0 160:13.0 161:31.0 162:29.0 163:6.0 164:26.0 165:8.0 166:3.0 167:17.0 168:6.0 169:2.0 170:7.0 171:14.0 172:18.0 173:2.0 175:106.0 176:43.0 177:22.0 178:3.0 180:11.0 182:8.0 183:16.0 184:1929.0 185:196.0 186:76.0 187:202.0 188:23.0 189:9.0 190:1381.0 191:2357.0 192:590.0 193:206.0 194:36.0 195:11.0 196:23.0 197:26.0 198:41.0 199:2218.0 200:228.0 201:72.0 203:79.0 204:34.0 205:14.0 206:2.0 207:10.0 209:8.0 210:8.0 211:16.0 212:4.0 213:1.0 214:1.0 216:16.0 217:13.0 218:13.0 219:525.0 220:124.0 222:12.0 224:9.0 228:2.0 229:1.0 232:3.0 233:15.0 234:11.0 235:10.0 237:15.0 238:8.0 240:11.0 241:9.0 243:1.0 244:4.0 246:7.0 247:11.0 248:6.0 250:1.0 251:7.0 253:7.0 254:2.0 255:2.0 256:46.0 257:15.0 259:1.0 260:4.0 263:17.0 264:21.0 265:8.0 266:2.0 267:20.0 268:4.0 269:2.0 270:1.0 271:10.0 272:1.0 274:2.0 276:3.0 277:3.0 278:6.0 279:8.0 280:16.0 281:5.0 282:4.0 283:2.0 285:2.0 288:5.0 289:4.0 290:7.0 293:2.0 294:11.0 295:11.0 296:15.0 297:3.0 298:5.0 299:7.0 301:11.0 302:7.0 303:19.0 304:4.0 306:8.0 307:1.0 310:14.0 311:4.0 312:6.0 314:3.0 315:3.0 316:8.0 317:1.0 318:9.0 319:3.0 320:19.0 321:5.0 322:31.0 323:9.0 324:7.0 326:16.0 328:7.0 329:2.0 330:7.0 331:15.0 332:1.0 333:9.0 334:2.0 335:10.0 337:4.0 340:11.0 342:1.0 343:9.0 344:4.0 346:1.0 347:10.0 348:5.0 349:3.0 350:23.0 351:5.0 352:14.0 353:1.0 354:10.0 356:2.0 358:2.0 359:9.0 360:11.0 361:8.0 362:5.0 363:2.0 364:15.0 365:8.0 366:11.0 368:2.0 372:7.0 373:12.0 374:3.0 375:6.0 376:8.0 377:7.0 378:9.0 379:17.0 380:9.0 388:1.0 389:19.0 390:2.0 391:9.0 393:1.0 395:8.0 396:5.0 398:15.0 399:4.0 400:5.0 401:4.0 402:6.0 405:22.0 406:9.0 407:6.0 408:2.0 411:1.0 414:5.0 415:9.0 417:5.0 418:7.0 419:1.0 420:5.0 421:13.0 422:2.0 424:4.0 425:3.0 426:12.0 428:4.0 429:3.0 430:4.0 432:7.0 434:4.0 435:9.0 437:1.0 438:2.0 439:3.0 440:10.0 442:12.0 445:16.0 446:17.0 447:3.0 448:2.0 449:6.0 450:3.0 451:1.0 452:9.0 453:4.0 455:2.0 456:6.0 457:4.0 458:7.0 459:7.0 460:9.0 461:2.0 462:5.0 464:10.0 469:4.0 470:9.0 471:6.0 472:2.0 473:20.0 474:17.0 475:2.0 477:6.0 479:10.0 481:5.0 482:1.0 483:4.0 489:13.0 491:11.0 492:1.0 493:3.0 494:7.0 496:1.0 497:6.0 498:2.0 499:8.0 500:10.0</t>
  </si>
  <si>
    <t>85:293.0 86:101.0 88:176.0 89:6272.0 90:448.0 91:287.0 93:45.0 95:26.0 97:11.0 99:27.0 100:270.0 101:10.0 102:94.0 103:95.0 104:4508.0 105:371.0 106:151.0 112:133.0 117:334.0 118:41.0 119:1988.0 120:172.0 121:35.0 125:216.0 126:15.0 131:2.0 133:2.0 147:122.0 148:1481.0 149:97.0 150:30.0 155:7.0 168:9.0 177:4.0 179:1.0 182:3.0 185:2.0 187:1.0 192:4.0 193:1.0 204:3.0 207:176.0 208:13.0 236:2.0 238:8.0 244:7.0 245:3.0 250:1.0 256:3.0 259:1.0 263:6.0 275:1.0 277:2.0 289:8.0 295:10.0 331:1.0 336:1.0 338:1.0 379:2.0 380:5.0 390:1.0 393:1.0 412:16.0 422:5.0 427:7.0 450:1.0 460:1.0 463:9.0 475:1.0 484:2.0 488:2.0 491:1.0 494:4.0 495:2.0 497:1.0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</si>
  <si>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</si>
  <si>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</si>
  <si>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85:85.0 86:299.0 87:171.0 88:125.0 89:186.0 90:67.0 91:2.0 92:9.0 97:52.0 99:22.0 100:328.0 101:188.0 102:208.0 103:737.0 104:62.0 108:14.0 109:12.0 111:70.0 112:10.0 113:36.0 114:8.0 115:134.0 116:1536.0 117:338.0 118:205.0 119:167.0 122:9.0 123:27.0 125:6.0 127:29.0 128:151.0 129:1180.0 130:787.0 131:593.0 132:207.0 133:471.0 134:60.0 136:13.0 137:11.0 138:33.0 141:101.0 142:48.0 143:327.0 144:139.0 145:157.0 146:59.0 147:1547.0 148:242.0 149:158.0 150:24.0 154:12.0 157:56.0 158:28.0 159:1754.0 160:252.0 161:131.0 162:5.0 163:14.0 164:4.0 165:11.0 169:41.0 171:132.0 172:38.0 174:9.0 177:4.0 186:155.0 187:53.0 188:154.0 189:195.0 190:116.0 191:12.0 192:20.0 196:7.0 199:9.0 202:96.0 203:37.0 204:98.0 205:62.0 206:83.0 207:2.0 208:38.0 209:29.0 213:8.0 215:149.0 216:96.0 217:3073.0 218:597.0 219:235.0 220:104.0 222:2.0 223:16.0 225:9.0 228:39.0 229:11.0 230:68.0 231:96.0 232:5.0 233:4.0 238:6.0 239:79.0 240:2.0 241:10.0 243:5.0 244:266.0 245:81.0 246:14.0 247:2.0 249:1.0 251:9.0 252:2.0 254:12.0 255:12.0 258:4.0 259:23.0 260:13.0 261:47.0 262:8.0 263:6.0 265:1.0 270:1.0 274:4.0 275:6.0 276:22.0 277:16.0 279:1.0 281:3.0 282:4.0 285:19.0 287:10.0 290:2.0 291:6.0 292:18.0 298:1.0 299:5.0 300:1.0 301:2.0 302:3.0 303:2.0 305:24.0 306:3.0 308:2.0 309:2.0 312:1.0 313:2.0 315:3.0 316:4.0 317:8.0 318:12.0 321:1.0 322:2.0 324:2.0 326:5.0 327:6.0 329:7.0 338:7.0 339:2.0 342:25.0 343:3.0 346:7.0 347:5.0 349:1.0 350:1.0 351:6.0 352:3.0 354:2.0 355:3.0 356:2.0 357:3.0 358:16.0 364:1.0 367:4.0 372:1.0 373:6.0 374:1.0 377:1.0 380:3.0 382:3.0 385:1.0 388:1.0 391:3.0 392:12.0 393:10.0 394:5.0 397:4.0 399:3.0 400:1.0 401:4.0 402:5.0 403:7.0 405:6.0 406:2.0 407:8.0 410:5.0 411:4.0 412:2.0 413:3.0 415:5.0 416:1.0 419:3.0 420:1.0 421:3.0 422:5.0 425:3.0 426:2.0 427:4.0 428:6.0 429:10.0 431:6.0 432:3.0 433:1.0 437:2.0 438:1.0 441:1.0 442:14.0 446:4.0 447:4.0 448:5.0 449:7.0 450:7.0 451:1.0 452:10.0 453:2.0 454:12.0 455:7.0 456:2.0 459:1.0 463:7.0 464:1.0 465:6.0 466:3.0 467:1.0 469:10.0 470:5.0 472:1.0 473:6.0 475:6.0 478:2.0 482:1.0 483:5.0 484:1.0 486:1.0 487:3.0 488:1.0 489:1.0 490:11.0 494:5.0 496:4.0 497:1.0 499:1.0 500:2.0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</si>
  <si>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</si>
  <si>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</si>
  <si>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</si>
  <si>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85:66.0 87:13.0 91:5.0 93:5.0 96:7.0 99:31.0 101:42.0 103:10.0 105:1.0 111:2.0 112:5.0 113:2.0 115:318.0 116:17.0 117:92.0 119:5.0 129:12.0 130:264.0 131:33.0 132:1.0 133:145.0 134:5.0 135:2.0 141:1.0 143:40.0 144:4.0 147:239.0 148:8.0 149:17.0 169:4.0 174:1.0 175:1.0 177:1.0 179:3.0 180:1.0 183:16.0 190:1.0 191:2.0 211:2.0 212:2.0 216:2.0 217:1060.0 218:242.0 219:95.0 220:9.0 227:1.0 232:58.0 233:1.0 246:3.0 249:1.0 258:2.0 260:1.0 265:2.0 274:2.0 283:1.0 299:2.0 312:5.0 314:4.0 334:3.0 338:2.0 358:1.0 360:2.0 362:11.0 377:4.0 379:2.0 390:2.0 404:3.0 420:1.0 469:3.0 472:1.0 475:1.0</t>
  </si>
  <si>
    <t>85:759.0 86:17.0 91:14.0 93:19.0 96:7.0 97:13.0 98:3.0 99:73.0 100:2.0 107:22.0 110:12.0 112:6.0 113:53.0 123:1.0 126:14.0 127:25.0 130:6.0 141:50.0 147:14.0 148:1.0 155:1.0 169:1.0 170:1.0 179:2.0 210:1.0 245:1.0 259:2.0 261:1.0 264:1.0 265:1.0 278:1.0 310:1.0 319:1.0 333:1.0 338:1.0 351:3.0 353:2.0 358:2.0 369:2.0 370:3.0 379:1.0 383:2.0 390:1.0 395:5.0 402:2.0 410:1.0 411:1.0 423:1.0 433:1.0 437:2.0 439:1.0 446:1.0 451:1.0 459:1.0 462:1.0 476:1.0 480:1.0 488:1.0</t>
  </si>
  <si>
    <t>85:21.0 86:5.0 87:4.0 91:2.0 92:9.0 93:5.0 94:3.0 97:11.0 98:22.0 99:7.0 100:16.0 101:21.0 102:13.0 103:6.0 107:1.0 108:8.0 109:3.0 111:6.0 114:1.0 115:25.0 116:12.0 117:46.0 120:3.0 123:1.0 124:1.0 127:9.0 128:7.0 129:3.0 130:12.0 136:2.0 138:11.0 140:17.0 141:4.0 142:78.0 143:22.0 144:4.0 145:2.0 146:7.0 147:14.0 151:1.0 153:11.0 155:9.0 156:1184.0 157:198.0 158:119.0 159:5.0 161:2.0 165:7.0 166:3.0 169:1.0 173:1.0 175:1.0 176:12.0 177:1.0 179:4.0 183:3.0 188:3.0 189:5.0 191:1.0 196:5.0 197:2.0 200:20.0 202:7.0 203:4.0 205:10.0 209:2.0 210:3.0 211:2.0 212:2.0 214:3.0 215:11.0 216:2.0 217:5.0 218:12.0 219:3.0 230:3.0 233:11.0 235:5.0 241:3.0 242:3.0 244:5.0 248:4.0 250:12.0 251:1.0 254:6.0 255:15.0 256:6.0 265:18.0 267:1.0 272:3.0 276:1.0 277:4.0 279:2.0 284:5.0 285:2.0 286:6.0 288:8.0 289:5.0 291:3.0 292:2.0 295:9.0 296:2.0 297:1.0 298:2.0 299:1.0 300:4.0 304:3.0 305:2.0 306:1.0 308:6.0 310:2.0 312:1.0 313:2.0 315:1.0 316:5.0 317:5.0 318:3.0 323:12.0 325:3.0 330:1.0 333:5.0 335:7.0 336:1.0 337:9.0 339:2.0 340:2.0 341:1.0 344:3.0 347:1.0 348:1.0 349:3.0 350:8.0 351:4.0 353:2.0 356:10.0 357:13.0 360:7.0 363:4.0 364:4.0 365:5.0 366:1.0 367:5.0 369:3.0 370:1.0 373:1.0 374:3.0 375:10.0 379:1.0 380:3.0 382:4.0 383:1.0 385:6.0 386:7.0 389:3.0 391:4.0 392:1.0 394:4.0 395:6.0 399:4.0 400:1.0 403:4.0 405:1.0 409:4.0 410:1.0 412:3.0 416:2.0 419:3.0 421:1.0 425:3.0 430:2.0 431:3.0 434:2.0 435:3.0 439:7.0 440:6.0 443:3.0 444:2.0 447:2.0 448:10.0 449:7.0 450:2.0 453:3.0 454:7.0 455:2.0 456:7.0 457:2.0 460:1.0 462:11.0 464:7.0 469:3.0 470:2.0 471:1.0 473:1.0 477:11.0 478:2.0 479:6.0 480:5.0 482:3.0 484:4.0 486:7.0 488:1.0 492:4.0 493:4.0 495:6.0 498:1.0 499:1.0 500:2.0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</si>
  <si>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</si>
  <si>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85:1141.0 86:63.0 89:5.0 91:2.0 92:6.0 93:3.0 94:2.0 95:1.0 96:9.0 97:73.0 98:90.0 99:246.0 100:723.0 101:183.0 102:33.0 103:12.0 105:3.0 110:7.0 111:18.0 112:56.0 113:66.0 114:34.0 115:34.0 116:39.0 117:57.0 118:2.0 119:3.0 120:1.0 122:3.0 123:1.0 124:5.0 125:4.0 126:25.0 127:52.0 128:2.0 129:5.0 130:2.0 131:7.0 134:2.0 139:3.0 140:33.0 141:37.0 142:7.0 144:5.0 146:2.0 147:26.0 148:1.0 149:1.0 151:5.0 154:8.0 155:4.0 156:2.0 157:4.0 160:3.0 161:1.0 162:5.0 163:5.0 165:6.0 166:6.0 168:2.0 169:12.0 170:7.0 171:2.0 174:11.0 175:6.0 178:5.0 180:4.0 183:1.0 184:7.0 186:5.0 187:4.0 188:2.0 189:1.0 190:3.0 196:5.0 197:1.0 198:8.0 199:2.0 202:5.0 203:6.0 204:5.0 210:9.0 212:2.0 213:6.0 214:11.0 215:2.0 223:2.0 226:5.0 227:3.0 228:1.0 233:5.0 234:3.0 235:2.0 239:33.0 240:4.0 241:5.0 243:141.0 244:41.0 245:14.0 247:3.0 249:1.0 251:1.0 254:8.0 257:1.0 258:21.0 259:12.0 260:1.0 262:12.0 264:1.0 265:5.0 266:9.0 268:3.0 270:1.0 272:7.0 274:1.0 275:4.0 276:1.0 277:1.0 279:1.0 285:9.0 286:2.0 290:2.0 291:3.0 294:1.0 295:1.0 297:14.0 299:5.0 301:1.0 303:2.0 306:6.0 308:4.0 310:2.0 313:4.0 314:7.0 316:3.0 320:4.0 321:9.0 326:6.0 327:3.0 334:7.0 335:5.0 339:1.0 340:5.0 341:2.0 342:6.0 344:1.0 346:9.0 348:2.0 350:3.0 355:4.0 359:10.0 360:2.0 364:3.0 366:2.0 367:1.0 368:1.0 369:1.0 371:1.0 372:1.0 373:2.0 374:3.0 376:5.0 377:2.0 378:3.0 379:3.0 380:3.0 381:2.0 382:10.0 388:1.0 389:3.0 390:5.0 391:2.0 393:2.0 394:10.0 395:3.0 396:6.0 400:2.0 401:2.0 402:6.0 404:1.0 405:1.0 406:10.0 407:1.0 408:3.0 411:3.0 413:4.0 418:6.0 419:1.0 421:4.0 422:3.0 423:4.0 424:4.0 426:8.0 427:1.0 428:2.0 429:6.0 430:1.0 432:1.0 433:1.0 437:1.0 439:6.0 441:6.0 442:2.0 443:6.0 444:4.0 445:4.0 447:1.0 449:4.0 450:2.0 451:3.0 456:4.0 457:1.0 461:3.0 463:3.0 467:7.0 470:6.0 471:10.0 472:1.0 473:2.0 474:1.0 475:2.0 479:4.0 480:15.0 481:12.0 486:2.0 487:6.0 490:11.0 494:2.0 495:10.0 498:1.0 499:5.0</t>
  </si>
  <si>
    <t>85:3803.0 86:264.0 87:81.0 89:132.0 90:13.0 91:19.0 92:44.0 96:1.0 97:179.0 98:266.0 99:886.0 100:1024.0 101:204.0 102:21.0 103:36.0 104:120.0 106:12.0 108:5.0 110:45.0 111:81.0 112:195.0 113:532.0 114:28.0 115:621.0 116:195.0 117:106.0 119:4.0 125:19.0 126:229.0 127:192.0 128:359.0 129:90.0 130:99.0 131:80.0 132:22.0 133:105.0 140:34.0 141:165.0 142:29.0 144:1.0 146:10.0 147:309.0 148:38.0 149:72.0 151:8.0 152:8.0 154:39.0 158:258.0 159:30.0 160:44.0 161:43.0 162:1.0 163:10.0 164:1.0 165:5.0 166:4.0 167:2.0 168:3.0 169:17.0 173:3.0 174:16.0 176:13.0 177:18.0 178:5.0 179:132.0 180:3.0 183:1.0 184:9.0 188:3.0 189:39.0 191:23.0 192:2.0 193:15.0 197:3.0 198:3.0 199:6.0 201:7.0 202:2.0 203:1.0 204:48.0 205:65.0 206:16.0 207:87.0 208:14.0 209:20.0 210:2.0 212:36.0 213:3.0 214:1.0 215:8.0 217:22.0 218:24.0 219:5.0 220:1.0 221:332.0 222:42.0 223:47.0 224:13.0 225:1.0 233:1.0 234:3.0 236:1.0 238:3.0 239:4.0 241:2.0 242:8.0 243:158.0 244:26.0 245:21.0 246:2.0 247:2.0 251:8.0 252:3.0 253:29.0 254:8.0 255:1.0 257:1.0 258:4.0 260:2.0 261:7.0 262:55.0 263:16.0 264:7.0 265:2.0 267:27.0 268:17.0 270:2.0 272:1.0 274:6.0 275:4.0 279:7.0 282:8.0 283:9.0 284:9.0 285:3.0 289:4.0 291:1.0 292:2.0 293:2.0 295:8.0 296:3.0 299:47.0 300:19.0 301:3.0 304:6.0 307:3.0 311:2.0 312:3.0 314:7.0 319:4.0 322:7.0 323:5.0 326:3.0 330:6.0 333:2.0 338:9.0 340:2.0 341:4.0 343:2.0 344:3.0 345:5.0 346:2.0 347:4.0 348:5.0 349:15.0 350:1.0 352:21.0 353:4.0 354:5.0 355:9.0 358:2.0 360:4.0 361:5.0 363:8.0 364:4.0 366:1.0 368:6.0 370:4.0 371:2.0 373:4.0 374:1.0 375:2.0 376:1.0 377:7.0 378:2.0 379:9.0 382:5.0 385:4.0 390:2.0 393:1.0 395:5.0 397:8.0 398:2.0 399:1.0 400:1.0 404:1.0 405:6.0 406:3.0 407:3.0 415:5.0 416:3.0 417:2.0 418:4.0 421:5.0 423:5.0 427:4.0 428:4.0 431:4.0 433:3.0 435:4.0 436:2.0 437:1.0 440:5.0 441:9.0 442:7.0 445:1.0 446:2.0 447:10.0 448:1.0 449:2.0 453:3.0 454:1.0 455:6.0 456:1.0 457:2.0 461:1.0 462:4.0 463:1.0 464:4.0 467:1.0 468:1.0 470:2.0 471:3.0 472:9.0 473:3.0 474:3.0 478:1.0 479:2.0 481:2.0 484:8.0 486:9.0 487:1.0 491:2.0 492:3.0 493:9.0 494:3.0 495:1.0 498:4.0 499:2.0</t>
  </si>
  <si>
    <t>85:4902.0 86:320.0 87:48.0 89:269.0 91:35.0 92:57.0 95:87.0 97:42.0 98:101.0 99:1803.0 100:214.0 101:106.0 102:21.0 103:495.0 104:14.0 109:39.0 110:91.0 111:344.0 112:221.0 113:1090.0 114:118.0 116:60.0 117:201.0 122:3.0 124:25.0 125:159.0 126:192.0 127:659.0 128:79.0 129:536.0 130:91.0 131:44.0 132:18.0 133:312.0 138:14.0 139:13.0 140:38.0 141:303.0 142:39.0 143:30.0 144:27.0 147:718.0 148:97.0 149:70.0 152:21.0 153:42.0 154:76.0 155:292.0 156:49.0 157:53.0 159:11.0 160:11.0 161:19.0 163:3.0 166:15.0 167:3.0 168:48.0 169:227.0 170:71.0 173:1.0 177:3.0 179:8.0 181:10.0 182:5.0 183:37.0 184:18.0 186:9.0 188:11.0 189:108.0 190:44.0 191:41.0 196:7.0 197:46.0 198:14.0 200:7.0 201:1.0 202:7.0 203:8.0 210:3.0 211:38.0 213:2.0 214:13.0 215:17.0 216:8.0 217:1307.0 218:184.0 219:75.0 220:6.0 221:4.0 223:2.0 225:2.0 226:9.0 228:9.0 229:7.0 230:27.0 231:22.0 232:13.0 233:15.0 234:8.0 236:6.0 237:2.0 238:2.0 239:14.0 241:4.0 242:8.0 243:37.0 244:32.0 245:10.0 246:93.0 247:15.0 248:14.0 249:1.0 251:13.0 252:2.0 253:7.0 254:6.0 255:9.0 256:8.0 257:8.0 259:9.0 260:2.0 261:4.0 263:4.0 266:1.0 268:3.0 269:1.0 270:2.0 271:24.0 272:6.0 273:6.0 274:14.0 275:3.0 277:4.0 278:9.0 282:3.0 283:7.0 284:21.0 286:1.0 287:1.0 288:4.0 292:31.0 293:30.0 294:13.0 295:1.0 296:3.0 297:1.0 298:1.0 302:3.0 304:1.0 305:41.0 306:18.0 308:1.0 309:1.0 310:8.0 311:3.0 312:9.0 313:2.0 314:19.0 315:11.0 316:4.0 318:21.0 319:36.0 320:1.0 322:8.0 324:11.0 326:3.0 327:8.0 329:1.0 330:3.0 331:28.0 332:17.0 333:36.0 334:7.0 338:10.0 339:5.0 340:9.0 341:1.0 342:9.0 343:4.0 345:12.0 346:3.0 350:5.0 351:1.0 352:13.0 354:2.0 355:7.0 357:3.0 358:6.0 359:2.0 360:9.0 361:43.0 362:14.0 363:7.0 364:11.0 365:7.0 366:7.0 367:4.0 368:1.0 372:9.0 373:1.0 376:1.0 378:8.0 380:13.0 382:5.0 384:6.0 385:6.0 387:2.0 388:7.0 389:6.0 390:1.0 391:2.0 393:2.0 394:5.0 395:4.0 396:4.0 397:1.0 398:3.0 401:4.0 403:11.0 404:5.0 406:7.0 408:5.0 409:10.0 412:9.0 413:6.0 414:7.0 416:6.0 417:4.0 420:2.0 422:3.0 424:2.0 425:1.0 426:1.0 428:2.0 429:6.0 430:3.0 431:2.0 432:5.0 433:5.0 434:10.0 435:4.0 437:6.0 439:11.0 440:1.0 441:1.0 442:2.0 443:3.0 445:8.0 446:2.0 447:16.0 449:1.0 451:1.0 454:3.0 455:1.0 456:5.0 457:6.0 458:9.0 459:2.0 460:6.0 462:4.0 463:1.0 464:1.0 466:1.0 467:6.0 468:11.0 470:7.0 471:3.0 473:1.0 474:5.0 475:2.0 476:1.0 477:11.0 478:2.0 479:1.0 480:2.0 481:4.0 482:6.0 483:1.0 484:1.0 485:8.0 486:3.0 487:6.0 488:7.0 489:6.0 490:10.0 491:2.0 492:8.0 493:8.0 494:7.0 495:6.0 496:1.0 497:7.0 498:2.0 499:1.0 500:5.0</t>
  </si>
  <si>
    <t>85:573.0 86:3940.0 87:7186.0 88:951.0 89:667.0 90:38.0 92:21.0 93:23.0 95:39.0 96:8.0 97:23.0 98:24.0 99:129.0 100:2533.0 101:2540.0 102:845.0 103:1656.0 104:185.0 105:894.0 106:90.0 107:99.0 108:11.0 109:4.0 112:44.0 113:304.0 114:146.0 115:1075.0 116:455.0 117:3014.0 118:581.0 119:931.0 120:91.0 121:28.0 126:34.0 127:24.0 128:3.0 129:496.0 130:701.0 131:6858.0 132:2665.0 133:6553.0 134:958.0 135:476.0 136:41.0 137:4.0 138:18.0 143:53.0 144:240.0 145:141.0 146:469.0 147:29147.0 148:4583.0 149:2389.0 150:194.0 151:43.0 152:1.0 157:11.0 158:178.0 159:116.0 160:4260.0 161:804.0 162:321.0 163:155.0 165:14.0 167:5.0 171:3.0 172:14.0 173:14.0 174:816.0 175:280.0 176:114.0 177:184.0 178:33.0 179:16.0 180:7.0 182:3.0 184:11.0 186:6.0 187:8.0 188:2082.0 189:885.0 190:401.0 191:636.0 192:107.0 193:1045.0 194:157.0 195:89.0 196:1.0 198:8.0 201:1.0 202:45.0 203:106.0 204:163.0 205:1233.0 206:278.0 207:4764.0 208:1112.0 209:530.0 210:68.0 211:6.0 215:6.0 216:6.0 217:51.0 218:215.0 219:141.0 220:71.0 221:2521.0 222:524.0 223:295.0 224:49.0 225:29.0 226:5.0 232:38.0 233:10.0 234:250.0 235:1163.0 236:261.0 237:155.0 238:22.0 239:5.0 241:1.0 245:3.0 246:186.0 247:63.0 248:356.0 249:236.0 250:70.0 251:18.0 253:3.0 257:34.0 258:5.0 261:4.0 262:2199.0 263:651.0 264:288.0 265:50.0 266:1.0 267:10.0 272:1.0 275:13.0 276:368.0 277:142.0 278:84.0 279:16.0 280:2.0 281:15.0 283:10.0 289:1.0 292:38.0 293:33.0 294:12.0 295:3.0 298:1.0 299:20.0 301:6.0 302:2.0 304:4.0 306:3.0 307:1.0 310:2.0 311:1.0 312:2.0 315:2.0 316:3.0 318:2.0 319:1.0 320:12.0 321:6.0 322:2.0 323:10.0 336:5.0 349:264.0 350:7059.0 351:3058.0 352:1561.0 353:399.0 354:92.0 355:19.0 356:7.0 357:1.0 358:1.0 360:2.0 364:5.0 365:428.0 366:187.0 367:82.0 368:2.0 396:1.0 397:4.0 407:2.0 413:2.0 431:1.0 453:3.0 454:1.0 457:1.0 469:1.0 475:2.0 493:3.0</t>
  </si>
  <si>
    <t>86:308.0 87:101.0 88:30.0 89:47.0 90:3.0 91:6.0 92:4.0 94:7.0 99:46.0 100:172.0 101:45.0 102:40.0 103:28.0 105:5.0 108:4.0 110:8.0 113:22.0 114:3.0 115:74.0 117:193.0 118:2.0 119:41.0 125:24.0 128:183.0 129:12.0 130:40.0 131:202.0 132:62.0 133:110.0 134:12.0 137:18.0 142:6.0 143:28.0 144:17.0 146:21.0 147:3162.0 148:481.0 149:247.0 150:17.0 151:5.0 152:1.0 154:3.0 155:20.0 156:13.0 160:2.0 165:1.0 169:1.0 171:19.0 172:5.0 174:371.0 175:51.0 176:13.0 189:1.0 191:5.0 199:1.0 202:41.0 203:12.0 204:523.0 205:88.0 206:35.0 207:3.0 209:2.0 211:2.0 212:2.0 219:15.0 220:2.0 221:3.0 222:1.0 223:3.0 225:6.0 231:7.0 232:1.0 236:3.0 237:1.0 240:7.0 247:1.0 250:1.0 251:9.0 252:3.0 262:2.0 265:6.0 280:2.0 281:14.0 282:1.0 285:2.0 287:2.0 288:1.0 292:5.0 300:3.0 301:1.0 303:1.0 308:1.0 309:2.0 312:1.0 319:3.0 320:2.0 323:3.0 328:3.0 337:1.0 338:2.0 339:2.0 343:1.0 346:1.0 348:1.0 362:2.0 363:3.0 369:1.0 370:3.0 375:3.0 381:1.0 389:1.0 392:2.0 398:4.0 401:1.0 402:2.0 405:2.0 407:2.0 411:5.0 416:1.0 424:1.0 425:1.0 426:4.0 432:1.0 441:1.0 445:4.0 446:1.0 447:1.0 448:4.0 451:3.0 452:1.0 453:2.0 454:2.0 455:1.0 458:3.0 462:3.0 465:2.0 481:2.0 489:2.0 490:4.0 494:2.0 495:2.0</t>
  </si>
  <si>
    <t>85:198382.0 86:12796.0 87:34.0 88:32.0 89:430.0 90:180.0 91:8927.0 93:707.0 94:261.0 96:2680.0 97:5387.0 98:42194.0 99:37735.0 100:2412.0 101:61.0 102:339.0 103:1452.0 104:927.0 105:11123.0 106:1143.0 107:36.0 108:95.0 109:959.0 110:184.0 112:16643.0 113:23430.0 114:1944.0 115:1829.0 116:57.0 117:1865.0 118:523.0 119:21165.0 120:3959.0 121:245.0 122:81.0 123:2083.0 124:545.0 125:948.0 126:6590.0 127:12010.0 128:1311.0 129:58.0 130:26.0 131:145.0 133:238.0 134:4610.0 135:524.0 136:28.0 137:50.0 138:7.0 139:217.0 140:75.0 141:122.0 142:16.0 143:11.0 144:10.0 148:140.0 149:36.0 151:14.0 152:190.0 155:210.0 156:15112.0 157:1776.0 158:76.0 159:3.0 168:34.0 170:39.0 171:1.0 172:4.0 179:47.0 181:3.0 184:57.0 192:13.0 193:57.0 197:6.0 199:1.0 203:8.0 217:15.0 221:24.0 222:1.0 223:16.0 225:72.0 229:1.0 231:1.0 232:17.0 238:14.0 240:56.0 241:6.0 249:10.0 251:68.0 252:17.0 253:5.0 262:2.0 263:5.0 267:577.0 268:105.0 269:97.0 271:3.0 277:7.0 278:24.0 280:3.0 289:8.0 291:1.0 292:7.0 293:1.0 300:2.0 301:3.0 302:3.0 303:2.0 305:1.0 306:1.0 308:1.0 309:1.0 313:2.0 316:7.0 317:2.0 321:3.0 322:4.0 324:3.0 328:2.0 330:2.0 332:12.0 336:2.0 337:1.0 339:11.0 344:1.0 345:1.0 349:1.0 354:2.0 355:241.0 356:83.0 357:52.0 358:7.0 364:9.0 366:3.0 367:2.0 368:3.0 369:2.0 370:2.0 373:1.0 375:6.0 382:1.0 385:8.0 387:6.0 389:8.0 397:5.0 403:4.0 406:3.0 408:5.0 414:5.0 415:1.0 420:1.0 421:3.0 427:1.0 428:1.0 430:1.0 432:7.0 437:8.0 439:2.0 440:2.0 442:1.0 445:6.0 449:10.0 450:4.0 453:9.0 455:2.0 456:4.0 457:3.0 459:2.0 462:2.0 463:3.0 465:6.0 468:2.0 472:4.0 473:4.0 478:2.0 480:13.0 481:3.0 483:7.0 485:1.0 487:1.0 490:5.0 491:1.0 492:6.0 493:2.0 494:1.0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</si>
  <si>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</si>
  <si>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</si>
  <si>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86:248.0 91:88.0 92:89.0 99:9.0 100:5448.0 101:746.0 102:176.0 108:1.0 144:1417.0 145:48.0 146:13.0 159:179.0 169:1.0 171:33.0 181:1.0 184:6.0 261:2.0 366:1.0 430:1.0 476:1.0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</si>
  <si>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</si>
  <si>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</si>
  <si>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87:6.0 88:3.0 89:18.0 90:25.0 91:453.0 93:16.0 97:32.0 98:1.0 99:10.0 100:35.0 101:27.0 103:496.0 105:57.0 106:32.0 107:192.0 108:61.0 110:233.0 111:13.0 112:18.0 113:19.0 115:37.0 116:44.0 117:81.0 119:6.0 121:4.0 122:3.0 123:2.0 126:62.0 127:63.0 129:7.0 130:342.0 131:89.0 132:87.0 133:218.0 134:413.0 135:155.0 136:34.0 137:35.0 139:18.0 140:4.0 141:32.0 143:3.0 147:879.0 148:40.0 152:2.0 156:3.0 158:5.0 160:2.0 161:29.0 162:4.0 163:28.0 164:4.0 165:19.0 172:9.0 173:3.0 177:27.0 178:2.0 179:77.0 180:7.0 181:6.0 184:73.0 186:2.0 189:116.0 191:244.0 192:22.0 193:221.0 194:25.0 195:59.0 197:4.0 199:6.0 200:8.0 203:17.0 204:280.0 205:135.0 206:18.0 207:255.0 208:65.0 209:18.0 211:73.0 212:4.0 214:1.0 216:1.0 217:39.0 219:31.0 220:9.0 222:5.0 224:3.0 225:30.0 228:1.0 229:7.0 231:3.0 234:2.0 239:12.0 242:1.0 243:1.0 244:16.0 245:2.0 246:8.0 248:9.0 249:15.0 250:3.0 251:45.0 252:4.0 253:20.0 254:9.0 255:51.0 256:3.0 260:1.0 267:15.0 268:1.0 269:59.0 270:4.0 271:14.0 273:2.0 274:2.0 276:2.0 278:2.0 281:8.0 283:7.0 284:1.0 285:411.0 286:86.0 287:35.0 289:2.0 290:1.0 291:4.0 294:7.0 295:3.0 296:3.0 299:73.0 300:10.0 301:9.0 302:6.0 303:4.0 304:8.0 309:2.0 311:1.0 318:1.0 320:1.0 321:4.0 322:2.0 323:1.0 325:4.0 329:4.0 330:8.0 332:1.0 333:3.0 334:5.0 336:4.0 337:1.0 339:1.0 341:4.0 343:7.0 351:5.0 352:1.0 354:1.0 356:13.0 357:84.0 358:10.0 359:9.0 361:3.0 363:4.0 366:1.0 370:12.0 371:3.0 372:170.0 373:1561.0 374:605.0 375:358.0 376:72.0 378:8.0 383:4.0 384:2.0 385:4.0 387:2.0 388:11.0 390:1.0 393:6.0 394:3.0 396:5.0 397:3.0 398:2.0 403:6.0 405:3.0 411:1.0 416:7.0 418:1.0 419:6.0 421:5.0 424:4.0 427:3.0 430:1.0 435:4.0 443:2.0 445:2.0 450:1.0 451:4.0 456:1.0 458:4.0 459:2.0 460:1.0 462:2.0 466:5.0 467:2.0 471:1.0 472:3.0 473:5.0 476:14.0 477:1.0 479:1.0 481:3.0 482:4.0 483:6.0 489:10.0 490:1.0 491:1.0 493:1.0 495:4.0 498:3.0 499:8.0</t>
  </si>
  <si>
    <t>85:2.0 86:12.0 87:12.0 88:3.0 89:289.0 91:18.0 95:3.0 96:1.0 99:22.0 100:159.0 101:22.0 102:17.0 103:63.0 104:5.0 105:25.0 107:12.0 113:15.0 114:2.0 115:3.0 116:7.0 117:60.0 118:7.0 124:1.0 128:1.0 129:124.0 131:32.0 132:11.0 133:59.0 134:35.0 135:1.0 139:2.0 145:2.0 146:3.0 147:408.0 148:61.0 149:13.0 150:3.0 151:3.0 152:2.0 153:11.0 157:57.0 158:2.0 163:7.0 164:1.0 166:1.0 168:3.0 169:16.0 172:3.0 173:1.0 174:1.0 177:8.0 178:1.0 184:4.0 185:2.0 187:10.0 188:1.0 189:60.0 191:77.0 196:2.0 203:3.0 204:1030.0 205:182.0 206:44.0 208:3.0 211:1.0 214:2.0 216:3.0 217:105.0 218:31.0 219:17.0 220:175.0 221:4.0 227:2.0 231:1.0 234:1.0 243:2.0 244:1.0 246:8.0 251:3.0 259:4.0 263:1.0 264:1.0 268:1.0 269:5.0 270:5.0 272:3.0 277:3.0 281:3.0 282:2.0 294:5.0 305:6.0 306:1.0 307:13.0 308:1.0 311:4.0 319:84.0 320:11.0 321:1.0 327:4.0 331:2.0 332:5.0 333:1.0 337:1.0 339:1.0 346:1.0 351:2.0 352:1.0 356:2.0 360:1.0 363:2.0 364:1.0 374:4.0 386:1.0 388:1.0 415:1.0 425:2.0 438:2.0 441:7.0 442:1.0 450:1.0 451:2.0 455:1.0 475:1.0 495:7.0 497:2.0 500:1.0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</si>
  <si>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</si>
  <si>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1-hexadecanol</t>
  </si>
  <si>
    <t>85:5855.0 86:768.0 87:2701.0 88:1014.0 89:14519.0 90:1392.0 91:4241.0 92:351.0 93:261.0 94:58.0 95:1655.0 96:824.0 97:15257.0 98:1810.0 99:3243.0 100:578.0 101:7460.0 102:1024.0 103:18214.0 104:1657.0 105:757.0 106:2.0 107:101.0 108:3.0 109:530.0 110:181.0 111:6735.0 112:1039.0 113:1287.0 114:261.0 115:3429.0 116:473.0 117:1749.0 118:135.0 119:58.0 121:1.0 122:14.0 123:165.0 124:112.0 125:2155.0 126:301.0 127:502.0 128:32.0 129:2870.0 130:450.0 131:975.0 132:140.0 133:852.0 134:67.0 135:37.0 136:5.0 137:44.0 138:26.0 139:493.0 140:139.0 141:210.0 142:373.0 143:1068.0 144:138.0 145:398.0 146:59.0 147:3807.0 148:599.0 149:344.0 150:34.0 151:27.0 152:1.0 153:257.0 154:63.0 155:34.0 156:394.0 157:523.0 159:108.0 160:2.0 161:28.0 162:13.0 163:4.0 164:5.0 166:15.0 167:149.0 168:42.0 169:86.0 170:499.0 171:281.0 172:31.0 173:44.0 174:81.0 175:87.0 176:4.0 177:4.0 178:14.0 180:15.0 181:45.0 182:20.0 183:14.0 185:225.0 186:88.0 187:26.0 188:14.0 189:512.0 190:126.0 191:2185.0 192:318.0 193:135.0 194:15.0 195:71.0 196:64.0 197:25.0 199:232.0 200:69.0 201:58.0 202:12.0 203:115.0 204:4194.0 205:1282.0 206:427.0 207:59.0 208:23.0 209:24.0 210:2.0 211:8.0 212:8.0 213:281.0 214:137.0 215:40.0 216:16.0 217:1002.0 218:220.0 219:101.0 221:148.0 222:47.0 223:11.0 224:93.0 225:15.0 226:6.0 227:191.0 228:59.0 229:25.0 230:58.0 231:18.0 232:17.0 233:24.0 234:21.0 236:26.0 238:2.0 241:105.0 242:36.0 243:28.0 245:22.0 246:28.0 247:7.0 248:3.0 251:1.0 252:3.0 253:6.0 255:2.0 256:14.0 257:4.0 260:25.0 262:20.0 264:4.0 265:9.0 268:3.0 269:19.0 270:13.0 272:7.0 275:1.0 276:18.0 277:52.0 278:18.0 279:14.0 283:103.0 284:15.0 285:8.0 286:20.0 287:5.0 288:4.0 289:14.0 290:3.0 291:93.0 292:395.0 293:102.0 294:37.0 297:39.0 298:383.0 299:14908.0 300:5456.0 301:1323.0 302:222.0 303:43.0 304:35.0 305:218.0 306:66.0 307:46.0 308:15.0 309:4.0 312:15.0 313:7.0 314:20.0 315:2.0 317:19.0 318:27.0 319:229.0 320:79.0 321:37.0 322:27.0 323:22.0 325:4.0 330:5.0 331:77.0 332:39.0 333:355.0 334:140.0 335:57.0 336:24.0 337:5.0 339:10.0 341:3.0 342:5.0 345:49.0 347:3.0 348:2.0 349:8.0 356:5.0 358:1.0 359:41.0 360:2.0 363:3.0 364:12.0 366:16.0 367:3.0 368:10.0 369:3.0 370:15.0 372:4.0 374:1.0 375:10.0 377:7.0 378:6.0 381:5.0 382:7.0 384:16.0 390:2.0 394:11.0 395:10.0 397:2.0 398:4.0 401:11.0 402:21.0 403:6.0 405:11.0 406:13.0 407:3.0 408:14.0 409:2.0 411:9.0 414:6.0 415:6.0 417:6.0 418:1.0 420:3.0 422:7.0 423:29.0 424:9.0 425:27.0 427:2.0 432:4.0 433:21.0 434:17.0 435:43.0 436:22.0 437:8.0 438:10.0 439:4.0 441:1.0 442:4.0 443:4.0 444:1.0 445:3.0 451:7.0 453:3.0 454:8.0 455:4.0 456:14.0 457:5.0 460:12.0 461:3.0 463:6.0 468:11.0 469:1.0 470:2.0 471:12.0 473:12.0 476:2.0 479:6.0 480:4.0 485:3.0 487:2.0 488:5.0 489:5.0 490:3.0 494:12.0 497:10.0 498:1.0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</si>
  <si>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</si>
  <si>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</si>
  <si>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85:6722.0 86:407.0 87:3.0 88:59.0 90:1.0 93:67.0 95:266.0 96:62.0 97:139.0 98:33.0 99:1735.0 100:101.0 101:24.0 103:6.0 104:13.0 105:298.0 106:60.0 107:87.0 109:16.0 110:35.0 111:240.0 112:2667.0 113:1652.0 114:113.0 115:22.0 118:12.0 122:2.0 130:67.0 132:23.0 134:91.0 135:2.0 136:9.0 137:2.0 138:1.0 140:84.0 141:214.0 142:14.0 143:19.0 144:1.0 145:2.0 146:13.0 147:29.0 148:44.0 149:9.0 150:2.0 153:2.0 155:1.0 156:54.0 157:2.0 159:2.0 160:7.0 161:2.0 162:3.0 163:4.0 164:8.0 172:2.0 173:1.0 174:6.0 175:1.0 176:2.0 177:4.0 178:2.0 180:1.0 184:23.0 185:9.0 186:7.0 188:9.0 189:3.0 190:3.0 191:2.0 192:2.0 197:4.0 199:15.0 200:1.0 201:5.0 202:3.0 203:4.0 206:1.0 208:4.0 209:5.0 210:3.0 211:2.0 212:8.0 213:6.0 216:3.0 217:5.0 218:9.0 219:2.0 222:1.0 223:3.0 225:1.0 227:3.0 233:4.0 234:7.0 239:10.0 241:3.0 243:2.0 244:9.0 249:4.0 251:4.0 252:2.0 253:9.0 254:3.0 255:4.0 256:4.0 257:1.0 259:4.0 260:7.0 261:2.0 262:6.0 265:2.0 266:10.0 267:3.0 268:2.0 269:9.0 270:4.0 271:5.0 272:7.0 274:5.0 276:1.0 277:7.0 278:4.0 279:1.0 281:11.0 282:1.0 283:7.0 284:2.0 286:1.0 291:5.0 292:2.0 293:4.0 294:5.0 295:4.0 296:1.0 298:2.0 299:2.0 302:1.0 303:7.0 305:3.0 306:3.0 307:5.0 310:6.0 311:4.0 312:2.0 314:1.0 315:1.0 316:3.0 317:3.0 319:5.0 320:1.0 321:19.0 322:2.0 323:9.0 324:1.0 325:4.0 326:2.0 328:13.0 329:6.0 330:4.0 331:1.0 332:8.0 333:1.0 334:10.0 335:3.0 337:1.0 338:7.0 339:10.0 341:5.0 342:5.0 343:6.0 344:12.0 345:3.0 347:3.0 348:1.0 349:2.0 350:6.0 353:5.0 354:9.0 355:3.0 356:6.0 357:6.0 358:9.0 360:2.0 362:3.0 363:5.0 364:5.0 365:4.0 366:10.0 367:3.0 369:5.0 372:3.0 373:3.0 377:1.0 380:4.0 382:1.0 383:3.0 384:3.0 385:3.0 386:6.0 387:3.0 389:5.0 393:7.0 395:3.0 397:5.0 399:5.0 400:5.0 402:3.0 403:5.0 404:3.0 405:2.0 407:11.0 408:10.0 409:2.0 411:2.0 412:5.0 413:4.0 414:1.0 415:8.0 416:2.0 417:4.0 418:3.0 420:9.0 421:2.0 422:3.0 423:10.0 424:3.0 427:7.0 428:3.0 429:11.0 430:7.0 431:2.0 433:5.0 434:1.0 435:5.0 436:10.0 437:5.0 438:1.0 440:2.0 441:3.0 442:5.0 448:12.0 449:1.0 452:3.0 454:7.0 456:1.0 458:1.0 459:1.0 461:2.0 462:1.0 463:2.0 464:3.0 465:9.0 468:7.0 470:4.0 472:1.0 474:3.0 478:5.0 481:9.0 482:4.0 484:12.0 485:13.0 486:2.0 487:6.0 488:7.0 490:2.0 492:4.0 493:1.0 495:2.0 496:4.0 497:2.0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</si>
  <si>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</si>
  <si>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F-5</t>
  </si>
  <si>
    <t>B-1</t>
  </si>
  <si>
    <t>B-3</t>
  </si>
  <si>
    <t>D-2</t>
  </si>
  <si>
    <t>H-3</t>
  </si>
  <si>
    <t>H-4</t>
  </si>
  <si>
    <t>C-3</t>
  </si>
  <si>
    <t>C-4</t>
  </si>
  <si>
    <t>G-3</t>
  </si>
  <si>
    <t>7-5</t>
  </si>
  <si>
    <t>7-4</t>
  </si>
  <si>
    <t>7-3</t>
  </si>
  <si>
    <t>E-2</t>
  </si>
  <si>
    <t>E-3</t>
  </si>
  <si>
    <t>E-5</t>
  </si>
  <si>
    <t>8-5</t>
  </si>
  <si>
    <t>8-3</t>
  </si>
  <si>
    <t>8-4</t>
  </si>
  <si>
    <t>A-3</t>
  </si>
  <si>
    <t>E-4</t>
  </si>
  <si>
    <t>5-2</t>
  </si>
  <si>
    <t>5-3</t>
  </si>
  <si>
    <t>5-4</t>
  </si>
  <si>
    <t>6-5</t>
  </si>
  <si>
    <t>6-4</t>
  </si>
  <si>
    <t>6-3</t>
  </si>
  <si>
    <t>C-2</t>
  </si>
  <si>
    <t>G-2</t>
  </si>
  <si>
    <t>F-2</t>
  </si>
  <si>
    <t>B-2</t>
  </si>
  <si>
    <t>A-2</t>
  </si>
  <si>
    <t>D-4</t>
  </si>
  <si>
    <t>D-3</t>
  </si>
  <si>
    <t>F-4</t>
  </si>
  <si>
    <t>F-3</t>
  </si>
  <si>
    <t>B-4</t>
  </si>
  <si>
    <t>D-5</t>
  </si>
  <si>
    <t>cells</t>
  </si>
  <si>
    <t>E. Coli</t>
  </si>
  <si>
    <t>mTIC</t>
  </si>
  <si>
    <t>BinBase name</t>
  </si>
  <si>
    <t>ret index</t>
  </si>
  <si>
    <t>quant mz</t>
  </si>
  <si>
    <t>BinBase id</t>
  </si>
  <si>
    <t>mass spec</t>
  </si>
  <si>
    <t>KEGG id</t>
  </si>
  <si>
    <t>PubChem id</t>
  </si>
  <si>
    <t>label</t>
  </si>
  <si>
    <t>organ</t>
  </si>
  <si>
    <t>species</t>
  </si>
  <si>
    <t>comment</t>
  </si>
  <si>
    <t>file id</t>
  </si>
  <si>
    <t>mx class id</t>
  </si>
  <si>
    <t>mx sample id</t>
  </si>
  <si>
    <t xml:space="preserve"> </t>
  </si>
  <si>
    <t>tyrosine</t>
  </si>
  <si>
    <t>spermine</t>
  </si>
  <si>
    <t>spermidine</t>
  </si>
  <si>
    <t>N-acetyl-D-mannosamine</t>
  </si>
  <si>
    <t>methionine sulfoxide</t>
  </si>
  <si>
    <t>lyxose</t>
  </si>
  <si>
    <t>glutamine</t>
  </si>
  <si>
    <t>glucose-6-phosphate</t>
  </si>
  <si>
    <t>glucose</t>
  </si>
  <si>
    <t>galactose-6-phosphate</t>
  </si>
  <si>
    <t>galactinol</t>
  </si>
  <si>
    <t>fucose + rhamnose</t>
  </si>
  <si>
    <t>fructose</t>
  </si>
  <si>
    <t>cytidine-5'-monophosphate</t>
  </si>
  <si>
    <t>cytidine-5'-diphosphate</t>
  </si>
  <si>
    <t>CMP</t>
  </si>
  <si>
    <t>benzoic acid</t>
  </si>
  <si>
    <t>2-ketoisocaproic acid</t>
  </si>
  <si>
    <t>EDT2256</t>
  </si>
  <si>
    <t>EDT2258</t>
  </si>
  <si>
    <t>EDT2257</t>
  </si>
  <si>
    <t>EDT2261</t>
  </si>
  <si>
    <t>EDT2255</t>
  </si>
  <si>
    <t>EDT2262</t>
  </si>
  <si>
    <t>VCID5936</t>
  </si>
  <si>
    <t>EDT2259</t>
  </si>
  <si>
    <t>EDT2260</t>
  </si>
  <si>
    <t>VCID5957</t>
  </si>
  <si>
    <t>VCID5949</t>
  </si>
  <si>
    <t>VCID5948</t>
  </si>
  <si>
    <t>VCID5947</t>
  </si>
  <si>
    <t>VCID5946</t>
  </si>
  <si>
    <t>VCID5945</t>
  </si>
  <si>
    <t>VCID5998</t>
  </si>
  <si>
    <t>VCID5960</t>
  </si>
  <si>
    <t>VCID5961</t>
  </si>
  <si>
    <t>VCID5959</t>
  </si>
</sst>
</file>

<file path=xl/styles.xml><?xml version="1.0" encoding="utf-8"?>
<styleSheet xmlns="http://schemas.openxmlformats.org/spreadsheetml/2006/main">
  <numFmts count="1">
    <numFmt numFmtId="164" formatCode="0.0E+0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4" borderId="0" xfId="0" applyFill="1"/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3" borderId="0" xfId="0" applyNumberFormat="1" applyFont="1" applyFill="1" applyBorder="1" applyAlignment="1"/>
    <xf numFmtId="0" fontId="0" fillId="4" borderId="0" xfId="0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359"/>
  <sheetViews>
    <sheetView tabSelected="1" zoomScale="75" zoomScaleNormal="75" workbookViewId="0">
      <pane xSplit="7" ySplit="9" topLeftCell="Z10" activePane="bottomRight" state="frozen"/>
      <selection pane="topRight" activeCell="H1" sqref="H1"/>
      <selection pane="bottomLeft" activeCell="A10" sqref="A10"/>
      <selection pane="bottomRight" activeCell="AP4" sqref="AP4"/>
    </sheetView>
  </sheetViews>
  <sheetFormatPr defaultRowHeight="15"/>
  <cols>
    <col min="1" max="1" width="17.5703125" customWidth="1"/>
    <col min="2" max="3" width="9.42578125" bestFit="1" customWidth="1"/>
    <col min="5" max="5" width="10.140625" customWidth="1"/>
    <col min="8" max="12" width="9.42578125" bestFit="1" customWidth="1"/>
    <col min="13" max="19" width="9.28515625" bestFit="1" customWidth="1"/>
  </cols>
  <sheetData>
    <row r="1" spans="1:64">
      <c r="A1" s="8"/>
      <c r="B1" s="8"/>
      <c r="C1" s="8"/>
      <c r="D1" s="8"/>
      <c r="E1" s="8"/>
      <c r="F1" s="8"/>
      <c r="G1" s="8" t="s">
        <v>556</v>
      </c>
      <c r="H1" s="11" t="s">
        <v>510</v>
      </c>
      <c r="I1" s="11" t="s">
        <v>511</v>
      </c>
      <c r="J1" s="11" t="s">
        <v>509</v>
      </c>
      <c r="K1" s="11" t="s">
        <v>512</v>
      </c>
      <c r="L1" s="11" t="s">
        <v>513</v>
      </c>
      <c r="M1" s="11" t="s">
        <v>514</v>
      </c>
      <c r="N1" s="11" t="s">
        <v>515</v>
      </c>
      <c r="O1" s="11" t="s">
        <v>516</v>
      </c>
      <c r="P1" s="11" t="s">
        <v>517</v>
      </c>
      <c r="Q1" s="11" t="s">
        <v>520</v>
      </c>
      <c r="R1" s="11" t="s">
        <v>519</v>
      </c>
      <c r="S1" s="11" t="s">
        <v>518</v>
      </c>
      <c r="T1" s="11" t="s">
        <v>521</v>
      </c>
      <c r="U1" s="11" t="s">
        <v>522</v>
      </c>
      <c r="V1" s="11" t="s">
        <v>523</v>
      </c>
      <c r="W1" s="11" t="s">
        <v>525</v>
      </c>
      <c r="X1" s="11" t="s">
        <v>526</v>
      </c>
      <c r="Y1" s="11" t="s">
        <v>524</v>
      </c>
      <c r="Z1" s="11" t="s">
        <v>527</v>
      </c>
      <c r="AA1" s="11" t="s">
        <v>528</v>
      </c>
      <c r="AB1" s="11" t="s">
        <v>523</v>
      </c>
      <c r="AC1" s="11" t="s">
        <v>529</v>
      </c>
      <c r="AD1" s="11" t="s">
        <v>530</v>
      </c>
      <c r="AE1" s="11" t="s">
        <v>531</v>
      </c>
      <c r="AF1" s="11" t="s">
        <v>534</v>
      </c>
      <c r="AG1" s="11" t="s">
        <v>533</v>
      </c>
      <c r="AH1" s="11" t="s">
        <v>532</v>
      </c>
      <c r="AI1" s="11" t="s">
        <v>535</v>
      </c>
      <c r="AJ1" s="11" t="s">
        <v>515</v>
      </c>
      <c r="AK1" s="11" t="s">
        <v>536</v>
      </c>
      <c r="AL1" s="11" t="s">
        <v>538</v>
      </c>
      <c r="AM1" s="11" t="s">
        <v>511</v>
      </c>
      <c r="AN1" s="11" t="s">
        <v>537</v>
      </c>
      <c r="AO1" s="11" t="s">
        <v>539</v>
      </c>
      <c r="AP1" s="11" t="s">
        <v>522</v>
      </c>
      <c r="AQ1" s="11" t="s">
        <v>528</v>
      </c>
      <c r="AR1" s="11" t="s">
        <v>541</v>
      </c>
      <c r="AS1" s="11" t="s">
        <v>540</v>
      </c>
      <c r="AT1" s="11" t="s">
        <v>513</v>
      </c>
      <c r="AU1" s="11" t="s">
        <v>515</v>
      </c>
      <c r="AV1" s="11" t="s">
        <v>516</v>
      </c>
      <c r="AW1" s="11" t="s">
        <v>517</v>
      </c>
      <c r="AX1" s="11" t="s">
        <v>538</v>
      </c>
      <c r="AY1" s="11" t="s">
        <v>537</v>
      </c>
      <c r="AZ1" s="11" t="s">
        <v>542</v>
      </c>
      <c r="BA1" s="11" t="s">
        <v>515</v>
      </c>
      <c r="BB1" s="11" t="s">
        <v>543</v>
      </c>
      <c r="BC1" s="11" t="s">
        <v>542</v>
      </c>
      <c r="BD1" s="11" t="s">
        <v>527</v>
      </c>
      <c r="BE1" s="11" t="s">
        <v>541</v>
      </c>
      <c r="BF1" s="11" t="s">
        <v>540</v>
      </c>
      <c r="BG1" s="11" t="s">
        <v>544</v>
      </c>
      <c r="BH1" s="11" t="s">
        <v>522</v>
      </c>
      <c r="BI1" s="11" t="s">
        <v>528</v>
      </c>
      <c r="BJ1" s="11" t="s">
        <v>545</v>
      </c>
      <c r="BK1" s="11" t="s">
        <v>513</v>
      </c>
      <c r="BL1" s="11" t="s">
        <v>514</v>
      </c>
    </row>
    <row r="2" spans="1:64">
      <c r="A2" s="8"/>
      <c r="B2" s="8"/>
      <c r="C2" s="8"/>
      <c r="D2" s="8"/>
      <c r="E2" s="8"/>
      <c r="F2" s="8"/>
      <c r="G2" s="8" t="s">
        <v>557</v>
      </c>
      <c r="H2" s="11" t="s">
        <v>546</v>
      </c>
      <c r="I2" s="11" t="s">
        <v>546</v>
      </c>
      <c r="J2" s="11" t="s">
        <v>546</v>
      </c>
      <c r="K2" s="11" t="s">
        <v>546</v>
      </c>
      <c r="L2" s="11" t="s">
        <v>546</v>
      </c>
      <c r="M2" s="11" t="s">
        <v>546</v>
      </c>
      <c r="N2" s="11" t="s">
        <v>546</v>
      </c>
      <c r="O2" s="11" t="s">
        <v>546</v>
      </c>
      <c r="P2" s="11" t="s">
        <v>546</v>
      </c>
      <c r="Q2" s="11" t="s">
        <v>546</v>
      </c>
      <c r="R2" s="11" t="s">
        <v>546</v>
      </c>
      <c r="S2" s="11" t="s">
        <v>546</v>
      </c>
      <c r="T2" s="11" t="s">
        <v>546</v>
      </c>
      <c r="U2" s="11" t="s">
        <v>546</v>
      </c>
      <c r="V2" s="11" t="s">
        <v>546</v>
      </c>
      <c r="W2" s="11" t="s">
        <v>546</v>
      </c>
      <c r="X2" s="11" t="s">
        <v>546</v>
      </c>
      <c r="Y2" s="11" t="s">
        <v>546</v>
      </c>
      <c r="Z2" s="11" t="s">
        <v>546</v>
      </c>
      <c r="AA2" s="11" t="s">
        <v>546</v>
      </c>
      <c r="AB2" s="11" t="s">
        <v>546</v>
      </c>
      <c r="AC2" s="11" t="s">
        <v>546</v>
      </c>
      <c r="AD2" s="11" t="s">
        <v>546</v>
      </c>
      <c r="AE2" s="11" t="s">
        <v>546</v>
      </c>
      <c r="AF2" s="11" t="s">
        <v>546</v>
      </c>
      <c r="AG2" s="11" t="s">
        <v>546</v>
      </c>
      <c r="AH2" s="11" t="s">
        <v>546</v>
      </c>
      <c r="AI2" s="11" t="s">
        <v>546</v>
      </c>
      <c r="AJ2" s="11" t="s">
        <v>546</v>
      </c>
      <c r="AK2" s="11" t="s">
        <v>546</v>
      </c>
      <c r="AL2" s="11" t="s">
        <v>546</v>
      </c>
      <c r="AM2" s="11" t="s">
        <v>546</v>
      </c>
      <c r="AN2" s="11" t="s">
        <v>546</v>
      </c>
      <c r="AO2" s="11" t="s">
        <v>546</v>
      </c>
      <c r="AP2" s="11" t="s">
        <v>546</v>
      </c>
      <c r="AQ2" s="11" t="s">
        <v>546</v>
      </c>
      <c r="AR2" s="11" t="s">
        <v>546</v>
      </c>
      <c r="AS2" s="11" t="s">
        <v>546</v>
      </c>
      <c r="AT2" s="11" t="s">
        <v>546</v>
      </c>
      <c r="AU2" s="11" t="s">
        <v>546</v>
      </c>
      <c r="AV2" s="11" t="s">
        <v>546</v>
      </c>
      <c r="AW2" s="11" t="s">
        <v>546</v>
      </c>
      <c r="AX2" s="11" t="s">
        <v>546</v>
      </c>
      <c r="AY2" s="11" t="s">
        <v>546</v>
      </c>
      <c r="AZ2" s="11" t="s">
        <v>546</v>
      </c>
      <c r="BA2" s="11" t="s">
        <v>546</v>
      </c>
      <c r="BB2" s="11" t="s">
        <v>546</v>
      </c>
      <c r="BC2" s="11" t="s">
        <v>546</v>
      </c>
      <c r="BD2" s="11" t="s">
        <v>546</v>
      </c>
      <c r="BE2" s="11" t="s">
        <v>546</v>
      </c>
      <c r="BF2" s="11" t="s">
        <v>546</v>
      </c>
      <c r="BG2" s="11" t="s">
        <v>546</v>
      </c>
      <c r="BH2" s="11" t="s">
        <v>546</v>
      </c>
      <c r="BI2" s="11" t="s">
        <v>546</v>
      </c>
      <c r="BJ2" s="11" t="s">
        <v>546</v>
      </c>
      <c r="BK2" s="11" t="s">
        <v>546</v>
      </c>
      <c r="BL2" s="11" t="s">
        <v>546</v>
      </c>
    </row>
    <row r="3" spans="1:64">
      <c r="A3" s="8"/>
      <c r="B3" s="8"/>
      <c r="C3" s="8"/>
      <c r="D3" s="8"/>
      <c r="E3" s="8"/>
      <c r="F3" s="8"/>
      <c r="G3" s="8" t="s">
        <v>558</v>
      </c>
      <c r="H3" s="11" t="s">
        <v>547</v>
      </c>
      <c r="I3" s="11" t="s">
        <v>547</v>
      </c>
      <c r="J3" s="11" t="s">
        <v>547</v>
      </c>
      <c r="K3" s="11" t="s">
        <v>547</v>
      </c>
      <c r="L3" s="11" t="s">
        <v>547</v>
      </c>
      <c r="M3" s="11" t="s">
        <v>547</v>
      </c>
      <c r="N3" s="11" t="s">
        <v>547</v>
      </c>
      <c r="O3" s="11" t="s">
        <v>547</v>
      </c>
      <c r="P3" s="11" t="s">
        <v>547</v>
      </c>
      <c r="Q3" s="11" t="s">
        <v>547</v>
      </c>
      <c r="R3" s="11" t="s">
        <v>547</v>
      </c>
      <c r="S3" s="11" t="s">
        <v>547</v>
      </c>
      <c r="T3" s="11" t="s">
        <v>547</v>
      </c>
      <c r="U3" s="11" t="s">
        <v>547</v>
      </c>
      <c r="V3" s="11" t="s">
        <v>547</v>
      </c>
      <c r="W3" s="11" t="s">
        <v>547</v>
      </c>
      <c r="X3" s="11" t="s">
        <v>547</v>
      </c>
      <c r="Y3" s="11" t="s">
        <v>547</v>
      </c>
      <c r="Z3" s="11" t="s">
        <v>547</v>
      </c>
      <c r="AA3" s="11" t="s">
        <v>547</v>
      </c>
      <c r="AB3" s="11" t="s">
        <v>547</v>
      </c>
      <c r="AC3" s="11" t="s">
        <v>547</v>
      </c>
      <c r="AD3" s="11" t="s">
        <v>547</v>
      </c>
      <c r="AE3" s="11" t="s">
        <v>547</v>
      </c>
      <c r="AF3" s="11" t="s">
        <v>547</v>
      </c>
      <c r="AG3" s="11" t="s">
        <v>547</v>
      </c>
      <c r="AH3" s="11" t="s">
        <v>547</v>
      </c>
      <c r="AI3" s="11" t="s">
        <v>547</v>
      </c>
      <c r="AJ3" s="11" t="s">
        <v>547</v>
      </c>
      <c r="AK3" s="11" t="s">
        <v>547</v>
      </c>
      <c r="AL3" s="11" t="s">
        <v>547</v>
      </c>
      <c r="AM3" s="11" t="s">
        <v>547</v>
      </c>
      <c r="AN3" s="11" t="s">
        <v>547</v>
      </c>
      <c r="AO3" s="11" t="s">
        <v>547</v>
      </c>
      <c r="AP3" s="11" t="s">
        <v>547</v>
      </c>
      <c r="AQ3" s="11" t="s">
        <v>547</v>
      </c>
      <c r="AR3" s="11" t="s">
        <v>547</v>
      </c>
      <c r="AS3" s="11" t="s">
        <v>547</v>
      </c>
      <c r="AT3" s="11" t="s">
        <v>547</v>
      </c>
      <c r="AU3" s="11" t="s">
        <v>547</v>
      </c>
      <c r="AV3" s="11" t="s">
        <v>547</v>
      </c>
      <c r="AW3" s="11" t="s">
        <v>547</v>
      </c>
      <c r="AX3" s="11" t="s">
        <v>547</v>
      </c>
      <c r="AY3" s="11" t="s">
        <v>547</v>
      </c>
      <c r="AZ3" s="11" t="s">
        <v>547</v>
      </c>
      <c r="BA3" s="11" t="s">
        <v>547</v>
      </c>
      <c r="BB3" s="11" t="s">
        <v>547</v>
      </c>
      <c r="BC3" s="11" t="s">
        <v>547</v>
      </c>
      <c r="BD3" s="11" t="s">
        <v>547</v>
      </c>
      <c r="BE3" s="11" t="s">
        <v>547</v>
      </c>
      <c r="BF3" s="11" t="s">
        <v>547</v>
      </c>
      <c r="BG3" s="11" t="s">
        <v>547</v>
      </c>
      <c r="BH3" s="11" t="s">
        <v>547</v>
      </c>
      <c r="BI3" s="11" t="s">
        <v>547</v>
      </c>
      <c r="BJ3" s="11" t="s">
        <v>547</v>
      </c>
      <c r="BK3" s="11" t="s">
        <v>547</v>
      </c>
      <c r="BL3" s="11" t="s">
        <v>547</v>
      </c>
    </row>
    <row r="4" spans="1:64">
      <c r="A4" s="8"/>
      <c r="B4" s="8"/>
      <c r="C4" s="8"/>
      <c r="D4" s="8"/>
      <c r="E4" s="8"/>
      <c r="F4" s="8"/>
      <c r="G4" s="8" t="s">
        <v>559</v>
      </c>
      <c r="H4" s="11" t="s">
        <v>582</v>
      </c>
      <c r="I4" s="11" t="s">
        <v>582</v>
      </c>
      <c r="J4" s="11" t="s">
        <v>582</v>
      </c>
      <c r="K4" s="11" t="s">
        <v>583</v>
      </c>
      <c r="L4" s="11" t="s">
        <v>583</v>
      </c>
      <c r="M4" s="11" t="s">
        <v>583</v>
      </c>
      <c r="N4" s="11" t="s">
        <v>584</v>
      </c>
      <c r="O4" s="11" t="s">
        <v>584</v>
      </c>
      <c r="P4" s="11" t="s">
        <v>584</v>
      </c>
      <c r="Q4" s="11" t="s">
        <v>585</v>
      </c>
      <c r="R4" s="11" t="s">
        <v>585</v>
      </c>
      <c r="S4" s="11" t="s">
        <v>585</v>
      </c>
      <c r="T4" s="11" t="s">
        <v>586</v>
      </c>
      <c r="U4" s="11" t="s">
        <v>586</v>
      </c>
      <c r="V4" s="11" t="s">
        <v>586</v>
      </c>
      <c r="W4" s="11" t="s">
        <v>587</v>
      </c>
      <c r="X4" s="11" t="s">
        <v>587</v>
      </c>
      <c r="Y4" s="11" t="s">
        <v>587</v>
      </c>
      <c r="Z4" s="11" t="s">
        <v>588</v>
      </c>
      <c r="AA4" s="11" t="s">
        <v>588</v>
      </c>
      <c r="AB4" s="11" t="s">
        <v>588</v>
      </c>
      <c r="AC4" s="11" t="s">
        <v>589</v>
      </c>
      <c r="AD4" s="11" t="s">
        <v>589</v>
      </c>
      <c r="AE4" s="11" t="s">
        <v>589</v>
      </c>
      <c r="AF4" s="11" t="s">
        <v>590</v>
      </c>
      <c r="AG4" s="11" t="s">
        <v>590</v>
      </c>
      <c r="AH4" s="11" t="s">
        <v>590</v>
      </c>
      <c r="AI4" s="11" t="s">
        <v>591</v>
      </c>
      <c r="AJ4" s="11" t="s">
        <v>591</v>
      </c>
      <c r="AK4" s="11" t="s">
        <v>591</v>
      </c>
      <c r="AL4" s="11" t="s">
        <v>592</v>
      </c>
      <c r="AM4" s="11" t="s">
        <v>592</v>
      </c>
      <c r="AN4" s="11" t="s">
        <v>592</v>
      </c>
      <c r="AO4" s="11" t="s">
        <v>593</v>
      </c>
      <c r="AP4" s="11" t="s">
        <v>593</v>
      </c>
      <c r="AQ4" s="11" t="s">
        <v>593</v>
      </c>
      <c r="AR4" s="11" t="s">
        <v>594</v>
      </c>
      <c r="AS4" s="11" t="s">
        <v>594</v>
      </c>
      <c r="AT4" s="11" t="s">
        <v>594</v>
      </c>
      <c r="AU4" s="11" t="s">
        <v>595</v>
      </c>
      <c r="AV4" s="11" t="s">
        <v>595</v>
      </c>
      <c r="AW4" s="11" t="s">
        <v>595</v>
      </c>
      <c r="AX4" s="11" t="s">
        <v>596</v>
      </c>
      <c r="AY4" s="11" t="s">
        <v>596</v>
      </c>
      <c r="AZ4" s="11" t="s">
        <v>596</v>
      </c>
      <c r="BA4" s="11" t="s">
        <v>597</v>
      </c>
      <c r="BB4" s="11" t="s">
        <v>597</v>
      </c>
      <c r="BC4" s="11" t="s">
        <v>597</v>
      </c>
      <c r="BD4" s="11" t="s">
        <v>598</v>
      </c>
      <c r="BE4" s="11" t="s">
        <v>598</v>
      </c>
      <c r="BF4" s="11" t="s">
        <v>598</v>
      </c>
      <c r="BG4" s="11" t="s">
        <v>599</v>
      </c>
      <c r="BH4" s="11" t="s">
        <v>599</v>
      </c>
      <c r="BI4" s="11" t="s">
        <v>599</v>
      </c>
      <c r="BJ4" s="11" t="s">
        <v>600</v>
      </c>
      <c r="BK4" s="11" t="s">
        <v>600</v>
      </c>
      <c r="BL4" s="11" t="s">
        <v>600</v>
      </c>
    </row>
    <row r="5" spans="1:64">
      <c r="A5" s="9"/>
      <c r="B5" s="10"/>
      <c r="C5" s="10"/>
      <c r="D5" s="10"/>
      <c r="E5" s="10"/>
      <c r="F5" s="10"/>
      <c r="G5" s="12" t="s">
        <v>560</v>
      </c>
      <c r="H5" s="3" t="s">
        <v>55</v>
      </c>
      <c r="I5" s="3" t="s">
        <v>54</v>
      </c>
      <c r="J5" s="3" t="s">
        <v>56</v>
      </c>
      <c r="K5" s="3" t="s">
        <v>53</v>
      </c>
      <c r="L5" s="3" t="s">
        <v>52</v>
      </c>
      <c r="M5" s="3" t="s">
        <v>51</v>
      </c>
      <c r="N5" s="3" t="s">
        <v>50</v>
      </c>
      <c r="O5" s="3" t="s">
        <v>49</v>
      </c>
      <c r="P5" s="3" t="s">
        <v>48</v>
      </c>
      <c r="Q5" s="3" t="s">
        <v>45</v>
      </c>
      <c r="R5" s="3" t="s">
        <v>46</v>
      </c>
      <c r="S5" s="3" t="s">
        <v>47</v>
      </c>
      <c r="T5" s="3" t="s">
        <v>44</v>
      </c>
      <c r="U5" s="3" t="s">
        <v>43</v>
      </c>
      <c r="V5" s="3" t="s">
        <v>42</v>
      </c>
      <c r="W5" s="3" t="s">
        <v>40</v>
      </c>
      <c r="X5" s="3" t="s">
        <v>39</v>
      </c>
      <c r="Y5" s="3" t="s">
        <v>41</v>
      </c>
      <c r="Z5" s="3" t="s">
        <v>37</v>
      </c>
      <c r="AA5" s="3" t="s">
        <v>36</v>
      </c>
      <c r="AB5" s="3" t="s">
        <v>38</v>
      </c>
      <c r="AC5" s="3" t="s">
        <v>35</v>
      </c>
      <c r="AD5" s="3" t="s">
        <v>34</v>
      </c>
      <c r="AE5" s="3" t="s">
        <v>33</v>
      </c>
      <c r="AF5" s="3" t="s">
        <v>30</v>
      </c>
      <c r="AG5" s="3" t="s">
        <v>31</v>
      </c>
      <c r="AH5" s="3" t="s">
        <v>32</v>
      </c>
      <c r="AI5" s="3" t="s">
        <v>29</v>
      </c>
      <c r="AJ5" s="3" t="s">
        <v>27</v>
      </c>
      <c r="AK5" s="3" t="s">
        <v>28</v>
      </c>
      <c r="AL5" s="3" t="s">
        <v>24</v>
      </c>
      <c r="AM5" s="3" t="s">
        <v>26</v>
      </c>
      <c r="AN5" s="3" t="s">
        <v>25</v>
      </c>
      <c r="AO5" s="3" t="s">
        <v>21</v>
      </c>
      <c r="AP5" s="3" t="s">
        <v>22</v>
      </c>
      <c r="AQ5" s="3" t="s">
        <v>23</v>
      </c>
      <c r="AR5" s="3" t="s">
        <v>18</v>
      </c>
      <c r="AS5" s="3" t="s">
        <v>19</v>
      </c>
      <c r="AT5" s="3" t="s">
        <v>20</v>
      </c>
      <c r="AU5" s="3" t="s">
        <v>16</v>
      </c>
      <c r="AV5" s="3" t="s">
        <v>17</v>
      </c>
      <c r="AW5" s="3" t="s">
        <v>15</v>
      </c>
      <c r="AX5" s="3" t="s">
        <v>13</v>
      </c>
      <c r="AY5" s="3" t="s">
        <v>14</v>
      </c>
      <c r="AZ5" s="3" t="s">
        <v>12</v>
      </c>
      <c r="BA5" s="3" t="s">
        <v>9</v>
      </c>
      <c r="BB5" s="3" t="s">
        <v>11</v>
      </c>
      <c r="BC5" s="3" t="s">
        <v>10</v>
      </c>
      <c r="BD5" s="3" t="s">
        <v>8</v>
      </c>
      <c r="BE5" s="3" t="s">
        <v>7</v>
      </c>
      <c r="BF5" s="3" t="s">
        <v>6</v>
      </c>
      <c r="BG5" s="3" t="s">
        <v>4</v>
      </c>
      <c r="BH5" s="3" t="s">
        <v>3</v>
      </c>
      <c r="BI5" s="3" t="s">
        <v>5</v>
      </c>
      <c r="BJ5" s="3" t="s">
        <v>0</v>
      </c>
      <c r="BK5" s="3" t="s">
        <v>2</v>
      </c>
      <c r="BL5" s="3" t="s">
        <v>1</v>
      </c>
    </row>
    <row r="6" spans="1:64">
      <c r="A6" s="9"/>
      <c r="B6" s="10"/>
      <c r="C6" s="10"/>
      <c r="D6" s="10"/>
      <c r="E6" s="10"/>
      <c r="F6" s="10"/>
      <c r="G6" s="12" t="s">
        <v>561</v>
      </c>
      <c r="H6" s="17">
        <v>85781</v>
      </c>
      <c r="I6" s="17">
        <v>85781</v>
      </c>
      <c r="J6" s="17">
        <v>85781</v>
      </c>
      <c r="K6" s="17">
        <v>85785</v>
      </c>
      <c r="L6" s="17">
        <v>85785</v>
      </c>
      <c r="M6" s="17">
        <v>85785</v>
      </c>
      <c r="N6" s="17">
        <v>85789</v>
      </c>
      <c r="O6" s="17">
        <v>85789</v>
      </c>
      <c r="P6" s="17">
        <v>85789</v>
      </c>
      <c r="Q6" s="17">
        <v>85793</v>
      </c>
      <c r="R6" s="17">
        <v>85793</v>
      </c>
      <c r="S6" s="17">
        <v>85793</v>
      </c>
      <c r="T6" s="17">
        <v>85797</v>
      </c>
      <c r="U6" s="17">
        <v>85797</v>
      </c>
      <c r="V6" s="17">
        <v>85797</v>
      </c>
      <c r="W6" s="17">
        <v>85801</v>
      </c>
      <c r="X6" s="17">
        <v>85801</v>
      </c>
      <c r="Y6" s="17">
        <v>85801</v>
      </c>
      <c r="Z6" s="17">
        <v>85805</v>
      </c>
      <c r="AA6" s="17">
        <v>85805</v>
      </c>
      <c r="AB6" s="17">
        <v>85805</v>
      </c>
      <c r="AC6" s="17">
        <v>85809</v>
      </c>
      <c r="AD6" s="17">
        <v>85809</v>
      </c>
      <c r="AE6" s="17">
        <v>85809</v>
      </c>
      <c r="AF6" s="17">
        <v>85813</v>
      </c>
      <c r="AG6" s="17">
        <v>85813</v>
      </c>
      <c r="AH6" s="17">
        <v>85813</v>
      </c>
      <c r="AI6" s="17">
        <v>85817</v>
      </c>
      <c r="AJ6" s="17">
        <v>85817</v>
      </c>
      <c r="AK6" s="17">
        <v>85817</v>
      </c>
      <c r="AL6" s="17">
        <v>85821</v>
      </c>
      <c r="AM6" s="17">
        <v>85821</v>
      </c>
      <c r="AN6" s="17">
        <v>85821</v>
      </c>
      <c r="AO6" s="17">
        <v>85825</v>
      </c>
      <c r="AP6" s="17">
        <v>85825</v>
      </c>
      <c r="AQ6" s="17">
        <v>85825</v>
      </c>
      <c r="AR6" s="17">
        <v>85829</v>
      </c>
      <c r="AS6" s="17">
        <v>85829</v>
      </c>
      <c r="AT6" s="17">
        <v>85829</v>
      </c>
      <c r="AU6" s="17">
        <v>85833</v>
      </c>
      <c r="AV6" s="17">
        <v>85833</v>
      </c>
      <c r="AW6" s="17">
        <v>85833</v>
      </c>
      <c r="AX6" s="17">
        <v>85837</v>
      </c>
      <c r="AY6" s="17">
        <v>85837</v>
      </c>
      <c r="AZ6" s="17">
        <v>85837</v>
      </c>
      <c r="BA6" s="17">
        <v>85841</v>
      </c>
      <c r="BB6" s="17">
        <v>85841</v>
      </c>
      <c r="BC6" s="17">
        <v>85841</v>
      </c>
      <c r="BD6" s="17">
        <v>85845</v>
      </c>
      <c r="BE6" s="17">
        <v>85845</v>
      </c>
      <c r="BF6" s="17">
        <v>85845</v>
      </c>
      <c r="BG6" s="17">
        <v>85849</v>
      </c>
      <c r="BH6" s="17">
        <v>85849</v>
      </c>
      <c r="BI6" s="17">
        <v>85849</v>
      </c>
      <c r="BJ6" s="17">
        <v>85853</v>
      </c>
      <c r="BK6" s="17">
        <v>85853</v>
      </c>
      <c r="BL6" s="17">
        <v>85853</v>
      </c>
    </row>
    <row r="7" spans="1:64">
      <c r="A7" s="9"/>
      <c r="B7" s="10"/>
      <c r="C7" s="10"/>
      <c r="D7" s="10"/>
      <c r="E7" s="10"/>
      <c r="F7" s="10"/>
      <c r="G7" s="12" t="s">
        <v>562</v>
      </c>
      <c r="H7" s="17">
        <v>85782</v>
      </c>
      <c r="I7" s="17">
        <v>85783</v>
      </c>
      <c r="J7" s="17">
        <v>85784</v>
      </c>
      <c r="K7" s="17">
        <v>85786</v>
      </c>
      <c r="L7" s="17">
        <v>85787</v>
      </c>
      <c r="M7" s="17">
        <v>85788</v>
      </c>
      <c r="N7" s="17">
        <v>85790</v>
      </c>
      <c r="O7" s="17">
        <v>85791</v>
      </c>
      <c r="P7" s="17">
        <v>85792</v>
      </c>
      <c r="Q7" s="17">
        <v>85794</v>
      </c>
      <c r="R7" s="17">
        <v>85795</v>
      </c>
      <c r="S7" s="17">
        <v>85796</v>
      </c>
      <c r="T7" s="17">
        <v>85798</v>
      </c>
      <c r="U7" s="17">
        <v>85799</v>
      </c>
      <c r="V7" s="17">
        <v>85800</v>
      </c>
      <c r="W7" s="17">
        <v>85802</v>
      </c>
      <c r="X7" s="17">
        <v>85803</v>
      </c>
      <c r="Y7" s="17">
        <v>85804</v>
      </c>
      <c r="Z7" s="17">
        <v>85806</v>
      </c>
      <c r="AA7" s="17">
        <v>85807</v>
      </c>
      <c r="AB7" s="17">
        <v>85808</v>
      </c>
      <c r="AC7" s="17">
        <v>85810</v>
      </c>
      <c r="AD7" s="17">
        <v>85811</v>
      </c>
      <c r="AE7" s="17">
        <v>85812</v>
      </c>
      <c r="AF7" s="17">
        <v>85814</v>
      </c>
      <c r="AG7" s="17">
        <v>85815</v>
      </c>
      <c r="AH7" s="17">
        <v>85816</v>
      </c>
      <c r="AI7" s="17">
        <v>85818</v>
      </c>
      <c r="AJ7" s="17">
        <v>85819</v>
      </c>
      <c r="AK7" s="17">
        <v>85820</v>
      </c>
      <c r="AL7" s="17">
        <v>85822</v>
      </c>
      <c r="AM7" s="17">
        <v>85823</v>
      </c>
      <c r="AN7" s="17">
        <v>85824</v>
      </c>
      <c r="AO7" s="17">
        <v>85826</v>
      </c>
      <c r="AP7" s="17">
        <v>85827</v>
      </c>
      <c r="AQ7" s="17">
        <v>85828</v>
      </c>
      <c r="AR7" s="17">
        <v>85830</v>
      </c>
      <c r="AS7" s="17">
        <v>85832</v>
      </c>
      <c r="AT7" s="17">
        <v>85831</v>
      </c>
      <c r="AU7" s="17">
        <v>85834</v>
      </c>
      <c r="AV7" s="17">
        <v>85836</v>
      </c>
      <c r="AW7" s="17">
        <v>85835</v>
      </c>
      <c r="AX7" s="17">
        <v>85838</v>
      </c>
      <c r="AY7" s="17">
        <v>85839</v>
      </c>
      <c r="AZ7" s="17">
        <v>85840</v>
      </c>
      <c r="BA7" s="17">
        <v>85842</v>
      </c>
      <c r="BB7" s="17">
        <v>85843</v>
      </c>
      <c r="BC7" s="17">
        <v>85844</v>
      </c>
      <c r="BD7" s="17">
        <v>85846</v>
      </c>
      <c r="BE7" s="17">
        <v>85847</v>
      </c>
      <c r="BF7" s="17">
        <v>85848</v>
      </c>
      <c r="BG7" s="17">
        <v>85850</v>
      </c>
      <c r="BH7" s="17">
        <v>85851</v>
      </c>
      <c r="BI7" s="17">
        <v>85852</v>
      </c>
      <c r="BJ7" s="17">
        <v>85854</v>
      </c>
      <c r="BK7" s="17">
        <v>85855</v>
      </c>
      <c r="BL7" s="17">
        <v>85856</v>
      </c>
    </row>
    <row r="8" spans="1:64">
      <c r="A8" s="9"/>
      <c r="B8" s="10"/>
      <c r="C8" s="10"/>
      <c r="D8" s="10"/>
      <c r="E8" s="10"/>
      <c r="F8" s="10"/>
      <c r="G8" s="12" t="s">
        <v>548</v>
      </c>
      <c r="H8" s="13">
        <f t="shared" ref="H8:AM8" si="0">SUM(H10:H136)</f>
        <v>4999992</v>
      </c>
      <c r="I8" s="13">
        <f t="shared" si="0"/>
        <v>4999997</v>
      </c>
      <c r="J8" s="13">
        <f t="shared" si="0"/>
        <v>4999993</v>
      </c>
      <c r="K8" s="13">
        <f t="shared" si="0"/>
        <v>4999998</v>
      </c>
      <c r="L8" s="13">
        <f t="shared" si="0"/>
        <v>4999998</v>
      </c>
      <c r="M8" s="13">
        <f t="shared" si="0"/>
        <v>4999997</v>
      </c>
      <c r="N8" s="13">
        <f t="shared" si="0"/>
        <v>5000003</v>
      </c>
      <c r="O8" s="13">
        <f t="shared" si="0"/>
        <v>5000007</v>
      </c>
      <c r="P8" s="13">
        <f t="shared" si="0"/>
        <v>5000004</v>
      </c>
      <c r="Q8" s="13">
        <f t="shared" si="0"/>
        <v>4999999</v>
      </c>
      <c r="R8" s="13">
        <f t="shared" si="0"/>
        <v>5000002</v>
      </c>
      <c r="S8" s="13">
        <f t="shared" si="0"/>
        <v>5000007</v>
      </c>
      <c r="T8" s="13">
        <f t="shared" si="0"/>
        <v>5000002</v>
      </c>
      <c r="U8" s="13">
        <f t="shared" si="0"/>
        <v>5000001</v>
      </c>
      <c r="V8" s="13">
        <f t="shared" si="0"/>
        <v>4999996</v>
      </c>
      <c r="W8" s="13">
        <f t="shared" si="0"/>
        <v>5000002</v>
      </c>
      <c r="X8" s="13">
        <f t="shared" si="0"/>
        <v>5000005</v>
      </c>
      <c r="Y8" s="13">
        <f t="shared" si="0"/>
        <v>5000001</v>
      </c>
      <c r="Z8" s="13">
        <f t="shared" si="0"/>
        <v>4999998</v>
      </c>
      <c r="AA8" s="13">
        <f t="shared" si="0"/>
        <v>5000005</v>
      </c>
      <c r="AB8" s="13">
        <f t="shared" si="0"/>
        <v>5000002</v>
      </c>
      <c r="AC8" s="13">
        <f t="shared" si="0"/>
        <v>4999997</v>
      </c>
      <c r="AD8" s="13">
        <f t="shared" si="0"/>
        <v>5000005</v>
      </c>
      <c r="AE8" s="13">
        <f t="shared" si="0"/>
        <v>5000010</v>
      </c>
      <c r="AF8" s="13">
        <f t="shared" si="0"/>
        <v>4999999</v>
      </c>
      <c r="AG8" s="13">
        <f t="shared" si="0"/>
        <v>5000001</v>
      </c>
      <c r="AH8" s="13">
        <f t="shared" si="0"/>
        <v>4999999</v>
      </c>
      <c r="AI8" s="13">
        <f t="shared" si="0"/>
        <v>4999999</v>
      </c>
      <c r="AJ8" s="13">
        <f t="shared" si="0"/>
        <v>4999999</v>
      </c>
      <c r="AK8" s="13">
        <f t="shared" si="0"/>
        <v>5000000</v>
      </c>
      <c r="AL8" s="13">
        <f t="shared" si="0"/>
        <v>5000000</v>
      </c>
      <c r="AM8" s="13">
        <f t="shared" si="0"/>
        <v>4999997</v>
      </c>
      <c r="AN8" s="13">
        <f t="shared" ref="AN8:BL8" si="1">SUM(AN10:AN136)</f>
        <v>4999996</v>
      </c>
      <c r="AO8" s="13">
        <f t="shared" si="1"/>
        <v>4999998</v>
      </c>
      <c r="AP8" s="13">
        <f t="shared" si="1"/>
        <v>5000001</v>
      </c>
      <c r="AQ8" s="13">
        <f t="shared" si="1"/>
        <v>5000000</v>
      </c>
      <c r="AR8" s="13">
        <f t="shared" si="1"/>
        <v>5000000</v>
      </c>
      <c r="AS8" s="13">
        <f t="shared" si="1"/>
        <v>5000000</v>
      </c>
      <c r="AT8" s="13">
        <f t="shared" si="1"/>
        <v>5000000</v>
      </c>
      <c r="AU8" s="13">
        <f t="shared" si="1"/>
        <v>5000000</v>
      </c>
      <c r="AV8" s="13">
        <f t="shared" si="1"/>
        <v>5000000</v>
      </c>
      <c r="AW8" s="13">
        <f t="shared" si="1"/>
        <v>5000002</v>
      </c>
      <c r="AX8" s="13">
        <f t="shared" si="1"/>
        <v>5000000</v>
      </c>
      <c r="AY8" s="13">
        <f t="shared" si="1"/>
        <v>5000002</v>
      </c>
      <c r="AZ8" s="13">
        <f t="shared" si="1"/>
        <v>4999998</v>
      </c>
      <c r="BA8" s="13">
        <f t="shared" si="1"/>
        <v>4999999</v>
      </c>
      <c r="BB8" s="13">
        <f t="shared" si="1"/>
        <v>5000003</v>
      </c>
      <c r="BC8" s="13">
        <f t="shared" si="1"/>
        <v>5000000</v>
      </c>
      <c r="BD8" s="13">
        <f t="shared" si="1"/>
        <v>4999994</v>
      </c>
      <c r="BE8" s="13">
        <f t="shared" si="1"/>
        <v>4999998</v>
      </c>
      <c r="BF8" s="13">
        <f t="shared" si="1"/>
        <v>4999997</v>
      </c>
      <c r="BG8" s="13">
        <f t="shared" si="1"/>
        <v>5000001</v>
      </c>
      <c r="BH8" s="13">
        <f t="shared" si="1"/>
        <v>4999999</v>
      </c>
      <c r="BI8" s="13">
        <f t="shared" si="1"/>
        <v>5000003</v>
      </c>
      <c r="BJ8" s="13">
        <f t="shared" si="1"/>
        <v>4999996</v>
      </c>
      <c r="BK8" s="13">
        <f t="shared" si="1"/>
        <v>5000002</v>
      </c>
      <c r="BL8" s="13">
        <f t="shared" si="1"/>
        <v>5000005</v>
      </c>
    </row>
    <row r="9" spans="1:64">
      <c r="A9" s="9" t="s">
        <v>549</v>
      </c>
      <c r="B9" s="12" t="s">
        <v>550</v>
      </c>
      <c r="C9" s="12" t="s">
        <v>551</v>
      </c>
      <c r="D9" s="12" t="s">
        <v>552</v>
      </c>
      <c r="E9" s="12" t="s">
        <v>553</v>
      </c>
      <c r="F9" s="12" t="s">
        <v>554</v>
      </c>
      <c r="G9" s="12" t="s">
        <v>555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4">
      <c r="A10" s="1" t="s">
        <v>101</v>
      </c>
      <c r="B10" s="14">
        <v>587728</v>
      </c>
      <c r="C10" s="14">
        <v>174</v>
      </c>
      <c r="D10" s="2" t="str">
        <f>HYPERLINK("http://128.120.136.21:8080/binbase-compound/bin/show/206261?db=rtx5","206261")</f>
        <v>206261</v>
      </c>
      <c r="E10" s="2" t="s">
        <v>102</v>
      </c>
      <c r="F10" s="2" t="str">
        <f>HYPERLINK("http://www.genome.ad.jp/dbget-bin/www_bget?compound+C00134","C00134")</f>
        <v>C00134</v>
      </c>
      <c r="G10" s="2" t="str">
        <f>HYPERLINK("http://pubchem.ncbi.nlm.nih.gov/summary/summary.cgi?cid=1045","1045")</f>
        <v>1045</v>
      </c>
      <c r="H10" s="10">
        <v>387380</v>
      </c>
      <c r="I10" s="10">
        <v>401749</v>
      </c>
      <c r="J10" s="10">
        <v>664321</v>
      </c>
      <c r="K10" s="10">
        <v>417426</v>
      </c>
      <c r="L10" s="10">
        <v>611192</v>
      </c>
      <c r="M10" s="10">
        <v>501667</v>
      </c>
      <c r="N10" s="10">
        <v>444190</v>
      </c>
      <c r="O10" s="10">
        <v>537095</v>
      </c>
      <c r="P10" s="10">
        <v>449216</v>
      </c>
      <c r="Q10" s="10">
        <v>3787</v>
      </c>
      <c r="R10" s="10">
        <v>5796</v>
      </c>
      <c r="S10" s="10">
        <v>7946</v>
      </c>
      <c r="T10" s="10">
        <v>440407</v>
      </c>
      <c r="U10" s="10">
        <v>416101</v>
      </c>
      <c r="V10" s="10">
        <v>689521</v>
      </c>
      <c r="W10" s="10">
        <v>517415</v>
      </c>
      <c r="X10" s="10">
        <v>607296</v>
      </c>
      <c r="Y10" s="10">
        <v>588899</v>
      </c>
      <c r="Z10" s="10">
        <v>978359</v>
      </c>
      <c r="AA10" s="10">
        <v>906826</v>
      </c>
      <c r="AB10" s="10">
        <v>702862</v>
      </c>
      <c r="AC10" s="10">
        <v>475663</v>
      </c>
      <c r="AD10" s="10">
        <v>652576</v>
      </c>
      <c r="AE10" s="10">
        <v>578880</v>
      </c>
      <c r="AF10" s="10">
        <v>471927</v>
      </c>
      <c r="AG10" s="10">
        <v>478135</v>
      </c>
      <c r="AH10" s="10">
        <v>578764</v>
      </c>
      <c r="AI10" s="10">
        <v>659289</v>
      </c>
      <c r="AJ10" s="10">
        <v>738888</v>
      </c>
      <c r="AK10" s="10">
        <v>1321189</v>
      </c>
      <c r="AL10" s="10">
        <v>664870</v>
      </c>
      <c r="AM10" s="10">
        <v>910186</v>
      </c>
      <c r="AN10" s="10">
        <v>787420</v>
      </c>
      <c r="AO10" s="10">
        <v>741942</v>
      </c>
      <c r="AP10" s="10">
        <v>538590</v>
      </c>
      <c r="AQ10" s="10">
        <v>686202</v>
      </c>
      <c r="AR10" s="10">
        <v>982375</v>
      </c>
      <c r="AS10" s="10">
        <v>886992</v>
      </c>
      <c r="AT10" s="10">
        <v>809435</v>
      </c>
      <c r="AU10" s="10">
        <v>400198</v>
      </c>
      <c r="AV10" s="10">
        <v>698979</v>
      </c>
      <c r="AW10" s="10">
        <v>691822</v>
      </c>
      <c r="AX10" s="10">
        <v>341534</v>
      </c>
      <c r="AY10" s="10">
        <v>380902</v>
      </c>
      <c r="AZ10" s="10">
        <v>549089</v>
      </c>
      <c r="BA10" s="10">
        <v>1097419</v>
      </c>
      <c r="BB10" s="10">
        <v>1024489</v>
      </c>
      <c r="BC10" s="10">
        <v>1008102</v>
      </c>
      <c r="BD10" s="10">
        <v>1310473</v>
      </c>
      <c r="BE10" s="10">
        <v>1145597</v>
      </c>
      <c r="BF10" s="10">
        <v>642690</v>
      </c>
      <c r="BG10" s="10">
        <v>616486</v>
      </c>
      <c r="BH10" s="10">
        <v>1136395</v>
      </c>
      <c r="BI10" s="10">
        <v>1045797</v>
      </c>
      <c r="BJ10" s="10">
        <v>715420</v>
      </c>
      <c r="BK10" s="10">
        <v>516212</v>
      </c>
      <c r="BL10" s="10">
        <v>660459</v>
      </c>
    </row>
    <row r="11" spans="1:64">
      <c r="A11" s="1" t="s">
        <v>259</v>
      </c>
      <c r="B11" s="14">
        <v>546892</v>
      </c>
      <c r="C11" s="14">
        <v>217</v>
      </c>
      <c r="D11" s="2" t="str">
        <f>HYPERLINK("http://128.120.136.21:8080/binbase-compound/bin/show/202065?db=rtx5","202065")</f>
        <v>202065</v>
      </c>
      <c r="E11" s="2" t="s">
        <v>260</v>
      </c>
      <c r="F11" s="2" t="str">
        <f>HYPERLINK("http://www.genome.ad.jp/dbget-bin/www_bget?compound+C00259","C00259")</f>
        <v>C00259</v>
      </c>
      <c r="G11" s="2" t="str">
        <f>HYPERLINK("http://pubchem.ncbi.nlm.nih.gov/summary/summary.cgi?cid=229","229")</f>
        <v>229</v>
      </c>
      <c r="H11" s="10">
        <v>800622</v>
      </c>
      <c r="I11" s="10">
        <v>590806</v>
      </c>
      <c r="J11" s="10">
        <v>754328</v>
      </c>
      <c r="K11" s="10">
        <v>677948</v>
      </c>
      <c r="L11" s="10">
        <v>609861</v>
      </c>
      <c r="M11" s="10">
        <v>872707</v>
      </c>
      <c r="N11" s="10">
        <v>607661</v>
      </c>
      <c r="O11" s="10">
        <v>746829</v>
      </c>
      <c r="P11" s="10">
        <v>614409</v>
      </c>
      <c r="Q11" s="10">
        <v>1054329</v>
      </c>
      <c r="R11" s="10">
        <v>627516</v>
      </c>
      <c r="S11" s="10">
        <v>298063</v>
      </c>
      <c r="T11" s="10">
        <v>539849</v>
      </c>
      <c r="U11" s="10">
        <v>537049</v>
      </c>
      <c r="V11" s="10">
        <v>676271</v>
      </c>
      <c r="W11" s="10">
        <v>598581</v>
      </c>
      <c r="X11" s="10">
        <v>362262</v>
      </c>
      <c r="Y11" s="10">
        <v>273022</v>
      </c>
      <c r="Z11" s="10">
        <v>519153</v>
      </c>
      <c r="AA11" s="10">
        <v>320774</v>
      </c>
      <c r="AB11" s="10">
        <v>228116</v>
      </c>
      <c r="AC11" s="10">
        <v>653185</v>
      </c>
      <c r="AD11" s="10">
        <v>506504</v>
      </c>
      <c r="AE11" s="10">
        <v>555648</v>
      </c>
      <c r="AF11" s="10">
        <v>645392</v>
      </c>
      <c r="AG11" s="10">
        <v>474623</v>
      </c>
      <c r="AH11" s="10">
        <v>526991</v>
      </c>
      <c r="AI11" s="10">
        <v>802710</v>
      </c>
      <c r="AJ11" s="10">
        <v>903123</v>
      </c>
      <c r="AK11" s="10">
        <v>642112</v>
      </c>
      <c r="AL11" s="10">
        <v>837465</v>
      </c>
      <c r="AM11" s="10">
        <v>663551</v>
      </c>
      <c r="AN11" s="10">
        <v>688943</v>
      </c>
      <c r="AO11" s="10">
        <v>964205</v>
      </c>
      <c r="AP11" s="10">
        <v>883241</v>
      </c>
      <c r="AQ11" s="10">
        <v>395804</v>
      </c>
      <c r="AR11" s="10">
        <v>384277</v>
      </c>
      <c r="AS11" s="10">
        <v>447133</v>
      </c>
      <c r="AT11" s="10">
        <v>424797</v>
      </c>
      <c r="AU11" s="10">
        <v>621541</v>
      </c>
      <c r="AV11" s="10">
        <v>383949</v>
      </c>
      <c r="AW11" s="10">
        <v>274752</v>
      </c>
      <c r="AX11" s="10">
        <v>543756</v>
      </c>
      <c r="AY11" s="10">
        <v>618121</v>
      </c>
      <c r="AZ11" s="10">
        <v>392305</v>
      </c>
      <c r="BA11" s="10">
        <v>664858</v>
      </c>
      <c r="BB11" s="10">
        <v>782808</v>
      </c>
      <c r="BC11" s="10">
        <v>515125</v>
      </c>
      <c r="BD11" s="10">
        <v>830689</v>
      </c>
      <c r="BE11" s="10">
        <v>680724</v>
      </c>
      <c r="BF11" s="10">
        <v>623606</v>
      </c>
      <c r="BG11" s="10">
        <v>523689</v>
      </c>
      <c r="BH11" s="10">
        <v>768642</v>
      </c>
      <c r="BI11" s="10">
        <v>527267</v>
      </c>
      <c r="BJ11" s="10">
        <v>760862</v>
      </c>
      <c r="BK11" s="10">
        <v>668432</v>
      </c>
      <c r="BL11" s="10">
        <v>622883</v>
      </c>
    </row>
    <row r="12" spans="1:64">
      <c r="A12" s="1" t="s">
        <v>70</v>
      </c>
      <c r="B12" s="14">
        <v>385903</v>
      </c>
      <c r="C12" s="14">
        <v>99</v>
      </c>
      <c r="D12" s="2" t="str">
        <f>HYPERLINK("http://128.120.136.21:8080/binbase-compound/bin/show/199600?db=rtx5","199600")</f>
        <v>199600</v>
      </c>
      <c r="E12" s="2" t="s">
        <v>71</v>
      </c>
      <c r="F12" s="2" t="str">
        <f>HYPERLINK("http://www.genome.ad.jp/dbget-bin/www_bget?compound+C00106","C00106")</f>
        <v>C00106</v>
      </c>
      <c r="G12" s="2" t="str">
        <f>HYPERLINK("http://pubchem.ncbi.nlm.nih.gov/summary/summary.cgi?cid=1174","1174")</f>
        <v>1174</v>
      </c>
      <c r="H12" s="10">
        <v>204688</v>
      </c>
      <c r="I12" s="10">
        <v>266706</v>
      </c>
      <c r="J12" s="10">
        <v>180213</v>
      </c>
      <c r="K12" s="10">
        <v>479993</v>
      </c>
      <c r="L12" s="10">
        <v>265306</v>
      </c>
      <c r="M12" s="10">
        <v>208853</v>
      </c>
      <c r="N12" s="10">
        <v>335137</v>
      </c>
      <c r="O12" s="10">
        <v>444701</v>
      </c>
      <c r="P12" s="10">
        <v>229776</v>
      </c>
      <c r="Q12" s="10">
        <v>5324</v>
      </c>
      <c r="R12" s="10">
        <v>6387</v>
      </c>
      <c r="S12" s="10">
        <v>8402</v>
      </c>
      <c r="T12" s="10">
        <v>260344</v>
      </c>
      <c r="U12" s="10">
        <v>315408</v>
      </c>
      <c r="V12" s="10">
        <v>325588</v>
      </c>
      <c r="W12" s="10">
        <v>424957</v>
      </c>
      <c r="X12" s="10">
        <v>357835</v>
      </c>
      <c r="Y12" s="10">
        <v>449839</v>
      </c>
      <c r="Z12" s="10">
        <v>170461</v>
      </c>
      <c r="AA12" s="10">
        <v>284442</v>
      </c>
      <c r="AB12" s="10">
        <v>150833</v>
      </c>
      <c r="AC12" s="10">
        <v>618968</v>
      </c>
      <c r="AD12" s="10">
        <v>569422</v>
      </c>
      <c r="AE12" s="10">
        <v>197756</v>
      </c>
      <c r="AF12" s="10">
        <v>323204</v>
      </c>
      <c r="AG12" s="10">
        <v>371992</v>
      </c>
      <c r="AH12" s="10">
        <v>267152</v>
      </c>
      <c r="AI12" s="10">
        <v>220275</v>
      </c>
      <c r="AJ12" s="10">
        <v>156982</v>
      </c>
      <c r="AK12" s="10">
        <v>106047</v>
      </c>
      <c r="AL12" s="10">
        <v>315031</v>
      </c>
      <c r="AM12" s="10">
        <v>174536</v>
      </c>
      <c r="AN12" s="10">
        <v>316860</v>
      </c>
      <c r="AO12" s="10">
        <v>280406</v>
      </c>
      <c r="AP12" s="10">
        <v>163848</v>
      </c>
      <c r="AQ12" s="10">
        <v>103905</v>
      </c>
      <c r="AR12" s="10">
        <v>403840</v>
      </c>
      <c r="AS12" s="10">
        <v>220922</v>
      </c>
      <c r="AT12" s="10">
        <v>271863</v>
      </c>
      <c r="AU12" s="10">
        <v>220869</v>
      </c>
      <c r="AV12" s="10">
        <v>240173</v>
      </c>
      <c r="AW12" s="10">
        <v>225670</v>
      </c>
      <c r="AX12" s="10">
        <v>276603</v>
      </c>
      <c r="AY12" s="10">
        <v>240979</v>
      </c>
      <c r="AZ12" s="10">
        <v>231220</v>
      </c>
      <c r="BA12" s="10">
        <v>213862</v>
      </c>
      <c r="BB12" s="10">
        <v>186885</v>
      </c>
      <c r="BC12" s="10">
        <v>281013</v>
      </c>
      <c r="BD12" s="10">
        <v>179423</v>
      </c>
      <c r="BE12" s="10">
        <v>173525</v>
      </c>
      <c r="BF12" s="10">
        <v>240813</v>
      </c>
      <c r="BG12" s="10">
        <v>183330</v>
      </c>
      <c r="BH12" s="10">
        <v>156041</v>
      </c>
      <c r="BI12" s="10">
        <v>169695</v>
      </c>
      <c r="BJ12" s="10">
        <v>101297</v>
      </c>
      <c r="BK12" s="10">
        <v>176571</v>
      </c>
      <c r="BL12" s="10">
        <v>153392</v>
      </c>
    </row>
    <row r="13" spans="1:64">
      <c r="A13" s="1" t="s">
        <v>109</v>
      </c>
      <c r="B13" s="14">
        <v>342472</v>
      </c>
      <c r="C13" s="14">
        <v>314</v>
      </c>
      <c r="D13" s="2" t="str">
        <f>HYPERLINK("http://128.120.136.21:8080/binbase-compound/bin/show/218342?db=rtx5","218342")</f>
        <v>218342</v>
      </c>
      <c r="E13" s="2" t="s">
        <v>110</v>
      </c>
      <c r="F13" s="2" t="str">
        <f>HYPERLINK("http://www.genome.ad.jp/dbget-bin/www_bget?compound+C00009","C00009")</f>
        <v>C00009</v>
      </c>
      <c r="G13" s="2" t="str">
        <f>HYPERLINK("http://pubchem.ncbi.nlm.nih.gov/summary/summary.cgi?cid=1004","1004")</f>
        <v>1004</v>
      </c>
      <c r="H13" s="10">
        <v>353796</v>
      </c>
      <c r="I13" s="10">
        <v>453374</v>
      </c>
      <c r="J13" s="10">
        <v>491819</v>
      </c>
      <c r="K13" s="10">
        <v>256313</v>
      </c>
      <c r="L13" s="10">
        <v>407216</v>
      </c>
      <c r="M13" s="10">
        <v>218561</v>
      </c>
      <c r="N13" s="10">
        <v>408176</v>
      </c>
      <c r="O13" s="10">
        <v>245511</v>
      </c>
      <c r="P13" s="10">
        <v>206812</v>
      </c>
      <c r="Q13" s="10">
        <v>753691</v>
      </c>
      <c r="R13" s="10">
        <v>495008</v>
      </c>
      <c r="S13" s="10">
        <v>812562</v>
      </c>
      <c r="T13" s="10">
        <v>172409</v>
      </c>
      <c r="U13" s="10">
        <v>456376</v>
      </c>
      <c r="V13" s="10">
        <v>250423</v>
      </c>
      <c r="W13" s="10">
        <v>180395</v>
      </c>
      <c r="X13" s="10">
        <v>264145</v>
      </c>
      <c r="Y13" s="10">
        <v>212528</v>
      </c>
      <c r="Z13" s="10">
        <v>154659</v>
      </c>
      <c r="AA13" s="10">
        <v>330999</v>
      </c>
      <c r="AB13" s="10">
        <v>561630</v>
      </c>
      <c r="AC13" s="10">
        <v>146079</v>
      </c>
      <c r="AD13" s="10">
        <v>166507</v>
      </c>
      <c r="AE13" s="10">
        <v>200199</v>
      </c>
      <c r="AF13" s="10">
        <v>276248</v>
      </c>
      <c r="AG13" s="10">
        <v>187641</v>
      </c>
      <c r="AH13" s="10">
        <v>444857</v>
      </c>
      <c r="AI13" s="10">
        <v>262309</v>
      </c>
      <c r="AJ13" s="10">
        <v>250580</v>
      </c>
      <c r="AK13" s="10">
        <v>391901</v>
      </c>
      <c r="AL13" s="10">
        <v>137365</v>
      </c>
      <c r="AM13" s="10">
        <v>37112</v>
      </c>
      <c r="AN13" s="10">
        <v>253024</v>
      </c>
      <c r="AO13" s="10">
        <v>288517</v>
      </c>
      <c r="AP13" s="10">
        <v>213741</v>
      </c>
      <c r="AQ13" s="10">
        <v>723765</v>
      </c>
      <c r="AR13" s="10">
        <v>355587</v>
      </c>
      <c r="AS13" s="10">
        <v>285954</v>
      </c>
      <c r="AT13" s="10">
        <v>489874</v>
      </c>
      <c r="AU13" s="10">
        <v>129314</v>
      </c>
      <c r="AV13" s="10">
        <v>283322</v>
      </c>
      <c r="AW13" s="10">
        <v>408612</v>
      </c>
      <c r="AX13" s="10">
        <v>436101</v>
      </c>
      <c r="AY13" s="10">
        <v>269375</v>
      </c>
      <c r="AZ13" s="10">
        <v>531931</v>
      </c>
      <c r="BA13" s="10">
        <v>303009</v>
      </c>
      <c r="BB13" s="10">
        <v>371714</v>
      </c>
      <c r="BC13" s="10">
        <v>520939</v>
      </c>
      <c r="BD13" s="10">
        <v>73289</v>
      </c>
      <c r="BE13" s="10">
        <v>429782</v>
      </c>
      <c r="BF13" s="10">
        <v>660052</v>
      </c>
      <c r="BG13" s="10">
        <v>652450</v>
      </c>
      <c r="BH13" s="10">
        <v>311913</v>
      </c>
      <c r="BI13" s="10">
        <v>508344</v>
      </c>
      <c r="BJ13" s="10">
        <v>72084</v>
      </c>
      <c r="BK13" s="10">
        <v>253417</v>
      </c>
      <c r="BL13" s="10">
        <v>274128</v>
      </c>
    </row>
    <row r="14" spans="1:64">
      <c r="A14" s="1" t="s">
        <v>160</v>
      </c>
      <c r="B14" s="14">
        <v>346767</v>
      </c>
      <c r="C14" s="14">
        <v>158</v>
      </c>
      <c r="D14" s="2" t="str">
        <f>HYPERLINK("http://128.120.136.21:8080/binbase-compound/bin/show/219036?db=rtx5","219036")</f>
        <v>219036</v>
      </c>
      <c r="E14" s="2" t="s">
        <v>161</v>
      </c>
      <c r="F14" s="2" t="str">
        <f>HYPERLINK("http://www.genome.ad.jp/dbget-bin/www_bget?compound+C00123","C00123")</f>
        <v>C00123</v>
      </c>
      <c r="G14" s="2" t="str">
        <f>HYPERLINK("http://pubchem.ncbi.nlm.nih.gov/summary/summary.cgi?cid=6106","6106")</f>
        <v>6106</v>
      </c>
      <c r="H14" s="10">
        <v>169413</v>
      </c>
      <c r="I14" s="10">
        <v>404912</v>
      </c>
      <c r="J14" s="10">
        <v>214277</v>
      </c>
      <c r="K14" s="10">
        <v>246838</v>
      </c>
      <c r="L14" s="10">
        <v>208728</v>
      </c>
      <c r="M14" s="10">
        <v>245192</v>
      </c>
      <c r="N14" s="10">
        <v>200686</v>
      </c>
      <c r="O14" s="10">
        <v>220378</v>
      </c>
      <c r="P14" s="10">
        <v>403609</v>
      </c>
      <c r="Q14" s="10">
        <v>257936</v>
      </c>
      <c r="R14" s="10">
        <v>379280</v>
      </c>
      <c r="S14" s="10">
        <v>243523</v>
      </c>
      <c r="T14" s="10">
        <v>264559</v>
      </c>
      <c r="U14" s="10">
        <v>251290</v>
      </c>
      <c r="V14" s="10">
        <v>299631</v>
      </c>
      <c r="W14" s="10">
        <v>87905</v>
      </c>
      <c r="X14" s="10">
        <v>224604</v>
      </c>
      <c r="Y14" s="10">
        <v>194704</v>
      </c>
      <c r="Z14" s="10">
        <v>198418</v>
      </c>
      <c r="AA14" s="10">
        <v>234276</v>
      </c>
      <c r="AB14" s="10">
        <v>470765</v>
      </c>
      <c r="AC14" s="10">
        <v>143097</v>
      </c>
      <c r="AD14" s="10">
        <v>106169</v>
      </c>
      <c r="AE14" s="10">
        <v>291417</v>
      </c>
      <c r="AF14" s="10">
        <v>147658</v>
      </c>
      <c r="AG14" s="10">
        <v>378855</v>
      </c>
      <c r="AH14" s="10">
        <v>211823</v>
      </c>
      <c r="AI14" s="10">
        <v>243048</v>
      </c>
      <c r="AJ14" s="10">
        <v>292544</v>
      </c>
      <c r="AK14" s="10">
        <v>163813</v>
      </c>
      <c r="AL14" s="10">
        <v>323669</v>
      </c>
      <c r="AM14" s="10">
        <v>306465</v>
      </c>
      <c r="AN14" s="10">
        <v>256962</v>
      </c>
      <c r="AO14" s="10">
        <v>278459</v>
      </c>
      <c r="AP14" s="10">
        <v>415797</v>
      </c>
      <c r="AQ14" s="10">
        <v>161402</v>
      </c>
      <c r="AR14" s="10">
        <v>155775</v>
      </c>
      <c r="AS14" s="10">
        <v>300015</v>
      </c>
      <c r="AT14" s="10">
        <v>202967</v>
      </c>
      <c r="AU14" s="10">
        <v>1</v>
      </c>
      <c r="AV14" s="10">
        <v>252080</v>
      </c>
      <c r="AW14" s="10">
        <v>262349</v>
      </c>
      <c r="AX14" s="10">
        <v>268456</v>
      </c>
      <c r="AY14" s="10">
        <v>242171</v>
      </c>
      <c r="AZ14" s="10">
        <v>276199</v>
      </c>
      <c r="BA14" s="10">
        <v>307095</v>
      </c>
      <c r="BB14" s="10">
        <v>282993</v>
      </c>
      <c r="BC14" s="10">
        <v>238881</v>
      </c>
      <c r="BD14" s="10">
        <v>196162</v>
      </c>
      <c r="BE14" s="10">
        <v>220636</v>
      </c>
      <c r="BF14" s="10">
        <v>253517</v>
      </c>
      <c r="BG14" s="10">
        <v>222484</v>
      </c>
      <c r="BH14" s="10">
        <v>242328</v>
      </c>
      <c r="BI14" s="10">
        <v>252872</v>
      </c>
      <c r="BJ14" s="10">
        <v>544066</v>
      </c>
      <c r="BK14" s="10">
        <v>277789</v>
      </c>
      <c r="BL14" s="10">
        <v>294477</v>
      </c>
    </row>
    <row r="15" spans="1:64">
      <c r="A15" s="1" t="s">
        <v>265</v>
      </c>
      <c r="B15" s="14">
        <v>246015</v>
      </c>
      <c r="C15" s="14">
        <v>116</v>
      </c>
      <c r="D15" s="2" t="str">
        <f>HYPERLINK("http://128.120.136.21:8080/binbase-compound/bin/show/241385?db=rtx5","241385")</f>
        <v>241385</v>
      </c>
      <c r="E15" s="2" t="s">
        <v>266</v>
      </c>
      <c r="F15" s="2" t="str">
        <f>HYPERLINK("http://www.genome.ad.jp/dbget-bin/www_bget?compound+C00041","C00041")</f>
        <v>C00041</v>
      </c>
      <c r="G15" s="2" t="str">
        <f>HYPERLINK("http://pubchem.ncbi.nlm.nih.gov/summary/summary.cgi?cid=5950","5950")</f>
        <v>5950</v>
      </c>
      <c r="H15" s="10">
        <v>136293</v>
      </c>
      <c r="I15" s="10">
        <v>267434</v>
      </c>
      <c r="J15" s="10">
        <v>207189</v>
      </c>
      <c r="K15" s="10">
        <v>139689</v>
      </c>
      <c r="L15" s="10">
        <v>284366</v>
      </c>
      <c r="M15" s="10">
        <v>189195</v>
      </c>
      <c r="N15" s="10">
        <v>129546</v>
      </c>
      <c r="O15" s="10">
        <v>127941</v>
      </c>
      <c r="P15" s="10">
        <v>332205</v>
      </c>
      <c r="Q15" s="10">
        <v>243082</v>
      </c>
      <c r="R15" s="10">
        <v>214022</v>
      </c>
      <c r="S15" s="10">
        <v>172449</v>
      </c>
      <c r="T15" s="10">
        <v>417537</v>
      </c>
      <c r="U15" s="10">
        <v>284047</v>
      </c>
      <c r="V15" s="10">
        <v>129003</v>
      </c>
      <c r="W15" s="10">
        <v>160226</v>
      </c>
      <c r="X15" s="10">
        <v>120526</v>
      </c>
      <c r="Y15" s="10">
        <v>136428</v>
      </c>
      <c r="Z15" s="10">
        <v>179206</v>
      </c>
      <c r="AA15" s="10">
        <v>193775</v>
      </c>
      <c r="AB15" s="10">
        <v>357955</v>
      </c>
      <c r="AC15" s="10">
        <v>144824</v>
      </c>
      <c r="AD15" s="10">
        <v>80214</v>
      </c>
      <c r="AE15" s="10">
        <v>302838</v>
      </c>
      <c r="AF15" s="10">
        <v>228732</v>
      </c>
      <c r="AG15" s="10">
        <v>222640</v>
      </c>
      <c r="AH15" s="10">
        <v>239177</v>
      </c>
      <c r="AI15" s="10">
        <v>251857</v>
      </c>
      <c r="AJ15" s="10">
        <v>131763</v>
      </c>
      <c r="AK15" s="10">
        <v>105620</v>
      </c>
      <c r="AL15" s="10">
        <v>52270</v>
      </c>
      <c r="AM15" s="10">
        <v>171859</v>
      </c>
      <c r="AN15" s="10">
        <v>78782</v>
      </c>
      <c r="AO15" s="10">
        <v>40301</v>
      </c>
      <c r="AP15" s="10">
        <v>324920</v>
      </c>
      <c r="AQ15" s="10">
        <v>143385</v>
      </c>
      <c r="AR15" s="10">
        <v>115129</v>
      </c>
      <c r="AS15" s="10">
        <v>200164</v>
      </c>
      <c r="AT15" s="10">
        <v>216195</v>
      </c>
      <c r="AU15" s="10">
        <v>457784</v>
      </c>
      <c r="AV15" s="10">
        <v>211281</v>
      </c>
      <c r="AW15" s="10">
        <v>304503</v>
      </c>
      <c r="AX15" s="10">
        <v>231611</v>
      </c>
      <c r="AY15" s="10">
        <v>299431</v>
      </c>
      <c r="AZ15" s="10">
        <v>217380</v>
      </c>
      <c r="BA15" s="10">
        <v>54309</v>
      </c>
      <c r="BB15" s="10">
        <v>136975</v>
      </c>
      <c r="BC15" s="10">
        <v>62523</v>
      </c>
      <c r="BD15" s="10">
        <v>97146</v>
      </c>
      <c r="BE15" s="10">
        <v>50369</v>
      </c>
      <c r="BF15" s="10">
        <v>62753</v>
      </c>
      <c r="BG15" s="10">
        <v>42140</v>
      </c>
      <c r="BH15" s="10">
        <v>111297</v>
      </c>
      <c r="BI15" s="10">
        <v>96494</v>
      </c>
      <c r="BJ15" s="10">
        <v>224941</v>
      </c>
      <c r="BK15" s="10">
        <v>185193</v>
      </c>
      <c r="BL15" s="10">
        <v>198760</v>
      </c>
    </row>
    <row r="16" spans="1:64">
      <c r="A16" s="1" t="s">
        <v>125</v>
      </c>
      <c r="B16" s="14">
        <v>489576</v>
      </c>
      <c r="C16" s="14">
        <v>156</v>
      </c>
      <c r="D16" s="2" t="str">
        <f>HYPERLINK("http://128.120.136.21:8080/binbase-compound/bin/show/228006?db=rtx5","228006")</f>
        <v>228006</v>
      </c>
      <c r="E16" s="2" t="s">
        <v>126</v>
      </c>
      <c r="F16" s="2" t="str">
        <f>HYPERLINK("http://www.genome.ad.jp/dbget-bin/www_bget?compound+C01879","C01879")</f>
        <v>C01879</v>
      </c>
      <c r="G16" s="2" t="str">
        <f>HYPERLINK("http://pubchem.ncbi.nlm.nih.gov/summary/summary.cgi?cid=7405","7405")</f>
        <v>7405</v>
      </c>
      <c r="H16" s="10">
        <v>262820</v>
      </c>
      <c r="I16" s="10">
        <v>93629</v>
      </c>
      <c r="J16" s="10">
        <v>121817</v>
      </c>
      <c r="K16" s="10">
        <v>192590</v>
      </c>
      <c r="L16" s="10">
        <v>113746</v>
      </c>
      <c r="M16" s="10">
        <v>285384</v>
      </c>
      <c r="N16" s="10">
        <v>139959</v>
      </c>
      <c r="O16" s="10">
        <v>206358</v>
      </c>
      <c r="P16" s="10">
        <v>205232</v>
      </c>
      <c r="Q16" s="10">
        <v>296553</v>
      </c>
      <c r="R16" s="10">
        <v>410884</v>
      </c>
      <c r="S16" s="10">
        <v>244934</v>
      </c>
      <c r="T16" s="10">
        <v>261503</v>
      </c>
      <c r="U16" s="10">
        <v>101466</v>
      </c>
      <c r="V16" s="10">
        <v>167069</v>
      </c>
      <c r="W16" s="10">
        <v>147558</v>
      </c>
      <c r="X16" s="10">
        <v>144414</v>
      </c>
      <c r="Y16" s="10">
        <v>162291</v>
      </c>
      <c r="Z16" s="10">
        <v>265925</v>
      </c>
      <c r="AA16" s="10">
        <v>128799</v>
      </c>
      <c r="AB16" s="10">
        <v>154079</v>
      </c>
      <c r="AC16" s="10">
        <v>160253</v>
      </c>
      <c r="AD16" s="10">
        <v>111625</v>
      </c>
      <c r="AE16" s="10">
        <v>183020</v>
      </c>
      <c r="AF16" s="10">
        <v>146558</v>
      </c>
      <c r="AG16" s="10">
        <v>207679</v>
      </c>
      <c r="AH16" s="10">
        <v>89981</v>
      </c>
      <c r="AI16" s="10">
        <v>174944</v>
      </c>
      <c r="AJ16" s="10">
        <v>221616</v>
      </c>
      <c r="AK16" s="10">
        <v>152117</v>
      </c>
      <c r="AL16" s="10">
        <v>175621</v>
      </c>
      <c r="AM16" s="10">
        <v>302002</v>
      </c>
      <c r="AN16" s="10">
        <v>150170</v>
      </c>
      <c r="AO16" s="10">
        <v>158191</v>
      </c>
      <c r="AP16" s="10">
        <v>198507</v>
      </c>
      <c r="AQ16" s="10">
        <v>107871</v>
      </c>
      <c r="AR16" s="10">
        <v>172359</v>
      </c>
      <c r="AS16" s="10">
        <v>159844</v>
      </c>
      <c r="AT16" s="10">
        <v>136510</v>
      </c>
      <c r="AU16" s="10">
        <v>340490</v>
      </c>
      <c r="AV16" s="10">
        <v>131280</v>
      </c>
      <c r="AW16" s="10">
        <v>169294</v>
      </c>
      <c r="AX16" s="10">
        <v>108390</v>
      </c>
      <c r="AY16" s="10">
        <v>124454</v>
      </c>
      <c r="AZ16" s="10">
        <v>104034</v>
      </c>
      <c r="BA16" s="10">
        <v>208562</v>
      </c>
      <c r="BB16" s="10">
        <v>176374</v>
      </c>
      <c r="BC16" s="10">
        <v>154394</v>
      </c>
      <c r="BD16" s="10">
        <v>203125</v>
      </c>
      <c r="BE16" s="10">
        <v>242779</v>
      </c>
      <c r="BF16" s="10">
        <v>171650</v>
      </c>
      <c r="BG16" s="10">
        <v>113618</v>
      </c>
      <c r="BH16" s="10">
        <v>190359</v>
      </c>
      <c r="BI16" s="10">
        <v>127085</v>
      </c>
      <c r="BJ16" s="10">
        <v>254326</v>
      </c>
      <c r="BK16" s="10">
        <v>336455</v>
      </c>
      <c r="BL16" s="10">
        <v>302963</v>
      </c>
    </row>
    <row r="17" spans="1:64">
      <c r="A17" s="1" t="s">
        <v>62</v>
      </c>
      <c r="B17" s="14">
        <v>313224</v>
      </c>
      <c r="C17" s="14">
        <v>144</v>
      </c>
      <c r="D17" s="2" t="str">
        <f>HYPERLINK("http://128.120.136.21:8080/binbase-compound/bin/show/199605?db=rtx5","199605")</f>
        <v>199605</v>
      </c>
      <c r="E17" s="2" t="s">
        <v>63</v>
      </c>
      <c r="F17" s="2" t="str">
        <f>HYPERLINK("http://www.genome.ad.jp/dbget-bin/www_bget?compound+C00183","C00183")</f>
        <v>C00183</v>
      </c>
      <c r="G17" s="2" t="str">
        <f>HYPERLINK("http://pubchem.ncbi.nlm.nih.gov/summary/summary.cgi?cid=6287","6287")</f>
        <v>6287</v>
      </c>
      <c r="H17" s="10">
        <v>131189</v>
      </c>
      <c r="I17" s="10">
        <v>282374</v>
      </c>
      <c r="J17" s="10">
        <v>183300</v>
      </c>
      <c r="K17" s="10">
        <v>117752</v>
      </c>
      <c r="L17" s="10">
        <v>160587</v>
      </c>
      <c r="M17" s="10">
        <v>171925</v>
      </c>
      <c r="N17" s="10">
        <v>166016</v>
      </c>
      <c r="O17" s="10">
        <v>112138</v>
      </c>
      <c r="P17" s="10">
        <v>285599</v>
      </c>
      <c r="Q17" s="10">
        <v>177105</v>
      </c>
      <c r="R17" s="10">
        <v>194942</v>
      </c>
      <c r="S17" s="10">
        <v>149356</v>
      </c>
      <c r="T17" s="10">
        <v>328764</v>
      </c>
      <c r="U17" s="10">
        <v>223874</v>
      </c>
      <c r="V17" s="10">
        <v>126562</v>
      </c>
      <c r="W17" s="10">
        <v>130939</v>
      </c>
      <c r="X17" s="10">
        <v>107326</v>
      </c>
      <c r="Y17" s="10">
        <v>142014</v>
      </c>
      <c r="Z17" s="10">
        <v>222025</v>
      </c>
      <c r="AA17" s="10">
        <v>171408</v>
      </c>
      <c r="AB17" s="10">
        <v>302678</v>
      </c>
      <c r="AC17" s="10">
        <v>139105</v>
      </c>
      <c r="AD17" s="10">
        <v>75535</v>
      </c>
      <c r="AE17" s="10">
        <v>221351</v>
      </c>
      <c r="AF17" s="10">
        <v>175215</v>
      </c>
      <c r="AG17" s="10">
        <v>209256</v>
      </c>
      <c r="AH17" s="10">
        <v>98555</v>
      </c>
      <c r="AI17" s="10">
        <v>209974</v>
      </c>
      <c r="AJ17" s="10">
        <v>220477</v>
      </c>
      <c r="AK17" s="10">
        <v>133764</v>
      </c>
      <c r="AL17" s="10">
        <v>205038</v>
      </c>
      <c r="AM17" s="10">
        <v>270420</v>
      </c>
      <c r="AN17" s="10">
        <v>145531</v>
      </c>
      <c r="AO17" s="10">
        <v>173454</v>
      </c>
      <c r="AP17" s="10">
        <v>293243</v>
      </c>
      <c r="AQ17" s="10">
        <v>157694</v>
      </c>
      <c r="AR17" s="10">
        <v>132587</v>
      </c>
      <c r="AS17" s="10">
        <v>168458</v>
      </c>
      <c r="AT17" s="10">
        <v>223065</v>
      </c>
      <c r="AU17" s="10">
        <v>418420</v>
      </c>
      <c r="AV17" s="10">
        <v>174870</v>
      </c>
      <c r="AW17" s="10">
        <v>236379</v>
      </c>
      <c r="AX17" s="10">
        <v>211132</v>
      </c>
      <c r="AY17" s="10">
        <v>243261</v>
      </c>
      <c r="AZ17" s="10">
        <v>192862</v>
      </c>
      <c r="BA17" s="10">
        <v>189091</v>
      </c>
      <c r="BB17" s="10">
        <v>261577</v>
      </c>
      <c r="BC17" s="10">
        <v>220565</v>
      </c>
      <c r="BD17" s="10">
        <v>180971</v>
      </c>
      <c r="BE17" s="10">
        <v>184568</v>
      </c>
      <c r="BF17" s="10">
        <v>162733</v>
      </c>
      <c r="BG17" s="10">
        <v>186081</v>
      </c>
      <c r="BH17" s="10">
        <v>174575</v>
      </c>
      <c r="BI17" s="10">
        <v>229095</v>
      </c>
      <c r="BJ17" s="10">
        <v>393936</v>
      </c>
      <c r="BK17" s="10">
        <v>220218</v>
      </c>
      <c r="BL17" s="10">
        <v>266869</v>
      </c>
    </row>
    <row r="18" spans="1:64">
      <c r="A18" s="1" t="s">
        <v>194</v>
      </c>
      <c r="B18" s="14">
        <v>364262</v>
      </c>
      <c r="C18" s="14">
        <v>174</v>
      </c>
      <c r="D18" s="2" t="str">
        <f>HYPERLINK("http://128.120.136.21:8080/binbase-compound/bin/show/227957?db=rtx5","227957")</f>
        <v>227957</v>
      </c>
      <c r="E18" s="2" t="s">
        <v>195</v>
      </c>
      <c r="F18" s="2" t="str">
        <f>HYPERLINK("http://www.genome.ad.jp/dbget-bin/www_bget?compound+C00037","C00037")</f>
        <v>C00037</v>
      </c>
      <c r="G18" s="2" t="str">
        <f>HYPERLINK("http://pubchem.ncbi.nlm.nih.gov/summary/summary.cgi?cid=750","750")</f>
        <v>750</v>
      </c>
      <c r="H18" s="10">
        <v>186299</v>
      </c>
      <c r="I18" s="10">
        <v>253831</v>
      </c>
      <c r="J18" s="10">
        <v>234103</v>
      </c>
      <c r="K18" s="10">
        <v>214887</v>
      </c>
      <c r="L18" s="10">
        <v>266277</v>
      </c>
      <c r="M18" s="10">
        <v>232301</v>
      </c>
      <c r="N18" s="10">
        <v>213314</v>
      </c>
      <c r="O18" s="10">
        <v>190279</v>
      </c>
      <c r="P18" s="10">
        <v>195831</v>
      </c>
      <c r="Q18" s="10">
        <v>218556</v>
      </c>
      <c r="R18" s="10">
        <v>271162</v>
      </c>
      <c r="S18" s="10">
        <v>165602</v>
      </c>
      <c r="T18" s="10">
        <v>162879</v>
      </c>
      <c r="U18" s="10">
        <v>262714</v>
      </c>
      <c r="V18" s="10">
        <v>203370</v>
      </c>
      <c r="W18" s="10">
        <v>180778</v>
      </c>
      <c r="X18" s="10">
        <v>171734</v>
      </c>
      <c r="Y18" s="10">
        <v>154112</v>
      </c>
      <c r="Z18" s="10">
        <v>196751</v>
      </c>
      <c r="AA18" s="10">
        <v>266752</v>
      </c>
      <c r="AB18" s="10">
        <v>163156</v>
      </c>
      <c r="AC18" s="10">
        <v>131420</v>
      </c>
      <c r="AD18" s="10">
        <v>127848</v>
      </c>
      <c r="AE18" s="10">
        <v>173634</v>
      </c>
      <c r="AF18" s="10">
        <v>151697</v>
      </c>
      <c r="AG18" s="10">
        <v>199774</v>
      </c>
      <c r="AH18" s="10">
        <v>257651</v>
      </c>
      <c r="AI18" s="10">
        <v>151500</v>
      </c>
      <c r="AJ18" s="10">
        <v>129102</v>
      </c>
      <c r="AK18" s="10">
        <v>154194</v>
      </c>
      <c r="AL18" s="10">
        <v>105433</v>
      </c>
      <c r="AM18" s="10">
        <v>106050</v>
      </c>
      <c r="AN18" s="10">
        <v>134157</v>
      </c>
      <c r="AO18" s="10">
        <v>66959</v>
      </c>
      <c r="AP18" s="10">
        <v>132073</v>
      </c>
      <c r="AQ18" s="10">
        <v>100094</v>
      </c>
      <c r="AR18" s="10">
        <v>216027</v>
      </c>
      <c r="AS18" s="10">
        <v>271003</v>
      </c>
      <c r="AT18" s="10">
        <v>215320</v>
      </c>
      <c r="AU18" s="10">
        <v>260720</v>
      </c>
      <c r="AV18" s="10">
        <v>318526</v>
      </c>
      <c r="AW18" s="10">
        <v>237546</v>
      </c>
      <c r="AX18" s="10">
        <v>227215</v>
      </c>
      <c r="AY18" s="10">
        <v>259251</v>
      </c>
      <c r="AZ18" s="10">
        <v>252718</v>
      </c>
      <c r="BA18" s="10">
        <v>62572</v>
      </c>
      <c r="BB18" s="10">
        <v>60408</v>
      </c>
      <c r="BC18" s="10">
        <v>61309</v>
      </c>
      <c r="BD18" s="10">
        <v>117374</v>
      </c>
      <c r="BE18" s="10">
        <v>52235</v>
      </c>
      <c r="BF18" s="10">
        <v>75667</v>
      </c>
      <c r="BG18" s="10">
        <v>60843</v>
      </c>
      <c r="BH18" s="10">
        <v>123370</v>
      </c>
      <c r="BI18" s="10">
        <v>55409</v>
      </c>
      <c r="BJ18" s="10">
        <v>108085</v>
      </c>
      <c r="BK18" s="10">
        <v>216217</v>
      </c>
      <c r="BL18" s="10">
        <v>169600</v>
      </c>
    </row>
    <row r="19" spans="1:64">
      <c r="A19" s="1" t="s">
        <v>85</v>
      </c>
      <c r="B19" s="14">
        <v>787358</v>
      </c>
      <c r="C19" s="14">
        <v>117</v>
      </c>
      <c r="D19" s="2" t="str">
        <f>HYPERLINK("http://128.120.136.21:8080/binbase-compound/bin/show/199195?db=rtx5","199195")</f>
        <v>199195</v>
      </c>
      <c r="E19" s="2" t="s">
        <v>86</v>
      </c>
      <c r="F19" s="2" t="str">
        <f>HYPERLINK("http://www.genome.ad.jp/dbget-bin/www_bget?compound+C01530","C01530")</f>
        <v>C01530</v>
      </c>
      <c r="G19" s="2" t="str">
        <f>HYPERLINK("http://pubchem.ncbi.nlm.nih.gov/summary/summary.cgi?cid=5281","5281")</f>
        <v>5281</v>
      </c>
      <c r="H19" s="10">
        <v>102628</v>
      </c>
      <c r="I19" s="10">
        <v>186045</v>
      </c>
      <c r="J19" s="10">
        <v>180847</v>
      </c>
      <c r="K19" s="10">
        <v>118641</v>
      </c>
      <c r="L19" s="10">
        <v>214567</v>
      </c>
      <c r="M19" s="10">
        <v>100400</v>
      </c>
      <c r="N19" s="10">
        <v>297078</v>
      </c>
      <c r="O19" s="10">
        <v>112109</v>
      </c>
      <c r="P19" s="10">
        <v>114994</v>
      </c>
      <c r="Q19" s="10">
        <v>327275</v>
      </c>
      <c r="R19" s="10">
        <v>267632</v>
      </c>
      <c r="S19" s="10">
        <v>992560</v>
      </c>
      <c r="T19" s="10">
        <v>88695</v>
      </c>
      <c r="U19" s="10">
        <v>175390</v>
      </c>
      <c r="V19" s="10">
        <v>154920</v>
      </c>
      <c r="W19" s="10">
        <v>111425</v>
      </c>
      <c r="X19" s="10">
        <v>210939</v>
      </c>
      <c r="Y19" s="10">
        <v>201382</v>
      </c>
      <c r="Z19" s="10">
        <v>91734</v>
      </c>
      <c r="AA19" s="10">
        <v>158647</v>
      </c>
      <c r="AB19" s="10">
        <v>231782</v>
      </c>
      <c r="AC19" s="10">
        <v>100656</v>
      </c>
      <c r="AD19" s="10">
        <v>211106</v>
      </c>
      <c r="AE19" s="10">
        <v>118120</v>
      </c>
      <c r="AF19" s="10">
        <v>189980</v>
      </c>
      <c r="AG19" s="10">
        <v>120051</v>
      </c>
      <c r="AH19" s="10">
        <v>352075</v>
      </c>
      <c r="AI19" s="10">
        <v>223789</v>
      </c>
      <c r="AJ19" s="10">
        <v>161568</v>
      </c>
      <c r="AK19" s="10">
        <v>226378</v>
      </c>
      <c r="AL19" s="10">
        <v>182186</v>
      </c>
      <c r="AM19" s="10">
        <v>128771</v>
      </c>
      <c r="AN19" s="10">
        <v>297490</v>
      </c>
      <c r="AO19" s="10">
        <v>287759</v>
      </c>
      <c r="AP19" s="10">
        <v>206614</v>
      </c>
      <c r="AQ19" s="10">
        <v>650708</v>
      </c>
      <c r="AR19" s="10">
        <v>157118</v>
      </c>
      <c r="AS19" s="10">
        <v>152807</v>
      </c>
      <c r="AT19" s="10">
        <v>166751</v>
      </c>
      <c r="AU19" s="10">
        <v>75791</v>
      </c>
      <c r="AV19" s="10">
        <v>167297</v>
      </c>
      <c r="AW19" s="10">
        <v>169957</v>
      </c>
      <c r="AX19" s="10">
        <v>233354</v>
      </c>
      <c r="AY19" s="10">
        <v>225167</v>
      </c>
      <c r="AZ19" s="10">
        <v>214214</v>
      </c>
      <c r="BA19" s="10">
        <v>170963</v>
      </c>
      <c r="BB19" s="10">
        <v>147518</v>
      </c>
      <c r="BC19" s="10">
        <v>202708</v>
      </c>
      <c r="BD19" s="10">
        <v>158206</v>
      </c>
      <c r="BE19" s="10">
        <v>170589</v>
      </c>
      <c r="BF19" s="10">
        <v>373910</v>
      </c>
      <c r="BG19" s="10">
        <v>541680</v>
      </c>
      <c r="BH19" s="10">
        <v>165077</v>
      </c>
      <c r="BI19" s="10">
        <v>257866</v>
      </c>
      <c r="BJ19" s="10">
        <v>141753</v>
      </c>
      <c r="BK19" s="10">
        <v>172889</v>
      </c>
      <c r="BL19" s="10">
        <v>101931</v>
      </c>
    </row>
    <row r="20" spans="1:64">
      <c r="A20" s="1" t="s">
        <v>93</v>
      </c>
      <c r="B20" s="14">
        <v>553411</v>
      </c>
      <c r="C20" s="14">
        <v>307</v>
      </c>
      <c r="D20" s="2" t="str">
        <f>HYPERLINK("http://128.120.136.21:8080/binbase-compound/bin/show/204210?db=rtx5","204210")</f>
        <v>204210</v>
      </c>
      <c r="E20" s="2" t="s">
        <v>94</v>
      </c>
      <c r="F20" s="2" t="str">
        <f>HYPERLINK("http://www.genome.ad.jp/dbget-bin/www_bget?compound+C00121","C00121")</f>
        <v>C00121</v>
      </c>
      <c r="G20" s="2" t="str">
        <f>HYPERLINK("http://pubchem.ncbi.nlm.nih.gov/summary/summary.cgi?cid=5779","5779")</f>
        <v>5779</v>
      </c>
      <c r="H20" s="10">
        <v>193464</v>
      </c>
      <c r="I20" s="10">
        <v>174922</v>
      </c>
      <c r="J20" s="10">
        <v>163787</v>
      </c>
      <c r="K20" s="10">
        <v>173002</v>
      </c>
      <c r="L20" s="10">
        <v>223894</v>
      </c>
      <c r="M20" s="10">
        <v>146216</v>
      </c>
      <c r="N20" s="10">
        <v>197273</v>
      </c>
      <c r="O20" s="10">
        <v>186400</v>
      </c>
      <c r="P20" s="10">
        <v>158785</v>
      </c>
      <c r="Q20" s="10">
        <v>999</v>
      </c>
      <c r="R20" s="10">
        <v>890</v>
      </c>
      <c r="S20" s="10">
        <v>1147</v>
      </c>
      <c r="T20" s="10">
        <v>116307</v>
      </c>
      <c r="U20" s="10">
        <v>260799</v>
      </c>
      <c r="V20" s="10">
        <v>157371</v>
      </c>
      <c r="W20" s="10">
        <v>245075</v>
      </c>
      <c r="X20" s="10">
        <v>240630</v>
      </c>
      <c r="Y20" s="10">
        <v>157417</v>
      </c>
      <c r="Z20" s="10">
        <v>136956</v>
      </c>
      <c r="AA20" s="10">
        <v>184445</v>
      </c>
      <c r="AB20" s="10">
        <v>63976</v>
      </c>
      <c r="AC20" s="10">
        <v>211086</v>
      </c>
      <c r="AD20" s="10">
        <v>354355</v>
      </c>
      <c r="AE20" s="10">
        <v>180056</v>
      </c>
      <c r="AF20" s="10">
        <v>263692</v>
      </c>
      <c r="AG20" s="10">
        <v>236349</v>
      </c>
      <c r="AH20" s="10">
        <v>133713</v>
      </c>
      <c r="AI20" s="10">
        <v>136074</v>
      </c>
      <c r="AJ20" s="10">
        <v>71368</v>
      </c>
      <c r="AK20" s="10">
        <v>64787</v>
      </c>
      <c r="AL20" s="10">
        <v>77573</v>
      </c>
      <c r="AM20" s="10">
        <v>95432</v>
      </c>
      <c r="AN20" s="10">
        <v>137405</v>
      </c>
      <c r="AO20" s="10">
        <v>47832</v>
      </c>
      <c r="AP20" s="10">
        <v>96149</v>
      </c>
      <c r="AQ20" s="10">
        <v>33708</v>
      </c>
      <c r="AR20" s="10">
        <v>144507</v>
      </c>
      <c r="AS20" s="10">
        <v>126925</v>
      </c>
      <c r="AT20" s="10">
        <v>124005</v>
      </c>
      <c r="AU20" s="10">
        <v>82988</v>
      </c>
      <c r="AV20" s="10">
        <v>138465</v>
      </c>
      <c r="AW20" s="10">
        <v>90656</v>
      </c>
      <c r="AX20" s="10">
        <v>175176</v>
      </c>
      <c r="AY20" s="10">
        <v>142788</v>
      </c>
      <c r="AZ20" s="10">
        <v>155116</v>
      </c>
      <c r="BA20" s="10">
        <v>44481</v>
      </c>
      <c r="BB20" s="10">
        <v>65213</v>
      </c>
      <c r="BC20" s="10">
        <v>47994</v>
      </c>
      <c r="BD20" s="10">
        <v>98687</v>
      </c>
      <c r="BE20" s="10">
        <v>22157</v>
      </c>
      <c r="BF20" s="10">
        <v>33101</v>
      </c>
      <c r="BG20" s="10">
        <v>63260</v>
      </c>
      <c r="BH20" s="10">
        <v>44074</v>
      </c>
      <c r="BI20" s="10">
        <v>52500</v>
      </c>
      <c r="BJ20" s="10">
        <v>31377</v>
      </c>
      <c r="BK20" s="10">
        <v>94920</v>
      </c>
      <c r="BL20" s="10">
        <v>129724</v>
      </c>
    </row>
    <row r="21" spans="1:64">
      <c r="A21" s="1" t="s">
        <v>156</v>
      </c>
      <c r="B21" s="14">
        <v>663088</v>
      </c>
      <c r="C21" s="14">
        <v>156</v>
      </c>
      <c r="D21" s="2" t="str">
        <f>HYPERLINK("http://128.120.136.21:8080/binbase-compound/bin/show/199784?db=rtx5","199784")</f>
        <v>199784</v>
      </c>
      <c r="E21" s="2" t="s">
        <v>157</v>
      </c>
      <c r="F21" s="2" t="str">
        <f>HYPERLINK("http://www.genome.ad.jp/dbget-bin/www_bget?compound+C00047","C00047")</f>
        <v>C00047</v>
      </c>
      <c r="G21" s="2" t="str">
        <f>HYPERLINK("http://pubchem.ncbi.nlm.nih.gov/summary/summary.cgi?cid=5962","5962")</f>
        <v>5962</v>
      </c>
      <c r="H21" s="10">
        <v>216140</v>
      </c>
      <c r="I21" s="10">
        <v>57554</v>
      </c>
      <c r="J21" s="10">
        <v>62257</v>
      </c>
      <c r="K21" s="10">
        <v>136761</v>
      </c>
      <c r="L21" s="10">
        <v>63347</v>
      </c>
      <c r="M21" s="10">
        <v>211130</v>
      </c>
      <c r="N21" s="10">
        <v>64168</v>
      </c>
      <c r="O21" s="10">
        <v>139606</v>
      </c>
      <c r="P21" s="10">
        <v>156729</v>
      </c>
      <c r="Q21" s="10">
        <v>243674</v>
      </c>
      <c r="R21" s="10">
        <v>379644</v>
      </c>
      <c r="S21" s="10">
        <v>184611</v>
      </c>
      <c r="T21" s="10">
        <v>201246</v>
      </c>
      <c r="U21" s="10">
        <v>41892</v>
      </c>
      <c r="V21" s="10">
        <v>130046</v>
      </c>
      <c r="W21" s="10">
        <v>112432</v>
      </c>
      <c r="X21" s="10">
        <v>98235</v>
      </c>
      <c r="Y21" s="10">
        <v>87661</v>
      </c>
      <c r="Z21" s="10">
        <v>252382</v>
      </c>
      <c r="AA21" s="10">
        <v>68320</v>
      </c>
      <c r="AB21" s="10">
        <v>109812</v>
      </c>
      <c r="AC21" s="10">
        <v>147023</v>
      </c>
      <c r="AD21" s="10">
        <v>151074</v>
      </c>
      <c r="AE21" s="10">
        <v>203255</v>
      </c>
      <c r="AF21" s="10">
        <v>169480</v>
      </c>
      <c r="AG21" s="10">
        <v>184285</v>
      </c>
      <c r="AH21" s="10">
        <v>17681</v>
      </c>
      <c r="AI21" s="10">
        <v>63397</v>
      </c>
      <c r="AJ21" s="10">
        <v>128040</v>
      </c>
      <c r="AK21" s="10">
        <v>31627</v>
      </c>
      <c r="AL21" s="10">
        <v>49105</v>
      </c>
      <c r="AM21" s="10">
        <v>113563</v>
      </c>
      <c r="AN21" s="10">
        <v>49615</v>
      </c>
      <c r="AO21" s="10">
        <v>47298</v>
      </c>
      <c r="AP21" s="10">
        <v>111872</v>
      </c>
      <c r="AQ21" s="10">
        <v>36137</v>
      </c>
      <c r="AR21" s="10">
        <v>98577</v>
      </c>
      <c r="AS21" s="10">
        <v>69175</v>
      </c>
      <c r="AT21" s="10">
        <v>87633</v>
      </c>
      <c r="AU21" s="10">
        <v>213519</v>
      </c>
      <c r="AV21" s="10">
        <v>44112</v>
      </c>
      <c r="AW21" s="10">
        <v>103993</v>
      </c>
      <c r="AX21" s="10">
        <v>68613</v>
      </c>
      <c r="AY21" s="10">
        <v>81833</v>
      </c>
      <c r="AZ21" s="10">
        <v>46849</v>
      </c>
      <c r="BA21" s="10">
        <v>148005</v>
      </c>
      <c r="BB21" s="10">
        <v>68104</v>
      </c>
      <c r="BC21" s="10">
        <v>49856</v>
      </c>
      <c r="BD21" s="10">
        <v>190976</v>
      </c>
      <c r="BE21" s="10">
        <v>157572</v>
      </c>
      <c r="BF21" s="10">
        <v>59727</v>
      </c>
      <c r="BG21" s="10">
        <v>34225</v>
      </c>
      <c r="BH21" s="10">
        <v>142715</v>
      </c>
      <c r="BI21" s="10">
        <v>80466</v>
      </c>
      <c r="BJ21" s="10">
        <v>158752</v>
      </c>
      <c r="BK21" s="10">
        <v>164738</v>
      </c>
      <c r="BL21" s="10">
        <v>156694</v>
      </c>
    </row>
    <row r="22" spans="1:64">
      <c r="A22" s="1" t="s">
        <v>168</v>
      </c>
      <c r="B22" s="14">
        <v>359190</v>
      </c>
      <c r="C22" s="14">
        <v>158</v>
      </c>
      <c r="D22" s="2" t="str">
        <f>HYPERLINK("http://128.120.136.21:8080/binbase-compound/bin/show/214141?db=rtx5","214141")</f>
        <v>214141</v>
      </c>
      <c r="E22" s="2" t="s">
        <v>169</v>
      </c>
      <c r="F22" s="2" t="str">
        <f>HYPERLINK("http://www.genome.ad.jp/dbget-bin/www_bget?compound+C00407","C00407")</f>
        <v>C00407</v>
      </c>
      <c r="G22" s="2" t="str">
        <f>HYPERLINK("http://pubchem.ncbi.nlm.nih.gov/summary/summary.cgi?cid=6306","6306")</f>
        <v>6306</v>
      </c>
      <c r="H22" s="10">
        <v>210414</v>
      </c>
      <c r="I22" s="10">
        <v>201893</v>
      </c>
      <c r="J22" s="10">
        <v>178832</v>
      </c>
      <c r="K22" s="10">
        <v>247957</v>
      </c>
      <c r="L22" s="10">
        <v>179315</v>
      </c>
      <c r="M22" s="10">
        <v>311445</v>
      </c>
      <c r="N22" s="10">
        <v>180595</v>
      </c>
      <c r="O22" s="10">
        <v>242163</v>
      </c>
      <c r="P22" s="10">
        <v>258790</v>
      </c>
      <c r="Q22" s="10">
        <v>214543</v>
      </c>
      <c r="R22" s="10">
        <v>271266</v>
      </c>
      <c r="S22" s="10">
        <v>82648</v>
      </c>
      <c r="T22" s="10">
        <v>311058</v>
      </c>
      <c r="U22" s="10">
        <v>187408</v>
      </c>
      <c r="V22" s="10">
        <v>261250</v>
      </c>
      <c r="W22" s="10">
        <v>174236</v>
      </c>
      <c r="X22" s="10">
        <v>184876</v>
      </c>
      <c r="Y22" s="10">
        <v>189480</v>
      </c>
      <c r="Z22" s="10">
        <v>252263</v>
      </c>
      <c r="AA22" s="10">
        <v>200161</v>
      </c>
      <c r="AB22" s="10">
        <v>223363</v>
      </c>
      <c r="AC22" s="10">
        <v>186477</v>
      </c>
      <c r="AD22" s="10">
        <v>145919</v>
      </c>
      <c r="AE22" s="10">
        <v>211255</v>
      </c>
      <c r="AF22" s="10">
        <v>191075</v>
      </c>
      <c r="AG22" s="10">
        <v>275575</v>
      </c>
      <c r="AH22" s="10">
        <v>160319</v>
      </c>
      <c r="AI22" s="10">
        <v>224529</v>
      </c>
      <c r="AJ22" s="10">
        <v>255916</v>
      </c>
      <c r="AK22" s="10">
        <v>164085</v>
      </c>
      <c r="AL22" s="10">
        <v>306885</v>
      </c>
      <c r="AM22" s="10">
        <v>223894</v>
      </c>
      <c r="AN22" s="10">
        <v>248547</v>
      </c>
      <c r="AO22" s="10">
        <v>268541</v>
      </c>
      <c r="AP22" s="10">
        <v>239341</v>
      </c>
      <c r="AQ22" s="10">
        <v>127881</v>
      </c>
      <c r="AR22" s="10">
        <v>239416</v>
      </c>
      <c r="AS22" s="10">
        <v>264625</v>
      </c>
      <c r="AT22" s="10">
        <v>209801</v>
      </c>
      <c r="AU22" s="10">
        <v>406070</v>
      </c>
      <c r="AV22" s="10">
        <v>240491</v>
      </c>
      <c r="AW22" s="10">
        <v>233954</v>
      </c>
      <c r="AX22" s="10">
        <v>211030</v>
      </c>
      <c r="AY22" s="10">
        <v>250462</v>
      </c>
      <c r="AZ22" s="10">
        <v>231849</v>
      </c>
      <c r="BA22" s="10">
        <v>303166</v>
      </c>
      <c r="BB22" s="10">
        <v>249998</v>
      </c>
      <c r="BC22" s="10">
        <v>218683</v>
      </c>
      <c r="BD22" s="10">
        <v>240701</v>
      </c>
      <c r="BE22" s="10">
        <v>280965</v>
      </c>
      <c r="BF22" s="10">
        <v>237632</v>
      </c>
      <c r="BG22" s="10">
        <v>202047</v>
      </c>
      <c r="BH22" s="10">
        <v>270697</v>
      </c>
      <c r="BI22" s="10">
        <v>195819</v>
      </c>
      <c r="BJ22" s="10">
        <v>314601</v>
      </c>
      <c r="BK22" s="10">
        <v>302370</v>
      </c>
      <c r="BL22" s="10">
        <v>325807</v>
      </c>
    </row>
    <row r="23" spans="1:64">
      <c r="A23" s="1" t="s">
        <v>113</v>
      </c>
      <c r="B23" s="14">
        <v>537502</v>
      </c>
      <c r="C23" s="14">
        <v>218</v>
      </c>
      <c r="D23" s="2" t="str">
        <f>HYPERLINK("http://128.120.136.21:8080/binbase-compound/bin/show/200620?db=rtx5","200620")</f>
        <v>200620</v>
      </c>
      <c r="E23" s="2" t="s">
        <v>114</v>
      </c>
      <c r="F23" s="2" t="str">
        <f>HYPERLINK("http://www.genome.ad.jp/dbget-bin/www_bget?compound+C00079","C00079")</f>
        <v>C00079</v>
      </c>
      <c r="G23" s="2" t="str">
        <f>HYPERLINK("http://pubchem.ncbi.nlm.nih.gov/summary/summary.cgi?cid=6140","6140")</f>
        <v>6140</v>
      </c>
      <c r="H23" s="10">
        <v>170468</v>
      </c>
      <c r="I23" s="10">
        <v>74683</v>
      </c>
      <c r="J23" s="10">
        <v>97397</v>
      </c>
      <c r="K23" s="10">
        <v>121572</v>
      </c>
      <c r="L23" s="10">
        <v>71420</v>
      </c>
      <c r="M23" s="10">
        <v>172304</v>
      </c>
      <c r="N23" s="10">
        <v>94779</v>
      </c>
      <c r="O23" s="10">
        <v>124110</v>
      </c>
      <c r="P23" s="10">
        <v>119141</v>
      </c>
      <c r="Q23" s="10">
        <v>157724</v>
      </c>
      <c r="R23" s="10">
        <v>235613</v>
      </c>
      <c r="S23" s="10">
        <v>128497</v>
      </c>
      <c r="T23" s="10">
        <v>163438</v>
      </c>
      <c r="U23" s="10">
        <v>89083</v>
      </c>
      <c r="V23" s="10">
        <v>116217</v>
      </c>
      <c r="W23" s="10">
        <v>96440</v>
      </c>
      <c r="X23" s="10">
        <v>97058</v>
      </c>
      <c r="Y23" s="10">
        <v>117782</v>
      </c>
      <c r="Z23" s="10">
        <v>171464</v>
      </c>
      <c r="AA23" s="10">
        <v>112939</v>
      </c>
      <c r="AB23" s="10">
        <v>102071</v>
      </c>
      <c r="AC23" s="10">
        <v>108041</v>
      </c>
      <c r="AD23" s="10">
        <v>86826</v>
      </c>
      <c r="AE23" s="10">
        <v>115132</v>
      </c>
      <c r="AF23" s="10">
        <v>95172</v>
      </c>
      <c r="AG23" s="10">
        <v>150713</v>
      </c>
      <c r="AH23" s="10">
        <v>78274</v>
      </c>
      <c r="AI23" s="10">
        <v>117060</v>
      </c>
      <c r="AJ23" s="10">
        <v>150978</v>
      </c>
      <c r="AK23" s="10">
        <v>98348</v>
      </c>
      <c r="AL23" s="10">
        <v>140940</v>
      </c>
      <c r="AM23" s="10">
        <v>99864</v>
      </c>
      <c r="AN23" s="10">
        <v>111245</v>
      </c>
      <c r="AO23" s="10">
        <v>126040</v>
      </c>
      <c r="AP23" s="10">
        <v>127681</v>
      </c>
      <c r="AQ23" s="10">
        <v>68547</v>
      </c>
      <c r="AR23" s="10">
        <v>115411</v>
      </c>
      <c r="AS23" s="10">
        <v>122838</v>
      </c>
      <c r="AT23" s="10">
        <v>100476</v>
      </c>
      <c r="AU23" s="10">
        <v>203313</v>
      </c>
      <c r="AV23" s="10">
        <v>116280</v>
      </c>
      <c r="AW23" s="10">
        <v>100178</v>
      </c>
      <c r="AX23" s="10">
        <v>91256</v>
      </c>
      <c r="AY23" s="10">
        <v>124395</v>
      </c>
      <c r="AZ23" s="10">
        <v>94277</v>
      </c>
      <c r="BA23" s="10">
        <v>138664</v>
      </c>
      <c r="BB23" s="10">
        <v>126645</v>
      </c>
      <c r="BC23" s="10">
        <v>112816</v>
      </c>
      <c r="BD23" s="10">
        <v>142197</v>
      </c>
      <c r="BE23" s="10">
        <v>144872</v>
      </c>
      <c r="BF23" s="10">
        <v>111586</v>
      </c>
      <c r="BG23" s="10">
        <v>95349</v>
      </c>
      <c r="BH23" s="10">
        <v>126213</v>
      </c>
      <c r="BI23" s="10">
        <v>100632</v>
      </c>
      <c r="BJ23" s="10">
        <v>140819</v>
      </c>
      <c r="BK23" s="10">
        <v>184911</v>
      </c>
      <c r="BL23" s="10">
        <v>169339</v>
      </c>
    </row>
    <row r="24" spans="1:64">
      <c r="A24" s="1" t="s">
        <v>176</v>
      </c>
      <c r="B24" s="14">
        <v>619020</v>
      </c>
      <c r="C24" s="14">
        <v>265</v>
      </c>
      <c r="D24" s="2" t="str">
        <f>HYPERLINK("http://128.120.136.21:8080/binbase-compound/bin/show/414972?db=rtx5","414972")</f>
        <v>414972</v>
      </c>
      <c r="E24" s="2" t="s">
        <v>177</v>
      </c>
      <c r="F24" s="2" t="s">
        <v>57</v>
      </c>
      <c r="G24" s="2" t="s">
        <v>57</v>
      </c>
      <c r="H24" s="10">
        <v>9381</v>
      </c>
      <c r="I24" s="10">
        <v>160843</v>
      </c>
      <c r="J24" s="10">
        <v>167566</v>
      </c>
      <c r="K24" s="10">
        <v>51833</v>
      </c>
      <c r="L24" s="10">
        <v>152393</v>
      </c>
      <c r="M24" s="10">
        <v>3500</v>
      </c>
      <c r="N24" s="10">
        <v>221358</v>
      </c>
      <c r="O24" s="10">
        <v>76289</v>
      </c>
      <c r="P24" s="10">
        <v>66225</v>
      </c>
      <c r="Q24" s="10">
        <v>1230</v>
      </c>
      <c r="R24" s="10">
        <v>1341</v>
      </c>
      <c r="S24" s="10">
        <v>1429</v>
      </c>
      <c r="T24" s="10">
        <v>53533</v>
      </c>
      <c r="U24" s="10">
        <v>182944</v>
      </c>
      <c r="V24" s="10">
        <v>171035</v>
      </c>
      <c r="W24" s="10">
        <v>10824</v>
      </c>
      <c r="X24" s="10">
        <v>10451</v>
      </c>
      <c r="Y24" s="10">
        <v>24167</v>
      </c>
      <c r="Z24" s="10">
        <v>102123</v>
      </c>
      <c r="AA24" s="10">
        <v>184385</v>
      </c>
      <c r="AB24" s="10">
        <v>83233</v>
      </c>
      <c r="AC24" s="10">
        <v>23814</v>
      </c>
      <c r="AD24" s="10">
        <v>14584</v>
      </c>
      <c r="AE24" s="10">
        <v>21794</v>
      </c>
      <c r="AF24" s="10">
        <v>17329</v>
      </c>
      <c r="AG24" s="10">
        <v>7123</v>
      </c>
      <c r="AH24" s="10">
        <v>126369</v>
      </c>
      <c r="AI24" s="10">
        <v>136255</v>
      </c>
      <c r="AJ24" s="10">
        <v>108106</v>
      </c>
      <c r="AK24" s="10">
        <v>56215</v>
      </c>
      <c r="AL24" s="10">
        <v>132360</v>
      </c>
      <c r="AM24" s="10">
        <v>129963</v>
      </c>
      <c r="AN24" s="10">
        <v>152107</v>
      </c>
      <c r="AO24" s="10">
        <v>137561</v>
      </c>
      <c r="AP24" s="10">
        <v>98543</v>
      </c>
      <c r="AQ24" s="10">
        <v>62495</v>
      </c>
      <c r="AR24" s="10">
        <v>138469</v>
      </c>
      <c r="AS24" s="10">
        <v>123759</v>
      </c>
      <c r="AT24" s="10">
        <v>140922</v>
      </c>
      <c r="AU24" s="10">
        <v>67045</v>
      </c>
      <c r="AV24" s="10">
        <v>191685</v>
      </c>
      <c r="AW24" s="10">
        <v>97145</v>
      </c>
      <c r="AX24" s="10">
        <v>166419</v>
      </c>
      <c r="AY24" s="10">
        <v>206279</v>
      </c>
      <c r="AZ24" s="10">
        <v>174802</v>
      </c>
      <c r="BA24" s="10">
        <v>114581</v>
      </c>
      <c r="BB24" s="10">
        <v>120173</v>
      </c>
      <c r="BC24" s="10">
        <v>140882</v>
      </c>
      <c r="BD24" s="10">
        <v>80893</v>
      </c>
      <c r="BE24" s="10">
        <v>70745</v>
      </c>
      <c r="BF24" s="10">
        <v>146059</v>
      </c>
      <c r="BG24" s="10">
        <v>143640</v>
      </c>
      <c r="BH24" s="10">
        <v>70600</v>
      </c>
      <c r="BI24" s="10">
        <v>175566</v>
      </c>
      <c r="BJ24" s="10">
        <v>48121</v>
      </c>
      <c r="BK24" s="10">
        <v>51321</v>
      </c>
      <c r="BL24" s="10">
        <v>57316</v>
      </c>
    </row>
    <row r="25" spans="1:64">
      <c r="A25" s="1" t="s">
        <v>564</v>
      </c>
      <c r="B25" s="14">
        <v>670802</v>
      </c>
      <c r="C25" s="14">
        <v>218</v>
      </c>
      <c r="D25" s="2" t="str">
        <f>HYPERLINK("http://128.120.136.21:8080/binbase-compound/bin/show/381469?db=rtx5","381469")</f>
        <v>381469</v>
      </c>
      <c r="E25" s="2" t="s">
        <v>74</v>
      </c>
      <c r="F25" s="2" t="str">
        <f>HYPERLINK("http://www.genome.ad.jp/dbget-bin/www_bget?compound+C00082","C00082")</f>
        <v>C00082</v>
      </c>
      <c r="G25" s="2" t="str">
        <f>HYPERLINK("http://pubchem.ncbi.nlm.nih.gov/summary/summary.cgi?cid=6057","6057")</f>
        <v>6057</v>
      </c>
      <c r="H25" s="10">
        <v>90595</v>
      </c>
      <c r="I25" s="10">
        <v>71141</v>
      </c>
      <c r="J25" s="10">
        <v>75388</v>
      </c>
      <c r="K25" s="10">
        <v>69879</v>
      </c>
      <c r="L25" s="10">
        <v>56429</v>
      </c>
      <c r="M25" s="10">
        <v>87222</v>
      </c>
      <c r="N25" s="10">
        <v>75719</v>
      </c>
      <c r="O25" s="10">
        <v>77121</v>
      </c>
      <c r="P25" s="10">
        <v>75099</v>
      </c>
      <c r="Q25" s="10">
        <v>51643</v>
      </c>
      <c r="R25" s="10">
        <v>74896</v>
      </c>
      <c r="S25" s="10">
        <v>39934</v>
      </c>
      <c r="T25" s="10">
        <v>98036</v>
      </c>
      <c r="U25" s="10">
        <v>72113</v>
      </c>
      <c r="V25" s="10">
        <v>85146</v>
      </c>
      <c r="W25" s="10">
        <v>62987</v>
      </c>
      <c r="X25" s="10">
        <v>56381</v>
      </c>
      <c r="Y25" s="10">
        <v>74076</v>
      </c>
      <c r="Z25" s="10">
        <v>99972</v>
      </c>
      <c r="AA25" s="10">
        <v>78124</v>
      </c>
      <c r="AB25" s="10">
        <v>65286</v>
      </c>
      <c r="AC25" s="10">
        <v>72025</v>
      </c>
      <c r="AD25" s="10">
        <v>62765</v>
      </c>
      <c r="AE25" s="10">
        <v>80160</v>
      </c>
      <c r="AF25" s="10">
        <v>62561</v>
      </c>
      <c r="AG25" s="10">
        <v>74681</v>
      </c>
      <c r="AH25" s="10">
        <v>54251</v>
      </c>
      <c r="AI25" s="10">
        <v>78253</v>
      </c>
      <c r="AJ25" s="10">
        <v>93958</v>
      </c>
      <c r="AK25" s="10">
        <v>62449</v>
      </c>
      <c r="AL25" s="10">
        <v>96463</v>
      </c>
      <c r="AM25" s="10">
        <v>84568</v>
      </c>
      <c r="AN25" s="10">
        <v>75603</v>
      </c>
      <c r="AO25" s="10">
        <v>74962</v>
      </c>
      <c r="AP25" s="10">
        <v>79583</v>
      </c>
      <c r="AQ25" s="10">
        <v>42604</v>
      </c>
      <c r="AR25" s="10">
        <v>71737</v>
      </c>
      <c r="AS25" s="10">
        <v>79084</v>
      </c>
      <c r="AT25" s="10">
        <v>74084</v>
      </c>
      <c r="AU25" s="10">
        <v>109354</v>
      </c>
      <c r="AV25" s="10">
        <v>90049</v>
      </c>
      <c r="AW25" s="10">
        <v>77310</v>
      </c>
      <c r="AX25" s="10">
        <v>76653</v>
      </c>
      <c r="AY25" s="10">
        <v>98816</v>
      </c>
      <c r="AZ25" s="10">
        <v>75571</v>
      </c>
      <c r="BA25" s="10">
        <v>88049</v>
      </c>
      <c r="BB25" s="10">
        <v>89363</v>
      </c>
      <c r="BC25" s="10">
        <v>81475</v>
      </c>
      <c r="BD25" s="10">
        <v>87196</v>
      </c>
      <c r="BE25" s="10">
        <v>78870</v>
      </c>
      <c r="BF25" s="10">
        <v>62607</v>
      </c>
      <c r="BG25" s="10">
        <v>61345</v>
      </c>
      <c r="BH25" s="10">
        <v>72528</v>
      </c>
      <c r="BI25" s="10">
        <v>66255</v>
      </c>
      <c r="BJ25" s="10">
        <v>77459</v>
      </c>
      <c r="BK25" s="10">
        <v>85053</v>
      </c>
      <c r="BL25" s="10">
        <v>83677</v>
      </c>
    </row>
    <row r="26" spans="1:64">
      <c r="A26" s="1" t="s">
        <v>580</v>
      </c>
      <c r="B26" s="14">
        <v>338714</v>
      </c>
      <c r="C26" s="14">
        <v>179</v>
      </c>
      <c r="D26" s="2" t="str">
        <f>HYPERLINK("http://128.120.136.21:8080/binbase-compound/bin/show/386128?db=rtx5","386128")</f>
        <v>386128</v>
      </c>
      <c r="E26" s="2" t="s">
        <v>248</v>
      </c>
      <c r="F26" s="2" t="str">
        <f>HYPERLINK("http://www.genome.ad.jp/dbget-bin/www_bget?compound+C00180","C00180")</f>
        <v>C00180</v>
      </c>
      <c r="G26" s="2" t="str">
        <f>HYPERLINK("http://pubchem.ncbi.nlm.nih.gov/summary/summary.cgi?cid=243","243")</f>
        <v>243</v>
      </c>
      <c r="H26" s="10">
        <v>42117</v>
      </c>
      <c r="I26" s="10">
        <v>68231</v>
      </c>
      <c r="J26" s="10">
        <v>73267</v>
      </c>
      <c r="K26" s="10">
        <v>47027</v>
      </c>
      <c r="L26" s="10">
        <v>71324</v>
      </c>
      <c r="M26" s="10">
        <v>40082</v>
      </c>
      <c r="N26" s="10">
        <v>95436</v>
      </c>
      <c r="O26" s="10">
        <v>50979</v>
      </c>
      <c r="P26" s="10">
        <v>38029</v>
      </c>
      <c r="Q26" s="10">
        <v>118305</v>
      </c>
      <c r="R26" s="10">
        <v>80127</v>
      </c>
      <c r="S26" s="10">
        <v>321624</v>
      </c>
      <c r="T26" s="10">
        <v>29734</v>
      </c>
      <c r="U26" s="10">
        <v>82701</v>
      </c>
      <c r="V26" s="10">
        <v>68167</v>
      </c>
      <c r="W26" s="10">
        <v>34604</v>
      </c>
      <c r="X26" s="10">
        <v>56994</v>
      </c>
      <c r="Y26" s="10">
        <v>48699</v>
      </c>
      <c r="Z26" s="10">
        <v>38741</v>
      </c>
      <c r="AA26" s="10">
        <v>94574</v>
      </c>
      <c r="AB26" s="10">
        <v>85686</v>
      </c>
      <c r="AC26" s="10">
        <v>40714</v>
      </c>
      <c r="AD26" s="10">
        <v>41323</v>
      </c>
      <c r="AE26" s="10">
        <v>44561</v>
      </c>
      <c r="AF26" s="10">
        <v>50345</v>
      </c>
      <c r="AG26" s="10">
        <v>39333</v>
      </c>
      <c r="AH26" s="10">
        <v>127124</v>
      </c>
      <c r="AI26" s="10">
        <v>94084</v>
      </c>
      <c r="AJ26" s="10">
        <v>69657</v>
      </c>
      <c r="AK26" s="10">
        <v>103659</v>
      </c>
      <c r="AL26" s="10">
        <v>99780</v>
      </c>
      <c r="AM26" s="10">
        <v>48299</v>
      </c>
      <c r="AN26" s="10">
        <v>106445</v>
      </c>
      <c r="AO26" s="10">
        <v>111595</v>
      </c>
      <c r="AP26" s="10">
        <v>78625</v>
      </c>
      <c r="AQ26" s="10">
        <v>292623</v>
      </c>
      <c r="AR26" s="10">
        <v>82650</v>
      </c>
      <c r="AS26" s="10">
        <v>83857</v>
      </c>
      <c r="AT26" s="10">
        <v>69478</v>
      </c>
      <c r="AU26" s="10">
        <v>31459</v>
      </c>
      <c r="AV26" s="10">
        <v>101917</v>
      </c>
      <c r="AW26" s="10">
        <v>72113</v>
      </c>
      <c r="AX26" s="10">
        <v>79287</v>
      </c>
      <c r="AY26" s="10">
        <v>71441</v>
      </c>
      <c r="AZ26" s="10">
        <v>121099</v>
      </c>
      <c r="BA26" s="10">
        <v>77755</v>
      </c>
      <c r="BB26" s="10">
        <v>66470</v>
      </c>
      <c r="BC26" s="10">
        <v>102367</v>
      </c>
      <c r="BD26" s="10">
        <v>70530</v>
      </c>
      <c r="BE26" s="10">
        <v>73840</v>
      </c>
      <c r="BF26" s="10">
        <v>113878</v>
      </c>
      <c r="BG26" s="10">
        <v>134556</v>
      </c>
      <c r="BH26" s="10">
        <v>68366</v>
      </c>
      <c r="BI26" s="10">
        <v>116205</v>
      </c>
      <c r="BJ26" s="10">
        <v>69821</v>
      </c>
      <c r="BK26" s="10">
        <v>91935</v>
      </c>
      <c r="BL26" s="10">
        <v>48384</v>
      </c>
    </row>
    <row r="27" spans="1:64">
      <c r="A27" s="1" t="s">
        <v>97</v>
      </c>
      <c r="B27" s="14">
        <v>327894</v>
      </c>
      <c r="C27" s="14">
        <v>110</v>
      </c>
      <c r="D27" s="2" t="str">
        <f>HYPERLINK("http://128.120.136.21:8080/binbase-compound/bin/show/268215?db=rtx5","268215")</f>
        <v>268215</v>
      </c>
      <c r="E27" s="2" t="s">
        <v>98</v>
      </c>
      <c r="F27" s="2" t="str">
        <f>HYPERLINK("http://www.genome.ad.jp/dbget-bin/www_bget?compound+C0013","C0013")</f>
        <v>C0013</v>
      </c>
      <c r="G27" s="2" t="str">
        <f>HYPERLINK("http://pubchem.ncbi.nlm.nih.gov/summary/summary.cgi?cid=1023","1023")</f>
        <v>1023</v>
      </c>
      <c r="H27" s="10">
        <v>58149</v>
      </c>
      <c r="I27" s="10">
        <v>92903</v>
      </c>
      <c r="J27" s="10">
        <v>48144</v>
      </c>
      <c r="K27" s="10">
        <v>85484</v>
      </c>
      <c r="L27" s="10">
        <v>98984</v>
      </c>
      <c r="M27" s="10">
        <v>30791</v>
      </c>
      <c r="N27" s="10">
        <v>101985</v>
      </c>
      <c r="O27" s="10">
        <v>100814</v>
      </c>
      <c r="P27" s="10">
        <v>67851</v>
      </c>
      <c r="Q27" s="10">
        <v>3825</v>
      </c>
      <c r="R27" s="10">
        <v>2310</v>
      </c>
      <c r="S27" s="10">
        <v>7664</v>
      </c>
      <c r="T27" s="10">
        <v>40168</v>
      </c>
      <c r="U27" s="10">
        <v>84152</v>
      </c>
      <c r="V27" s="10">
        <v>102155</v>
      </c>
      <c r="W27" s="10">
        <v>72615</v>
      </c>
      <c r="X27" s="10">
        <v>52621</v>
      </c>
      <c r="Y27" s="10">
        <v>78105</v>
      </c>
      <c r="Z27" s="10">
        <v>27312</v>
      </c>
      <c r="AA27" s="10">
        <v>83400</v>
      </c>
      <c r="AB27" s="10">
        <v>22481</v>
      </c>
      <c r="AC27" s="10">
        <v>145000</v>
      </c>
      <c r="AD27" s="10">
        <v>80291</v>
      </c>
      <c r="AE27" s="10">
        <v>171908</v>
      </c>
      <c r="AF27" s="10">
        <v>69549</v>
      </c>
      <c r="AG27" s="10">
        <v>5514</v>
      </c>
      <c r="AH27" s="10">
        <v>67245</v>
      </c>
      <c r="AI27" s="10">
        <v>44294</v>
      </c>
      <c r="AJ27" s="10">
        <v>59521</v>
      </c>
      <c r="AK27" s="10">
        <v>108150</v>
      </c>
      <c r="AL27" s="10">
        <v>147738</v>
      </c>
      <c r="AM27" s="10">
        <v>35632</v>
      </c>
      <c r="AN27" s="10">
        <v>80706</v>
      </c>
      <c r="AO27" s="10">
        <v>88434</v>
      </c>
      <c r="AP27" s="10">
        <v>45932</v>
      </c>
      <c r="AQ27" s="10">
        <v>43991</v>
      </c>
      <c r="AR27" s="10">
        <v>98979</v>
      </c>
      <c r="AS27" s="10">
        <v>86658</v>
      </c>
      <c r="AT27" s="10">
        <v>82417</v>
      </c>
      <c r="AU27" s="10">
        <v>21793</v>
      </c>
      <c r="AV27" s="10">
        <v>94333</v>
      </c>
      <c r="AW27" s="10">
        <v>134408</v>
      </c>
      <c r="AX27" s="10">
        <v>90853</v>
      </c>
      <c r="AY27" s="10">
        <v>64645</v>
      </c>
      <c r="AZ27" s="10">
        <v>91104</v>
      </c>
      <c r="BA27" s="10">
        <v>75390</v>
      </c>
      <c r="BB27" s="10">
        <v>69798</v>
      </c>
      <c r="BC27" s="10">
        <v>93005</v>
      </c>
      <c r="BD27" s="10">
        <v>39605</v>
      </c>
      <c r="BE27" s="10">
        <v>75148</v>
      </c>
      <c r="BF27" s="10">
        <v>90570</v>
      </c>
      <c r="BG27" s="10">
        <v>96840</v>
      </c>
      <c r="BH27" s="10">
        <v>60853</v>
      </c>
      <c r="BI27" s="10">
        <v>62219</v>
      </c>
      <c r="BJ27" s="10">
        <v>58369</v>
      </c>
      <c r="BK27" s="10">
        <v>69444</v>
      </c>
      <c r="BL27" s="10">
        <v>39702</v>
      </c>
    </row>
    <row r="28" spans="1:64">
      <c r="A28" s="1" t="s">
        <v>213</v>
      </c>
      <c r="B28" s="14">
        <v>485288</v>
      </c>
      <c r="C28" s="14">
        <v>174</v>
      </c>
      <c r="D28" s="2" t="str">
        <f>HYPERLINK("http://128.120.136.21:8080/binbase-compound/bin/show/227952?db=rtx5","227952")</f>
        <v>227952</v>
      </c>
      <c r="E28" s="2" t="s">
        <v>214</v>
      </c>
      <c r="F28" s="2" t="str">
        <f>HYPERLINK("http://www.genome.ad.jp/dbget-bin/www_bget?compound+C00334","C00334")</f>
        <v>C00334</v>
      </c>
      <c r="G28" s="2" t="str">
        <f>HYPERLINK("http://pubchem.ncbi.nlm.nih.gov/summary/summary.cgi?cid=119","119")</f>
        <v>119</v>
      </c>
      <c r="H28" s="10">
        <v>110192</v>
      </c>
      <c r="I28" s="10">
        <v>8142</v>
      </c>
      <c r="J28" s="10">
        <v>12183</v>
      </c>
      <c r="K28" s="10">
        <v>126620</v>
      </c>
      <c r="L28" s="10">
        <v>28116</v>
      </c>
      <c r="M28" s="10">
        <v>46936</v>
      </c>
      <c r="N28" s="10">
        <v>19978</v>
      </c>
      <c r="O28" s="10">
        <v>100717</v>
      </c>
      <c r="P28" s="10">
        <v>128814</v>
      </c>
      <c r="Q28" s="10">
        <v>809</v>
      </c>
      <c r="R28" s="10">
        <v>913</v>
      </c>
      <c r="S28" s="10">
        <v>13411</v>
      </c>
      <c r="T28" s="10">
        <v>26984</v>
      </c>
      <c r="U28" s="10">
        <v>14391</v>
      </c>
      <c r="V28" s="10">
        <v>436</v>
      </c>
      <c r="W28" s="10">
        <v>269671</v>
      </c>
      <c r="X28" s="10">
        <v>335773</v>
      </c>
      <c r="Y28" s="10">
        <v>258627</v>
      </c>
      <c r="Z28" s="10">
        <v>23919</v>
      </c>
      <c r="AA28" s="10">
        <v>11789</v>
      </c>
      <c r="AB28" s="10">
        <v>806</v>
      </c>
      <c r="AC28" s="10">
        <v>86018</v>
      </c>
      <c r="AD28" s="10">
        <v>174769</v>
      </c>
      <c r="AE28" s="10">
        <v>50617</v>
      </c>
      <c r="AF28" s="10">
        <v>127967</v>
      </c>
      <c r="AG28" s="10">
        <v>112779</v>
      </c>
      <c r="AH28" s="10">
        <v>21867</v>
      </c>
      <c r="AI28" s="10">
        <v>12045</v>
      </c>
      <c r="AJ28" s="10">
        <v>54956</v>
      </c>
      <c r="AK28" s="10">
        <v>15637</v>
      </c>
      <c r="AL28" s="10">
        <v>14236</v>
      </c>
      <c r="AM28" s="10">
        <v>13939</v>
      </c>
      <c r="AN28" s="10">
        <v>13198</v>
      </c>
      <c r="AO28" s="10">
        <v>466</v>
      </c>
      <c r="AP28" s="10">
        <v>29008</v>
      </c>
      <c r="AQ28" s="10">
        <v>6595</v>
      </c>
      <c r="AR28" s="10">
        <v>15707</v>
      </c>
      <c r="AS28" s="10">
        <v>453</v>
      </c>
      <c r="AT28" s="10">
        <v>15534</v>
      </c>
      <c r="AU28" s="10">
        <v>18140</v>
      </c>
      <c r="AV28" s="10">
        <v>9391</v>
      </c>
      <c r="AW28" s="10">
        <v>19218</v>
      </c>
      <c r="AX28" s="10">
        <v>7167</v>
      </c>
      <c r="AY28" s="10">
        <v>4496</v>
      </c>
      <c r="AZ28" s="10">
        <v>506</v>
      </c>
      <c r="BA28" s="10">
        <v>697</v>
      </c>
      <c r="BB28" s="10">
        <v>9183</v>
      </c>
      <c r="BC28" s="10">
        <v>8131</v>
      </c>
      <c r="BD28" s="10">
        <v>48470</v>
      </c>
      <c r="BE28" s="10">
        <v>735</v>
      </c>
      <c r="BF28" s="10">
        <v>12020</v>
      </c>
      <c r="BG28" s="10">
        <v>381</v>
      </c>
      <c r="BH28" s="10">
        <v>36819</v>
      </c>
      <c r="BI28" s="10">
        <v>4243</v>
      </c>
      <c r="BJ28" s="10">
        <v>86845</v>
      </c>
      <c r="BK28" s="10">
        <v>95791</v>
      </c>
      <c r="BL28" s="10">
        <v>147326</v>
      </c>
    </row>
    <row r="29" spans="1:64">
      <c r="A29" s="1" t="s">
        <v>269</v>
      </c>
      <c r="B29" s="14">
        <v>917818</v>
      </c>
      <c r="C29" s="14">
        <v>236</v>
      </c>
      <c r="D29" s="2" t="str">
        <f>HYPERLINK("http://128.120.136.21:8080/binbase-compound/bin/show/211944?db=rtx5","211944")</f>
        <v>211944</v>
      </c>
      <c r="E29" s="2" t="s">
        <v>270</v>
      </c>
      <c r="F29" s="2" t="str">
        <f>HYPERLINK("http://www.genome.ad.jp/dbget-bin/www_bget?compound+C00212","C00212")</f>
        <v>C00212</v>
      </c>
      <c r="G29" s="2" t="str">
        <f>HYPERLINK("http://pubchem.ncbi.nlm.nih.gov/summary/summary.cgi?cid=60961","60961")</f>
        <v>60961</v>
      </c>
      <c r="H29" s="10">
        <v>122505</v>
      </c>
      <c r="I29" s="10">
        <v>1415</v>
      </c>
      <c r="J29" s="10">
        <v>1270</v>
      </c>
      <c r="K29" s="10">
        <v>61955</v>
      </c>
      <c r="L29" s="10">
        <v>3792</v>
      </c>
      <c r="M29" s="10">
        <v>125944</v>
      </c>
      <c r="N29" s="10">
        <v>4693</v>
      </c>
      <c r="O29" s="10">
        <v>49788</v>
      </c>
      <c r="P29" s="10">
        <v>20543</v>
      </c>
      <c r="Q29" s="10">
        <v>8887</v>
      </c>
      <c r="R29" s="10">
        <v>11989</v>
      </c>
      <c r="S29" s="10">
        <v>6973</v>
      </c>
      <c r="T29" s="10">
        <v>57110</v>
      </c>
      <c r="U29" s="10">
        <v>897</v>
      </c>
      <c r="V29" s="10">
        <v>3458</v>
      </c>
      <c r="W29" s="10">
        <v>279750</v>
      </c>
      <c r="X29" s="10">
        <v>176405</v>
      </c>
      <c r="Y29" s="10">
        <v>233525</v>
      </c>
      <c r="Z29" s="10">
        <v>1149</v>
      </c>
      <c r="AA29" s="10">
        <v>1338</v>
      </c>
      <c r="AB29" s="10">
        <v>1153</v>
      </c>
      <c r="AC29" s="10">
        <v>256028</v>
      </c>
      <c r="AD29" s="10">
        <v>267313</v>
      </c>
      <c r="AE29" s="10">
        <v>19705</v>
      </c>
      <c r="AF29" s="10">
        <v>226674</v>
      </c>
      <c r="AG29" s="10">
        <v>156871</v>
      </c>
      <c r="AH29" s="10">
        <v>1269</v>
      </c>
      <c r="AI29" s="10">
        <v>965</v>
      </c>
      <c r="AJ29" s="10">
        <v>1230</v>
      </c>
      <c r="AK29" s="10">
        <v>2807</v>
      </c>
      <c r="AL29" s="10">
        <v>2393</v>
      </c>
      <c r="AM29" s="10">
        <v>431</v>
      </c>
      <c r="AN29" s="10">
        <v>1004</v>
      </c>
      <c r="AO29" s="10">
        <v>928</v>
      </c>
      <c r="AP29" s="10">
        <v>1886</v>
      </c>
      <c r="AQ29" s="10">
        <v>1430</v>
      </c>
      <c r="AR29" s="10">
        <v>1682</v>
      </c>
      <c r="AS29" s="10">
        <v>970</v>
      </c>
      <c r="AT29" s="10">
        <v>1582</v>
      </c>
      <c r="AU29" s="10">
        <v>672</v>
      </c>
      <c r="AV29" s="10">
        <v>1085</v>
      </c>
      <c r="AW29" s="10">
        <v>1203</v>
      </c>
      <c r="AX29" s="10">
        <v>1924</v>
      </c>
      <c r="AY29" s="10">
        <v>754</v>
      </c>
      <c r="AZ29" s="10">
        <v>892</v>
      </c>
      <c r="BA29" s="10">
        <v>1239</v>
      </c>
      <c r="BB29" s="10">
        <v>2441</v>
      </c>
      <c r="BC29" s="10">
        <v>2432</v>
      </c>
      <c r="BD29" s="10">
        <v>2198</v>
      </c>
      <c r="BE29" s="10">
        <v>3558</v>
      </c>
      <c r="BF29" s="10">
        <v>1997</v>
      </c>
      <c r="BG29" s="10">
        <v>995</v>
      </c>
      <c r="BH29" s="10">
        <v>1493</v>
      </c>
      <c r="BI29" s="10">
        <v>1225</v>
      </c>
      <c r="BJ29" s="10">
        <v>672</v>
      </c>
      <c r="BK29" s="10">
        <v>7449</v>
      </c>
      <c r="BL29" s="10">
        <v>3195</v>
      </c>
    </row>
    <row r="30" spans="1:64">
      <c r="A30" s="1" t="s">
        <v>325</v>
      </c>
      <c r="B30" s="14">
        <v>611619</v>
      </c>
      <c r="C30" s="14">
        <v>299</v>
      </c>
      <c r="D30" s="2" t="str">
        <f>HYPERLINK("http://128.120.136.21:8080/binbase-compound/bin/show/217821?db=rtx5","217821")</f>
        <v>217821</v>
      </c>
      <c r="E30" s="2" t="s">
        <v>326</v>
      </c>
      <c r="F30" s="2" t="str">
        <f>HYPERLINK("http://www.genome.ad.jp/dbget-bin/www_bget?compound+C00197","C00197")</f>
        <v>C00197</v>
      </c>
      <c r="G30" s="2" t="str">
        <f>HYPERLINK("http://pubchem.ncbi.nlm.nih.gov/summary/summary.cgi?cid=724","724")</f>
        <v>724</v>
      </c>
      <c r="H30" s="10">
        <v>13867</v>
      </c>
      <c r="I30" s="10">
        <v>97676</v>
      </c>
      <c r="J30" s="10">
        <v>126057</v>
      </c>
      <c r="K30" s="10">
        <v>25994</v>
      </c>
      <c r="L30" s="10">
        <v>96539</v>
      </c>
      <c r="M30" s="10">
        <v>12740</v>
      </c>
      <c r="N30" s="10">
        <v>106815</v>
      </c>
      <c r="O30" s="10">
        <v>40208</v>
      </c>
      <c r="P30" s="10">
        <v>22121</v>
      </c>
      <c r="Q30" s="10">
        <v>487</v>
      </c>
      <c r="R30" s="10">
        <v>494</v>
      </c>
      <c r="S30" s="10">
        <v>1123</v>
      </c>
      <c r="T30" s="10">
        <v>28409</v>
      </c>
      <c r="U30" s="10">
        <v>38461</v>
      </c>
      <c r="V30" s="10">
        <v>51508</v>
      </c>
      <c r="W30" s="10">
        <v>22411</v>
      </c>
      <c r="X30" s="10">
        <v>14211</v>
      </c>
      <c r="Y30" s="10">
        <v>21437</v>
      </c>
      <c r="Z30" s="10">
        <v>50261</v>
      </c>
      <c r="AA30" s="10">
        <v>80585</v>
      </c>
      <c r="AB30" s="10">
        <v>56333</v>
      </c>
      <c r="AC30" s="10">
        <v>5742</v>
      </c>
      <c r="AD30" s="10">
        <v>7571</v>
      </c>
      <c r="AE30" s="10">
        <v>25660</v>
      </c>
      <c r="AF30" s="10">
        <v>5640</v>
      </c>
      <c r="AG30" s="10">
        <v>1306</v>
      </c>
      <c r="AH30" s="10">
        <v>22643</v>
      </c>
      <c r="AI30" s="10">
        <v>66907</v>
      </c>
      <c r="AJ30" s="10">
        <v>45293</v>
      </c>
      <c r="AK30" s="10">
        <v>67357</v>
      </c>
      <c r="AL30" s="10">
        <v>105252</v>
      </c>
      <c r="AM30" s="10">
        <v>36891</v>
      </c>
      <c r="AN30" s="10">
        <v>78365</v>
      </c>
      <c r="AO30" s="10">
        <v>69954</v>
      </c>
      <c r="AP30" s="10">
        <v>36329</v>
      </c>
      <c r="AQ30" s="10">
        <v>39261</v>
      </c>
      <c r="AR30" s="10">
        <v>75502</v>
      </c>
      <c r="AS30" s="10">
        <v>80608</v>
      </c>
      <c r="AT30" s="10">
        <v>76247</v>
      </c>
      <c r="AU30" s="10">
        <v>28504</v>
      </c>
      <c r="AV30" s="10">
        <v>115716</v>
      </c>
      <c r="AW30" s="10">
        <v>139947</v>
      </c>
      <c r="AX30" s="10">
        <v>151881</v>
      </c>
      <c r="AY30" s="10">
        <v>121942</v>
      </c>
      <c r="AZ30" s="10">
        <v>137713</v>
      </c>
      <c r="BA30" s="10">
        <v>42993</v>
      </c>
      <c r="BB30" s="10">
        <v>67033</v>
      </c>
      <c r="BC30" s="10">
        <v>105227</v>
      </c>
      <c r="BD30" s="10">
        <v>25047</v>
      </c>
      <c r="BE30" s="10">
        <v>34061</v>
      </c>
      <c r="BF30" s="10">
        <v>78369</v>
      </c>
      <c r="BG30" s="10">
        <v>79001</v>
      </c>
      <c r="BH30" s="10">
        <v>30162</v>
      </c>
      <c r="BI30" s="10">
        <v>71680</v>
      </c>
      <c r="BJ30" s="10">
        <v>24028</v>
      </c>
      <c r="BK30" s="10">
        <v>21191</v>
      </c>
      <c r="BL30" s="10">
        <v>22073</v>
      </c>
    </row>
    <row r="31" spans="1:64">
      <c r="A31" s="1" t="s">
        <v>147</v>
      </c>
      <c r="B31" s="14">
        <v>483568</v>
      </c>
      <c r="C31" s="14">
        <v>176</v>
      </c>
      <c r="D31" s="2" t="str">
        <f>HYPERLINK("http://128.120.136.21:8080/binbase-compound/bin/show/243699?db=rtx5","243699")</f>
        <v>243699</v>
      </c>
      <c r="E31" s="2" t="s">
        <v>148</v>
      </c>
      <c r="F31" s="2" t="str">
        <f>HYPERLINK("http://www.genome.ad.jp/dbget-bin/www_bget?compound+C00073","C00073")</f>
        <v>C00073</v>
      </c>
      <c r="G31" s="2" t="str">
        <f>HYPERLINK("http://pubchem.ncbi.nlm.nih.gov/summary/summary.cgi?cid=6137","6137")</f>
        <v>6137</v>
      </c>
      <c r="H31" s="10">
        <v>66065</v>
      </c>
      <c r="I31" s="10">
        <v>29194</v>
      </c>
      <c r="J31" s="10">
        <v>40563</v>
      </c>
      <c r="K31" s="10">
        <v>37708</v>
      </c>
      <c r="L31" s="10">
        <v>30915</v>
      </c>
      <c r="M31" s="10">
        <v>61336</v>
      </c>
      <c r="N31" s="10">
        <v>31222</v>
      </c>
      <c r="O31" s="10">
        <v>32532</v>
      </c>
      <c r="P31" s="10">
        <v>47701</v>
      </c>
      <c r="Q31" s="10">
        <v>37691</v>
      </c>
      <c r="R31" s="10">
        <v>60584</v>
      </c>
      <c r="S31" s="10">
        <v>18474</v>
      </c>
      <c r="T31" s="10">
        <v>70908</v>
      </c>
      <c r="U31" s="10">
        <v>26474</v>
      </c>
      <c r="V31" s="10">
        <v>30229</v>
      </c>
      <c r="W31" s="10">
        <v>36407</v>
      </c>
      <c r="X31" s="10">
        <v>29951</v>
      </c>
      <c r="Y31" s="10">
        <v>54265</v>
      </c>
      <c r="Z31" s="10">
        <v>84565</v>
      </c>
      <c r="AA31" s="10">
        <v>41950</v>
      </c>
      <c r="AB31" s="10">
        <v>43897</v>
      </c>
      <c r="AC31" s="10">
        <v>42655</v>
      </c>
      <c r="AD31" s="10">
        <v>24303</v>
      </c>
      <c r="AE31" s="10">
        <v>41924</v>
      </c>
      <c r="AF31" s="10">
        <v>39941</v>
      </c>
      <c r="AG31" s="10">
        <v>54170</v>
      </c>
      <c r="AH31" s="10">
        <v>15911</v>
      </c>
      <c r="AI31" s="10">
        <v>38612</v>
      </c>
      <c r="AJ31" s="10">
        <v>54533</v>
      </c>
      <c r="AK31" s="10">
        <v>50376</v>
      </c>
      <c r="AL31" s="10">
        <v>33708</v>
      </c>
      <c r="AM31" s="10">
        <v>58914</v>
      </c>
      <c r="AN31" s="10">
        <v>20064</v>
      </c>
      <c r="AO31" s="10">
        <v>25798</v>
      </c>
      <c r="AP31" s="10">
        <v>45536</v>
      </c>
      <c r="AQ31" s="10">
        <v>13894</v>
      </c>
      <c r="AR31" s="10">
        <v>44963</v>
      </c>
      <c r="AS31" s="10">
        <v>33432</v>
      </c>
      <c r="AT31" s="10">
        <v>50767</v>
      </c>
      <c r="AU31" s="10">
        <v>80452</v>
      </c>
      <c r="AV31" s="10">
        <v>31253</v>
      </c>
      <c r="AW31" s="10">
        <v>56555</v>
      </c>
      <c r="AX31" s="10">
        <v>37995</v>
      </c>
      <c r="AY31" s="10">
        <v>45033</v>
      </c>
      <c r="AZ31" s="10">
        <v>28164</v>
      </c>
      <c r="BA31" s="10">
        <v>45375</v>
      </c>
      <c r="BB31" s="10">
        <v>42558</v>
      </c>
      <c r="BC31" s="10">
        <v>22348</v>
      </c>
      <c r="BD31" s="10">
        <v>52896</v>
      </c>
      <c r="BE31" s="10">
        <v>48357</v>
      </c>
      <c r="BF31" s="10">
        <v>18769</v>
      </c>
      <c r="BG31" s="10">
        <v>18632</v>
      </c>
      <c r="BH31" s="10">
        <v>46043</v>
      </c>
      <c r="BI31" s="10">
        <v>25157</v>
      </c>
      <c r="BJ31" s="10">
        <v>46503</v>
      </c>
      <c r="BK31" s="10">
        <v>48220</v>
      </c>
      <c r="BL31" s="10">
        <v>60801</v>
      </c>
    </row>
    <row r="32" spans="1:64">
      <c r="A32" s="1" t="s">
        <v>186</v>
      </c>
      <c r="B32" s="14">
        <v>665277</v>
      </c>
      <c r="C32" s="14">
        <v>154</v>
      </c>
      <c r="D32" s="2" t="str">
        <f>HYPERLINK("http://128.120.136.21:8080/binbase-compound/bin/show/200983?db=rtx5","200983")</f>
        <v>200983</v>
      </c>
      <c r="E32" s="2" t="s">
        <v>187</v>
      </c>
      <c r="F32" s="2" t="str">
        <f>HYPERLINK("http://www.genome.ad.jp/dbget-bin/www_bget?compound+C00135","C00135")</f>
        <v>C00135</v>
      </c>
      <c r="G32" s="2" t="str">
        <f>HYPERLINK("http://pubchem.ncbi.nlm.nih.gov/summary/summary.cgi?cid=6274","6274")</f>
        <v>6274</v>
      </c>
      <c r="H32" s="10">
        <v>37243</v>
      </c>
      <c r="I32" s="10">
        <v>40890</v>
      </c>
      <c r="J32" s="10">
        <v>43463</v>
      </c>
      <c r="K32" s="10">
        <v>40545</v>
      </c>
      <c r="L32" s="10">
        <v>35439</v>
      </c>
      <c r="M32" s="10">
        <v>57132</v>
      </c>
      <c r="N32" s="10">
        <v>46276</v>
      </c>
      <c r="O32" s="10">
        <v>43527</v>
      </c>
      <c r="P32" s="10">
        <v>54343</v>
      </c>
      <c r="Q32" s="10">
        <v>22747</v>
      </c>
      <c r="R32" s="10">
        <v>58690</v>
      </c>
      <c r="S32" s="10">
        <v>20252</v>
      </c>
      <c r="T32" s="10">
        <v>68743</v>
      </c>
      <c r="U32" s="10">
        <v>38535</v>
      </c>
      <c r="V32" s="10">
        <v>46161</v>
      </c>
      <c r="W32" s="10">
        <v>42548</v>
      </c>
      <c r="X32" s="10">
        <v>35708</v>
      </c>
      <c r="Y32" s="10">
        <v>34920</v>
      </c>
      <c r="Z32" s="10">
        <v>43339</v>
      </c>
      <c r="AA32" s="10">
        <v>47477</v>
      </c>
      <c r="AB32" s="10">
        <v>40815</v>
      </c>
      <c r="AC32" s="10">
        <v>42252</v>
      </c>
      <c r="AD32" s="10">
        <v>40096</v>
      </c>
      <c r="AE32" s="10">
        <v>54104</v>
      </c>
      <c r="AF32" s="10">
        <v>47794</v>
      </c>
      <c r="AG32" s="10">
        <v>21993</v>
      </c>
      <c r="AH32" s="10">
        <v>14997</v>
      </c>
      <c r="AI32" s="10">
        <v>55787</v>
      </c>
      <c r="AJ32" s="10">
        <v>64052</v>
      </c>
      <c r="AK32" s="10">
        <v>39137</v>
      </c>
      <c r="AL32" s="10">
        <v>51965</v>
      </c>
      <c r="AM32" s="10">
        <v>51916</v>
      </c>
      <c r="AN32" s="10">
        <v>36384</v>
      </c>
      <c r="AO32" s="10">
        <v>38758</v>
      </c>
      <c r="AP32" s="10">
        <v>64214</v>
      </c>
      <c r="AQ32" s="10">
        <v>23258</v>
      </c>
      <c r="AR32" s="10">
        <v>43058</v>
      </c>
      <c r="AS32" s="10">
        <v>46192</v>
      </c>
      <c r="AT32" s="10">
        <v>49102</v>
      </c>
      <c r="AU32" s="10">
        <v>62756</v>
      </c>
      <c r="AV32" s="10">
        <v>44539</v>
      </c>
      <c r="AW32" s="10">
        <v>52960</v>
      </c>
      <c r="AX32" s="10">
        <v>34574</v>
      </c>
      <c r="AY32" s="10">
        <v>67493</v>
      </c>
      <c r="AZ32" s="10">
        <v>39075</v>
      </c>
      <c r="BA32" s="10">
        <v>49861</v>
      </c>
      <c r="BB32" s="10">
        <v>62054</v>
      </c>
      <c r="BC32" s="10">
        <v>43785</v>
      </c>
      <c r="BD32" s="10">
        <v>65415</v>
      </c>
      <c r="BE32" s="10">
        <v>54908</v>
      </c>
      <c r="BF32" s="10">
        <v>42532</v>
      </c>
      <c r="BG32" s="10">
        <v>37149</v>
      </c>
      <c r="BH32" s="10">
        <v>47861</v>
      </c>
      <c r="BI32" s="10">
        <v>55464</v>
      </c>
      <c r="BJ32" s="10">
        <v>53499</v>
      </c>
      <c r="BK32" s="10">
        <v>53575</v>
      </c>
      <c r="BL32" s="10">
        <v>52854</v>
      </c>
    </row>
    <row r="33" spans="1:64">
      <c r="A33" s="1" t="s">
        <v>271</v>
      </c>
      <c r="B33" s="14">
        <v>646247</v>
      </c>
      <c r="C33" s="14">
        <v>264</v>
      </c>
      <c r="D33" s="2" t="str">
        <f>HYPERLINK("http://128.120.136.21:8080/binbase-compound/bin/show/307666?db=rtx5","307666")</f>
        <v>307666</v>
      </c>
      <c r="E33" s="2" t="s">
        <v>272</v>
      </c>
      <c r="F33" s="2" t="str">
        <f>HYPERLINK("http://www.genome.ad.jp/dbget-bin/www_bget?compound+C00147","C00147")</f>
        <v>C00147</v>
      </c>
      <c r="G33" s="2" t="str">
        <f>HYPERLINK("http://pubchem.ncbi.nlm.nih.gov/summary/summary.cgi?cid=190","190")</f>
        <v>190</v>
      </c>
      <c r="H33" s="10">
        <v>140492</v>
      </c>
      <c r="I33" s="10">
        <v>5789</v>
      </c>
      <c r="J33" s="10">
        <v>7574</v>
      </c>
      <c r="K33" s="10">
        <v>152943</v>
      </c>
      <c r="L33" s="10">
        <v>38866</v>
      </c>
      <c r="M33" s="10">
        <v>61203</v>
      </c>
      <c r="N33" s="10">
        <v>10658</v>
      </c>
      <c r="O33" s="10">
        <v>72673</v>
      </c>
      <c r="P33" s="10">
        <v>53846</v>
      </c>
      <c r="Q33" s="10">
        <v>2548</v>
      </c>
      <c r="R33" s="10">
        <v>3290</v>
      </c>
      <c r="S33" s="10">
        <v>3658</v>
      </c>
      <c r="T33" s="10">
        <v>100478</v>
      </c>
      <c r="U33" s="10">
        <v>5711</v>
      </c>
      <c r="V33" s="10">
        <v>30837</v>
      </c>
      <c r="W33" s="10">
        <v>95605</v>
      </c>
      <c r="X33" s="10">
        <v>97515</v>
      </c>
      <c r="Y33" s="10">
        <v>184058</v>
      </c>
      <c r="Z33" s="10">
        <v>850</v>
      </c>
      <c r="AA33" s="10">
        <v>1578</v>
      </c>
      <c r="AB33" s="10">
        <v>1393</v>
      </c>
      <c r="AC33" s="10">
        <v>155021</v>
      </c>
      <c r="AD33" s="10">
        <v>158309</v>
      </c>
      <c r="AE33" s="10">
        <v>197863</v>
      </c>
      <c r="AF33" s="10">
        <v>93687</v>
      </c>
      <c r="AG33" s="10">
        <v>96257</v>
      </c>
      <c r="AH33" s="10">
        <v>13937</v>
      </c>
      <c r="AI33" s="10">
        <v>5114</v>
      </c>
      <c r="AJ33" s="10">
        <v>5577</v>
      </c>
      <c r="AK33" s="10">
        <v>3810</v>
      </c>
      <c r="AL33" s="10">
        <v>3333</v>
      </c>
      <c r="AM33" s="10">
        <v>2204</v>
      </c>
      <c r="AN33" s="10">
        <v>3575</v>
      </c>
      <c r="AO33" s="10">
        <v>4339</v>
      </c>
      <c r="AP33" s="10">
        <v>6989</v>
      </c>
      <c r="AQ33" s="10">
        <v>3436</v>
      </c>
      <c r="AR33" s="10">
        <v>2548</v>
      </c>
      <c r="AS33" s="10">
        <v>2849</v>
      </c>
      <c r="AT33" s="10">
        <v>2516</v>
      </c>
      <c r="AU33" s="10">
        <v>698</v>
      </c>
      <c r="AV33" s="10">
        <v>2523</v>
      </c>
      <c r="AW33" s="10">
        <v>2332</v>
      </c>
      <c r="AX33" s="10">
        <v>2245</v>
      </c>
      <c r="AY33" s="10">
        <v>2926</v>
      </c>
      <c r="AZ33" s="10">
        <v>2279</v>
      </c>
      <c r="BA33" s="10">
        <v>3796</v>
      </c>
      <c r="BB33" s="10">
        <v>13572</v>
      </c>
      <c r="BC33" s="10">
        <v>3959</v>
      </c>
      <c r="BD33" s="10">
        <v>4869</v>
      </c>
      <c r="BE33" s="10">
        <v>13915</v>
      </c>
      <c r="BF33" s="10">
        <v>6725</v>
      </c>
      <c r="BG33" s="10">
        <v>3858</v>
      </c>
      <c r="BH33" s="10">
        <v>5754</v>
      </c>
      <c r="BI33" s="10">
        <v>3402</v>
      </c>
      <c r="BJ33" s="10">
        <v>2084</v>
      </c>
      <c r="BK33" s="10">
        <v>6548</v>
      </c>
      <c r="BL33" s="10">
        <v>3336</v>
      </c>
    </row>
    <row r="34" spans="1:64">
      <c r="A34" s="1" t="s">
        <v>107</v>
      </c>
      <c r="B34" s="14">
        <v>364232</v>
      </c>
      <c r="C34" s="14">
        <v>142</v>
      </c>
      <c r="D34" s="2" t="str">
        <f>HYPERLINK("http://128.120.136.21:8080/binbase-compound/bin/show/199611?db=rtx5","199611")</f>
        <v>199611</v>
      </c>
      <c r="E34" s="2" t="s">
        <v>108</v>
      </c>
      <c r="F34" s="2" t="str">
        <f>HYPERLINK("http://www.genome.ad.jp/dbget-bin/www_bget?compound+C00148","C00148")</f>
        <v>C00148</v>
      </c>
      <c r="G34" s="2" t="str">
        <f>HYPERLINK("http://pubchem.ncbi.nlm.nih.gov/summary/summary.cgi?cid=145742","145742")</f>
        <v>145742</v>
      </c>
      <c r="H34" s="10">
        <v>33517</v>
      </c>
      <c r="I34" s="10">
        <v>19750</v>
      </c>
      <c r="J34" s="10">
        <v>11561</v>
      </c>
      <c r="K34" s="10">
        <v>45423</v>
      </c>
      <c r="L34" s="10">
        <v>27692</v>
      </c>
      <c r="M34" s="10">
        <v>48026</v>
      </c>
      <c r="N34" s="10">
        <v>25610</v>
      </c>
      <c r="O34" s="10">
        <v>37495</v>
      </c>
      <c r="P34" s="10">
        <v>64038</v>
      </c>
      <c r="Q34" s="10">
        <v>23460</v>
      </c>
      <c r="R34" s="10">
        <v>36369</v>
      </c>
      <c r="S34" s="10">
        <v>15249</v>
      </c>
      <c r="T34" s="10">
        <v>79564</v>
      </c>
      <c r="U34" s="10">
        <v>39312</v>
      </c>
      <c r="V34" s="10">
        <v>49578</v>
      </c>
      <c r="W34" s="10">
        <v>28755</v>
      </c>
      <c r="X34" s="10">
        <v>39234</v>
      </c>
      <c r="Y34" s="10">
        <v>39723</v>
      </c>
      <c r="Z34" s="10">
        <v>55163</v>
      </c>
      <c r="AA34" s="10">
        <v>56097</v>
      </c>
      <c r="AB34" s="10">
        <v>93632</v>
      </c>
      <c r="AC34" s="10">
        <v>49625</v>
      </c>
      <c r="AD34" s="10">
        <v>32300</v>
      </c>
      <c r="AE34" s="10">
        <v>68759</v>
      </c>
      <c r="AF34" s="10">
        <v>32296</v>
      </c>
      <c r="AG34" s="10">
        <v>64976</v>
      </c>
      <c r="AH34" s="10">
        <v>55555</v>
      </c>
      <c r="AI34" s="10">
        <v>62086</v>
      </c>
      <c r="AJ34" s="10">
        <v>18627</v>
      </c>
      <c r="AK34" s="10">
        <v>39333</v>
      </c>
      <c r="AL34" s="10">
        <v>86265</v>
      </c>
      <c r="AM34" s="10">
        <v>30748</v>
      </c>
      <c r="AN34" s="10">
        <v>52939</v>
      </c>
      <c r="AO34" s="10">
        <v>10456</v>
      </c>
      <c r="AP34" s="10">
        <v>53616</v>
      </c>
      <c r="AQ34" s="10">
        <v>14345</v>
      </c>
      <c r="AR34" s="10">
        <v>56231</v>
      </c>
      <c r="AS34" s="10">
        <v>98294</v>
      </c>
      <c r="AT34" s="10">
        <v>35369</v>
      </c>
      <c r="AU34" s="10">
        <v>100411</v>
      </c>
      <c r="AV34" s="10">
        <v>39896</v>
      </c>
      <c r="AW34" s="10">
        <v>81073</v>
      </c>
      <c r="AX34" s="10">
        <v>51183</v>
      </c>
      <c r="AY34" s="10">
        <v>36570</v>
      </c>
      <c r="AZ34" s="10">
        <v>31294</v>
      </c>
      <c r="BA34" s="10">
        <v>14193</v>
      </c>
      <c r="BB34" s="10">
        <v>6974</v>
      </c>
      <c r="BC34" s="10">
        <v>7477</v>
      </c>
      <c r="BD34" s="10">
        <v>18413</v>
      </c>
      <c r="BE34" s="10">
        <v>7834</v>
      </c>
      <c r="BF34" s="10">
        <v>8441</v>
      </c>
      <c r="BG34" s="10">
        <v>5170</v>
      </c>
      <c r="BH34" s="10">
        <v>55713</v>
      </c>
      <c r="BI34" s="10">
        <v>7079</v>
      </c>
      <c r="BJ34" s="10">
        <v>24269</v>
      </c>
      <c r="BK34" s="10">
        <v>36692</v>
      </c>
      <c r="BL34" s="10">
        <v>34648</v>
      </c>
    </row>
    <row r="35" spans="1:64">
      <c r="A35" s="1" t="s">
        <v>205</v>
      </c>
      <c r="B35" s="14">
        <v>528717</v>
      </c>
      <c r="C35" s="14">
        <v>246</v>
      </c>
      <c r="D35" s="2" t="str">
        <f>HYPERLINK("http://128.120.136.21:8080/binbase-compound/bin/show/433267?db=rtx5","433267")</f>
        <v>433267</v>
      </c>
      <c r="E35" s="2" t="s">
        <v>206</v>
      </c>
      <c r="F35" s="2" t="s">
        <v>57</v>
      </c>
      <c r="G35" s="2" t="s">
        <v>57</v>
      </c>
      <c r="H35" s="10">
        <v>175589</v>
      </c>
      <c r="I35" s="10">
        <v>22159</v>
      </c>
      <c r="J35" s="10">
        <v>39596</v>
      </c>
      <c r="K35" s="10">
        <v>150264</v>
      </c>
      <c r="L35" s="10">
        <v>44285</v>
      </c>
      <c r="M35" s="10">
        <v>134950</v>
      </c>
      <c r="N35" s="10">
        <v>32752</v>
      </c>
      <c r="O35" s="10">
        <v>122972</v>
      </c>
      <c r="P35" s="10">
        <v>150680</v>
      </c>
      <c r="Q35" s="10">
        <v>89160</v>
      </c>
      <c r="R35" s="10">
        <v>136117</v>
      </c>
      <c r="S35" s="10">
        <v>75969</v>
      </c>
      <c r="T35" s="10">
        <v>92324</v>
      </c>
      <c r="U35" s="10">
        <v>26421</v>
      </c>
      <c r="V35" s="10">
        <v>45679</v>
      </c>
      <c r="W35" s="10">
        <v>285397</v>
      </c>
      <c r="X35" s="10">
        <v>354447</v>
      </c>
      <c r="Y35" s="10">
        <v>279879</v>
      </c>
      <c r="Z35" s="10">
        <v>84629</v>
      </c>
      <c r="AA35" s="10">
        <v>38515</v>
      </c>
      <c r="AB35" s="10">
        <v>64340</v>
      </c>
      <c r="AC35" s="10">
        <v>133207</v>
      </c>
      <c r="AD35" s="10">
        <v>200786</v>
      </c>
      <c r="AE35" s="10">
        <v>125460</v>
      </c>
      <c r="AF35" s="10">
        <v>168632</v>
      </c>
      <c r="AG35" s="10">
        <v>192119</v>
      </c>
      <c r="AH35" s="10">
        <v>37933</v>
      </c>
      <c r="AI35" s="10">
        <v>45869</v>
      </c>
      <c r="AJ35" s="10">
        <v>115660</v>
      </c>
      <c r="AK35" s="10">
        <v>44166</v>
      </c>
      <c r="AL35" s="10">
        <v>41218</v>
      </c>
      <c r="AM35" s="10">
        <v>49359</v>
      </c>
      <c r="AN35" s="10">
        <v>39591</v>
      </c>
      <c r="AO35" s="10">
        <v>40492</v>
      </c>
      <c r="AP35" s="10">
        <v>83774</v>
      </c>
      <c r="AQ35" s="10">
        <v>35166</v>
      </c>
      <c r="AR35" s="10">
        <v>49250</v>
      </c>
      <c r="AS35" s="10">
        <v>34858</v>
      </c>
      <c r="AT35" s="10">
        <v>47174</v>
      </c>
      <c r="AU35" s="10">
        <v>120289</v>
      </c>
      <c r="AV35" s="10">
        <v>36051</v>
      </c>
      <c r="AW35" s="10">
        <v>52992</v>
      </c>
      <c r="AX35" s="10">
        <v>20333</v>
      </c>
      <c r="AY35" s="10">
        <v>37882</v>
      </c>
      <c r="AZ35" s="10">
        <v>24678</v>
      </c>
      <c r="BA35" s="10">
        <v>57926</v>
      </c>
      <c r="BB35" s="10">
        <v>42751</v>
      </c>
      <c r="BC35" s="10">
        <v>35652</v>
      </c>
      <c r="BD35" s="10">
        <v>87650</v>
      </c>
      <c r="BE35" s="10">
        <v>75572</v>
      </c>
      <c r="BF35" s="10">
        <v>56049</v>
      </c>
      <c r="BG35" s="10">
        <v>30019</v>
      </c>
      <c r="BH35" s="10">
        <v>88856</v>
      </c>
      <c r="BI35" s="10">
        <v>54057</v>
      </c>
      <c r="BJ35" s="10">
        <v>139764</v>
      </c>
      <c r="BK35" s="10">
        <v>179179</v>
      </c>
      <c r="BL35" s="10">
        <v>210390</v>
      </c>
    </row>
    <row r="36" spans="1:64">
      <c r="A36" s="1" t="s">
        <v>123</v>
      </c>
      <c r="B36" s="14">
        <v>713542</v>
      </c>
      <c r="C36" s="14">
        <v>313</v>
      </c>
      <c r="D36" s="2" t="str">
        <f>HYPERLINK("http://128.120.136.21:8080/binbase-compound/bin/show/199173?db=rtx5","199173")</f>
        <v>199173</v>
      </c>
      <c r="E36" s="2" t="s">
        <v>124</v>
      </c>
      <c r="F36" s="2" t="str">
        <f>HYPERLINK("http://www.genome.ad.jp/dbget-bin/www_bget?compound+C00249","C00249")</f>
        <v>C00249</v>
      </c>
      <c r="G36" s="2" t="str">
        <f>HYPERLINK("http://pubchem.ncbi.nlm.nih.gov/summary/summary.cgi?cid=985","985")</f>
        <v>985</v>
      </c>
      <c r="H36" s="10">
        <v>28443</v>
      </c>
      <c r="I36" s="10">
        <v>39749</v>
      </c>
      <c r="J36" s="10">
        <v>33939</v>
      </c>
      <c r="K36" s="10">
        <v>21400</v>
      </c>
      <c r="L36" s="10">
        <v>24947</v>
      </c>
      <c r="M36" s="10">
        <v>12095</v>
      </c>
      <c r="N36" s="10">
        <v>36615</v>
      </c>
      <c r="O36" s="10">
        <v>28249</v>
      </c>
      <c r="P36" s="10">
        <v>19693</v>
      </c>
      <c r="Q36" s="10">
        <v>20788</v>
      </c>
      <c r="R36" s="10">
        <v>18448</v>
      </c>
      <c r="S36" s="10">
        <v>124299</v>
      </c>
      <c r="T36" s="10">
        <v>23161</v>
      </c>
      <c r="U36" s="10">
        <v>42735</v>
      </c>
      <c r="V36" s="10">
        <v>37110</v>
      </c>
      <c r="W36" s="10">
        <v>13683</v>
      </c>
      <c r="X36" s="10">
        <v>19560</v>
      </c>
      <c r="Y36" s="10">
        <v>32124</v>
      </c>
      <c r="Z36" s="10">
        <v>28752</v>
      </c>
      <c r="AA36" s="10">
        <v>40222</v>
      </c>
      <c r="AB36" s="10">
        <v>41383</v>
      </c>
      <c r="AC36" s="10">
        <v>16721</v>
      </c>
      <c r="AD36" s="10">
        <v>23786</v>
      </c>
      <c r="AE36" s="10">
        <v>17245</v>
      </c>
      <c r="AF36" s="10">
        <v>21735</v>
      </c>
      <c r="AG36" s="10">
        <v>14907</v>
      </c>
      <c r="AH36" s="10">
        <v>35238</v>
      </c>
      <c r="AI36" s="10">
        <v>30298</v>
      </c>
      <c r="AJ36" s="10">
        <v>18299</v>
      </c>
      <c r="AK36" s="10">
        <v>27161</v>
      </c>
      <c r="AL36" s="10">
        <v>40770</v>
      </c>
      <c r="AM36" s="10">
        <v>22310</v>
      </c>
      <c r="AN36" s="10">
        <v>57917</v>
      </c>
      <c r="AO36" s="10">
        <v>35485</v>
      </c>
      <c r="AP36" s="10">
        <v>18674</v>
      </c>
      <c r="AQ36" s="10">
        <v>51101</v>
      </c>
      <c r="AR36" s="10">
        <v>35299</v>
      </c>
      <c r="AS36" s="10">
        <v>35692</v>
      </c>
      <c r="AT36" s="10">
        <v>36909</v>
      </c>
      <c r="AU36" s="10">
        <v>18906</v>
      </c>
      <c r="AV36" s="10">
        <v>40729</v>
      </c>
      <c r="AW36" s="10">
        <v>29086</v>
      </c>
      <c r="AX36" s="10">
        <v>45500</v>
      </c>
      <c r="AY36" s="10">
        <v>49154</v>
      </c>
      <c r="AZ36" s="10">
        <v>48205</v>
      </c>
      <c r="BA36" s="10">
        <v>17806</v>
      </c>
      <c r="BB36" s="10">
        <v>17178</v>
      </c>
      <c r="BC36" s="10">
        <v>21059</v>
      </c>
      <c r="BD36" s="10">
        <v>21701</v>
      </c>
      <c r="BE36" s="10">
        <v>17045</v>
      </c>
      <c r="BF36" s="10">
        <v>36260</v>
      </c>
      <c r="BG36" s="10">
        <v>54046</v>
      </c>
      <c r="BH36" s="10">
        <v>19211</v>
      </c>
      <c r="BI36" s="10">
        <v>32049</v>
      </c>
      <c r="BJ36" s="10">
        <v>27890</v>
      </c>
      <c r="BK36" s="10">
        <v>28756</v>
      </c>
      <c r="BL36" s="10">
        <v>22148</v>
      </c>
    </row>
    <row r="37" spans="1:64">
      <c r="A37" s="1" t="s">
        <v>196</v>
      </c>
      <c r="B37" s="14">
        <v>591357</v>
      </c>
      <c r="C37" s="14">
        <v>299</v>
      </c>
      <c r="D37" s="2" t="str">
        <f>HYPERLINK("http://128.120.136.21:8080/binbase-compound/bin/show/199419?db=rtx5","199419")</f>
        <v>199419</v>
      </c>
      <c r="E37" s="2" t="s">
        <v>197</v>
      </c>
      <c r="F37" s="2" t="str">
        <f>HYPERLINK("http://www.genome.ad.jp/dbget-bin/www_bget?compound+C00093","C00093")</f>
        <v>C00093</v>
      </c>
      <c r="G37" s="2" t="str">
        <f>HYPERLINK("http://pubchem.ncbi.nlm.nih.gov/summary/summary.cgi?cid=754","754")</f>
        <v>754</v>
      </c>
      <c r="H37" s="10">
        <v>37104</v>
      </c>
      <c r="I37" s="10">
        <v>42195</v>
      </c>
      <c r="J37" s="10">
        <v>27824</v>
      </c>
      <c r="K37" s="10">
        <v>42004</v>
      </c>
      <c r="L37" s="10">
        <v>35189</v>
      </c>
      <c r="M37" s="10">
        <v>18542</v>
      </c>
      <c r="N37" s="10">
        <v>49894</v>
      </c>
      <c r="O37" s="10">
        <v>38278</v>
      </c>
      <c r="P37" s="10">
        <v>34800</v>
      </c>
      <c r="Q37" s="10">
        <v>2794</v>
      </c>
      <c r="R37" s="10">
        <v>4508</v>
      </c>
      <c r="S37" s="10">
        <v>3273</v>
      </c>
      <c r="T37" s="10">
        <v>33862</v>
      </c>
      <c r="U37" s="10">
        <v>49427</v>
      </c>
      <c r="V37" s="10">
        <v>43179</v>
      </c>
      <c r="W37" s="10">
        <v>25593</v>
      </c>
      <c r="X37" s="10">
        <v>22396</v>
      </c>
      <c r="Y37" s="10">
        <v>39752</v>
      </c>
      <c r="Z37" s="10">
        <v>28428</v>
      </c>
      <c r="AA37" s="10">
        <v>25615</v>
      </c>
      <c r="AB37" s="10">
        <v>25691</v>
      </c>
      <c r="AC37" s="10">
        <v>31674</v>
      </c>
      <c r="AD37" s="10">
        <v>27104</v>
      </c>
      <c r="AE37" s="10">
        <v>31733</v>
      </c>
      <c r="AF37" s="10">
        <v>33031</v>
      </c>
      <c r="AG37" s="10">
        <v>19440</v>
      </c>
      <c r="AH37" s="10">
        <v>47896</v>
      </c>
      <c r="AI37" s="10">
        <v>19892</v>
      </c>
      <c r="AJ37" s="10">
        <v>16825</v>
      </c>
      <c r="AK37" s="10">
        <v>25092</v>
      </c>
      <c r="AL37" s="10">
        <v>17547</v>
      </c>
      <c r="AM37" s="10">
        <v>6936</v>
      </c>
      <c r="AN37" s="10">
        <v>23754</v>
      </c>
      <c r="AO37" s="10">
        <v>20957</v>
      </c>
      <c r="AP37" s="10">
        <v>8639</v>
      </c>
      <c r="AQ37" s="10">
        <v>14964</v>
      </c>
      <c r="AR37" s="10">
        <v>32010</v>
      </c>
      <c r="AS37" s="10">
        <v>32258</v>
      </c>
      <c r="AT37" s="10">
        <v>30657</v>
      </c>
      <c r="AU37" s="10">
        <v>27106</v>
      </c>
      <c r="AV37" s="10">
        <v>31957</v>
      </c>
      <c r="AW37" s="10">
        <v>18001</v>
      </c>
      <c r="AX37" s="10">
        <v>23325</v>
      </c>
      <c r="AY37" s="10">
        <v>26117</v>
      </c>
      <c r="AZ37" s="10">
        <v>40463</v>
      </c>
      <c r="BA37" s="10">
        <v>12496</v>
      </c>
      <c r="BB37" s="10">
        <v>11412</v>
      </c>
      <c r="BC37" s="10">
        <v>24538</v>
      </c>
      <c r="BD37" s="10">
        <v>8798</v>
      </c>
      <c r="BE37" s="10">
        <v>9610</v>
      </c>
      <c r="BF37" s="10">
        <v>21889</v>
      </c>
      <c r="BG37" s="10">
        <v>28833</v>
      </c>
      <c r="BH37" s="10">
        <v>13378</v>
      </c>
      <c r="BI37" s="10">
        <v>14610</v>
      </c>
      <c r="BJ37" s="10">
        <v>16524</v>
      </c>
      <c r="BK37" s="10">
        <v>14717</v>
      </c>
      <c r="BL37" s="10">
        <v>16522</v>
      </c>
    </row>
    <row r="38" spans="1:64">
      <c r="A38" s="1" t="s">
        <v>60</v>
      </c>
      <c r="B38" s="14">
        <v>702391</v>
      </c>
      <c r="C38" s="14">
        <v>353</v>
      </c>
      <c r="D38" s="2" t="str">
        <f>HYPERLINK("http://128.120.136.21:8080/binbase-compound/bin/show/203224?db=rtx5","203224")</f>
        <v>203224</v>
      </c>
      <c r="E38" s="2" t="s">
        <v>61</v>
      </c>
      <c r="F38" s="2" t="str">
        <f>HYPERLINK("http://www.genome.ad.jp/dbget-bin/www_bget?compound+C00385","C00385")</f>
        <v>C00385</v>
      </c>
      <c r="G38" s="2" t="str">
        <f>HYPERLINK("http://pubchem.ncbi.nlm.nih.gov/summary/summary.cgi?cid=1188","1188")</f>
        <v>1188</v>
      </c>
      <c r="H38" s="10">
        <v>21549</v>
      </c>
      <c r="I38" s="10">
        <v>38523</v>
      </c>
      <c r="J38" s="10">
        <v>24338</v>
      </c>
      <c r="K38" s="10">
        <v>35221</v>
      </c>
      <c r="L38" s="10">
        <v>29088</v>
      </c>
      <c r="M38" s="10">
        <v>6612</v>
      </c>
      <c r="N38" s="10">
        <v>46318</v>
      </c>
      <c r="O38" s="10">
        <v>26363</v>
      </c>
      <c r="P38" s="10">
        <v>24160</v>
      </c>
      <c r="Q38" s="10">
        <v>474</v>
      </c>
      <c r="R38" s="10">
        <v>427</v>
      </c>
      <c r="S38" s="10">
        <v>955</v>
      </c>
      <c r="T38" s="10">
        <v>24628</v>
      </c>
      <c r="U38" s="10">
        <v>35319</v>
      </c>
      <c r="V38" s="10">
        <v>34527</v>
      </c>
      <c r="W38" s="10">
        <v>4987</v>
      </c>
      <c r="X38" s="10">
        <v>6030</v>
      </c>
      <c r="Y38" s="10">
        <v>25153</v>
      </c>
      <c r="Z38" s="10">
        <v>9709</v>
      </c>
      <c r="AA38" s="10">
        <v>31772</v>
      </c>
      <c r="AB38" s="10">
        <v>11582</v>
      </c>
      <c r="AC38" s="10">
        <v>47796</v>
      </c>
      <c r="AD38" s="10">
        <v>10772</v>
      </c>
      <c r="AE38" s="10">
        <v>38195</v>
      </c>
      <c r="AF38" s="10">
        <v>10994</v>
      </c>
      <c r="AG38" s="10">
        <v>14394</v>
      </c>
      <c r="AH38" s="10">
        <v>19523</v>
      </c>
      <c r="AI38" s="10">
        <v>30112</v>
      </c>
      <c r="AJ38" s="10">
        <v>16448</v>
      </c>
      <c r="AK38" s="10">
        <v>14299</v>
      </c>
      <c r="AL38" s="10">
        <v>31644</v>
      </c>
      <c r="AM38" s="10">
        <v>19792</v>
      </c>
      <c r="AN38" s="10">
        <v>38491</v>
      </c>
      <c r="AO38" s="10">
        <v>32567</v>
      </c>
      <c r="AP38" s="10">
        <v>17799</v>
      </c>
      <c r="AQ38" s="10">
        <v>17361</v>
      </c>
      <c r="AR38" s="10">
        <v>17844</v>
      </c>
      <c r="AS38" s="10">
        <v>19524</v>
      </c>
      <c r="AT38" s="10">
        <v>19425</v>
      </c>
      <c r="AU38" s="10">
        <v>9277</v>
      </c>
      <c r="AV38" s="10">
        <v>33090</v>
      </c>
      <c r="AW38" s="10">
        <v>15519</v>
      </c>
      <c r="AX38" s="10">
        <v>36051</v>
      </c>
      <c r="AY38" s="10">
        <v>42812</v>
      </c>
      <c r="AZ38" s="10">
        <v>27076</v>
      </c>
      <c r="BA38" s="10">
        <v>16509</v>
      </c>
      <c r="BB38" s="10">
        <v>19172</v>
      </c>
      <c r="BC38" s="10">
        <v>28375</v>
      </c>
      <c r="BD38" s="10">
        <v>12466</v>
      </c>
      <c r="BE38" s="10">
        <v>10530</v>
      </c>
      <c r="BF38" s="10">
        <v>26187</v>
      </c>
      <c r="BG38" s="10">
        <v>35726</v>
      </c>
      <c r="BH38" s="10">
        <v>11823</v>
      </c>
      <c r="BI38" s="10">
        <v>39142</v>
      </c>
      <c r="BJ38" s="10">
        <v>6857</v>
      </c>
      <c r="BK38" s="10">
        <v>10718</v>
      </c>
      <c r="BL38" s="10">
        <v>15107</v>
      </c>
    </row>
    <row r="39" spans="1:64">
      <c r="A39" s="1" t="s">
        <v>119</v>
      </c>
      <c r="B39" s="14">
        <v>399163</v>
      </c>
      <c r="C39" s="14">
        <v>117</v>
      </c>
      <c r="D39" s="2" t="str">
        <f>HYPERLINK("http://128.120.136.21:8080/binbase-compound/bin/show/201810?db=rtx5","201810")</f>
        <v>201810</v>
      </c>
      <c r="E39" s="2" t="s">
        <v>120</v>
      </c>
      <c r="F39" s="2" t="str">
        <f>HYPERLINK("http://www.genome.ad.jp/dbget-bin/www_bget?compound+C01601","C01601")</f>
        <v>C01601</v>
      </c>
      <c r="G39" s="2" t="str">
        <f>HYPERLINK("http://pubchem.ncbi.nlm.nih.gov/summary/summary.cgi?cid=8158","8158")</f>
        <v>8158</v>
      </c>
      <c r="H39" s="10">
        <v>11789</v>
      </c>
      <c r="I39" s="10">
        <v>14507</v>
      </c>
      <c r="J39" s="10">
        <v>13382</v>
      </c>
      <c r="K39" s="10">
        <v>15290</v>
      </c>
      <c r="L39" s="10">
        <v>13146</v>
      </c>
      <c r="M39" s="10">
        <v>13271</v>
      </c>
      <c r="N39" s="10">
        <v>24479</v>
      </c>
      <c r="O39" s="10">
        <v>27448</v>
      </c>
      <c r="P39" s="10">
        <v>10921</v>
      </c>
      <c r="Q39" s="10">
        <v>48890</v>
      </c>
      <c r="R39" s="10">
        <v>20203</v>
      </c>
      <c r="S39" s="10">
        <v>108768</v>
      </c>
      <c r="T39" s="10">
        <v>7251</v>
      </c>
      <c r="U39" s="10">
        <v>24041</v>
      </c>
      <c r="V39" s="10">
        <v>28778</v>
      </c>
      <c r="W39" s="10">
        <v>8569</v>
      </c>
      <c r="X39" s="10">
        <v>27375</v>
      </c>
      <c r="Y39" s="10">
        <v>13397</v>
      </c>
      <c r="Z39" s="10">
        <v>9136</v>
      </c>
      <c r="AA39" s="10">
        <v>23269</v>
      </c>
      <c r="AB39" s="10">
        <v>30640</v>
      </c>
      <c r="AC39" s="10">
        <v>19029</v>
      </c>
      <c r="AD39" s="10">
        <v>15912</v>
      </c>
      <c r="AE39" s="10">
        <v>12568</v>
      </c>
      <c r="AF39" s="10">
        <v>27601</v>
      </c>
      <c r="AG39" s="10">
        <v>12552</v>
      </c>
      <c r="AH39" s="10">
        <v>42342</v>
      </c>
      <c r="AI39" s="10">
        <v>32757</v>
      </c>
      <c r="AJ39" s="10">
        <v>16816</v>
      </c>
      <c r="AK39" s="10">
        <v>30432</v>
      </c>
      <c r="AL39" s="10">
        <v>27428</v>
      </c>
      <c r="AM39" s="10">
        <v>16234</v>
      </c>
      <c r="AN39" s="10">
        <v>30512</v>
      </c>
      <c r="AO39" s="10">
        <v>30465</v>
      </c>
      <c r="AP39" s="10">
        <v>15164</v>
      </c>
      <c r="AQ39" s="10">
        <v>73908</v>
      </c>
      <c r="AR39" s="10">
        <v>31368</v>
      </c>
      <c r="AS39" s="10">
        <v>31902</v>
      </c>
      <c r="AT39" s="10">
        <v>23243</v>
      </c>
      <c r="AU39" s="10">
        <v>15595</v>
      </c>
      <c r="AV39" s="10">
        <v>19322</v>
      </c>
      <c r="AW39" s="10">
        <v>35899</v>
      </c>
      <c r="AX39" s="10">
        <v>49359</v>
      </c>
      <c r="AY39" s="10">
        <v>17876</v>
      </c>
      <c r="AZ39" s="10">
        <v>38016</v>
      </c>
      <c r="BA39" s="10">
        <v>26833</v>
      </c>
      <c r="BB39" s="10">
        <v>21229</v>
      </c>
      <c r="BC39" s="10">
        <v>49567</v>
      </c>
      <c r="BD39" s="10">
        <v>22027</v>
      </c>
      <c r="BE39" s="10">
        <v>21750</v>
      </c>
      <c r="BF39" s="10">
        <v>25477</v>
      </c>
      <c r="BG39" s="10">
        <v>124473</v>
      </c>
      <c r="BH39" s="10">
        <v>33014</v>
      </c>
      <c r="BI39" s="10">
        <v>32621</v>
      </c>
      <c r="BJ39" s="10">
        <v>26213</v>
      </c>
      <c r="BK39" s="10">
        <v>21261</v>
      </c>
      <c r="BL39" s="10">
        <v>11104</v>
      </c>
    </row>
    <row r="40" spans="1:64">
      <c r="A40" s="1" t="s">
        <v>241</v>
      </c>
      <c r="B40" s="14">
        <v>616681</v>
      </c>
      <c r="C40" s="14">
        <v>273</v>
      </c>
      <c r="D40" s="2" t="str">
        <f>HYPERLINK("http://128.120.136.21:8080/binbase-compound/bin/show/232087?db=rtx5","232087")</f>
        <v>232087</v>
      </c>
      <c r="E40" s="2" t="s">
        <v>240</v>
      </c>
      <c r="F40" s="2" t="s">
        <v>57</v>
      </c>
      <c r="G40" s="2" t="s">
        <v>57</v>
      </c>
      <c r="H40" s="10">
        <v>2183</v>
      </c>
      <c r="I40" s="10">
        <v>34297</v>
      </c>
      <c r="J40" s="10">
        <v>28107</v>
      </c>
      <c r="K40" s="10">
        <v>5324</v>
      </c>
      <c r="L40" s="10">
        <v>31711</v>
      </c>
      <c r="M40" s="10">
        <v>3258</v>
      </c>
      <c r="N40" s="10">
        <v>21269</v>
      </c>
      <c r="O40" s="10">
        <v>1335</v>
      </c>
      <c r="P40" s="10">
        <v>994</v>
      </c>
      <c r="Q40" s="10">
        <v>6604</v>
      </c>
      <c r="R40" s="10">
        <v>8478</v>
      </c>
      <c r="S40" s="10">
        <v>4793</v>
      </c>
      <c r="T40" s="10">
        <v>6617</v>
      </c>
      <c r="U40" s="10">
        <v>75842</v>
      </c>
      <c r="V40" s="10">
        <v>19445</v>
      </c>
      <c r="W40" s="10">
        <v>2457</v>
      </c>
      <c r="X40" s="10">
        <v>5577</v>
      </c>
      <c r="Y40" s="10">
        <v>2171</v>
      </c>
      <c r="Z40" s="10">
        <v>22892</v>
      </c>
      <c r="AA40" s="10">
        <v>65304</v>
      </c>
      <c r="AB40" s="10">
        <v>19341</v>
      </c>
      <c r="AC40" s="10">
        <v>6485</v>
      </c>
      <c r="AD40" s="10">
        <v>7691</v>
      </c>
      <c r="AE40" s="10">
        <v>4483</v>
      </c>
      <c r="AF40" s="10">
        <v>7513</v>
      </c>
      <c r="AG40" s="10">
        <v>3733</v>
      </c>
      <c r="AH40" s="10">
        <v>33810</v>
      </c>
      <c r="AI40" s="10">
        <v>34028</v>
      </c>
      <c r="AJ40" s="10">
        <v>8211</v>
      </c>
      <c r="AK40" s="10">
        <v>26872</v>
      </c>
      <c r="AL40" s="10">
        <v>47373</v>
      </c>
      <c r="AM40" s="10">
        <v>9855</v>
      </c>
      <c r="AN40" s="10">
        <v>42102</v>
      </c>
      <c r="AO40" s="10">
        <v>21848</v>
      </c>
      <c r="AP40" s="10">
        <v>8197</v>
      </c>
      <c r="AQ40" s="10">
        <v>11541</v>
      </c>
      <c r="AR40" s="10">
        <v>21514</v>
      </c>
      <c r="AS40" s="10">
        <v>42989</v>
      </c>
      <c r="AT40" s="10">
        <v>40807</v>
      </c>
      <c r="AU40" s="10">
        <v>21813</v>
      </c>
      <c r="AV40" s="10">
        <v>76152</v>
      </c>
      <c r="AW40" s="10">
        <v>9386</v>
      </c>
      <c r="AX40" s="10">
        <v>180300</v>
      </c>
      <c r="AY40" s="10">
        <v>65001</v>
      </c>
      <c r="AZ40" s="10">
        <v>53378</v>
      </c>
      <c r="BA40" s="10">
        <v>3584</v>
      </c>
      <c r="BB40" s="10">
        <v>7252</v>
      </c>
      <c r="BC40" s="10">
        <v>4071</v>
      </c>
      <c r="BD40" s="10">
        <v>2945</v>
      </c>
      <c r="BE40" s="10">
        <v>5939</v>
      </c>
      <c r="BF40" s="10">
        <v>8400</v>
      </c>
      <c r="BG40" s="10">
        <v>11792</v>
      </c>
      <c r="BH40" s="10">
        <v>3053</v>
      </c>
      <c r="BI40" s="10">
        <v>6855</v>
      </c>
      <c r="BJ40" s="10">
        <v>2817</v>
      </c>
      <c r="BK40" s="10">
        <v>2066</v>
      </c>
      <c r="BL40" s="10">
        <v>1513</v>
      </c>
    </row>
    <row r="41" spans="1:64">
      <c r="A41" s="1" t="s">
        <v>166</v>
      </c>
      <c r="B41" s="14">
        <v>367074</v>
      </c>
      <c r="C41" s="14">
        <v>180</v>
      </c>
      <c r="D41" s="2" t="str">
        <f>HYPERLINK("http://128.120.136.21:8080/binbase-compound/bin/show/206136?db=rtx5","206136")</f>
        <v>206136</v>
      </c>
      <c r="E41" s="2" t="s">
        <v>167</v>
      </c>
      <c r="F41" s="2" t="str">
        <f>HYPERLINK("http://www.genome.ad.jp/dbget-bin/www_bget?compound+C07446","C07446")</f>
        <v>C07446</v>
      </c>
      <c r="G41" s="2" t="str">
        <f>HYPERLINK("http://pubchem.ncbi.nlm.nih.gov/summary/summary.cgi?cid=5922","5922")</f>
        <v>5922</v>
      </c>
      <c r="H41" s="10">
        <v>7835</v>
      </c>
      <c r="I41" s="10">
        <v>29252</v>
      </c>
      <c r="J41" s="10">
        <v>46237</v>
      </c>
      <c r="K41" s="10">
        <v>17592</v>
      </c>
      <c r="L41" s="10">
        <v>34032</v>
      </c>
      <c r="M41" s="10">
        <v>7622</v>
      </c>
      <c r="N41" s="10">
        <v>25862</v>
      </c>
      <c r="O41" s="10">
        <v>10759</v>
      </c>
      <c r="P41" s="10">
        <v>12493</v>
      </c>
      <c r="Q41" s="10">
        <v>1744</v>
      </c>
      <c r="R41" s="10">
        <v>1819</v>
      </c>
      <c r="S41" s="10">
        <v>2607</v>
      </c>
      <c r="T41" s="10">
        <v>9932</v>
      </c>
      <c r="U41" s="10">
        <v>43982</v>
      </c>
      <c r="V41" s="10">
        <v>28126</v>
      </c>
      <c r="W41" s="10">
        <v>13694</v>
      </c>
      <c r="X41" s="10">
        <v>11551</v>
      </c>
      <c r="Y41" s="10">
        <v>14617</v>
      </c>
      <c r="Z41" s="10">
        <v>10886</v>
      </c>
      <c r="AA41" s="10">
        <v>23044</v>
      </c>
      <c r="AB41" s="10">
        <v>10744</v>
      </c>
      <c r="AC41" s="10">
        <v>11025</v>
      </c>
      <c r="AD41" s="10">
        <v>11099</v>
      </c>
      <c r="AE41" s="10">
        <v>16315</v>
      </c>
      <c r="AF41" s="10">
        <v>13710</v>
      </c>
      <c r="AG41" s="10">
        <v>12447</v>
      </c>
      <c r="AH41" s="10">
        <v>60796</v>
      </c>
      <c r="AI41" s="10">
        <v>27198</v>
      </c>
      <c r="AJ41" s="10">
        <v>16924</v>
      </c>
      <c r="AK41" s="10">
        <v>6480</v>
      </c>
      <c r="AL41" s="10">
        <v>14134</v>
      </c>
      <c r="AM41" s="10">
        <v>20755</v>
      </c>
      <c r="AN41" s="10">
        <v>33119</v>
      </c>
      <c r="AO41" s="10">
        <v>33108</v>
      </c>
      <c r="AP41" s="10">
        <v>9631</v>
      </c>
      <c r="AQ41" s="10">
        <v>19315</v>
      </c>
      <c r="AR41" s="10">
        <v>13668</v>
      </c>
      <c r="AS41" s="10">
        <v>25463</v>
      </c>
      <c r="AT41" s="10">
        <v>17010</v>
      </c>
      <c r="AU41" s="10">
        <v>10699</v>
      </c>
      <c r="AV41" s="10">
        <v>66486</v>
      </c>
      <c r="AW41" s="10">
        <v>9966</v>
      </c>
      <c r="AX41" s="10">
        <v>22748</v>
      </c>
      <c r="AY41" s="10">
        <v>34839</v>
      </c>
      <c r="AZ41" s="10">
        <v>54758</v>
      </c>
      <c r="BA41" s="10">
        <v>31172</v>
      </c>
      <c r="BB41" s="10">
        <v>21037</v>
      </c>
      <c r="BC41" s="10">
        <v>71759</v>
      </c>
      <c r="BD41" s="10">
        <v>4954</v>
      </c>
      <c r="BE41" s="10">
        <v>8864</v>
      </c>
      <c r="BF41" s="10">
        <v>70683</v>
      </c>
      <c r="BG41" s="10">
        <v>41981</v>
      </c>
      <c r="BH41" s="10">
        <v>28240</v>
      </c>
      <c r="BI41" s="10">
        <v>62491</v>
      </c>
      <c r="BJ41" s="10">
        <v>7369</v>
      </c>
      <c r="BK41" s="10">
        <v>8671</v>
      </c>
      <c r="BL41" s="10">
        <v>7722</v>
      </c>
    </row>
    <row r="42" spans="1:64">
      <c r="A42" s="1" t="s">
        <v>249</v>
      </c>
      <c r="B42" s="14">
        <v>480543</v>
      </c>
      <c r="C42" s="14">
        <v>232</v>
      </c>
      <c r="D42" s="2" t="str">
        <f>HYPERLINK("http://128.120.136.21:8080/binbase-compound/bin/show/199612?db=rtx5","199612")</f>
        <v>199612</v>
      </c>
      <c r="E42" s="2" t="s">
        <v>250</v>
      </c>
      <c r="F42" s="2" t="str">
        <f>HYPERLINK("http://www.genome.ad.jp/dbget-bin/www_bget?compound+C00049","C00049")</f>
        <v>C00049</v>
      </c>
      <c r="G42" s="2" t="str">
        <f>HYPERLINK("http://pubchem.ncbi.nlm.nih.gov/summary/summary.cgi?cid=5960","5960")</f>
        <v>5960</v>
      </c>
      <c r="H42" s="10">
        <v>25458</v>
      </c>
      <c r="I42" s="10">
        <v>10040</v>
      </c>
      <c r="J42" s="10">
        <v>19260</v>
      </c>
      <c r="K42" s="10">
        <v>23334</v>
      </c>
      <c r="L42" s="10">
        <v>20113</v>
      </c>
      <c r="M42" s="10">
        <v>16995</v>
      </c>
      <c r="N42" s="10">
        <v>23790</v>
      </c>
      <c r="O42" s="10">
        <v>23871</v>
      </c>
      <c r="P42" s="10">
        <v>24470</v>
      </c>
      <c r="Q42" s="10">
        <v>40483</v>
      </c>
      <c r="R42" s="10">
        <v>69036</v>
      </c>
      <c r="S42" s="10">
        <v>30456</v>
      </c>
      <c r="T42" s="10">
        <v>29581</v>
      </c>
      <c r="U42" s="10">
        <v>17291</v>
      </c>
      <c r="V42" s="10">
        <v>26166</v>
      </c>
      <c r="W42" s="10">
        <v>12375</v>
      </c>
      <c r="X42" s="10">
        <v>10457</v>
      </c>
      <c r="Y42" s="10">
        <v>19662</v>
      </c>
      <c r="Z42" s="10">
        <v>61257</v>
      </c>
      <c r="AA42" s="10">
        <v>25732</v>
      </c>
      <c r="AB42" s="10">
        <v>24791</v>
      </c>
      <c r="AC42" s="10">
        <v>16272</v>
      </c>
      <c r="AD42" s="10">
        <v>13936</v>
      </c>
      <c r="AE42" s="10">
        <v>18357</v>
      </c>
      <c r="AF42" s="10">
        <v>8831</v>
      </c>
      <c r="AG42" s="10">
        <v>12105</v>
      </c>
      <c r="AH42" s="10">
        <v>30844</v>
      </c>
      <c r="AI42" s="10">
        <v>14453</v>
      </c>
      <c r="AJ42" s="10">
        <v>20323</v>
      </c>
      <c r="AK42" s="10">
        <v>33565</v>
      </c>
      <c r="AL42" s="10">
        <v>16020</v>
      </c>
      <c r="AM42" s="10">
        <v>15370</v>
      </c>
      <c r="AN42" s="10">
        <v>15904</v>
      </c>
      <c r="AO42" s="10">
        <v>12190</v>
      </c>
      <c r="AP42" s="10">
        <v>12010</v>
      </c>
      <c r="AQ42" s="10">
        <v>14010</v>
      </c>
      <c r="AR42" s="10">
        <v>29662</v>
      </c>
      <c r="AS42" s="10">
        <v>27045</v>
      </c>
      <c r="AT42" s="10">
        <v>20471</v>
      </c>
      <c r="AU42" s="10">
        <v>39384</v>
      </c>
      <c r="AV42" s="10">
        <v>32676</v>
      </c>
      <c r="AW42" s="10">
        <v>38930</v>
      </c>
      <c r="AX42" s="10">
        <v>30854</v>
      </c>
      <c r="AY42" s="10">
        <v>29763</v>
      </c>
      <c r="AZ42" s="10">
        <v>23819</v>
      </c>
      <c r="BA42" s="10">
        <v>17045</v>
      </c>
      <c r="BB42" s="10">
        <v>16529</v>
      </c>
      <c r="BC42" s="10">
        <v>21952</v>
      </c>
      <c r="BD42" s="10">
        <v>9796</v>
      </c>
      <c r="BE42" s="10">
        <v>12577</v>
      </c>
      <c r="BF42" s="10">
        <v>17045</v>
      </c>
      <c r="BG42" s="10">
        <v>13667</v>
      </c>
      <c r="BH42" s="10">
        <v>14070</v>
      </c>
      <c r="BI42" s="10">
        <v>16897</v>
      </c>
      <c r="BJ42" s="10">
        <v>13514</v>
      </c>
      <c r="BK42" s="10">
        <v>9224</v>
      </c>
      <c r="BL42" s="10">
        <v>13784</v>
      </c>
    </row>
    <row r="43" spans="1:64">
      <c r="A43" s="1" t="s">
        <v>279</v>
      </c>
      <c r="B43" s="14">
        <v>536304</v>
      </c>
      <c r="C43" s="14">
        <v>174</v>
      </c>
      <c r="D43" s="2" t="str">
        <f>HYPERLINK("http://128.120.136.21:8080/binbase-compound/bin/show/238442?db=rtx5","238442")</f>
        <v>238442</v>
      </c>
      <c r="E43" s="2" t="s">
        <v>280</v>
      </c>
      <c r="F43" s="2" t="str">
        <f>HYPERLINK("http://www.genome.ad.jp/dbget-bin/www_bget?compound+C00431","C00431")</f>
        <v>C00431</v>
      </c>
      <c r="G43" s="2" t="str">
        <f>HYPERLINK("http://pubchem.ncbi.nlm.nih.gov/summary/summary.cgi?cid=138","138")</f>
        <v>138</v>
      </c>
      <c r="H43" s="10">
        <v>1944</v>
      </c>
      <c r="I43" s="10">
        <v>6489</v>
      </c>
      <c r="J43" s="10">
        <v>10786</v>
      </c>
      <c r="K43" s="10">
        <v>7349</v>
      </c>
      <c r="L43" s="10">
        <v>14917</v>
      </c>
      <c r="M43" s="10">
        <v>1915</v>
      </c>
      <c r="N43" s="10">
        <v>12255</v>
      </c>
      <c r="O43" s="10">
        <v>5088</v>
      </c>
      <c r="P43" s="10">
        <v>3006</v>
      </c>
      <c r="Q43" s="10">
        <v>1713</v>
      </c>
      <c r="R43" s="10">
        <v>2565</v>
      </c>
      <c r="S43" s="10">
        <v>1754</v>
      </c>
      <c r="T43" s="10">
        <v>4018</v>
      </c>
      <c r="U43" s="10">
        <v>12822</v>
      </c>
      <c r="V43" s="10">
        <v>13606</v>
      </c>
      <c r="W43" s="10">
        <v>2710</v>
      </c>
      <c r="X43" s="10">
        <v>2638</v>
      </c>
      <c r="Y43" s="10">
        <v>10762</v>
      </c>
      <c r="Z43" s="10">
        <v>7704</v>
      </c>
      <c r="AA43" s="10">
        <v>9050</v>
      </c>
      <c r="AB43" s="10">
        <v>10823</v>
      </c>
      <c r="AC43" s="10">
        <v>2505</v>
      </c>
      <c r="AD43" s="10">
        <v>944</v>
      </c>
      <c r="AE43" s="10">
        <v>1252</v>
      </c>
      <c r="AF43" s="10">
        <v>1181</v>
      </c>
      <c r="AG43" s="10">
        <v>1586</v>
      </c>
      <c r="AH43" s="10">
        <v>16067</v>
      </c>
      <c r="AI43" s="10">
        <v>12820</v>
      </c>
      <c r="AJ43" s="10">
        <v>4777</v>
      </c>
      <c r="AK43" s="10">
        <v>11985</v>
      </c>
      <c r="AL43" s="10">
        <v>6927</v>
      </c>
      <c r="AM43" s="10">
        <v>404082</v>
      </c>
      <c r="AN43" s="10">
        <v>7021</v>
      </c>
      <c r="AO43" s="10">
        <v>1224</v>
      </c>
      <c r="AP43" s="10">
        <v>3416</v>
      </c>
      <c r="AQ43" s="10">
        <v>4658</v>
      </c>
      <c r="AR43" s="10">
        <v>24533</v>
      </c>
      <c r="AS43" s="10">
        <v>15500</v>
      </c>
      <c r="AT43" s="10">
        <v>20530</v>
      </c>
      <c r="AU43" s="10">
        <v>9091</v>
      </c>
      <c r="AV43" s="10">
        <v>7763</v>
      </c>
      <c r="AW43" s="10">
        <v>15704</v>
      </c>
      <c r="AX43" s="10">
        <v>7301</v>
      </c>
      <c r="AY43" s="10">
        <v>3537</v>
      </c>
      <c r="AZ43" s="10">
        <v>6083</v>
      </c>
      <c r="BA43" s="10">
        <v>11109</v>
      </c>
      <c r="BB43" s="10">
        <v>8854</v>
      </c>
      <c r="BC43" s="10">
        <v>2974</v>
      </c>
      <c r="BD43" s="10">
        <v>1573</v>
      </c>
      <c r="BE43" s="10">
        <v>2203</v>
      </c>
      <c r="BF43" s="10">
        <v>1004</v>
      </c>
      <c r="BG43" s="10">
        <v>1143</v>
      </c>
      <c r="BH43" s="10">
        <v>2098</v>
      </c>
      <c r="BI43" s="10">
        <v>1116</v>
      </c>
      <c r="BJ43" s="10">
        <v>1912</v>
      </c>
      <c r="BK43" s="10">
        <v>3177</v>
      </c>
      <c r="BL43" s="10">
        <v>2949</v>
      </c>
    </row>
    <row r="44" spans="1:64">
      <c r="A44" s="1" t="s">
        <v>178</v>
      </c>
      <c r="B44" s="14">
        <v>255313</v>
      </c>
      <c r="C44" s="14">
        <v>146</v>
      </c>
      <c r="D44" s="2" t="str">
        <f>HYPERLINK("http://128.120.136.21:8080/binbase-compound/bin/show/205859?db=rtx5","205859")</f>
        <v>205859</v>
      </c>
      <c r="E44" s="2" t="s">
        <v>179</v>
      </c>
      <c r="F44" s="2" t="str">
        <f>HYPERLINK("http://www.genome.ad.jp/dbget-bin/www_bget?compound+C00192","C00192")</f>
        <v>C00192</v>
      </c>
      <c r="G44" s="2" t="str">
        <f>HYPERLINK("http://pubchem.ncbi.nlm.nih.gov/summary/summary.cgi?cid=787","787")</f>
        <v>787</v>
      </c>
      <c r="H44" s="10">
        <v>7608</v>
      </c>
      <c r="I44" s="10">
        <v>22780</v>
      </c>
      <c r="J44" s="10">
        <v>12073</v>
      </c>
      <c r="K44" s="10">
        <v>10206</v>
      </c>
      <c r="L44" s="10">
        <v>21545</v>
      </c>
      <c r="M44" s="10">
        <v>7118</v>
      </c>
      <c r="N44" s="10">
        <v>27827</v>
      </c>
      <c r="O44" s="10">
        <v>11195</v>
      </c>
      <c r="P44" s="10">
        <v>10207</v>
      </c>
      <c r="Q44" s="10">
        <v>44276</v>
      </c>
      <c r="R44" s="10">
        <v>25938</v>
      </c>
      <c r="S44" s="10">
        <v>122059</v>
      </c>
      <c r="T44" s="10">
        <v>2556</v>
      </c>
      <c r="U44" s="10">
        <v>27764</v>
      </c>
      <c r="V44" s="10">
        <v>21997</v>
      </c>
      <c r="W44" s="10">
        <v>5382</v>
      </c>
      <c r="X44" s="10">
        <v>14973</v>
      </c>
      <c r="Y44" s="10">
        <v>10499</v>
      </c>
      <c r="Z44" s="10">
        <v>6328</v>
      </c>
      <c r="AA44" s="10">
        <v>30906</v>
      </c>
      <c r="AB44" s="10">
        <v>10979</v>
      </c>
      <c r="AC44" s="10">
        <v>8175</v>
      </c>
      <c r="AD44" s="10">
        <v>6134</v>
      </c>
      <c r="AE44" s="10">
        <v>12166</v>
      </c>
      <c r="AF44" s="10">
        <v>12221</v>
      </c>
      <c r="AG44" s="10">
        <v>9157</v>
      </c>
      <c r="AH44" s="10">
        <v>44447</v>
      </c>
      <c r="AI44" s="10">
        <v>12098</v>
      </c>
      <c r="AJ44" s="10">
        <v>18769</v>
      </c>
      <c r="AK44" s="10">
        <v>26882</v>
      </c>
      <c r="AL44" s="10">
        <v>3432</v>
      </c>
      <c r="AM44" s="10">
        <v>4081</v>
      </c>
      <c r="AN44" s="10">
        <v>35126</v>
      </c>
      <c r="AO44" s="10">
        <v>31411</v>
      </c>
      <c r="AP44" s="10">
        <v>14493</v>
      </c>
      <c r="AQ44" s="10">
        <v>84969</v>
      </c>
      <c r="AR44" s="10">
        <v>21427</v>
      </c>
      <c r="AS44" s="10">
        <v>24718</v>
      </c>
      <c r="AT44" s="10">
        <v>22554</v>
      </c>
      <c r="AU44" s="10">
        <v>4940</v>
      </c>
      <c r="AV44" s="10">
        <v>35097</v>
      </c>
      <c r="AW44" s="10">
        <v>18867</v>
      </c>
      <c r="AX44" s="10">
        <v>26859</v>
      </c>
      <c r="AY44" s="10">
        <v>12439</v>
      </c>
      <c r="AZ44" s="10">
        <v>49250</v>
      </c>
      <c r="BA44" s="10">
        <v>18739</v>
      </c>
      <c r="BB44" s="10">
        <v>8324</v>
      </c>
      <c r="BC44" s="10">
        <v>36602</v>
      </c>
      <c r="BD44" s="10">
        <v>10207</v>
      </c>
      <c r="BE44" s="10">
        <v>22085</v>
      </c>
      <c r="BF44" s="10">
        <v>33673</v>
      </c>
      <c r="BG44" s="10">
        <v>48266</v>
      </c>
      <c r="BH44" s="10">
        <v>21184</v>
      </c>
      <c r="BI44" s="10">
        <v>19027</v>
      </c>
      <c r="BJ44" s="10">
        <v>24383</v>
      </c>
      <c r="BK44" s="10">
        <v>26123</v>
      </c>
      <c r="BL44" s="10">
        <v>11436</v>
      </c>
    </row>
    <row r="45" spans="1:64">
      <c r="A45" s="1" t="s">
        <v>151</v>
      </c>
      <c r="B45" s="14">
        <v>461034</v>
      </c>
      <c r="C45" s="14">
        <v>233</v>
      </c>
      <c r="D45" s="2" t="str">
        <f>HYPERLINK("http://128.120.136.21:8080/binbase-compound/bin/show/247180?db=rtx5","247180")</f>
        <v>247180</v>
      </c>
      <c r="E45" s="2" t="s">
        <v>152</v>
      </c>
      <c r="F45" s="2" t="str">
        <f>HYPERLINK("http://www.genome.ad.jp/dbget-bin/www_bget?compound+C00149","C00149")</f>
        <v>C00149</v>
      </c>
      <c r="G45" s="2" t="str">
        <f>HYPERLINK("http://pubchem.ncbi.nlm.nih.gov/summary/summary.cgi?cid=222656","222656")</f>
        <v>222656</v>
      </c>
      <c r="H45" s="10">
        <v>29421</v>
      </c>
      <c r="I45" s="10">
        <v>4479</v>
      </c>
      <c r="J45" s="10">
        <v>10369</v>
      </c>
      <c r="K45" s="10">
        <v>30954</v>
      </c>
      <c r="L45" s="10">
        <v>13340</v>
      </c>
      <c r="M45" s="10">
        <v>13195</v>
      </c>
      <c r="N45" s="10">
        <v>20292</v>
      </c>
      <c r="O45" s="10">
        <v>33240</v>
      </c>
      <c r="P45" s="10">
        <v>29627</v>
      </c>
      <c r="Q45" s="10">
        <v>1606</v>
      </c>
      <c r="R45" s="10">
        <v>1544</v>
      </c>
      <c r="S45" s="10">
        <v>943</v>
      </c>
      <c r="T45" s="10">
        <v>33932</v>
      </c>
      <c r="U45" s="10">
        <v>10699</v>
      </c>
      <c r="V45" s="10">
        <v>31580</v>
      </c>
      <c r="W45" s="10">
        <v>14297</v>
      </c>
      <c r="X45" s="10">
        <v>15631</v>
      </c>
      <c r="Y45" s="10">
        <v>26314</v>
      </c>
      <c r="Z45" s="10">
        <v>22336</v>
      </c>
      <c r="AA45" s="10">
        <v>20729</v>
      </c>
      <c r="AB45" s="10">
        <v>20087</v>
      </c>
      <c r="AC45" s="10">
        <v>16898</v>
      </c>
      <c r="AD45" s="10">
        <v>8430</v>
      </c>
      <c r="AE45" s="10">
        <v>30380</v>
      </c>
      <c r="AF45" s="10">
        <v>7436</v>
      </c>
      <c r="AG45" s="10">
        <v>14714</v>
      </c>
      <c r="AH45" s="10">
        <v>22655</v>
      </c>
      <c r="AI45" s="10">
        <v>3479</v>
      </c>
      <c r="AJ45" s="10">
        <v>2416</v>
      </c>
      <c r="AK45" s="10">
        <v>55981</v>
      </c>
      <c r="AL45" s="10">
        <v>4247</v>
      </c>
      <c r="AM45" s="10">
        <v>3425</v>
      </c>
      <c r="AN45" s="10">
        <v>3203</v>
      </c>
      <c r="AO45" s="10">
        <v>2966</v>
      </c>
      <c r="AP45" s="10">
        <v>1300</v>
      </c>
      <c r="AQ45" s="10">
        <v>19247</v>
      </c>
      <c r="AR45" s="10">
        <v>19990</v>
      </c>
      <c r="AS45" s="10">
        <v>19947</v>
      </c>
      <c r="AT45" s="10">
        <v>16671</v>
      </c>
      <c r="AU45" s="10">
        <v>20360</v>
      </c>
      <c r="AV45" s="10">
        <v>22524</v>
      </c>
      <c r="AW45" s="10">
        <v>56309</v>
      </c>
      <c r="AX45" s="10">
        <v>19573</v>
      </c>
      <c r="AY45" s="10">
        <v>10074</v>
      </c>
      <c r="AZ45" s="10">
        <v>10697</v>
      </c>
      <c r="BA45" s="10">
        <v>1969</v>
      </c>
      <c r="BB45" s="10">
        <v>4372</v>
      </c>
      <c r="BC45" s="10">
        <v>3574</v>
      </c>
      <c r="BD45" s="10">
        <v>945</v>
      </c>
      <c r="BE45" s="10">
        <v>1530</v>
      </c>
      <c r="BF45" s="10">
        <v>7566</v>
      </c>
      <c r="BG45" s="10">
        <v>2919</v>
      </c>
      <c r="BH45" s="10">
        <v>1444</v>
      </c>
      <c r="BI45" s="10">
        <v>2924</v>
      </c>
      <c r="BJ45" s="10">
        <v>2607</v>
      </c>
      <c r="BK45" s="10">
        <v>2655</v>
      </c>
      <c r="BL45" s="10">
        <v>2444</v>
      </c>
    </row>
    <row r="46" spans="1:64">
      <c r="A46" s="1" t="s">
        <v>68</v>
      </c>
      <c r="B46" s="14">
        <v>331223</v>
      </c>
      <c r="C46" s="14">
        <v>171</v>
      </c>
      <c r="D46" s="2" t="str">
        <f>HYPERLINK("http://128.120.136.21:8080/binbase-compound/bin/show/199770?db=rtx5","199770")</f>
        <v>199770</v>
      </c>
      <c r="E46" s="2" t="s">
        <v>69</v>
      </c>
      <c r="F46" s="2" t="str">
        <f>HYPERLINK("http://www.genome.ad.jp/dbget-bin/www_bget?compound+C00086","C00086")</f>
        <v>C00086</v>
      </c>
      <c r="G46" s="2" t="str">
        <f>HYPERLINK("http://pubchem.ncbi.nlm.nih.gov/summary/summary.cgi?cid=1176","1176")</f>
        <v>1176</v>
      </c>
      <c r="H46" s="10">
        <v>130</v>
      </c>
      <c r="I46" s="10">
        <v>25726</v>
      </c>
      <c r="J46" s="10">
        <v>13904</v>
      </c>
      <c r="K46" s="10">
        <v>12271</v>
      </c>
      <c r="L46" s="10">
        <v>17051</v>
      </c>
      <c r="M46" s="10">
        <v>125</v>
      </c>
      <c r="N46" s="10">
        <v>20841</v>
      </c>
      <c r="O46" s="10">
        <v>12961</v>
      </c>
      <c r="P46" s="10">
        <v>10458</v>
      </c>
      <c r="Q46" s="10">
        <v>7727</v>
      </c>
      <c r="R46" s="10">
        <v>8019</v>
      </c>
      <c r="S46" s="10">
        <v>20997</v>
      </c>
      <c r="T46" s="10">
        <v>78</v>
      </c>
      <c r="U46" s="10">
        <v>19561</v>
      </c>
      <c r="V46" s="10">
        <v>18739</v>
      </c>
      <c r="W46" s="10">
        <v>948</v>
      </c>
      <c r="X46" s="10">
        <v>11942</v>
      </c>
      <c r="Y46" s="10">
        <v>11667</v>
      </c>
      <c r="Z46" s="10">
        <v>104</v>
      </c>
      <c r="AA46" s="10">
        <v>18449</v>
      </c>
      <c r="AB46" s="10">
        <v>14897</v>
      </c>
      <c r="AC46" s="10">
        <v>4827</v>
      </c>
      <c r="AD46" s="10">
        <v>329</v>
      </c>
      <c r="AE46" s="10">
        <v>7869</v>
      </c>
      <c r="AF46" s="10">
        <v>5031</v>
      </c>
      <c r="AG46" s="10">
        <v>9798</v>
      </c>
      <c r="AH46" s="10">
        <v>24305</v>
      </c>
      <c r="AI46" s="10">
        <v>22358</v>
      </c>
      <c r="AJ46" s="10">
        <v>38825</v>
      </c>
      <c r="AK46" s="10">
        <v>16313</v>
      </c>
      <c r="AL46" s="10">
        <v>44157</v>
      </c>
      <c r="AM46" s="10">
        <v>28240</v>
      </c>
      <c r="AN46" s="10">
        <v>27514</v>
      </c>
      <c r="AO46" s="10">
        <v>43967</v>
      </c>
      <c r="AP46" s="10">
        <v>24092</v>
      </c>
      <c r="AQ46" s="10">
        <v>46723</v>
      </c>
      <c r="AR46" s="10">
        <v>1508</v>
      </c>
      <c r="AS46" s="10">
        <v>16519</v>
      </c>
      <c r="AT46" s="10">
        <v>25222</v>
      </c>
      <c r="AU46" s="10">
        <v>79</v>
      </c>
      <c r="AV46" s="10">
        <v>23359</v>
      </c>
      <c r="AW46" s="10">
        <v>18030</v>
      </c>
      <c r="AX46" s="10">
        <v>14733</v>
      </c>
      <c r="AY46" s="10">
        <v>22817</v>
      </c>
      <c r="AZ46" s="10">
        <v>23904</v>
      </c>
      <c r="BA46" s="10">
        <v>71279</v>
      </c>
      <c r="BB46" s="10">
        <v>37375</v>
      </c>
      <c r="BC46" s="10">
        <v>61901</v>
      </c>
      <c r="BD46" s="10">
        <v>33955</v>
      </c>
      <c r="BE46" s="10">
        <v>51171</v>
      </c>
      <c r="BF46" s="10">
        <v>46000</v>
      </c>
      <c r="BG46" s="10">
        <v>49806</v>
      </c>
      <c r="BH46" s="10">
        <v>36159</v>
      </c>
      <c r="BI46" s="10">
        <v>41817</v>
      </c>
      <c r="BJ46" s="10">
        <v>35389</v>
      </c>
      <c r="BK46" s="10">
        <v>22166</v>
      </c>
      <c r="BL46" s="10">
        <v>10556</v>
      </c>
    </row>
    <row r="47" spans="1:64">
      <c r="A47" s="1" t="s">
        <v>121</v>
      </c>
      <c r="B47" s="14">
        <v>704753</v>
      </c>
      <c r="C47" s="14">
        <v>129</v>
      </c>
      <c r="D47" s="2" t="str">
        <f>HYPERLINK("http://128.120.136.21:8080/binbase-compound/bin/show/367929?db=rtx5","367929")</f>
        <v>367929</v>
      </c>
      <c r="E47" s="2" t="s">
        <v>122</v>
      </c>
      <c r="F47" s="2" t="s">
        <v>57</v>
      </c>
      <c r="G47" s="2" t="s">
        <v>57</v>
      </c>
      <c r="H47" s="10">
        <v>15772</v>
      </c>
      <c r="I47" s="10">
        <v>18841</v>
      </c>
      <c r="J47" s="10">
        <v>7079</v>
      </c>
      <c r="K47" s="10">
        <v>16530</v>
      </c>
      <c r="L47" s="10">
        <v>9500</v>
      </c>
      <c r="M47" s="10">
        <v>4903</v>
      </c>
      <c r="N47" s="10">
        <v>11974</v>
      </c>
      <c r="O47" s="10">
        <v>12402</v>
      </c>
      <c r="P47" s="10">
        <v>16100</v>
      </c>
      <c r="Q47" s="10">
        <v>1053</v>
      </c>
      <c r="R47" s="10">
        <v>713</v>
      </c>
      <c r="S47" s="10">
        <v>2835</v>
      </c>
      <c r="T47" s="10">
        <v>13417</v>
      </c>
      <c r="U47" s="10">
        <v>25101</v>
      </c>
      <c r="V47" s="10">
        <v>17783</v>
      </c>
      <c r="W47" s="10">
        <v>7824</v>
      </c>
      <c r="X47" s="10">
        <v>5962</v>
      </c>
      <c r="Y47" s="10">
        <v>11579</v>
      </c>
      <c r="Z47" s="10">
        <v>18393</v>
      </c>
      <c r="AA47" s="10">
        <v>15455</v>
      </c>
      <c r="AB47" s="10">
        <v>8588</v>
      </c>
      <c r="AC47" s="10">
        <v>14016</v>
      </c>
      <c r="AD47" s="10">
        <v>10466</v>
      </c>
      <c r="AE47" s="10">
        <v>10449</v>
      </c>
      <c r="AF47" s="10">
        <v>11074</v>
      </c>
      <c r="AG47" s="10">
        <v>7252</v>
      </c>
      <c r="AH47" s="10">
        <v>13343</v>
      </c>
      <c r="AI47" s="10">
        <v>28469</v>
      </c>
      <c r="AJ47" s="10">
        <v>9409</v>
      </c>
      <c r="AK47" s="10">
        <v>10734</v>
      </c>
      <c r="AL47" s="10">
        <v>14810</v>
      </c>
      <c r="AM47" s="10">
        <v>6550</v>
      </c>
      <c r="AN47" s="10">
        <v>26332</v>
      </c>
      <c r="AO47" s="10">
        <v>24783</v>
      </c>
      <c r="AP47" s="10">
        <v>5504</v>
      </c>
      <c r="AQ47" s="10">
        <v>7055</v>
      </c>
      <c r="AR47" s="10">
        <v>15328</v>
      </c>
      <c r="AS47" s="10">
        <v>15907</v>
      </c>
      <c r="AT47" s="10">
        <v>15378</v>
      </c>
      <c r="AU47" s="10">
        <v>17788</v>
      </c>
      <c r="AV47" s="10">
        <v>27883</v>
      </c>
      <c r="AW47" s="10">
        <v>4653</v>
      </c>
      <c r="AX47" s="10">
        <v>9962</v>
      </c>
      <c r="AY47" s="10">
        <v>25511</v>
      </c>
      <c r="AZ47" s="10">
        <v>23231</v>
      </c>
      <c r="BA47" s="10">
        <v>4705</v>
      </c>
      <c r="BB47" s="10">
        <v>3941</v>
      </c>
      <c r="BC47" s="10">
        <v>5434</v>
      </c>
      <c r="BD47" s="10">
        <v>16534</v>
      </c>
      <c r="BE47" s="10">
        <v>7317</v>
      </c>
      <c r="BF47" s="10">
        <v>13365</v>
      </c>
      <c r="BG47" s="10">
        <v>30030</v>
      </c>
      <c r="BH47" s="10">
        <v>14410</v>
      </c>
      <c r="BI47" s="10">
        <v>22619</v>
      </c>
      <c r="BJ47" s="10">
        <v>7374</v>
      </c>
      <c r="BK47" s="10">
        <v>4366</v>
      </c>
      <c r="BL47" s="10">
        <v>7906</v>
      </c>
    </row>
    <row r="48" spans="1:64">
      <c r="A48" s="1" t="s">
        <v>273</v>
      </c>
      <c r="B48" s="14">
        <v>238719</v>
      </c>
      <c r="C48" s="14">
        <v>105</v>
      </c>
      <c r="D48" s="2" t="str">
        <f>HYPERLINK("http://128.120.136.21:8080/binbase-compound/bin/show/211899?db=rtx5","211899")</f>
        <v>211899</v>
      </c>
      <c r="E48" s="2" t="s">
        <v>274</v>
      </c>
      <c r="F48" s="2" t="str">
        <f>HYPERLINK("http://www.genome.ad.jp/dbget-bin/www_bget?compound+C07113","C07113")</f>
        <v>C07113</v>
      </c>
      <c r="G48" s="2" t="str">
        <f>HYPERLINK("http://pubchem.ncbi.nlm.nih.gov/summary/summary.cgi?cid=7410","7410")</f>
        <v>7410</v>
      </c>
      <c r="H48" s="10">
        <v>6937</v>
      </c>
      <c r="I48" s="10">
        <v>33616</v>
      </c>
      <c r="J48" s="10">
        <v>29319</v>
      </c>
      <c r="K48" s="10">
        <v>6522</v>
      </c>
      <c r="L48" s="10">
        <v>8955</v>
      </c>
      <c r="M48" s="10">
        <v>4374</v>
      </c>
      <c r="N48" s="10">
        <v>17917</v>
      </c>
      <c r="O48" s="10">
        <v>7684</v>
      </c>
      <c r="P48" s="10">
        <v>7616</v>
      </c>
      <c r="Q48" s="10">
        <v>16258</v>
      </c>
      <c r="R48" s="10">
        <v>11951</v>
      </c>
      <c r="S48" s="10">
        <v>68029</v>
      </c>
      <c r="T48" s="10">
        <v>13217</v>
      </c>
      <c r="U48" s="10">
        <v>33064</v>
      </c>
      <c r="V48" s="10">
        <v>5168</v>
      </c>
      <c r="W48" s="10">
        <v>8973</v>
      </c>
      <c r="X48" s="10">
        <v>7601</v>
      </c>
      <c r="Y48" s="10">
        <v>5251</v>
      </c>
      <c r="Z48" s="10">
        <v>10716</v>
      </c>
      <c r="AA48" s="10">
        <v>14600</v>
      </c>
      <c r="AB48" s="10">
        <v>50407</v>
      </c>
      <c r="AC48" s="10">
        <v>3223</v>
      </c>
      <c r="AD48" s="10">
        <v>4298</v>
      </c>
      <c r="AE48" s="10">
        <v>7773</v>
      </c>
      <c r="AF48" s="10">
        <v>11288</v>
      </c>
      <c r="AG48" s="10">
        <v>4514</v>
      </c>
      <c r="AH48" s="10">
        <v>22508</v>
      </c>
      <c r="AI48" s="10">
        <v>32563</v>
      </c>
      <c r="AJ48" s="10">
        <v>14494</v>
      </c>
      <c r="AK48" s="10">
        <v>18674</v>
      </c>
      <c r="AL48" s="10">
        <v>19612</v>
      </c>
      <c r="AM48" s="10">
        <v>18280</v>
      </c>
      <c r="AN48" s="10">
        <v>19287</v>
      </c>
      <c r="AO48" s="10">
        <v>13633</v>
      </c>
      <c r="AP48" s="10">
        <v>26870</v>
      </c>
      <c r="AQ48" s="10">
        <v>90123</v>
      </c>
      <c r="AR48" s="10">
        <v>10570</v>
      </c>
      <c r="AS48" s="10">
        <v>12179</v>
      </c>
      <c r="AT48" s="10">
        <v>22312</v>
      </c>
      <c r="AU48" s="10">
        <v>5902</v>
      </c>
      <c r="AV48" s="10">
        <v>12037</v>
      </c>
      <c r="AW48" s="10">
        <v>26070</v>
      </c>
      <c r="AX48" s="10">
        <v>13422</v>
      </c>
      <c r="AY48" s="10">
        <v>29233</v>
      </c>
      <c r="AZ48" s="10">
        <v>18372</v>
      </c>
      <c r="BA48" s="10">
        <v>9002</v>
      </c>
      <c r="BB48" s="10">
        <v>19050</v>
      </c>
      <c r="BC48" s="10">
        <v>16948</v>
      </c>
      <c r="BD48" s="10">
        <v>5862</v>
      </c>
      <c r="BE48" s="10">
        <v>11040</v>
      </c>
      <c r="BF48" s="10">
        <v>17478</v>
      </c>
      <c r="BG48" s="10">
        <v>25920</v>
      </c>
      <c r="BH48" s="10">
        <v>9752</v>
      </c>
      <c r="BI48" s="10">
        <v>41660</v>
      </c>
      <c r="BJ48" s="10">
        <v>11538</v>
      </c>
      <c r="BK48" s="10">
        <v>13419</v>
      </c>
      <c r="BL48" s="10">
        <v>15596</v>
      </c>
    </row>
    <row r="49" spans="1:64">
      <c r="A49" s="1" t="s">
        <v>200</v>
      </c>
      <c r="B49" s="14">
        <v>377001</v>
      </c>
      <c r="C49" s="14">
        <v>189</v>
      </c>
      <c r="D49" s="2" t="str">
        <f>HYPERLINK("http://128.120.136.21:8080/binbase-compound/bin/show/199174?db=rtx5","199174")</f>
        <v>199174</v>
      </c>
      <c r="E49" s="2" t="s">
        <v>201</v>
      </c>
      <c r="F49" s="2" t="str">
        <f>HYPERLINK("http://www.genome.ad.jp/dbget-bin/www_bget?compound+C00258","C00258")</f>
        <v>C00258</v>
      </c>
      <c r="G49" s="2" t="str">
        <f>HYPERLINK("http://pubchem.ncbi.nlm.nih.gov/summary/summary.cgi?cid=439194","439194")</f>
        <v>439194</v>
      </c>
      <c r="H49" s="10">
        <v>3021</v>
      </c>
      <c r="I49" s="10">
        <v>23816</v>
      </c>
      <c r="J49" s="10">
        <v>31569</v>
      </c>
      <c r="K49" s="10">
        <v>9538</v>
      </c>
      <c r="L49" s="10">
        <v>53584</v>
      </c>
      <c r="M49" s="10">
        <v>4043</v>
      </c>
      <c r="N49" s="10">
        <v>30310</v>
      </c>
      <c r="O49" s="10">
        <v>7628</v>
      </c>
      <c r="P49" s="10">
        <v>5903</v>
      </c>
      <c r="Q49" s="10">
        <v>1876</v>
      </c>
      <c r="R49" s="10">
        <v>2392</v>
      </c>
      <c r="S49" s="10">
        <v>1297</v>
      </c>
      <c r="T49" s="10">
        <v>5249</v>
      </c>
      <c r="U49" s="10">
        <v>32138</v>
      </c>
      <c r="V49" s="10">
        <v>18101</v>
      </c>
      <c r="W49" s="10">
        <v>12928</v>
      </c>
      <c r="X49" s="10">
        <v>8560</v>
      </c>
      <c r="Y49" s="10">
        <v>14883</v>
      </c>
      <c r="Z49" s="10">
        <v>5093</v>
      </c>
      <c r="AA49" s="10">
        <v>26418</v>
      </c>
      <c r="AB49" s="10">
        <v>5397</v>
      </c>
      <c r="AC49" s="10">
        <v>7146</v>
      </c>
      <c r="AD49" s="10">
        <v>9583</v>
      </c>
      <c r="AE49" s="10">
        <v>10302</v>
      </c>
      <c r="AF49" s="10">
        <v>7110</v>
      </c>
      <c r="AG49" s="10">
        <v>5463</v>
      </c>
      <c r="AH49" s="10">
        <v>45985</v>
      </c>
      <c r="AI49" s="10">
        <v>13373</v>
      </c>
      <c r="AJ49" s="10">
        <v>2861</v>
      </c>
      <c r="AK49" s="10">
        <v>4192</v>
      </c>
      <c r="AL49" s="10">
        <v>6330</v>
      </c>
      <c r="AM49" s="10">
        <v>2058</v>
      </c>
      <c r="AN49" s="10">
        <v>8047</v>
      </c>
      <c r="AO49" s="10">
        <v>1694</v>
      </c>
      <c r="AP49" s="10">
        <v>3231</v>
      </c>
      <c r="AQ49" s="10">
        <v>2237</v>
      </c>
      <c r="AR49" s="10">
        <v>8656</v>
      </c>
      <c r="AS49" s="10">
        <v>23469</v>
      </c>
      <c r="AT49" s="10">
        <v>12255</v>
      </c>
      <c r="AU49" s="10">
        <v>3993</v>
      </c>
      <c r="AV49" s="10">
        <v>37808</v>
      </c>
      <c r="AW49" s="10">
        <v>9469</v>
      </c>
      <c r="AX49" s="10">
        <v>72378</v>
      </c>
      <c r="AY49" s="10">
        <v>34312</v>
      </c>
      <c r="AZ49" s="10">
        <v>41480</v>
      </c>
      <c r="BA49" s="10">
        <v>2667</v>
      </c>
      <c r="BB49" s="10">
        <v>3719</v>
      </c>
      <c r="BC49" s="10">
        <v>2763</v>
      </c>
      <c r="BD49" s="10">
        <v>2472</v>
      </c>
      <c r="BE49" s="10">
        <v>2188</v>
      </c>
      <c r="BF49" s="10">
        <v>3438</v>
      </c>
      <c r="BG49" s="10">
        <v>2353</v>
      </c>
      <c r="BH49" s="10">
        <v>2397</v>
      </c>
      <c r="BI49" s="10">
        <v>1623</v>
      </c>
      <c r="BJ49" s="10">
        <v>1528</v>
      </c>
      <c r="BK49" s="10">
        <v>3263</v>
      </c>
      <c r="BL49" s="10">
        <v>2158</v>
      </c>
    </row>
    <row r="50" spans="1:64">
      <c r="A50" s="1" t="s">
        <v>267</v>
      </c>
      <c r="B50" s="14">
        <v>1039143</v>
      </c>
      <c r="C50" s="14">
        <v>169</v>
      </c>
      <c r="D50" s="2" t="str">
        <f>HYPERLINK("http://128.120.136.21:8080/binbase-compound/bin/show/362152?db=rtx5","362152")</f>
        <v>362152</v>
      </c>
      <c r="E50" s="2" t="s">
        <v>268</v>
      </c>
      <c r="F50" s="2" t="str">
        <f>HYPERLINK("http://www.genome.ad.jp/dbget-bin/www_bget?compound+C00020","C00020")</f>
        <v>C00020</v>
      </c>
      <c r="G50" s="2" t="str">
        <f>HYPERLINK("http://pubchem.ncbi.nlm.nih.gov/summary/summary.cgi?cid=6083","6083")</f>
        <v>6083</v>
      </c>
      <c r="H50" s="10">
        <v>23207</v>
      </c>
      <c r="I50" s="10">
        <v>5207</v>
      </c>
      <c r="J50" s="10">
        <v>6864</v>
      </c>
      <c r="K50" s="10">
        <v>17246</v>
      </c>
      <c r="L50" s="10">
        <v>9363</v>
      </c>
      <c r="M50" s="10">
        <v>9152</v>
      </c>
      <c r="N50" s="10">
        <v>21373</v>
      </c>
      <c r="O50" s="10">
        <v>21066</v>
      </c>
      <c r="P50" s="10">
        <v>10681</v>
      </c>
      <c r="Q50" s="10">
        <v>290</v>
      </c>
      <c r="R50" s="10">
        <v>332</v>
      </c>
      <c r="S50" s="10">
        <v>997</v>
      </c>
      <c r="T50" s="10">
        <v>13735</v>
      </c>
      <c r="U50" s="10">
        <v>6573</v>
      </c>
      <c r="V50" s="10">
        <v>6922</v>
      </c>
      <c r="W50" s="10">
        <v>24355</v>
      </c>
      <c r="X50" s="10">
        <v>14227</v>
      </c>
      <c r="Y50" s="10">
        <v>16502</v>
      </c>
      <c r="Z50" s="10">
        <v>9427</v>
      </c>
      <c r="AA50" s="10">
        <v>10418</v>
      </c>
      <c r="AB50" s="10">
        <v>11894</v>
      </c>
      <c r="AC50" s="10">
        <v>20262</v>
      </c>
      <c r="AD50" s="10">
        <v>17110</v>
      </c>
      <c r="AE50" s="10">
        <v>10400</v>
      </c>
      <c r="AF50" s="10">
        <v>13674</v>
      </c>
      <c r="AG50" s="10">
        <v>11531</v>
      </c>
      <c r="AH50" s="10">
        <v>985</v>
      </c>
      <c r="AI50" s="10">
        <v>4450</v>
      </c>
      <c r="AJ50" s="10">
        <v>8620</v>
      </c>
      <c r="AK50" s="10">
        <v>29083</v>
      </c>
      <c r="AL50" s="10">
        <v>16317</v>
      </c>
      <c r="AM50" s="10">
        <v>2360</v>
      </c>
      <c r="AN50" s="10">
        <v>7371</v>
      </c>
      <c r="AO50" s="10">
        <v>7206</v>
      </c>
      <c r="AP50" s="10">
        <v>5993</v>
      </c>
      <c r="AQ50" s="10">
        <v>7007</v>
      </c>
      <c r="AR50" s="10">
        <v>15890</v>
      </c>
      <c r="AS50" s="10">
        <v>14214</v>
      </c>
      <c r="AT50" s="10">
        <v>9643</v>
      </c>
      <c r="AU50" s="10">
        <v>5946</v>
      </c>
      <c r="AV50" s="10">
        <v>8609</v>
      </c>
      <c r="AW50" s="10">
        <v>14619</v>
      </c>
      <c r="AX50" s="10">
        <v>14660</v>
      </c>
      <c r="AY50" s="10">
        <v>7617</v>
      </c>
      <c r="AZ50" s="10">
        <v>7264</v>
      </c>
      <c r="BA50" s="10">
        <v>6476</v>
      </c>
      <c r="BB50" s="10">
        <v>7678</v>
      </c>
      <c r="BC50" s="10">
        <v>6144</v>
      </c>
      <c r="BD50" s="10">
        <v>11277</v>
      </c>
      <c r="BE50" s="10">
        <v>7934</v>
      </c>
      <c r="BF50" s="10">
        <v>3676</v>
      </c>
      <c r="BG50" s="10">
        <v>6618</v>
      </c>
      <c r="BH50" s="10">
        <v>4276</v>
      </c>
      <c r="BI50" s="10">
        <v>5644</v>
      </c>
      <c r="BJ50" s="10">
        <v>3246</v>
      </c>
      <c r="BK50" s="10">
        <v>13076</v>
      </c>
      <c r="BL50" s="10">
        <v>15295</v>
      </c>
    </row>
    <row r="51" spans="1:64">
      <c r="A51" s="1" t="s">
        <v>89</v>
      </c>
      <c r="B51" s="14">
        <v>394650</v>
      </c>
      <c r="C51" s="14">
        <v>204</v>
      </c>
      <c r="D51" s="2" t="str">
        <f>HYPERLINK("http://128.120.136.21:8080/binbase-compound/bin/show/213294?db=rtx5","213294")</f>
        <v>213294</v>
      </c>
      <c r="E51" s="2" t="s">
        <v>90</v>
      </c>
      <c r="F51" s="2" t="str">
        <f>HYPERLINK("http://www.genome.ad.jp/dbget-bin/www_bget?compound+C00065","C00065")</f>
        <v>C00065</v>
      </c>
      <c r="G51" s="2" t="str">
        <f>HYPERLINK("http://pubchem.ncbi.nlm.nih.gov/summary/summary.cgi?cid=5951","5951")</f>
        <v>5951</v>
      </c>
      <c r="H51" s="10">
        <v>23148</v>
      </c>
      <c r="I51" s="10">
        <v>3952</v>
      </c>
      <c r="J51" s="10">
        <v>7635</v>
      </c>
      <c r="K51" s="10">
        <v>18667</v>
      </c>
      <c r="L51" s="10">
        <v>9276</v>
      </c>
      <c r="M51" s="10">
        <v>25737</v>
      </c>
      <c r="N51" s="10">
        <v>2965</v>
      </c>
      <c r="O51" s="10">
        <v>12241</v>
      </c>
      <c r="P51" s="10">
        <v>11034</v>
      </c>
      <c r="Q51" s="10">
        <v>118414</v>
      </c>
      <c r="R51" s="10">
        <v>165928</v>
      </c>
      <c r="S51" s="10">
        <v>64534</v>
      </c>
      <c r="T51" s="10">
        <v>20493</v>
      </c>
      <c r="U51" s="10">
        <v>3691</v>
      </c>
      <c r="V51" s="10">
        <v>5325</v>
      </c>
      <c r="W51" s="10">
        <v>26563</v>
      </c>
      <c r="X51" s="10">
        <v>18850</v>
      </c>
      <c r="Y51" s="10">
        <v>22861</v>
      </c>
      <c r="Z51" s="10">
        <v>12546</v>
      </c>
      <c r="AA51" s="10">
        <v>8979</v>
      </c>
      <c r="AB51" s="10">
        <v>15722</v>
      </c>
      <c r="AC51" s="10">
        <v>23081</v>
      </c>
      <c r="AD51" s="10">
        <v>20246</v>
      </c>
      <c r="AE51" s="10">
        <v>23646</v>
      </c>
      <c r="AF51" s="10">
        <v>23314</v>
      </c>
      <c r="AG51" s="10">
        <v>19019</v>
      </c>
      <c r="AH51" s="10">
        <v>20815</v>
      </c>
      <c r="AI51" s="10">
        <v>2136</v>
      </c>
      <c r="AJ51" s="10">
        <v>3193</v>
      </c>
      <c r="AK51" s="10">
        <v>3278</v>
      </c>
      <c r="AL51" s="10">
        <v>3122</v>
      </c>
      <c r="AM51" s="10">
        <v>4095</v>
      </c>
      <c r="AN51" s="10">
        <v>3225</v>
      </c>
      <c r="AO51" s="10">
        <v>2191</v>
      </c>
      <c r="AP51" s="10">
        <v>1744</v>
      </c>
      <c r="AQ51" s="10">
        <v>6032</v>
      </c>
      <c r="AR51" s="10">
        <v>7378</v>
      </c>
      <c r="AS51" s="10">
        <v>5207</v>
      </c>
      <c r="AT51" s="10">
        <v>6223</v>
      </c>
      <c r="AU51" s="10">
        <v>9220</v>
      </c>
      <c r="AV51" s="10">
        <v>5342</v>
      </c>
      <c r="AW51" s="10">
        <v>8013</v>
      </c>
      <c r="AX51" s="10">
        <v>4884</v>
      </c>
      <c r="AY51" s="10">
        <v>3552</v>
      </c>
      <c r="AZ51" s="10">
        <v>4975</v>
      </c>
      <c r="BA51" s="10">
        <v>4719</v>
      </c>
      <c r="BB51" s="10">
        <v>2824</v>
      </c>
      <c r="BC51" s="10">
        <v>2989</v>
      </c>
      <c r="BD51" s="10">
        <v>2818</v>
      </c>
      <c r="BE51" s="10">
        <v>3899</v>
      </c>
      <c r="BF51" s="10">
        <v>4443</v>
      </c>
      <c r="BG51" s="10">
        <v>2684</v>
      </c>
      <c r="BH51" s="10">
        <v>2341</v>
      </c>
      <c r="BI51" s="10">
        <v>2271</v>
      </c>
      <c r="BJ51" s="10">
        <v>4006</v>
      </c>
      <c r="BK51" s="10">
        <v>3786</v>
      </c>
      <c r="BL51" s="10">
        <v>4414</v>
      </c>
    </row>
    <row r="52" spans="1:64">
      <c r="A52" s="1" t="s">
        <v>215</v>
      </c>
      <c r="B52" s="14">
        <v>390988</v>
      </c>
      <c r="C52" s="14">
        <v>245</v>
      </c>
      <c r="D52" s="2" t="str">
        <f>HYPERLINK("http://128.120.136.21:8080/binbase-compound/bin/show/199198?db=rtx5","199198")</f>
        <v>199198</v>
      </c>
      <c r="E52" s="2" t="s">
        <v>216</v>
      </c>
      <c r="F52" s="2" t="str">
        <f>HYPERLINK("http://www.genome.ad.jp/dbget-bin/www_bget?compound+C00122","C00122")</f>
        <v>C00122</v>
      </c>
      <c r="G52" s="2" t="str">
        <f>HYPERLINK("http://pubchem.ncbi.nlm.nih.gov/summary/summary.cgi?cid=444972","444972")</f>
        <v>444972</v>
      </c>
      <c r="H52" s="10">
        <v>22509</v>
      </c>
      <c r="I52" s="10">
        <v>3117</v>
      </c>
      <c r="J52" s="10">
        <v>9102</v>
      </c>
      <c r="K52" s="10">
        <v>20354</v>
      </c>
      <c r="L52" s="10">
        <v>8301</v>
      </c>
      <c r="M52" s="10">
        <v>11232</v>
      </c>
      <c r="N52" s="10">
        <v>9958</v>
      </c>
      <c r="O52" s="10">
        <v>22359</v>
      </c>
      <c r="P52" s="10">
        <v>21570</v>
      </c>
      <c r="Q52" s="10">
        <v>1057</v>
      </c>
      <c r="R52" s="10">
        <v>983</v>
      </c>
      <c r="S52" s="10">
        <v>1640</v>
      </c>
      <c r="T52" s="10">
        <v>19801</v>
      </c>
      <c r="U52" s="10">
        <v>6778</v>
      </c>
      <c r="V52" s="10">
        <v>12536</v>
      </c>
      <c r="W52" s="10">
        <v>11875</v>
      </c>
      <c r="X52" s="10">
        <v>10904</v>
      </c>
      <c r="Y52" s="10">
        <v>9943</v>
      </c>
      <c r="Z52" s="10">
        <v>14155</v>
      </c>
      <c r="AA52" s="10">
        <v>13362</v>
      </c>
      <c r="AB52" s="10">
        <v>15191</v>
      </c>
      <c r="AC52" s="10">
        <v>10144</v>
      </c>
      <c r="AD52" s="10">
        <v>7924</v>
      </c>
      <c r="AE52" s="10">
        <v>15994</v>
      </c>
      <c r="AF52" s="10">
        <v>6279</v>
      </c>
      <c r="AG52" s="10">
        <v>11278</v>
      </c>
      <c r="AH52" s="10">
        <v>10466</v>
      </c>
      <c r="AI52" s="10">
        <v>5000</v>
      </c>
      <c r="AJ52" s="10">
        <v>3642</v>
      </c>
      <c r="AK52" s="10">
        <v>32951</v>
      </c>
      <c r="AL52" s="10">
        <v>6557</v>
      </c>
      <c r="AM52" s="10">
        <v>4985</v>
      </c>
      <c r="AN52" s="10">
        <v>5425</v>
      </c>
      <c r="AO52" s="10">
        <v>5431</v>
      </c>
      <c r="AP52" s="10">
        <v>2000</v>
      </c>
      <c r="AQ52" s="10">
        <v>13371</v>
      </c>
      <c r="AR52" s="10">
        <v>16114</v>
      </c>
      <c r="AS52" s="10">
        <v>13391</v>
      </c>
      <c r="AT52" s="10">
        <v>11362</v>
      </c>
      <c r="AU52" s="10">
        <v>13240</v>
      </c>
      <c r="AV52" s="10">
        <v>16564</v>
      </c>
      <c r="AW52" s="10">
        <v>33611</v>
      </c>
      <c r="AX52" s="10">
        <v>11554</v>
      </c>
      <c r="AY52" s="10">
        <v>7879</v>
      </c>
      <c r="AZ52" s="10">
        <v>7532</v>
      </c>
      <c r="BA52" s="10">
        <v>2635</v>
      </c>
      <c r="BB52" s="10">
        <v>6005</v>
      </c>
      <c r="BC52" s="10">
        <v>4719</v>
      </c>
      <c r="BD52" s="10">
        <v>1520</v>
      </c>
      <c r="BE52" s="10">
        <v>3401</v>
      </c>
      <c r="BF52" s="10">
        <v>7930</v>
      </c>
      <c r="BG52" s="10">
        <v>5620</v>
      </c>
      <c r="BH52" s="10">
        <v>4030</v>
      </c>
      <c r="BI52" s="10">
        <v>4306</v>
      </c>
      <c r="BJ52" s="10">
        <v>3695</v>
      </c>
      <c r="BK52" s="10">
        <v>4585</v>
      </c>
      <c r="BL52" s="10">
        <v>5378</v>
      </c>
    </row>
    <row r="53" spans="1:64">
      <c r="A53" s="1" t="s">
        <v>569</v>
      </c>
      <c r="B53" s="14">
        <v>540208</v>
      </c>
      <c r="C53" s="14">
        <v>217</v>
      </c>
      <c r="D53" s="2" t="str">
        <f>HYPERLINK("http://128.120.136.21:8080/binbase-compound/bin/show/323629?db=rtx5","323629")</f>
        <v>323629</v>
      </c>
      <c r="E53" s="2" t="s">
        <v>155</v>
      </c>
      <c r="F53" s="2" t="str">
        <f>HYPERLINK("http://www.genome.ad.jp/dbget-bin/www_bget?compound+n/a","n/a")</f>
        <v>n/a</v>
      </c>
      <c r="G53" s="2" t="str">
        <f>HYPERLINK("http://pubchem.ncbi.nlm.nih.gov/summary/summary.cgi?cid=65550","65550")</f>
        <v>65550</v>
      </c>
      <c r="H53" s="10">
        <v>31183</v>
      </c>
      <c r="I53" s="10">
        <v>22725</v>
      </c>
      <c r="J53" s="10">
        <v>33247</v>
      </c>
      <c r="K53" s="10">
        <v>20608</v>
      </c>
      <c r="L53" s="10">
        <v>20752</v>
      </c>
      <c r="M53" s="10">
        <v>26871</v>
      </c>
      <c r="N53" s="10">
        <v>50088</v>
      </c>
      <c r="O53" s="10">
        <v>27676</v>
      </c>
      <c r="P53" s="10">
        <v>26005</v>
      </c>
      <c r="Q53" s="10">
        <v>12385</v>
      </c>
      <c r="R53" s="10">
        <v>16549</v>
      </c>
      <c r="S53" s="10">
        <v>10366</v>
      </c>
      <c r="T53" s="10">
        <v>35628</v>
      </c>
      <c r="U53" s="10">
        <v>24310</v>
      </c>
      <c r="V53" s="10">
        <v>27852</v>
      </c>
      <c r="W53" s="10">
        <v>25363</v>
      </c>
      <c r="X53" s="10">
        <v>10867</v>
      </c>
      <c r="Y53" s="10">
        <v>28868</v>
      </c>
      <c r="Z53" s="10">
        <v>38655</v>
      </c>
      <c r="AA53" s="10">
        <v>42506</v>
      </c>
      <c r="AB53" s="10">
        <v>22018</v>
      </c>
      <c r="AC53" s="10">
        <v>41899</v>
      </c>
      <c r="AD53" s="10">
        <v>20617</v>
      </c>
      <c r="AE53" s="10">
        <v>48857</v>
      </c>
      <c r="AF53" s="10">
        <v>24457</v>
      </c>
      <c r="AG53" s="10">
        <v>21440</v>
      </c>
      <c r="AH53" s="10">
        <v>13864</v>
      </c>
      <c r="AI53" s="10">
        <v>21948</v>
      </c>
      <c r="AJ53" s="10">
        <v>57658</v>
      </c>
      <c r="AK53" s="10">
        <v>29138</v>
      </c>
      <c r="AL53" s="10">
        <v>26143</v>
      </c>
      <c r="AM53" s="10">
        <v>36501</v>
      </c>
      <c r="AN53" s="10">
        <v>11278</v>
      </c>
      <c r="AO53" s="10">
        <v>25288</v>
      </c>
      <c r="AP53" s="10">
        <v>43317</v>
      </c>
      <c r="AQ53" s="10">
        <v>12304</v>
      </c>
      <c r="AR53" s="10">
        <v>27839</v>
      </c>
      <c r="AS53" s="10">
        <v>20465</v>
      </c>
      <c r="AT53" s="10">
        <v>43669</v>
      </c>
      <c r="AU53" s="10">
        <v>32278</v>
      </c>
      <c r="AV53" s="10">
        <v>18766</v>
      </c>
      <c r="AW53" s="10">
        <v>35557</v>
      </c>
      <c r="AX53" s="10">
        <v>22899</v>
      </c>
      <c r="AY53" s="10">
        <v>42608</v>
      </c>
      <c r="AZ53" s="10">
        <v>13911</v>
      </c>
      <c r="BA53" s="10">
        <v>54066</v>
      </c>
      <c r="BB53" s="10">
        <v>39706</v>
      </c>
      <c r="BC53" s="10">
        <v>14755</v>
      </c>
      <c r="BD53" s="10">
        <v>18896</v>
      </c>
      <c r="BE53" s="10">
        <v>34638</v>
      </c>
      <c r="BF53" s="10">
        <v>20926</v>
      </c>
      <c r="BG53" s="10">
        <v>30216</v>
      </c>
      <c r="BH53" s="10">
        <v>26137</v>
      </c>
      <c r="BI53" s="10">
        <v>24056</v>
      </c>
      <c r="BJ53" s="10">
        <v>20986</v>
      </c>
      <c r="BK53" s="10">
        <v>45151</v>
      </c>
      <c r="BL53" s="10">
        <v>37611</v>
      </c>
    </row>
    <row r="54" spans="1:64">
      <c r="A54" s="1" t="s">
        <v>188</v>
      </c>
      <c r="B54" s="14">
        <v>955097</v>
      </c>
      <c r="C54" s="14">
        <v>324</v>
      </c>
      <c r="D54" s="2" t="str">
        <f>HYPERLINK("http://128.120.136.21:8080/binbase-compound/bin/show/213207?db=rtx5","213207")</f>
        <v>213207</v>
      </c>
      <c r="E54" s="2" t="s">
        <v>189</v>
      </c>
      <c r="F54" s="2" t="str">
        <f>HYPERLINK("http://www.genome.ad.jp/dbget-bin/www_bget?compound+C00387","C00387")</f>
        <v>C00387</v>
      </c>
      <c r="G54" s="2" t="str">
        <f>HYPERLINK("http://pubchem.ncbi.nlm.nih.gov/summary/summary.cgi?cid=6802","6802")</f>
        <v>6802</v>
      </c>
      <c r="H54" s="10">
        <v>5807</v>
      </c>
      <c r="I54" s="10">
        <v>560</v>
      </c>
      <c r="J54" s="10">
        <v>346</v>
      </c>
      <c r="K54" s="10">
        <v>2674</v>
      </c>
      <c r="L54" s="10">
        <v>361</v>
      </c>
      <c r="M54" s="10">
        <v>27140</v>
      </c>
      <c r="N54" s="10">
        <v>1516</v>
      </c>
      <c r="O54" s="10">
        <v>3120</v>
      </c>
      <c r="P54" s="10">
        <v>1447</v>
      </c>
      <c r="Q54" s="10">
        <v>733</v>
      </c>
      <c r="R54" s="10">
        <v>907</v>
      </c>
      <c r="S54" s="10">
        <v>1652</v>
      </c>
      <c r="T54" s="10">
        <v>1329</v>
      </c>
      <c r="U54" s="10">
        <v>436</v>
      </c>
      <c r="V54" s="10">
        <v>561</v>
      </c>
      <c r="W54" s="10">
        <v>113702</v>
      </c>
      <c r="X54" s="10">
        <v>73303</v>
      </c>
      <c r="Y54" s="10">
        <v>30784</v>
      </c>
      <c r="Z54" s="10">
        <v>1192</v>
      </c>
      <c r="AA54" s="10">
        <v>642</v>
      </c>
      <c r="AB54" s="10">
        <v>843</v>
      </c>
      <c r="AC54" s="10">
        <v>23566</v>
      </c>
      <c r="AD54" s="10">
        <v>84342</v>
      </c>
      <c r="AE54" s="10">
        <v>1168</v>
      </c>
      <c r="AF54" s="10">
        <v>60952</v>
      </c>
      <c r="AG54" s="10">
        <v>31940</v>
      </c>
      <c r="AH54" s="10">
        <v>466</v>
      </c>
      <c r="AI54" s="10">
        <v>455</v>
      </c>
      <c r="AJ54" s="10">
        <v>332</v>
      </c>
      <c r="AK54" s="10">
        <v>1212</v>
      </c>
      <c r="AL54" s="10">
        <v>513</v>
      </c>
      <c r="AM54" s="10">
        <v>178</v>
      </c>
      <c r="AN54" s="10">
        <v>467</v>
      </c>
      <c r="AO54" s="10">
        <v>613</v>
      </c>
      <c r="AP54" s="10">
        <v>577</v>
      </c>
      <c r="AQ54" s="10">
        <v>1007</v>
      </c>
      <c r="AR54" s="10">
        <v>2377</v>
      </c>
      <c r="AS54" s="10">
        <v>532</v>
      </c>
      <c r="AT54" s="10">
        <v>956</v>
      </c>
      <c r="AU54" s="10">
        <v>1275</v>
      </c>
      <c r="AV54" s="10">
        <v>415</v>
      </c>
      <c r="AW54" s="10">
        <v>243</v>
      </c>
      <c r="AX54" s="10">
        <v>496</v>
      </c>
      <c r="AY54" s="10">
        <v>324</v>
      </c>
      <c r="AZ54" s="10">
        <v>481</v>
      </c>
      <c r="BA54" s="10">
        <v>388</v>
      </c>
      <c r="BB54" s="10">
        <v>471</v>
      </c>
      <c r="BC54" s="10">
        <v>311</v>
      </c>
      <c r="BD54" s="10">
        <v>991</v>
      </c>
      <c r="BE54" s="10">
        <v>566</v>
      </c>
      <c r="BF54" s="10">
        <v>1010</v>
      </c>
      <c r="BG54" s="10">
        <v>587</v>
      </c>
      <c r="BH54" s="10">
        <v>636</v>
      </c>
      <c r="BI54" s="10">
        <v>385</v>
      </c>
      <c r="BJ54" s="10">
        <v>141</v>
      </c>
      <c r="BK54" s="10">
        <v>3076</v>
      </c>
      <c r="BL54" s="10">
        <v>1289</v>
      </c>
    </row>
    <row r="55" spans="1:64">
      <c r="A55" s="1" t="s">
        <v>174</v>
      </c>
      <c r="B55" s="14">
        <v>897806</v>
      </c>
      <c r="C55" s="14">
        <v>230</v>
      </c>
      <c r="D55" s="2" t="str">
        <f>HYPERLINK("http://128.120.136.21:8080/binbase-compound/bin/show/199606?db=rtx5","199606")</f>
        <v>199606</v>
      </c>
      <c r="E55" s="2" t="s">
        <v>175</v>
      </c>
      <c r="F55" s="2" t="str">
        <f>HYPERLINK("http://www.genome.ad.jp/dbget-bin/www_bget?compound+C00294","C00294")</f>
        <v>C00294</v>
      </c>
      <c r="G55" s="2" t="str">
        <f>HYPERLINK("http://pubchem.ncbi.nlm.nih.gov/summary/summary.cgi?cid=6021","6021")</f>
        <v>6021</v>
      </c>
      <c r="H55" s="10">
        <v>2613</v>
      </c>
      <c r="I55" s="10">
        <v>8935</v>
      </c>
      <c r="J55" s="10">
        <v>4652</v>
      </c>
      <c r="K55" s="10">
        <v>6351</v>
      </c>
      <c r="L55" s="10">
        <v>3851</v>
      </c>
      <c r="M55" s="10">
        <v>1904</v>
      </c>
      <c r="N55" s="10">
        <v>14111</v>
      </c>
      <c r="O55" s="10">
        <v>16495</v>
      </c>
      <c r="P55" s="10">
        <v>7619</v>
      </c>
      <c r="Q55" s="10">
        <v>400</v>
      </c>
      <c r="R55" s="10">
        <v>334</v>
      </c>
      <c r="S55" s="10">
        <v>769</v>
      </c>
      <c r="T55" s="10">
        <v>8483</v>
      </c>
      <c r="U55" s="10">
        <v>4969</v>
      </c>
      <c r="V55" s="10">
        <v>3531</v>
      </c>
      <c r="W55" s="10">
        <v>9730</v>
      </c>
      <c r="X55" s="10">
        <v>6624</v>
      </c>
      <c r="Y55" s="10">
        <v>7626</v>
      </c>
      <c r="Z55" s="10">
        <v>30764</v>
      </c>
      <c r="AA55" s="10">
        <v>5433</v>
      </c>
      <c r="AB55" s="10">
        <v>23361</v>
      </c>
      <c r="AC55" s="10">
        <v>11686</v>
      </c>
      <c r="AD55" s="10">
        <v>7215</v>
      </c>
      <c r="AE55" s="10">
        <v>862</v>
      </c>
      <c r="AF55" s="10">
        <v>13399</v>
      </c>
      <c r="AG55" s="10">
        <v>4273</v>
      </c>
      <c r="AH55" s="10">
        <v>3177</v>
      </c>
      <c r="AI55" s="10">
        <v>1750</v>
      </c>
      <c r="AJ55" s="10">
        <v>3507</v>
      </c>
      <c r="AK55" s="10">
        <v>3806</v>
      </c>
      <c r="AL55" s="10">
        <v>1408</v>
      </c>
      <c r="AM55" s="10">
        <v>5734</v>
      </c>
      <c r="AN55" s="10">
        <v>1384</v>
      </c>
      <c r="AO55" s="10">
        <v>1651</v>
      </c>
      <c r="AP55" s="10">
        <v>7040</v>
      </c>
      <c r="AQ55" s="10">
        <v>2772</v>
      </c>
      <c r="AR55" s="10">
        <v>34918</v>
      </c>
      <c r="AS55" s="10">
        <v>5374</v>
      </c>
      <c r="AT55" s="10">
        <v>19842</v>
      </c>
      <c r="AU55" s="10">
        <v>33771</v>
      </c>
      <c r="AV55" s="10">
        <v>5912</v>
      </c>
      <c r="AW55" s="10">
        <v>15702</v>
      </c>
      <c r="AX55" s="10">
        <v>9337</v>
      </c>
      <c r="AY55" s="10">
        <v>6000</v>
      </c>
      <c r="AZ55" s="10">
        <v>3552</v>
      </c>
      <c r="BA55" s="10">
        <v>2910</v>
      </c>
      <c r="BB55" s="10">
        <v>4605</v>
      </c>
      <c r="BC55" s="10">
        <v>2774</v>
      </c>
      <c r="BD55" s="10">
        <v>11405</v>
      </c>
      <c r="BE55" s="10">
        <v>4994</v>
      </c>
      <c r="BF55" s="10">
        <v>6474</v>
      </c>
      <c r="BG55" s="10">
        <v>2867</v>
      </c>
      <c r="BH55" s="10">
        <v>3174</v>
      </c>
      <c r="BI55" s="10">
        <v>2831</v>
      </c>
      <c r="BJ55" s="10">
        <v>2790</v>
      </c>
      <c r="BK55" s="10">
        <v>25224</v>
      </c>
      <c r="BL55" s="10">
        <v>21459</v>
      </c>
    </row>
    <row r="56" spans="1:64">
      <c r="A56" s="1" t="s">
        <v>75</v>
      </c>
      <c r="B56" s="14">
        <v>781209</v>
      </c>
      <c r="C56" s="14">
        <v>202</v>
      </c>
      <c r="D56" s="2" t="str">
        <f>HYPERLINK("http://128.120.136.21:8080/binbase-compound/bin/show/321686?db=rtx5","321686")</f>
        <v>321686</v>
      </c>
      <c r="E56" s="2" t="s">
        <v>76</v>
      </c>
      <c r="F56" s="2" t="str">
        <f>HYPERLINK("http://www.genome.ad.jp/dbget-bin/www_bget?compound+C00078","C00078")</f>
        <v>C00078</v>
      </c>
      <c r="G56" s="2" t="str">
        <f>HYPERLINK("http://pubchem.ncbi.nlm.nih.gov/summary/summary.cgi?cid=6305","6305")</f>
        <v>6305</v>
      </c>
      <c r="H56" s="10">
        <v>8778</v>
      </c>
      <c r="I56" s="10">
        <v>3384</v>
      </c>
      <c r="J56" s="10">
        <v>7458</v>
      </c>
      <c r="K56" s="10">
        <v>3162</v>
      </c>
      <c r="L56" s="10">
        <v>3067</v>
      </c>
      <c r="M56" s="10">
        <v>7151</v>
      </c>
      <c r="N56" s="10">
        <v>2286</v>
      </c>
      <c r="O56" s="10">
        <v>4349</v>
      </c>
      <c r="P56" s="10">
        <v>5060</v>
      </c>
      <c r="Q56" s="10">
        <v>93375</v>
      </c>
      <c r="R56" s="10">
        <v>123759</v>
      </c>
      <c r="S56" s="10">
        <v>65711</v>
      </c>
      <c r="T56" s="10">
        <v>6919</v>
      </c>
      <c r="U56" s="10">
        <v>4399</v>
      </c>
      <c r="V56" s="10">
        <v>2479</v>
      </c>
      <c r="W56" s="10">
        <v>10520</v>
      </c>
      <c r="X56" s="10">
        <v>9042</v>
      </c>
      <c r="Y56" s="10">
        <v>10889</v>
      </c>
      <c r="Z56" s="10">
        <v>8044</v>
      </c>
      <c r="AA56" s="10">
        <v>4686</v>
      </c>
      <c r="AB56" s="10">
        <v>6199</v>
      </c>
      <c r="AC56" s="10">
        <v>11405</v>
      </c>
      <c r="AD56" s="10">
        <v>10155</v>
      </c>
      <c r="AE56" s="10">
        <v>9841</v>
      </c>
      <c r="AF56" s="10">
        <v>9028</v>
      </c>
      <c r="AG56" s="10">
        <v>7165</v>
      </c>
      <c r="AH56" s="10">
        <v>6276</v>
      </c>
      <c r="AI56" s="10">
        <v>1527</v>
      </c>
      <c r="AJ56" s="10">
        <v>1486</v>
      </c>
      <c r="AK56" s="10">
        <v>1275</v>
      </c>
      <c r="AL56" s="10">
        <v>3059</v>
      </c>
      <c r="AM56" s="10">
        <v>1344</v>
      </c>
      <c r="AN56" s="10">
        <v>1768</v>
      </c>
      <c r="AO56" s="10">
        <v>2156</v>
      </c>
      <c r="AP56" s="10">
        <v>779</v>
      </c>
      <c r="AQ56" s="10">
        <v>1518</v>
      </c>
      <c r="AR56" s="10">
        <v>3161</v>
      </c>
      <c r="AS56" s="10">
        <v>1582</v>
      </c>
      <c r="AT56" s="10">
        <v>2058</v>
      </c>
      <c r="AU56" s="10">
        <v>5513</v>
      </c>
      <c r="AV56" s="10">
        <v>3858</v>
      </c>
      <c r="AW56" s="10">
        <v>2332</v>
      </c>
      <c r="AX56" s="10">
        <v>2938</v>
      </c>
      <c r="AY56" s="10">
        <v>4025</v>
      </c>
      <c r="AZ56" s="10">
        <v>3064</v>
      </c>
      <c r="BA56" s="10">
        <v>1409</v>
      </c>
      <c r="BB56" s="10">
        <v>1405</v>
      </c>
      <c r="BC56" s="10">
        <v>3194</v>
      </c>
      <c r="BD56" s="10">
        <v>1308</v>
      </c>
      <c r="BE56" s="10">
        <v>1783</v>
      </c>
      <c r="BF56" s="10">
        <v>2621</v>
      </c>
      <c r="BG56" s="10">
        <v>2157</v>
      </c>
      <c r="BH56" s="10">
        <v>921</v>
      </c>
      <c r="BI56" s="10">
        <v>1803</v>
      </c>
      <c r="BJ56" s="10">
        <v>1622</v>
      </c>
      <c r="BK56" s="10">
        <v>1007</v>
      </c>
      <c r="BL56" s="10">
        <v>1609</v>
      </c>
    </row>
    <row r="57" spans="1:64">
      <c r="A57" s="1" t="s">
        <v>77</v>
      </c>
      <c r="B57" s="14">
        <v>420134</v>
      </c>
      <c r="C57" s="14">
        <v>255</v>
      </c>
      <c r="D57" s="2" t="str">
        <f>HYPERLINK("http://128.120.136.21:8080/binbase-compound/bin/show/236696?db=rtx5","236696")</f>
        <v>236696</v>
      </c>
      <c r="E57" s="2" t="s">
        <v>78</v>
      </c>
      <c r="F57" s="2" t="str">
        <f>HYPERLINK("http://www.genome.ad.jp/dbget-bin/www_bget?compound+C00178","C00178")</f>
        <v>C00178</v>
      </c>
      <c r="G57" s="2" t="str">
        <f>HYPERLINK("http://pubchem.ncbi.nlm.nih.gov/summary/summary.cgi?cid=1135","1135")</f>
        <v>1135</v>
      </c>
      <c r="H57" s="10">
        <v>6993</v>
      </c>
      <c r="I57" s="10">
        <v>11416</v>
      </c>
      <c r="J57" s="10">
        <v>7073</v>
      </c>
      <c r="K57" s="10">
        <v>10231</v>
      </c>
      <c r="L57" s="10">
        <v>9424</v>
      </c>
      <c r="M57" s="10">
        <v>2801</v>
      </c>
      <c r="N57" s="10">
        <v>13152</v>
      </c>
      <c r="O57" s="10">
        <v>7264</v>
      </c>
      <c r="P57" s="10">
        <v>7002</v>
      </c>
      <c r="Q57" s="10">
        <v>471</v>
      </c>
      <c r="R57" s="10">
        <v>327</v>
      </c>
      <c r="S57" s="10">
        <v>739</v>
      </c>
      <c r="T57" s="10">
        <v>4373</v>
      </c>
      <c r="U57" s="10">
        <v>11442</v>
      </c>
      <c r="V57" s="10">
        <v>8040</v>
      </c>
      <c r="W57" s="10">
        <v>6099</v>
      </c>
      <c r="X57" s="10">
        <v>3883</v>
      </c>
      <c r="Y57" s="10">
        <v>4989</v>
      </c>
      <c r="Z57" s="10">
        <v>5470</v>
      </c>
      <c r="AA57" s="10">
        <v>8645</v>
      </c>
      <c r="AB57" s="10">
        <v>6407</v>
      </c>
      <c r="AC57" s="10">
        <v>6211</v>
      </c>
      <c r="AD57" s="10">
        <v>6706</v>
      </c>
      <c r="AE57" s="10">
        <v>7997</v>
      </c>
      <c r="AF57" s="10">
        <v>6235</v>
      </c>
      <c r="AG57" s="10">
        <v>3967</v>
      </c>
      <c r="AH57" s="10">
        <v>10060</v>
      </c>
      <c r="AI57" s="10">
        <v>14328</v>
      </c>
      <c r="AJ57" s="10">
        <v>9198</v>
      </c>
      <c r="AK57" s="10">
        <v>11354</v>
      </c>
      <c r="AL57" s="10">
        <v>15200</v>
      </c>
      <c r="AM57" s="10">
        <v>6973</v>
      </c>
      <c r="AN57" s="10">
        <v>15019</v>
      </c>
      <c r="AO57" s="10">
        <v>16933</v>
      </c>
      <c r="AP57" s="10">
        <v>5268</v>
      </c>
      <c r="AQ57" s="10">
        <v>5808</v>
      </c>
      <c r="AR57" s="10">
        <v>8385</v>
      </c>
      <c r="AS57" s="10">
        <v>10478</v>
      </c>
      <c r="AT57" s="10">
        <v>8240</v>
      </c>
      <c r="AU57" s="10">
        <v>6423</v>
      </c>
      <c r="AV57" s="10">
        <v>13809</v>
      </c>
      <c r="AW57" s="10">
        <v>11772</v>
      </c>
      <c r="AX57" s="10">
        <v>10224</v>
      </c>
      <c r="AY57" s="10">
        <v>9764</v>
      </c>
      <c r="AZ57" s="10">
        <v>11221</v>
      </c>
      <c r="BA57" s="10">
        <v>13081</v>
      </c>
      <c r="BB57" s="10">
        <v>8803</v>
      </c>
      <c r="BC57" s="10">
        <v>18696</v>
      </c>
      <c r="BD57" s="10">
        <v>7907</v>
      </c>
      <c r="BE57" s="10">
        <v>11175</v>
      </c>
      <c r="BF57" s="10">
        <v>15269</v>
      </c>
      <c r="BG57" s="10">
        <v>21182</v>
      </c>
      <c r="BH57" s="10">
        <v>11332</v>
      </c>
      <c r="BI57" s="10">
        <v>13379</v>
      </c>
      <c r="BJ57" s="10">
        <v>8377</v>
      </c>
      <c r="BK57" s="10">
        <v>7488</v>
      </c>
      <c r="BL57" s="10">
        <v>4194</v>
      </c>
    </row>
    <row r="58" spans="1:64">
      <c r="A58" s="1" t="s">
        <v>133</v>
      </c>
      <c r="B58" s="14">
        <v>286258</v>
      </c>
      <c r="C58" s="14">
        <v>130</v>
      </c>
      <c r="D58" s="2" t="str">
        <f>HYPERLINK("http://128.120.136.21:8080/binbase-compound/bin/show/205663?db=rtx5","205663")</f>
        <v>205663</v>
      </c>
      <c r="E58" s="2" t="s">
        <v>134</v>
      </c>
      <c r="F58" s="2" t="str">
        <f>HYPERLINK("http://www.genome.ad.jp/dbget-bin/www_bget?compound+C02721","C02721")</f>
        <v>C02721</v>
      </c>
      <c r="G58" s="2" t="str">
        <f>HYPERLINK("http://pubchem.ncbi.nlm.nih.gov/summary/summary.cgi?cid=5288725","5288725")</f>
        <v>5288725</v>
      </c>
      <c r="H58" s="10">
        <v>3670</v>
      </c>
      <c r="I58" s="10">
        <v>25596</v>
      </c>
      <c r="J58" s="10">
        <v>11871</v>
      </c>
      <c r="K58" s="10">
        <v>5212</v>
      </c>
      <c r="L58" s="10">
        <v>11802</v>
      </c>
      <c r="M58" s="10">
        <v>3551</v>
      </c>
      <c r="N58" s="10">
        <v>9979</v>
      </c>
      <c r="O58" s="10">
        <v>4200</v>
      </c>
      <c r="P58" s="10">
        <v>11547</v>
      </c>
      <c r="Q58" s="10">
        <v>3149</v>
      </c>
      <c r="R58" s="10">
        <v>2450</v>
      </c>
      <c r="S58" s="10">
        <v>8072</v>
      </c>
      <c r="T58" s="10">
        <v>12244</v>
      </c>
      <c r="U58" s="10">
        <v>31074</v>
      </c>
      <c r="V58" s="10">
        <v>9512</v>
      </c>
      <c r="W58" s="10">
        <v>5039</v>
      </c>
      <c r="X58" s="10">
        <v>4122</v>
      </c>
      <c r="Y58" s="10">
        <v>5849</v>
      </c>
      <c r="Z58" s="10">
        <v>5602</v>
      </c>
      <c r="AA58" s="10">
        <v>12934</v>
      </c>
      <c r="AB58" s="10">
        <v>13107</v>
      </c>
      <c r="AC58" s="10">
        <v>5260</v>
      </c>
      <c r="AD58" s="10">
        <v>2756</v>
      </c>
      <c r="AE58" s="10">
        <v>10538</v>
      </c>
      <c r="AF58" s="10">
        <v>7593</v>
      </c>
      <c r="AG58" s="10">
        <v>4840</v>
      </c>
      <c r="AH58" s="10">
        <v>14523</v>
      </c>
      <c r="AI58" s="10">
        <v>15894</v>
      </c>
      <c r="AJ58" s="10">
        <v>9504</v>
      </c>
      <c r="AK58" s="10">
        <v>6876</v>
      </c>
      <c r="AL58" s="10">
        <v>13346</v>
      </c>
      <c r="AM58" s="10">
        <v>12692</v>
      </c>
      <c r="AN58" s="10">
        <v>10046</v>
      </c>
      <c r="AO58" s="10">
        <v>9147</v>
      </c>
      <c r="AP58" s="10">
        <v>12291</v>
      </c>
      <c r="AQ58" s="10">
        <v>8485</v>
      </c>
      <c r="AR58" s="10">
        <v>5514</v>
      </c>
      <c r="AS58" s="10">
        <v>9652</v>
      </c>
      <c r="AT58" s="10">
        <v>15889</v>
      </c>
      <c r="AU58" s="10">
        <v>14215</v>
      </c>
      <c r="AV58" s="10">
        <v>14211</v>
      </c>
      <c r="AW58" s="10">
        <v>13962</v>
      </c>
      <c r="AX58" s="10">
        <v>11852</v>
      </c>
      <c r="AY58" s="10">
        <v>22538</v>
      </c>
      <c r="AZ58" s="10">
        <v>16345</v>
      </c>
      <c r="BA58" s="10">
        <v>10395</v>
      </c>
      <c r="BB58" s="10">
        <v>15384</v>
      </c>
      <c r="BC58" s="10">
        <v>8238</v>
      </c>
      <c r="BD58" s="10">
        <v>8924</v>
      </c>
      <c r="BE58" s="10">
        <v>6148</v>
      </c>
      <c r="BF58" s="10">
        <v>5747</v>
      </c>
      <c r="BG58" s="10">
        <v>13678</v>
      </c>
      <c r="BH58" s="10">
        <v>8691</v>
      </c>
      <c r="BI58" s="10">
        <v>13178</v>
      </c>
      <c r="BJ58" s="10">
        <v>14957</v>
      </c>
      <c r="BK58" s="10">
        <v>5584</v>
      </c>
      <c r="BL58" s="10">
        <v>6024</v>
      </c>
    </row>
    <row r="59" spans="1:64">
      <c r="A59" s="1" t="s">
        <v>83</v>
      </c>
      <c r="B59" s="14">
        <v>370518</v>
      </c>
      <c r="C59" s="14">
        <v>247</v>
      </c>
      <c r="D59" s="2" t="str">
        <f>HYPERLINK("http://128.120.136.21:8080/binbase-compound/bin/show/199210?db=rtx5","199210")</f>
        <v>199210</v>
      </c>
      <c r="E59" s="2" t="s">
        <v>84</v>
      </c>
      <c r="F59" s="2" t="str">
        <f>HYPERLINK("http://www.genome.ad.jp/dbget-bin/www_bget?compound+C00042","C00042")</f>
        <v>C00042</v>
      </c>
      <c r="G59" s="2" t="str">
        <f>HYPERLINK("http://pubchem.ncbi.nlm.nih.gov/summary/summary.cgi?cid=1110","1110")</f>
        <v>1110</v>
      </c>
      <c r="H59" s="10">
        <v>11132</v>
      </c>
      <c r="I59" s="10">
        <v>2509</v>
      </c>
      <c r="J59" s="10">
        <v>3945</v>
      </c>
      <c r="K59" s="10">
        <v>10816</v>
      </c>
      <c r="L59" s="10">
        <v>10046</v>
      </c>
      <c r="M59" s="10">
        <v>3464</v>
      </c>
      <c r="N59" s="10">
        <v>4826</v>
      </c>
      <c r="O59" s="10">
        <v>6645</v>
      </c>
      <c r="P59" s="10">
        <v>5503</v>
      </c>
      <c r="Q59" s="10">
        <v>7557</v>
      </c>
      <c r="R59" s="10">
        <v>9064</v>
      </c>
      <c r="S59" s="10">
        <v>5862</v>
      </c>
      <c r="T59" s="10">
        <v>6288</v>
      </c>
      <c r="U59" s="10">
        <v>3159</v>
      </c>
      <c r="V59" s="10">
        <v>4856</v>
      </c>
      <c r="W59" s="10">
        <v>6949</v>
      </c>
      <c r="X59" s="10">
        <v>11972</v>
      </c>
      <c r="Y59" s="10">
        <v>15619</v>
      </c>
      <c r="Z59" s="10">
        <v>1901</v>
      </c>
      <c r="AA59" s="10">
        <v>7703</v>
      </c>
      <c r="AB59" s="10">
        <v>4231</v>
      </c>
      <c r="AC59" s="10">
        <v>29143</v>
      </c>
      <c r="AD59" s="10">
        <v>8943</v>
      </c>
      <c r="AE59" s="10">
        <v>24425</v>
      </c>
      <c r="AF59" s="10">
        <v>4388</v>
      </c>
      <c r="AG59" s="10">
        <v>25089</v>
      </c>
      <c r="AH59" s="10">
        <v>3295</v>
      </c>
      <c r="AI59" s="10">
        <v>7105</v>
      </c>
      <c r="AJ59" s="10">
        <v>5039</v>
      </c>
      <c r="AK59" s="10">
        <v>7240</v>
      </c>
      <c r="AL59" s="10">
        <v>3918</v>
      </c>
      <c r="AM59" s="10">
        <v>3081</v>
      </c>
      <c r="AN59" s="10">
        <v>4870</v>
      </c>
      <c r="AO59" s="10">
        <v>5363</v>
      </c>
      <c r="AP59" s="10">
        <v>3420</v>
      </c>
      <c r="AQ59" s="10">
        <v>5617</v>
      </c>
      <c r="AR59" s="10">
        <v>4706</v>
      </c>
      <c r="AS59" s="10">
        <v>5935</v>
      </c>
      <c r="AT59" s="10">
        <v>3500</v>
      </c>
      <c r="AU59" s="10">
        <v>3855</v>
      </c>
      <c r="AV59" s="10">
        <v>6244</v>
      </c>
      <c r="AW59" s="10">
        <v>8622</v>
      </c>
      <c r="AX59" s="10">
        <v>5583</v>
      </c>
      <c r="AY59" s="10">
        <v>5186</v>
      </c>
      <c r="AZ59" s="10">
        <v>5173</v>
      </c>
      <c r="BA59" s="10">
        <v>2021</v>
      </c>
      <c r="BB59" s="10">
        <v>2239</v>
      </c>
      <c r="BC59" s="10">
        <v>4515</v>
      </c>
      <c r="BD59" s="10">
        <v>1228</v>
      </c>
      <c r="BE59" s="10">
        <v>2121</v>
      </c>
      <c r="BF59" s="10">
        <v>6770</v>
      </c>
      <c r="BG59" s="10">
        <v>4488</v>
      </c>
      <c r="BH59" s="10">
        <v>2878</v>
      </c>
      <c r="BI59" s="10">
        <v>4971</v>
      </c>
      <c r="BJ59" s="10">
        <v>2769</v>
      </c>
      <c r="BK59" s="10">
        <v>5938</v>
      </c>
      <c r="BL59" s="10">
        <v>3523</v>
      </c>
    </row>
    <row r="60" spans="1:64">
      <c r="A60" s="1" t="s">
        <v>235</v>
      </c>
      <c r="B60" s="14">
        <v>227666</v>
      </c>
      <c r="C60" s="14">
        <v>128</v>
      </c>
      <c r="D60" s="2" t="str">
        <f>HYPERLINK("http://128.120.136.21:8080/binbase-compound/bin/show/234665?db=rtx5","234665")</f>
        <v>234665</v>
      </c>
      <c r="E60" s="2" t="s">
        <v>236</v>
      </c>
      <c r="F60" s="2" t="str">
        <f>HYPERLINK("http://www.genome.ad.jp/dbget-bin/www_bget?compound+C00571","C00571")</f>
        <v>C00571</v>
      </c>
      <c r="G60" s="2" t="str">
        <f>HYPERLINK("http://pubchem.ncbi.nlm.nih.gov/summary/summary.cgi?cid=7965","7965")</f>
        <v>7965</v>
      </c>
      <c r="H60" s="10">
        <v>4917</v>
      </c>
      <c r="I60" s="10">
        <v>6102</v>
      </c>
      <c r="J60" s="10">
        <v>8490</v>
      </c>
      <c r="K60" s="10">
        <v>6779</v>
      </c>
      <c r="L60" s="10">
        <v>7266</v>
      </c>
      <c r="M60" s="10">
        <v>6701</v>
      </c>
      <c r="N60" s="10">
        <v>8015</v>
      </c>
      <c r="O60" s="10">
        <v>6944</v>
      </c>
      <c r="P60" s="10">
        <v>5756</v>
      </c>
      <c r="Q60" s="10">
        <v>15707</v>
      </c>
      <c r="R60" s="10">
        <v>9671</v>
      </c>
      <c r="S60" s="10">
        <v>27651</v>
      </c>
      <c r="T60" s="10">
        <v>5016</v>
      </c>
      <c r="U60" s="10">
        <v>6831</v>
      </c>
      <c r="V60" s="10">
        <v>7597</v>
      </c>
      <c r="W60" s="10">
        <v>5477</v>
      </c>
      <c r="X60" s="10">
        <v>8189</v>
      </c>
      <c r="Y60" s="10">
        <v>4940</v>
      </c>
      <c r="Z60" s="10">
        <v>3977</v>
      </c>
      <c r="AA60" s="10">
        <v>8403</v>
      </c>
      <c r="AB60" s="10">
        <v>10919</v>
      </c>
      <c r="AC60" s="10">
        <v>4060</v>
      </c>
      <c r="AD60" s="10">
        <v>5107</v>
      </c>
      <c r="AE60" s="10">
        <v>6722</v>
      </c>
      <c r="AF60" s="10">
        <v>7929</v>
      </c>
      <c r="AG60" s="10">
        <v>5650</v>
      </c>
      <c r="AH60" s="10">
        <v>11956</v>
      </c>
      <c r="AI60" s="10">
        <v>8733</v>
      </c>
      <c r="AJ60" s="10">
        <v>6627</v>
      </c>
      <c r="AK60" s="10">
        <v>9789</v>
      </c>
      <c r="AL60" s="10">
        <v>9518</v>
      </c>
      <c r="AM60" s="10">
        <v>5370</v>
      </c>
      <c r="AN60" s="10">
        <v>10914</v>
      </c>
      <c r="AO60" s="10">
        <v>10773</v>
      </c>
      <c r="AP60" s="10">
        <v>9872</v>
      </c>
      <c r="AQ60" s="10">
        <v>27668</v>
      </c>
      <c r="AR60" s="10">
        <v>8286</v>
      </c>
      <c r="AS60" s="10">
        <v>9181</v>
      </c>
      <c r="AT60" s="10">
        <v>6869</v>
      </c>
      <c r="AU60" s="10">
        <v>3420</v>
      </c>
      <c r="AV60" s="10">
        <v>11638</v>
      </c>
      <c r="AW60" s="10">
        <v>9754</v>
      </c>
      <c r="AX60" s="10">
        <v>7735</v>
      </c>
      <c r="AY60" s="10">
        <v>7127</v>
      </c>
      <c r="AZ60" s="10">
        <v>10384</v>
      </c>
      <c r="BA60" s="10">
        <v>8370</v>
      </c>
      <c r="BB60" s="10">
        <v>7818</v>
      </c>
      <c r="BC60" s="10">
        <v>11246</v>
      </c>
      <c r="BD60" s="10">
        <v>7173</v>
      </c>
      <c r="BE60" s="10">
        <v>8577</v>
      </c>
      <c r="BF60" s="10">
        <v>11053</v>
      </c>
      <c r="BG60" s="10">
        <v>11795</v>
      </c>
      <c r="BH60" s="10">
        <v>8744</v>
      </c>
      <c r="BI60" s="10">
        <v>12709</v>
      </c>
      <c r="BJ60" s="10">
        <v>7881</v>
      </c>
      <c r="BK60" s="10">
        <v>11058</v>
      </c>
      <c r="BL60" s="10">
        <v>6447</v>
      </c>
    </row>
    <row r="61" spans="1:64">
      <c r="A61" s="1" t="s">
        <v>79</v>
      </c>
      <c r="B61" s="14">
        <v>408861</v>
      </c>
      <c r="C61" s="14">
        <v>117</v>
      </c>
      <c r="D61" s="2" t="str">
        <f>HYPERLINK("http://128.120.136.21:8080/binbase-compound/bin/show/368030?db=rtx5","368030")</f>
        <v>368030</v>
      </c>
      <c r="E61" s="2" t="s">
        <v>80</v>
      </c>
      <c r="F61" s="2" t="s">
        <v>57</v>
      </c>
      <c r="G61" s="2" t="s">
        <v>57</v>
      </c>
      <c r="H61" s="10">
        <v>13225</v>
      </c>
      <c r="I61" s="10">
        <v>6597</v>
      </c>
      <c r="J61" s="10">
        <v>2457</v>
      </c>
      <c r="K61" s="10">
        <v>13200</v>
      </c>
      <c r="L61" s="10">
        <v>10923</v>
      </c>
      <c r="M61" s="10">
        <v>17472</v>
      </c>
      <c r="N61" s="10">
        <v>5281</v>
      </c>
      <c r="O61" s="10">
        <v>8277</v>
      </c>
      <c r="P61" s="10">
        <v>9769</v>
      </c>
      <c r="Q61" s="10">
        <v>69154</v>
      </c>
      <c r="R61" s="10">
        <v>97375</v>
      </c>
      <c r="S61" s="10">
        <v>42384</v>
      </c>
      <c r="T61" s="10">
        <v>13132</v>
      </c>
      <c r="U61" s="10">
        <v>5005</v>
      </c>
      <c r="V61" s="10">
        <v>4456</v>
      </c>
      <c r="W61" s="10">
        <v>16460</v>
      </c>
      <c r="X61" s="10">
        <v>11892</v>
      </c>
      <c r="Y61" s="10">
        <v>11220</v>
      </c>
      <c r="Z61" s="10">
        <v>7687</v>
      </c>
      <c r="AA61" s="10">
        <v>7168</v>
      </c>
      <c r="AB61" s="10">
        <v>13262</v>
      </c>
      <c r="AC61" s="10">
        <v>12541</v>
      </c>
      <c r="AD61" s="10">
        <v>12452</v>
      </c>
      <c r="AE61" s="10">
        <v>14433</v>
      </c>
      <c r="AF61" s="10">
        <v>14221</v>
      </c>
      <c r="AG61" s="10">
        <v>11023</v>
      </c>
      <c r="AH61" s="10">
        <v>9855</v>
      </c>
      <c r="AI61" s="10">
        <v>4617</v>
      </c>
      <c r="AJ61" s="10">
        <v>6917</v>
      </c>
      <c r="AK61" s="10">
        <v>5299</v>
      </c>
      <c r="AL61" s="10">
        <v>6058</v>
      </c>
      <c r="AM61" s="10">
        <v>4398</v>
      </c>
      <c r="AN61" s="10">
        <v>5860</v>
      </c>
      <c r="AO61" s="10">
        <v>6560</v>
      </c>
      <c r="AP61" s="10">
        <v>7289</v>
      </c>
      <c r="AQ61" s="10">
        <v>10910</v>
      </c>
      <c r="AR61" s="10">
        <v>5653</v>
      </c>
      <c r="AS61" s="10">
        <v>6725</v>
      </c>
      <c r="AT61" s="10">
        <v>8201</v>
      </c>
      <c r="AU61" s="10">
        <v>10101</v>
      </c>
      <c r="AV61" s="10">
        <v>5783</v>
      </c>
      <c r="AW61" s="10">
        <v>8674</v>
      </c>
      <c r="AX61" s="10">
        <v>5014</v>
      </c>
      <c r="AY61" s="10">
        <v>4133</v>
      </c>
      <c r="AZ61" s="10">
        <v>5971</v>
      </c>
      <c r="BA61" s="10">
        <v>6402</v>
      </c>
      <c r="BB61" s="10">
        <v>6542</v>
      </c>
      <c r="BC61" s="10">
        <v>6378</v>
      </c>
      <c r="BD61" s="10">
        <v>5378</v>
      </c>
      <c r="BE61" s="10">
        <v>5950</v>
      </c>
      <c r="BF61" s="10">
        <v>5927</v>
      </c>
      <c r="BG61" s="10">
        <v>6817</v>
      </c>
      <c r="BH61" s="10">
        <v>6064</v>
      </c>
      <c r="BI61" s="10">
        <v>6758</v>
      </c>
      <c r="BJ61" s="10">
        <v>6870</v>
      </c>
      <c r="BK61" s="10">
        <v>6220</v>
      </c>
      <c r="BL61" s="10">
        <v>6350</v>
      </c>
    </row>
    <row r="62" spans="1:64">
      <c r="A62" s="1" t="s">
        <v>140</v>
      </c>
      <c r="B62" s="14">
        <v>746708</v>
      </c>
      <c r="C62" s="14">
        <v>103</v>
      </c>
      <c r="D62" s="2" t="str">
        <f>HYPERLINK("http://128.120.136.21:8080/binbase-compound/bin/show/200594?db=rtx5","200594")</f>
        <v>200594</v>
      </c>
      <c r="E62" s="2" t="s">
        <v>141</v>
      </c>
      <c r="F62" s="2" t="str">
        <f>HYPERLINK("http://www.genome.ad.jp/dbget-bin/www_bget?compound+C03136","C03136")</f>
        <v>C03136</v>
      </c>
      <c r="G62" s="2" t="str">
        <f>HYPERLINK("http://pubchem.ncbi.nlm.nih.gov/summary/summary.cgi?cid=439281","439281")</f>
        <v>439281</v>
      </c>
      <c r="H62" s="10">
        <v>3713</v>
      </c>
      <c r="I62" s="10">
        <v>12423</v>
      </c>
      <c r="J62" s="10">
        <v>10245</v>
      </c>
      <c r="K62" s="10">
        <v>5970</v>
      </c>
      <c r="L62" s="10">
        <v>13160</v>
      </c>
      <c r="M62" s="10">
        <v>1259</v>
      </c>
      <c r="N62" s="10">
        <v>12360</v>
      </c>
      <c r="O62" s="10">
        <v>3023</v>
      </c>
      <c r="P62" s="10">
        <v>2865</v>
      </c>
      <c r="Q62" s="10">
        <v>2073</v>
      </c>
      <c r="R62" s="10">
        <v>1387</v>
      </c>
      <c r="S62" s="10">
        <v>3562</v>
      </c>
      <c r="T62" s="10">
        <v>1691</v>
      </c>
      <c r="U62" s="10">
        <v>22754</v>
      </c>
      <c r="V62" s="10">
        <v>9372</v>
      </c>
      <c r="W62" s="10">
        <v>1797</v>
      </c>
      <c r="X62" s="10">
        <v>2497</v>
      </c>
      <c r="Y62" s="10">
        <v>5044</v>
      </c>
      <c r="Z62" s="10">
        <v>3879</v>
      </c>
      <c r="AA62" s="10">
        <v>14773</v>
      </c>
      <c r="AB62" s="10">
        <v>4705</v>
      </c>
      <c r="AC62" s="10">
        <v>11921</v>
      </c>
      <c r="AD62" s="10">
        <v>3702</v>
      </c>
      <c r="AE62" s="10">
        <v>4627</v>
      </c>
      <c r="AF62" s="10">
        <v>1803</v>
      </c>
      <c r="AG62" s="10">
        <v>1336</v>
      </c>
      <c r="AH62" s="10">
        <v>11844</v>
      </c>
      <c r="AI62" s="10">
        <v>11971</v>
      </c>
      <c r="AJ62" s="10">
        <v>3125</v>
      </c>
      <c r="AK62" s="10">
        <v>1943</v>
      </c>
      <c r="AL62" s="10">
        <v>9032</v>
      </c>
      <c r="AM62" s="10">
        <v>3514</v>
      </c>
      <c r="AN62" s="10">
        <v>22939</v>
      </c>
      <c r="AO62" s="10">
        <v>6100</v>
      </c>
      <c r="AP62" s="10">
        <v>1788</v>
      </c>
      <c r="AQ62" s="10">
        <v>9991</v>
      </c>
      <c r="AR62" s="10">
        <v>5260</v>
      </c>
      <c r="AS62" s="10">
        <v>11473</v>
      </c>
      <c r="AT62" s="10">
        <v>7697</v>
      </c>
      <c r="AU62" s="10">
        <v>2307</v>
      </c>
      <c r="AV62" s="10">
        <v>21567</v>
      </c>
      <c r="AW62" s="10">
        <v>5968</v>
      </c>
      <c r="AX62" s="10">
        <v>15199</v>
      </c>
      <c r="AY62" s="10">
        <v>15614</v>
      </c>
      <c r="AZ62" s="10">
        <v>19141</v>
      </c>
      <c r="BA62" s="10">
        <v>2231</v>
      </c>
      <c r="BB62" s="10">
        <v>1837</v>
      </c>
      <c r="BC62" s="10">
        <v>8928</v>
      </c>
      <c r="BD62" s="10">
        <v>4648</v>
      </c>
      <c r="BE62" s="10">
        <v>614</v>
      </c>
      <c r="BF62" s="10">
        <v>4072</v>
      </c>
      <c r="BG62" s="10">
        <v>12298</v>
      </c>
      <c r="BH62" s="10">
        <v>2565</v>
      </c>
      <c r="BI62" s="10">
        <v>7142</v>
      </c>
      <c r="BJ62" s="10">
        <v>656</v>
      </c>
      <c r="BK62" s="10">
        <v>3570</v>
      </c>
      <c r="BL62" s="10">
        <v>1452</v>
      </c>
    </row>
    <row r="63" spans="1:64">
      <c r="A63" s="1" t="s">
        <v>253</v>
      </c>
      <c r="B63" s="14">
        <v>619420</v>
      </c>
      <c r="C63" s="14">
        <v>142</v>
      </c>
      <c r="D63" s="2" t="str">
        <f>HYPERLINK("http://128.120.136.21:8080/binbase-compound/bin/show/199796?db=rtx5","199796")</f>
        <v>199796</v>
      </c>
      <c r="E63" s="2" t="s">
        <v>254</v>
      </c>
      <c r="F63" s="2" t="str">
        <f>HYPERLINK("http://www.genome.ad.jp/dbget-bin/www_bget?compound+C00062","C00062")</f>
        <v>C00062</v>
      </c>
      <c r="G63" s="2" t="str">
        <f>HYPERLINK("http://pubchem.ncbi.nlm.nih.gov/summary/summary.cgi?cid=232","232")</f>
        <v>232</v>
      </c>
      <c r="H63" s="10">
        <v>13023</v>
      </c>
      <c r="I63" s="10">
        <v>12271</v>
      </c>
      <c r="J63" s="10">
        <v>9324</v>
      </c>
      <c r="K63" s="10">
        <v>8318</v>
      </c>
      <c r="L63" s="10">
        <v>9219</v>
      </c>
      <c r="M63" s="10">
        <v>12359</v>
      </c>
      <c r="N63" s="10">
        <v>11953</v>
      </c>
      <c r="O63" s="10">
        <v>9763</v>
      </c>
      <c r="P63" s="10">
        <v>13192</v>
      </c>
      <c r="Q63" s="10">
        <v>15296</v>
      </c>
      <c r="R63" s="10">
        <v>22694</v>
      </c>
      <c r="S63" s="10">
        <v>17201</v>
      </c>
      <c r="T63" s="10">
        <v>17358</v>
      </c>
      <c r="U63" s="10">
        <v>12355</v>
      </c>
      <c r="V63" s="10">
        <v>9259</v>
      </c>
      <c r="W63" s="10">
        <v>10105</v>
      </c>
      <c r="X63" s="10">
        <v>8474</v>
      </c>
      <c r="Y63" s="10">
        <v>7986</v>
      </c>
      <c r="Z63" s="10">
        <v>18643</v>
      </c>
      <c r="AA63" s="10">
        <v>11733</v>
      </c>
      <c r="AB63" s="10">
        <v>11324</v>
      </c>
      <c r="AC63" s="10">
        <v>8071</v>
      </c>
      <c r="AD63" s="10">
        <v>6422</v>
      </c>
      <c r="AE63" s="10">
        <v>12110</v>
      </c>
      <c r="AF63" s="10">
        <v>10851</v>
      </c>
      <c r="AG63" s="10">
        <v>10607</v>
      </c>
      <c r="AH63" s="10">
        <v>12020</v>
      </c>
      <c r="AI63" s="10">
        <v>9939</v>
      </c>
      <c r="AJ63" s="10">
        <v>13601</v>
      </c>
      <c r="AK63" s="10">
        <v>9088</v>
      </c>
      <c r="AL63" s="10">
        <v>8851</v>
      </c>
      <c r="AM63" s="10">
        <v>52336</v>
      </c>
      <c r="AN63" s="10">
        <v>9182</v>
      </c>
      <c r="AO63" s="10">
        <v>7656</v>
      </c>
      <c r="AP63" s="10">
        <v>13951</v>
      </c>
      <c r="AQ63" s="10">
        <v>9775</v>
      </c>
      <c r="AR63" s="10">
        <v>10524</v>
      </c>
      <c r="AS63" s="10">
        <v>10200</v>
      </c>
      <c r="AT63" s="10">
        <v>11275</v>
      </c>
      <c r="AU63" s="10">
        <v>18776</v>
      </c>
      <c r="AV63" s="10">
        <v>10367</v>
      </c>
      <c r="AW63" s="10">
        <v>14759</v>
      </c>
      <c r="AX63" s="10">
        <v>7722</v>
      </c>
      <c r="AY63" s="10">
        <v>13814</v>
      </c>
      <c r="AZ63" s="10">
        <v>9790</v>
      </c>
      <c r="BA63" s="10">
        <v>9345</v>
      </c>
      <c r="BB63" s="10">
        <v>9996</v>
      </c>
      <c r="BC63" s="10">
        <v>8679</v>
      </c>
      <c r="BD63" s="10">
        <v>11145</v>
      </c>
      <c r="BE63" s="10">
        <v>11135</v>
      </c>
      <c r="BF63" s="10">
        <v>9337</v>
      </c>
      <c r="BG63" s="10">
        <v>7301</v>
      </c>
      <c r="BH63" s="10">
        <v>8694</v>
      </c>
      <c r="BI63" s="10">
        <v>9025</v>
      </c>
      <c r="BJ63" s="10">
        <v>13630</v>
      </c>
      <c r="BK63" s="10">
        <v>16043</v>
      </c>
      <c r="BL63" s="10">
        <v>15561</v>
      </c>
    </row>
    <row r="64" spans="1:64">
      <c r="A64" s="1" t="s">
        <v>144</v>
      </c>
      <c r="B64" s="14">
        <v>750645</v>
      </c>
      <c r="C64" s="14">
        <v>117</v>
      </c>
      <c r="D64" s="2" t="str">
        <f>HYPERLINK("http://128.120.136.21:8080/binbase-compound/bin/show/200398?db=rtx5","200398")</f>
        <v>200398</v>
      </c>
      <c r="E64" s="2" t="s">
        <v>145</v>
      </c>
      <c r="F64" s="2" t="str">
        <f>HYPERLINK("http://www.genome.ad.jp/dbget-bin/www_bget?compound+n/a","n/a")</f>
        <v>n/a</v>
      </c>
      <c r="G64" s="2" t="str">
        <f>HYPERLINK("http://pubchem.ncbi.nlm.nih.gov/summary/summary.cgi?cid=10465","10465")</f>
        <v>10465</v>
      </c>
      <c r="H64" s="10">
        <v>3799</v>
      </c>
      <c r="I64" s="10">
        <v>6239</v>
      </c>
      <c r="J64" s="10">
        <v>3890</v>
      </c>
      <c r="K64" s="10">
        <v>5395</v>
      </c>
      <c r="L64" s="10">
        <v>5360</v>
      </c>
      <c r="M64" s="10">
        <v>3574</v>
      </c>
      <c r="N64" s="10">
        <v>9366</v>
      </c>
      <c r="O64" s="10">
        <v>5448</v>
      </c>
      <c r="P64" s="10">
        <v>5325</v>
      </c>
      <c r="Q64" s="10">
        <v>4579</v>
      </c>
      <c r="R64" s="10">
        <v>3122</v>
      </c>
      <c r="S64" s="10">
        <v>5273</v>
      </c>
      <c r="T64" s="10">
        <v>3436</v>
      </c>
      <c r="U64" s="10">
        <v>6679</v>
      </c>
      <c r="V64" s="10">
        <v>7158</v>
      </c>
      <c r="W64" s="10">
        <v>4061</v>
      </c>
      <c r="X64" s="10">
        <v>5410</v>
      </c>
      <c r="Y64" s="10">
        <v>6805</v>
      </c>
      <c r="Z64" s="10">
        <v>3806</v>
      </c>
      <c r="AA64" s="10">
        <v>5554</v>
      </c>
      <c r="AB64" s="10">
        <v>4242</v>
      </c>
      <c r="AC64" s="10">
        <v>4480</v>
      </c>
      <c r="AD64" s="10">
        <v>5563</v>
      </c>
      <c r="AE64" s="10">
        <v>4711</v>
      </c>
      <c r="AF64" s="10">
        <v>5526</v>
      </c>
      <c r="AG64" s="10">
        <v>4002</v>
      </c>
      <c r="AH64" s="10">
        <v>9836</v>
      </c>
      <c r="AI64" s="10">
        <v>7379</v>
      </c>
      <c r="AJ64" s="10">
        <v>5165</v>
      </c>
      <c r="AK64" s="10">
        <v>5867</v>
      </c>
      <c r="AL64" s="10">
        <v>6451</v>
      </c>
      <c r="AM64" s="10">
        <v>2812</v>
      </c>
      <c r="AN64" s="10">
        <v>8781</v>
      </c>
      <c r="AO64" s="10">
        <v>10108</v>
      </c>
      <c r="AP64" s="10">
        <v>4699</v>
      </c>
      <c r="AQ64" s="10">
        <v>11465</v>
      </c>
      <c r="AR64" s="10">
        <v>4927</v>
      </c>
      <c r="AS64" s="10">
        <v>5204</v>
      </c>
      <c r="AT64" s="10">
        <v>4549</v>
      </c>
      <c r="AU64" s="10">
        <v>3834</v>
      </c>
      <c r="AV64" s="10">
        <v>6778</v>
      </c>
      <c r="AW64" s="10">
        <v>3404</v>
      </c>
      <c r="AX64" s="10">
        <v>4546</v>
      </c>
      <c r="AY64" s="10">
        <v>5979</v>
      </c>
      <c r="AZ64" s="10">
        <v>7638</v>
      </c>
      <c r="BA64" s="10">
        <v>4516</v>
      </c>
      <c r="BB64" s="10">
        <v>4293</v>
      </c>
      <c r="BC64" s="10">
        <v>5748</v>
      </c>
      <c r="BD64" s="10">
        <v>6865</v>
      </c>
      <c r="BE64" s="10">
        <v>5334</v>
      </c>
      <c r="BF64" s="10">
        <v>9846</v>
      </c>
      <c r="BG64" s="10">
        <v>13684</v>
      </c>
      <c r="BH64" s="10">
        <v>4913</v>
      </c>
      <c r="BI64" s="10">
        <v>8404</v>
      </c>
      <c r="BJ64" s="10">
        <v>4310</v>
      </c>
      <c r="BK64" s="10">
        <v>3009</v>
      </c>
      <c r="BL64" s="10">
        <v>3507</v>
      </c>
    </row>
    <row r="65" spans="1:64">
      <c r="A65" s="1" t="s">
        <v>190</v>
      </c>
      <c r="B65" s="14">
        <v>744497</v>
      </c>
      <c r="C65" s="14">
        <v>352</v>
      </c>
      <c r="D65" s="2" t="str">
        <f>HYPERLINK("http://128.120.136.21:8080/binbase-compound/bin/show/213138?db=rtx5","213138")</f>
        <v>213138</v>
      </c>
      <c r="E65" s="2" t="s">
        <v>191</v>
      </c>
      <c r="F65" s="2" t="str">
        <f>HYPERLINK("http://www.genome.ad.jp/dbget-bin/www_bget?compound+C00242","C00242")</f>
        <v>C00242</v>
      </c>
      <c r="G65" s="2" t="str">
        <f>HYPERLINK("http://pubchem.ncbi.nlm.nih.gov/summary/summary.cgi?cid=764","764")</f>
        <v>764</v>
      </c>
      <c r="H65" s="10">
        <v>7002</v>
      </c>
      <c r="I65" s="10">
        <v>2359</v>
      </c>
      <c r="J65" s="10">
        <v>1563</v>
      </c>
      <c r="K65" s="10">
        <v>5548</v>
      </c>
      <c r="L65" s="10">
        <v>3087</v>
      </c>
      <c r="M65" s="10">
        <v>11287</v>
      </c>
      <c r="N65" s="10">
        <v>3380</v>
      </c>
      <c r="O65" s="10">
        <v>4701</v>
      </c>
      <c r="P65" s="10">
        <v>2708</v>
      </c>
      <c r="Q65" s="10">
        <v>390</v>
      </c>
      <c r="R65" s="10">
        <v>649</v>
      </c>
      <c r="S65" s="10">
        <v>1153</v>
      </c>
      <c r="T65" s="10">
        <v>2478</v>
      </c>
      <c r="U65" s="10">
        <v>2127</v>
      </c>
      <c r="V65" s="10">
        <v>1976</v>
      </c>
      <c r="W65" s="10">
        <v>33237</v>
      </c>
      <c r="X65" s="10">
        <v>35487</v>
      </c>
      <c r="Y65" s="10">
        <v>25305</v>
      </c>
      <c r="Z65" s="10">
        <v>1065</v>
      </c>
      <c r="AA65" s="10">
        <v>2539</v>
      </c>
      <c r="AB65" s="10">
        <v>1287</v>
      </c>
      <c r="AC65" s="10">
        <v>13090</v>
      </c>
      <c r="AD65" s="10">
        <v>42818</v>
      </c>
      <c r="AE65" s="10">
        <v>4892</v>
      </c>
      <c r="AF65" s="10">
        <v>23098</v>
      </c>
      <c r="AG65" s="10">
        <v>18025</v>
      </c>
      <c r="AH65" s="10">
        <v>1134</v>
      </c>
      <c r="AI65" s="10">
        <v>1043</v>
      </c>
      <c r="AJ65" s="10">
        <v>584</v>
      </c>
      <c r="AK65" s="10">
        <v>1363</v>
      </c>
      <c r="AL65" s="10">
        <v>712</v>
      </c>
      <c r="AM65" s="10">
        <v>425</v>
      </c>
      <c r="AN65" s="10">
        <v>1238</v>
      </c>
      <c r="AO65" s="10">
        <v>1338</v>
      </c>
      <c r="AP65" s="10">
        <v>1770</v>
      </c>
      <c r="AQ65" s="10">
        <v>1434</v>
      </c>
      <c r="AR65" s="10">
        <v>3254</v>
      </c>
      <c r="AS65" s="10">
        <v>1168</v>
      </c>
      <c r="AT65" s="10">
        <v>2002</v>
      </c>
      <c r="AU65" s="10">
        <v>801</v>
      </c>
      <c r="AV65" s="10">
        <v>1132</v>
      </c>
      <c r="AW65" s="10">
        <v>689</v>
      </c>
      <c r="AX65" s="10">
        <v>1284</v>
      </c>
      <c r="AY65" s="10">
        <v>1638</v>
      </c>
      <c r="AZ65" s="10">
        <v>1266</v>
      </c>
      <c r="BA65" s="10">
        <v>777</v>
      </c>
      <c r="BB65" s="10">
        <v>1231</v>
      </c>
      <c r="BC65" s="10">
        <v>856</v>
      </c>
      <c r="BD65" s="10">
        <v>2272</v>
      </c>
      <c r="BE65" s="10">
        <v>865</v>
      </c>
      <c r="BF65" s="10">
        <v>1943</v>
      </c>
      <c r="BG65" s="10">
        <v>1243</v>
      </c>
      <c r="BH65" s="10">
        <v>1367</v>
      </c>
      <c r="BI65" s="10">
        <v>1550</v>
      </c>
      <c r="BJ65" s="10">
        <v>396</v>
      </c>
      <c r="BK65" s="10">
        <v>2241</v>
      </c>
      <c r="BL65" s="10">
        <v>1534</v>
      </c>
    </row>
    <row r="66" spans="1:64">
      <c r="A66" s="1" t="s">
        <v>198</v>
      </c>
      <c r="B66" s="14">
        <v>803554</v>
      </c>
      <c r="C66" s="14">
        <v>204</v>
      </c>
      <c r="D66" s="2" t="str">
        <f>HYPERLINK("http://128.120.136.21:8080/binbase-compound/bin/show/225851?db=rtx5","225851")</f>
        <v>225851</v>
      </c>
      <c r="E66" s="2" t="s">
        <v>199</v>
      </c>
      <c r="F66" s="2" t="str">
        <f>HYPERLINK("http://www.genome.ad.jp/dbget-bin/www_bget?compound+C05401","C05401")</f>
        <v>C05401</v>
      </c>
      <c r="G66" s="2" t="str">
        <f>HYPERLINK("http://pubchem.ncbi.nlm.nih.gov/summary/summary.cgi?cid=656504","656504")</f>
        <v>656504</v>
      </c>
      <c r="H66" s="10">
        <v>6495</v>
      </c>
      <c r="I66" s="10">
        <v>11670</v>
      </c>
      <c r="J66" s="10">
        <v>11828</v>
      </c>
      <c r="K66" s="10">
        <v>7250</v>
      </c>
      <c r="L66" s="10">
        <v>11265</v>
      </c>
      <c r="M66" s="10">
        <v>3462</v>
      </c>
      <c r="N66" s="10">
        <v>13320</v>
      </c>
      <c r="O66" s="10">
        <v>6611</v>
      </c>
      <c r="P66" s="10">
        <v>5108</v>
      </c>
      <c r="Q66" s="10">
        <v>247</v>
      </c>
      <c r="R66" s="10">
        <v>217</v>
      </c>
      <c r="S66" s="10">
        <v>691</v>
      </c>
      <c r="T66" s="10">
        <v>5245</v>
      </c>
      <c r="U66" s="10">
        <v>11599</v>
      </c>
      <c r="V66" s="10">
        <v>9113</v>
      </c>
      <c r="W66" s="10">
        <v>4403</v>
      </c>
      <c r="X66" s="10">
        <v>3827</v>
      </c>
      <c r="Y66" s="10">
        <v>8311</v>
      </c>
      <c r="Z66" s="10">
        <v>5198</v>
      </c>
      <c r="AA66" s="10">
        <v>9913</v>
      </c>
      <c r="AB66" s="10">
        <v>6064</v>
      </c>
      <c r="AC66" s="10">
        <v>5715</v>
      </c>
      <c r="AD66" s="10">
        <v>5272</v>
      </c>
      <c r="AE66" s="10">
        <v>6666</v>
      </c>
      <c r="AF66" s="10">
        <v>5356</v>
      </c>
      <c r="AG66" s="10">
        <v>3975</v>
      </c>
      <c r="AH66" s="10">
        <v>11500</v>
      </c>
      <c r="AI66" s="10">
        <v>11306</v>
      </c>
      <c r="AJ66" s="10">
        <v>9964</v>
      </c>
      <c r="AK66" s="10">
        <v>7687</v>
      </c>
      <c r="AL66" s="10">
        <v>12965</v>
      </c>
      <c r="AM66" s="10">
        <v>7020</v>
      </c>
      <c r="AN66" s="10">
        <v>15469</v>
      </c>
      <c r="AO66" s="10">
        <v>15249</v>
      </c>
      <c r="AP66" s="10">
        <v>8713</v>
      </c>
      <c r="AQ66" s="10">
        <v>7115</v>
      </c>
      <c r="AR66" s="10">
        <v>9063</v>
      </c>
      <c r="AS66" s="10">
        <v>10165</v>
      </c>
      <c r="AT66" s="10">
        <v>9041</v>
      </c>
      <c r="AU66" s="10">
        <v>4012</v>
      </c>
      <c r="AV66" s="10">
        <v>10325</v>
      </c>
      <c r="AW66" s="10">
        <v>10516</v>
      </c>
      <c r="AX66" s="10">
        <v>10522</v>
      </c>
      <c r="AY66" s="10">
        <v>11083</v>
      </c>
      <c r="AZ66" s="10">
        <v>12658</v>
      </c>
      <c r="BA66" s="10">
        <v>9324</v>
      </c>
      <c r="BB66" s="10">
        <v>9724</v>
      </c>
      <c r="BC66" s="10">
        <v>16272</v>
      </c>
      <c r="BD66" s="10">
        <v>9198</v>
      </c>
      <c r="BE66" s="10">
        <v>11510</v>
      </c>
      <c r="BF66" s="10">
        <v>16952</v>
      </c>
      <c r="BG66" s="10">
        <v>19374</v>
      </c>
      <c r="BH66" s="10">
        <v>9046</v>
      </c>
      <c r="BI66" s="10">
        <v>17800</v>
      </c>
      <c r="BJ66" s="10">
        <v>7537</v>
      </c>
      <c r="BK66" s="10">
        <v>6920</v>
      </c>
      <c r="BL66" s="10">
        <v>6929</v>
      </c>
    </row>
    <row r="67" spans="1:64">
      <c r="A67" s="1" t="s">
        <v>192</v>
      </c>
      <c r="B67" s="14">
        <v>227487</v>
      </c>
      <c r="C67" s="14">
        <v>177</v>
      </c>
      <c r="D67" s="2" t="str">
        <f>HYPERLINK("http://128.120.136.21:8080/binbase-compound/bin/show/202167?db=rtx5","202167")</f>
        <v>202167</v>
      </c>
      <c r="E67" s="2" t="s">
        <v>193</v>
      </c>
      <c r="F67" s="2" t="str">
        <f>HYPERLINK("http://www.genome.ad.jp/dbget-bin/www_bget?compound+C00160","C00160")</f>
        <v>C00160</v>
      </c>
      <c r="G67" s="2" t="str">
        <f>HYPERLINK("http://pubchem.ncbi.nlm.nih.gov/summary/summary.cgi?cid=757","757")</f>
        <v>757</v>
      </c>
      <c r="H67" s="10">
        <v>3956</v>
      </c>
      <c r="I67" s="10">
        <v>3318</v>
      </c>
      <c r="J67" s="10">
        <v>3177</v>
      </c>
      <c r="K67" s="10">
        <v>4390</v>
      </c>
      <c r="L67" s="10">
        <v>4552</v>
      </c>
      <c r="M67" s="10">
        <v>2385</v>
      </c>
      <c r="N67" s="10">
        <v>6554</v>
      </c>
      <c r="O67" s="10">
        <v>3549</v>
      </c>
      <c r="P67" s="10">
        <v>2167</v>
      </c>
      <c r="Q67" s="10">
        <v>2373</v>
      </c>
      <c r="R67" s="10">
        <v>1919</v>
      </c>
      <c r="S67" s="10">
        <v>4402</v>
      </c>
      <c r="T67" s="10">
        <v>3390</v>
      </c>
      <c r="U67" s="10">
        <v>5751</v>
      </c>
      <c r="V67" s="10">
        <v>8719</v>
      </c>
      <c r="W67" s="10">
        <v>2025</v>
      </c>
      <c r="X67" s="10">
        <v>1779</v>
      </c>
      <c r="Y67" s="10">
        <v>6211</v>
      </c>
      <c r="Z67" s="10">
        <v>4890</v>
      </c>
      <c r="AA67" s="10">
        <v>8422</v>
      </c>
      <c r="AB67" s="10">
        <v>7255</v>
      </c>
      <c r="AC67" s="10">
        <v>3771</v>
      </c>
      <c r="AD67" s="10">
        <v>1509</v>
      </c>
      <c r="AE67" s="10">
        <v>2087</v>
      </c>
      <c r="AF67" s="10">
        <v>2424</v>
      </c>
      <c r="AG67" s="10">
        <v>1754</v>
      </c>
      <c r="AH67" s="10">
        <v>6164</v>
      </c>
      <c r="AI67" s="10">
        <v>7192</v>
      </c>
      <c r="AJ67" s="10">
        <v>2836</v>
      </c>
      <c r="AK67" s="10">
        <v>5289</v>
      </c>
      <c r="AL67" s="10">
        <v>3979</v>
      </c>
      <c r="AM67" s="10">
        <v>2361</v>
      </c>
      <c r="AN67" s="10">
        <v>5726</v>
      </c>
      <c r="AO67" s="10">
        <v>4344</v>
      </c>
      <c r="AP67" s="10">
        <v>2537</v>
      </c>
      <c r="AQ67" s="10">
        <v>6120</v>
      </c>
      <c r="AR67" s="10">
        <v>11390</v>
      </c>
      <c r="AS67" s="10">
        <v>10830</v>
      </c>
      <c r="AT67" s="10">
        <v>8981</v>
      </c>
      <c r="AU67" s="10">
        <v>4276</v>
      </c>
      <c r="AV67" s="10">
        <v>7903</v>
      </c>
      <c r="AW67" s="10">
        <v>7316</v>
      </c>
      <c r="AX67" s="10">
        <v>7522</v>
      </c>
      <c r="AY67" s="10">
        <v>5657</v>
      </c>
      <c r="AZ67" s="10">
        <v>6707</v>
      </c>
      <c r="BA67" s="10">
        <v>4480</v>
      </c>
      <c r="BB67" s="10">
        <v>2729</v>
      </c>
      <c r="BC67" s="10">
        <v>3722</v>
      </c>
      <c r="BD67" s="10">
        <v>2262</v>
      </c>
      <c r="BE67" s="10">
        <v>2819</v>
      </c>
      <c r="BF67" s="10">
        <v>3328</v>
      </c>
      <c r="BG67" s="10">
        <v>4599</v>
      </c>
      <c r="BH67" s="10">
        <v>2563</v>
      </c>
      <c r="BI67" s="10">
        <v>3361</v>
      </c>
      <c r="BJ67" s="10">
        <v>1713</v>
      </c>
      <c r="BK67" s="10">
        <v>3421</v>
      </c>
      <c r="BL67" s="10">
        <v>1374</v>
      </c>
    </row>
    <row r="68" spans="1:64">
      <c r="A68" s="1" t="s">
        <v>81</v>
      </c>
      <c r="B68" s="14">
        <v>913309</v>
      </c>
      <c r="C68" s="14">
        <v>271</v>
      </c>
      <c r="D68" s="2" t="str">
        <f>HYPERLINK("http://128.120.136.21:8080/binbase-compound/bin/show/223525?db=rtx5","223525")</f>
        <v>223525</v>
      </c>
      <c r="E68" s="2" t="s">
        <v>82</v>
      </c>
      <c r="F68" s="2" t="str">
        <f>HYPERLINK("http://www.genome.ad.jp/dbget-bin/www_bget?compound+C00089","C00089")</f>
        <v>C00089</v>
      </c>
      <c r="G68" s="2" t="str">
        <f>HYPERLINK("http://pubchem.ncbi.nlm.nih.gov/summary/summary.cgi?cid=5988","5988")</f>
        <v>5988</v>
      </c>
      <c r="H68" s="10">
        <v>9956</v>
      </c>
      <c r="I68" s="10">
        <v>249</v>
      </c>
      <c r="J68" s="10">
        <v>303</v>
      </c>
      <c r="K68" s="10">
        <v>1777</v>
      </c>
      <c r="L68" s="10">
        <v>4773</v>
      </c>
      <c r="M68" s="10">
        <v>1271</v>
      </c>
      <c r="N68" s="10">
        <v>3686</v>
      </c>
      <c r="O68" s="10">
        <v>176</v>
      </c>
      <c r="P68" s="10">
        <v>466</v>
      </c>
      <c r="Q68" s="10">
        <v>2935</v>
      </c>
      <c r="R68" s="10">
        <v>474</v>
      </c>
      <c r="S68" s="10">
        <v>3465</v>
      </c>
      <c r="T68" s="10">
        <v>525</v>
      </c>
      <c r="U68" s="10">
        <v>796</v>
      </c>
      <c r="V68" s="10">
        <v>453</v>
      </c>
      <c r="W68" s="10">
        <v>500</v>
      </c>
      <c r="X68" s="10">
        <v>387</v>
      </c>
      <c r="Y68" s="10">
        <v>1518</v>
      </c>
      <c r="Z68" s="10">
        <v>306</v>
      </c>
      <c r="AA68" s="10">
        <v>800</v>
      </c>
      <c r="AB68" s="10">
        <v>555</v>
      </c>
      <c r="AC68" s="10">
        <v>301</v>
      </c>
      <c r="AD68" s="10">
        <v>389</v>
      </c>
      <c r="AE68" s="10">
        <v>619</v>
      </c>
      <c r="AF68" s="10">
        <v>358</v>
      </c>
      <c r="AG68" s="10">
        <v>420</v>
      </c>
      <c r="AH68" s="10">
        <v>115162</v>
      </c>
      <c r="AI68" s="10">
        <v>1002</v>
      </c>
      <c r="AJ68" s="10">
        <v>2547</v>
      </c>
      <c r="AK68" s="10">
        <v>583</v>
      </c>
      <c r="AL68" s="10">
        <v>382</v>
      </c>
      <c r="AM68" s="10">
        <v>765</v>
      </c>
      <c r="AN68" s="10">
        <v>650</v>
      </c>
      <c r="AO68" s="10">
        <v>402</v>
      </c>
      <c r="AP68" s="10">
        <v>2363</v>
      </c>
      <c r="AQ68" s="10">
        <v>5625</v>
      </c>
      <c r="AR68" s="10">
        <v>333</v>
      </c>
      <c r="AS68" s="10">
        <v>944</v>
      </c>
      <c r="AT68" s="10">
        <v>957</v>
      </c>
      <c r="AU68" s="10">
        <v>662</v>
      </c>
      <c r="AV68" s="10">
        <v>403</v>
      </c>
      <c r="AW68" s="10">
        <v>1128</v>
      </c>
      <c r="AX68" s="10">
        <v>336</v>
      </c>
      <c r="AY68" s="10">
        <v>142</v>
      </c>
      <c r="AZ68" s="10">
        <v>1319</v>
      </c>
      <c r="BA68" s="10">
        <v>426</v>
      </c>
      <c r="BB68" s="10">
        <v>404</v>
      </c>
      <c r="BC68" s="10">
        <v>642</v>
      </c>
      <c r="BD68" s="10">
        <v>138</v>
      </c>
      <c r="BE68" s="10">
        <v>52639</v>
      </c>
      <c r="BF68" s="10">
        <v>5795</v>
      </c>
      <c r="BG68" s="10">
        <v>257</v>
      </c>
      <c r="BH68" s="10">
        <v>389</v>
      </c>
      <c r="BI68" s="10">
        <v>965</v>
      </c>
      <c r="BJ68" s="10">
        <v>499</v>
      </c>
      <c r="BK68" s="10">
        <v>3448</v>
      </c>
      <c r="BL68" s="10">
        <v>554</v>
      </c>
    </row>
    <row r="69" spans="1:64">
      <c r="A69" s="1" t="s">
        <v>162</v>
      </c>
      <c r="B69" s="14">
        <v>215380</v>
      </c>
      <c r="C69" s="14">
        <v>191</v>
      </c>
      <c r="D69" s="2" t="str">
        <f>HYPERLINK("http://128.120.136.21:8080/binbase-compound/bin/show/228677?db=rtx5","228677")</f>
        <v>228677</v>
      </c>
      <c r="E69" s="2" t="s">
        <v>163</v>
      </c>
      <c r="F69" s="2" t="str">
        <f>HYPERLINK("http://www.genome.ad.jp/dbget-bin/www_bget?compound+C00186","C00186")</f>
        <v>C00186</v>
      </c>
      <c r="G69" s="2" t="str">
        <f>HYPERLINK("http://pubchem.ncbi.nlm.nih.gov/summary/summary.cgi?cid=612","612")</f>
        <v>612</v>
      </c>
      <c r="H69" s="10">
        <v>2977</v>
      </c>
      <c r="I69" s="10">
        <v>7386</v>
      </c>
      <c r="J69" s="10">
        <v>4114</v>
      </c>
      <c r="K69" s="10">
        <v>1452</v>
      </c>
      <c r="L69" s="10">
        <v>741</v>
      </c>
      <c r="M69" s="10">
        <v>761</v>
      </c>
      <c r="N69" s="10">
        <v>1180</v>
      </c>
      <c r="O69" s="10">
        <v>1073</v>
      </c>
      <c r="P69" s="10">
        <v>4161</v>
      </c>
      <c r="Q69" s="10">
        <v>2346</v>
      </c>
      <c r="R69" s="10">
        <v>1282</v>
      </c>
      <c r="S69" s="10">
        <v>32672</v>
      </c>
      <c r="T69" s="10">
        <v>3174</v>
      </c>
      <c r="U69" s="10">
        <v>7321</v>
      </c>
      <c r="V69" s="10">
        <v>1701</v>
      </c>
      <c r="W69" s="10">
        <v>294</v>
      </c>
      <c r="X69" s="10">
        <v>1474</v>
      </c>
      <c r="Y69" s="10">
        <v>779</v>
      </c>
      <c r="Z69" s="10">
        <v>635</v>
      </c>
      <c r="AA69" s="10">
        <v>1504</v>
      </c>
      <c r="AB69" s="10">
        <v>10455</v>
      </c>
      <c r="AC69" s="10">
        <v>366</v>
      </c>
      <c r="AD69" s="10">
        <v>949</v>
      </c>
      <c r="AE69" s="10">
        <v>4737</v>
      </c>
      <c r="AF69" s="10">
        <v>6318</v>
      </c>
      <c r="AG69" s="10">
        <v>495</v>
      </c>
      <c r="AH69" s="10">
        <v>3192</v>
      </c>
      <c r="AI69" s="10">
        <v>7703</v>
      </c>
      <c r="AJ69" s="10">
        <v>831</v>
      </c>
      <c r="AK69" s="10">
        <v>5013</v>
      </c>
      <c r="AL69" s="10">
        <v>2390</v>
      </c>
      <c r="AM69" s="10">
        <v>5908</v>
      </c>
      <c r="AN69" s="10">
        <v>2618</v>
      </c>
      <c r="AO69" s="10">
        <v>2923</v>
      </c>
      <c r="AP69" s="10">
        <v>8026</v>
      </c>
      <c r="AQ69" s="10">
        <v>96015</v>
      </c>
      <c r="AR69" s="10">
        <v>1718</v>
      </c>
      <c r="AS69" s="10">
        <v>2582</v>
      </c>
      <c r="AT69" s="10">
        <v>8024</v>
      </c>
      <c r="AU69" s="10">
        <v>2413</v>
      </c>
      <c r="AV69" s="10">
        <v>1007</v>
      </c>
      <c r="AW69" s="10">
        <v>14275</v>
      </c>
      <c r="AX69" s="10">
        <v>745</v>
      </c>
      <c r="AY69" s="10">
        <v>5783</v>
      </c>
      <c r="AZ69" s="10">
        <v>2119</v>
      </c>
      <c r="BA69" s="10">
        <v>1751</v>
      </c>
      <c r="BB69" s="10">
        <v>5631</v>
      </c>
      <c r="BC69" s="10">
        <v>15340</v>
      </c>
      <c r="BD69" s="10">
        <v>1433</v>
      </c>
      <c r="BE69" s="10">
        <v>685</v>
      </c>
      <c r="BF69" s="10">
        <v>2190</v>
      </c>
      <c r="BG69" s="10">
        <v>983</v>
      </c>
      <c r="BH69" s="10">
        <v>1432</v>
      </c>
      <c r="BI69" s="10">
        <v>8051</v>
      </c>
      <c r="BJ69" s="10">
        <v>6121</v>
      </c>
      <c r="BK69" s="10">
        <v>12990</v>
      </c>
      <c r="BL69" s="10">
        <v>473</v>
      </c>
    </row>
    <row r="70" spans="1:64">
      <c r="A70" s="1" t="s">
        <v>103</v>
      </c>
      <c r="B70" s="14">
        <v>813744</v>
      </c>
      <c r="C70" s="14">
        <v>217</v>
      </c>
      <c r="D70" s="2" t="str">
        <f>HYPERLINK("http://128.120.136.21:8080/binbase-compound/bin/show/362150?db=rtx5","362150")</f>
        <v>362150</v>
      </c>
      <c r="E70" s="2" t="s">
        <v>104</v>
      </c>
      <c r="F70" s="2" t="str">
        <f>HYPERLINK("http://www.genome.ad.jp/dbget-bin/www_bget?compound+C02067","C02067")</f>
        <v>C02067</v>
      </c>
      <c r="G70" s="2" t="str">
        <f>HYPERLINK("http://pubchem.ncbi.nlm.nih.gov/summary/summary.cgi?cid=15047","15047")</f>
        <v>15047</v>
      </c>
      <c r="H70" s="10">
        <v>6965</v>
      </c>
      <c r="I70" s="10">
        <v>15886</v>
      </c>
      <c r="J70" s="10">
        <v>19765</v>
      </c>
      <c r="K70" s="10">
        <v>9992</v>
      </c>
      <c r="L70" s="10">
        <v>11340</v>
      </c>
      <c r="M70" s="10">
        <v>4159</v>
      </c>
      <c r="N70" s="10">
        <v>18337</v>
      </c>
      <c r="O70" s="10">
        <v>9996</v>
      </c>
      <c r="P70" s="10">
        <v>6347</v>
      </c>
      <c r="Q70" s="10">
        <v>521</v>
      </c>
      <c r="R70" s="10">
        <v>441</v>
      </c>
      <c r="S70" s="10">
        <v>949</v>
      </c>
      <c r="T70" s="10">
        <v>7598</v>
      </c>
      <c r="U70" s="10">
        <v>17111</v>
      </c>
      <c r="V70" s="10">
        <v>13199</v>
      </c>
      <c r="W70" s="10">
        <v>5020</v>
      </c>
      <c r="X70" s="10">
        <v>4818</v>
      </c>
      <c r="Y70" s="10">
        <v>8265</v>
      </c>
      <c r="Z70" s="10">
        <v>4856</v>
      </c>
      <c r="AA70" s="10">
        <v>10128</v>
      </c>
      <c r="AB70" s="10">
        <v>2922</v>
      </c>
      <c r="AC70" s="10">
        <v>4630</v>
      </c>
      <c r="AD70" s="10">
        <v>4289</v>
      </c>
      <c r="AE70" s="10">
        <v>3004</v>
      </c>
      <c r="AF70" s="10">
        <v>3374</v>
      </c>
      <c r="AG70" s="10">
        <v>4417</v>
      </c>
      <c r="AH70" s="10">
        <v>18019</v>
      </c>
      <c r="AI70" s="10">
        <v>11643</v>
      </c>
      <c r="AJ70" s="10">
        <v>8352</v>
      </c>
      <c r="AK70" s="10">
        <v>2711</v>
      </c>
      <c r="AL70" s="10">
        <v>11578</v>
      </c>
      <c r="AM70" s="10">
        <v>6140</v>
      </c>
      <c r="AN70" s="10">
        <v>13287</v>
      </c>
      <c r="AO70" s="10">
        <v>13753</v>
      </c>
      <c r="AP70" s="10">
        <v>7546</v>
      </c>
      <c r="AQ70" s="10">
        <v>5105</v>
      </c>
      <c r="AR70" s="10">
        <v>5535</v>
      </c>
      <c r="AS70" s="10">
        <v>5943</v>
      </c>
      <c r="AT70" s="10">
        <v>6788</v>
      </c>
      <c r="AU70" s="10">
        <v>6052</v>
      </c>
      <c r="AV70" s="10">
        <v>14265</v>
      </c>
      <c r="AW70" s="10">
        <v>4395</v>
      </c>
      <c r="AX70" s="10">
        <v>12717</v>
      </c>
      <c r="AY70" s="10">
        <v>11013</v>
      </c>
      <c r="AZ70" s="10">
        <v>14300</v>
      </c>
      <c r="BA70" s="10">
        <v>9018</v>
      </c>
      <c r="BB70" s="10">
        <v>8738</v>
      </c>
      <c r="BC70" s="10">
        <v>13482</v>
      </c>
      <c r="BD70" s="10">
        <v>6209</v>
      </c>
      <c r="BE70" s="10">
        <v>6323</v>
      </c>
      <c r="BF70" s="10">
        <v>13283</v>
      </c>
      <c r="BG70" s="10">
        <v>13673</v>
      </c>
      <c r="BH70" s="10">
        <v>5280</v>
      </c>
      <c r="BI70" s="10">
        <v>13041</v>
      </c>
      <c r="BJ70" s="10">
        <v>4256</v>
      </c>
      <c r="BK70" s="10">
        <v>4857</v>
      </c>
      <c r="BL70" s="10">
        <v>4737</v>
      </c>
    </row>
    <row r="71" spans="1:64">
      <c r="A71" s="1" t="s">
        <v>117</v>
      </c>
      <c r="B71" s="14">
        <v>674704</v>
      </c>
      <c r="C71" s="14">
        <v>117</v>
      </c>
      <c r="D71" s="2" t="str">
        <f>HYPERLINK("http://128.120.136.21:8080/binbase-compound/bin/show/203296?db=rtx5","203296")</f>
        <v>203296</v>
      </c>
      <c r="E71" s="2" t="s">
        <v>118</v>
      </c>
      <c r="F71" s="2" t="str">
        <f>HYPERLINK("http://www.genome.ad.jp/dbget-bin/www_bget?compound+C16537","C16537")</f>
        <v>C16537</v>
      </c>
      <c r="G71" s="2" t="str">
        <f>HYPERLINK("http://pubchem.ncbi.nlm.nih.gov/summary/summary.cgi?cid=13849","13849")</f>
        <v>13849</v>
      </c>
      <c r="H71" s="10">
        <v>14517</v>
      </c>
      <c r="I71" s="10">
        <v>18694</v>
      </c>
      <c r="J71" s="10">
        <v>9076</v>
      </c>
      <c r="K71" s="10">
        <v>17979</v>
      </c>
      <c r="L71" s="10">
        <v>10771</v>
      </c>
      <c r="M71" s="10">
        <v>7335</v>
      </c>
      <c r="N71" s="10">
        <v>14851</v>
      </c>
      <c r="O71" s="10">
        <v>15620</v>
      </c>
      <c r="P71" s="10">
        <v>15339</v>
      </c>
      <c r="Q71" s="10">
        <v>5114</v>
      </c>
      <c r="R71" s="10">
        <v>2619</v>
      </c>
      <c r="S71" s="10">
        <v>7099</v>
      </c>
      <c r="T71" s="10">
        <v>15077</v>
      </c>
      <c r="U71" s="10">
        <v>24202</v>
      </c>
      <c r="V71" s="10">
        <v>21987</v>
      </c>
      <c r="W71" s="10">
        <v>10452</v>
      </c>
      <c r="X71" s="10">
        <v>9754</v>
      </c>
      <c r="Y71" s="10">
        <v>13963</v>
      </c>
      <c r="Z71" s="10">
        <v>22509</v>
      </c>
      <c r="AA71" s="10">
        <v>21167</v>
      </c>
      <c r="AB71" s="10">
        <v>14365</v>
      </c>
      <c r="AC71" s="10">
        <v>14586</v>
      </c>
      <c r="AD71" s="10">
        <v>14885</v>
      </c>
      <c r="AE71" s="10">
        <v>13265</v>
      </c>
      <c r="AF71" s="10">
        <v>14968</v>
      </c>
      <c r="AG71" s="10">
        <v>9170</v>
      </c>
      <c r="AH71" s="10">
        <v>13943</v>
      </c>
      <c r="AI71" s="10">
        <v>26676</v>
      </c>
      <c r="AJ71" s="10">
        <v>10946</v>
      </c>
      <c r="AK71" s="10">
        <v>13901</v>
      </c>
      <c r="AL71" s="10">
        <v>21172</v>
      </c>
      <c r="AM71" s="10">
        <v>8539</v>
      </c>
      <c r="AN71" s="10">
        <v>28861</v>
      </c>
      <c r="AO71" s="10">
        <v>23078</v>
      </c>
      <c r="AP71" s="10">
        <v>7572</v>
      </c>
      <c r="AQ71" s="10">
        <v>16578</v>
      </c>
      <c r="AR71" s="10">
        <v>19103</v>
      </c>
      <c r="AS71" s="10">
        <v>19947</v>
      </c>
      <c r="AT71" s="10">
        <v>18640</v>
      </c>
      <c r="AU71" s="10">
        <v>15430</v>
      </c>
      <c r="AV71" s="10">
        <v>22236</v>
      </c>
      <c r="AW71" s="10">
        <v>10578</v>
      </c>
      <c r="AX71" s="10">
        <v>14810</v>
      </c>
      <c r="AY71" s="10">
        <v>22619</v>
      </c>
      <c r="AZ71" s="10">
        <v>23507</v>
      </c>
      <c r="BA71" s="10">
        <v>9237</v>
      </c>
      <c r="BB71" s="10">
        <v>6533</v>
      </c>
      <c r="BC71" s="10">
        <v>10352</v>
      </c>
      <c r="BD71" s="10">
        <v>15898</v>
      </c>
      <c r="BE71" s="10">
        <v>9854</v>
      </c>
      <c r="BF71" s="10">
        <v>18647</v>
      </c>
      <c r="BG71" s="10">
        <v>32245</v>
      </c>
      <c r="BH71" s="10">
        <v>18163</v>
      </c>
      <c r="BI71" s="10">
        <v>26004</v>
      </c>
      <c r="BJ71" s="10">
        <v>10050</v>
      </c>
      <c r="BK71" s="10">
        <v>6817</v>
      </c>
      <c r="BL71" s="10">
        <v>10019</v>
      </c>
    </row>
    <row r="72" spans="1:64">
      <c r="A72" s="1" t="s">
        <v>99</v>
      </c>
      <c r="B72" s="14">
        <v>396061</v>
      </c>
      <c r="C72" s="14">
        <v>241</v>
      </c>
      <c r="D72" s="2" t="str">
        <f>HYPERLINK("http://128.120.136.21:8080/binbase-compound/bin/show/203238?db=rtx5","203238")</f>
        <v>203238</v>
      </c>
      <c r="E72" s="2" t="s">
        <v>100</v>
      </c>
      <c r="F72" s="2" t="str">
        <f>HYPERLINK("http://www.genome.ad.jp/dbget-bin/www_bget?compound+n/a","n/a")</f>
        <v>n/a</v>
      </c>
      <c r="G72" s="2" t="str">
        <f>HYPERLINK("http://pubchem.ncbi.nlm.nih.gov/summary/summary.cgi?cid=15532987","15532987")</f>
        <v>15532987</v>
      </c>
      <c r="H72" s="10">
        <v>2450</v>
      </c>
      <c r="I72" s="10">
        <v>1422</v>
      </c>
      <c r="J72" s="10">
        <v>736</v>
      </c>
      <c r="K72" s="10">
        <v>2262</v>
      </c>
      <c r="L72" s="10">
        <v>2574</v>
      </c>
      <c r="M72" s="10">
        <v>1732</v>
      </c>
      <c r="N72" s="10">
        <v>3226</v>
      </c>
      <c r="O72" s="10">
        <v>3454</v>
      </c>
      <c r="P72" s="10">
        <v>2068</v>
      </c>
      <c r="Q72" s="10">
        <v>667</v>
      </c>
      <c r="R72" s="10">
        <v>710</v>
      </c>
      <c r="S72" s="10">
        <v>1465</v>
      </c>
      <c r="T72" s="10">
        <v>3020</v>
      </c>
      <c r="U72" s="10">
        <v>2222</v>
      </c>
      <c r="V72" s="10">
        <v>1864</v>
      </c>
      <c r="W72" s="10">
        <v>2741</v>
      </c>
      <c r="X72" s="10">
        <v>1777</v>
      </c>
      <c r="Y72" s="10">
        <v>1919</v>
      </c>
      <c r="Z72" s="10">
        <v>3752</v>
      </c>
      <c r="AA72" s="10">
        <v>3563</v>
      </c>
      <c r="AB72" s="10">
        <v>2450</v>
      </c>
      <c r="AC72" s="10">
        <v>3007</v>
      </c>
      <c r="AD72" s="10">
        <v>2229</v>
      </c>
      <c r="AE72" s="10">
        <v>2477</v>
      </c>
      <c r="AF72" s="10">
        <v>2440</v>
      </c>
      <c r="AG72" s="10">
        <v>2304</v>
      </c>
      <c r="AH72" s="10">
        <v>869</v>
      </c>
      <c r="AI72" s="10">
        <v>2180</v>
      </c>
      <c r="AJ72" s="10">
        <v>3569</v>
      </c>
      <c r="AK72" s="10">
        <v>2234</v>
      </c>
      <c r="AL72" s="10">
        <v>4271</v>
      </c>
      <c r="AM72" s="10">
        <v>2115</v>
      </c>
      <c r="AN72" s="10">
        <v>3494</v>
      </c>
      <c r="AO72" s="10">
        <v>3262</v>
      </c>
      <c r="AP72" s="10">
        <v>2491</v>
      </c>
      <c r="AQ72" s="10">
        <v>1826</v>
      </c>
      <c r="AR72" s="10">
        <v>3957</v>
      </c>
      <c r="AS72" s="10">
        <v>3020</v>
      </c>
      <c r="AT72" s="10">
        <v>3701</v>
      </c>
      <c r="AU72" s="10">
        <v>2678</v>
      </c>
      <c r="AV72" s="10">
        <v>2863</v>
      </c>
      <c r="AW72" s="10">
        <v>6021</v>
      </c>
      <c r="AX72" s="10">
        <v>2879</v>
      </c>
      <c r="AY72" s="10">
        <v>2951</v>
      </c>
      <c r="AZ72" s="10">
        <v>3663</v>
      </c>
      <c r="BA72" s="10">
        <v>3546</v>
      </c>
      <c r="BB72" s="10">
        <v>3560</v>
      </c>
      <c r="BC72" s="10">
        <v>3707</v>
      </c>
      <c r="BD72" s="10">
        <v>2501</v>
      </c>
      <c r="BE72" s="10">
        <v>2775</v>
      </c>
      <c r="BF72" s="10">
        <v>3629</v>
      </c>
      <c r="BG72" s="10">
        <v>3110</v>
      </c>
      <c r="BH72" s="10">
        <v>1393</v>
      </c>
      <c r="BI72" s="10">
        <v>2701</v>
      </c>
      <c r="BJ72" s="10">
        <v>2005</v>
      </c>
      <c r="BK72" s="10">
        <v>1894</v>
      </c>
      <c r="BL72" s="10">
        <v>3724</v>
      </c>
    </row>
    <row r="73" spans="1:64">
      <c r="A73" s="1" t="s">
        <v>111</v>
      </c>
      <c r="B73" s="14">
        <v>604454</v>
      </c>
      <c r="C73" s="14">
        <v>100</v>
      </c>
      <c r="D73" s="2" t="str">
        <f>HYPERLINK("http://128.120.136.21:8080/binbase-compound/bin/show/199628?db=rtx5","199628")</f>
        <v>199628</v>
      </c>
      <c r="E73" s="2" t="s">
        <v>112</v>
      </c>
      <c r="F73" s="2" t="str">
        <f>HYPERLINK("http://www.genome.ad.jp/dbget-bin/www_bget?compound+C00346","C00346")</f>
        <v>C00346</v>
      </c>
      <c r="G73" s="2" t="str">
        <f>HYPERLINK("http://pubchem.ncbi.nlm.nih.gov/summary/summary.cgi?cid=1015","1015")</f>
        <v>1015</v>
      </c>
      <c r="H73" s="10">
        <v>2204</v>
      </c>
      <c r="I73" s="10">
        <v>6569</v>
      </c>
      <c r="J73" s="10">
        <v>1446</v>
      </c>
      <c r="K73" s="10">
        <v>2410</v>
      </c>
      <c r="L73" s="10">
        <v>3430</v>
      </c>
      <c r="M73" s="10">
        <v>1388</v>
      </c>
      <c r="N73" s="10">
        <v>4767</v>
      </c>
      <c r="O73" s="10">
        <v>3805</v>
      </c>
      <c r="P73" s="10">
        <v>2491</v>
      </c>
      <c r="Q73" s="10">
        <v>833</v>
      </c>
      <c r="R73" s="10">
        <v>922</v>
      </c>
      <c r="S73" s="10">
        <v>2805</v>
      </c>
      <c r="T73" s="10">
        <v>1052</v>
      </c>
      <c r="U73" s="10">
        <v>4666</v>
      </c>
      <c r="V73" s="10">
        <v>3992</v>
      </c>
      <c r="W73" s="10">
        <v>2143</v>
      </c>
      <c r="X73" s="10">
        <v>3117</v>
      </c>
      <c r="Y73" s="10">
        <v>2509</v>
      </c>
      <c r="Z73" s="10">
        <v>3003</v>
      </c>
      <c r="AA73" s="10">
        <v>6966</v>
      </c>
      <c r="AB73" s="10">
        <v>1038</v>
      </c>
      <c r="AC73" s="10">
        <v>2946</v>
      </c>
      <c r="AD73" s="10">
        <v>2363</v>
      </c>
      <c r="AE73" s="10">
        <v>4703</v>
      </c>
      <c r="AF73" s="10">
        <v>2827</v>
      </c>
      <c r="AG73" s="10">
        <v>2185</v>
      </c>
      <c r="AH73" s="10">
        <v>985</v>
      </c>
      <c r="AI73" s="10">
        <v>1239</v>
      </c>
      <c r="AJ73" s="10">
        <v>5186</v>
      </c>
      <c r="AK73" s="10">
        <v>7232</v>
      </c>
      <c r="AL73" s="10">
        <v>8947</v>
      </c>
      <c r="AM73" s="10">
        <v>2025</v>
      </c>
      <c r="AN73" s="10">
        <v>8529</v>
      </c>
      <c r="AO73" s="10">
        <v>8159</v>
      </c>
      <c r="AP73" s="10">
        <v>1236</v>
      </c>
      <c r="AQ73" s="10">
        <v>2057</v>
      </c>
      <c r="AR73" s="10">
        <v>4847</v>
      </c>
      <c r="AS73" s="10">
        <v>5438</v>
      </c>
      <c r="AT73" s="10">
        <v>4576</v>
      </c>
      <c r="AU73" s="10">
        <v>1568</v>
      </c>
      <c r="AV73" s="10">
        <v>5200</v>
      </c>
      <c r="AW73" s="10">
        <v>4875</v>
      </c>
      <c r="AX73" s="10">
        <v>4513</v>
      </c>
      <c r="AY73" s="10">
        <v>2101</v>
      </c>
      <c r="AZ73" s="10">
        <v>4813</v>
      </c>
      <c r="BA73" s="10">
        <v>2651</v>
      </c>
      <c r="BB73" s="10">
        <v>2009</v>
      </c>
      <c r="BC73" s="10">
        <v>4485</v>
      </c>
      <c r="BD73" s="10">
        <v>3108</v>
      </c>
      <c r="BE73" s="10">
        <v>3319</v>
      </c>
      <c r="BF73" s="10">
        <v>8411</v>
      </c>
      <c r="BG73" s="10">
        <v>6725</v>
      </c>
      <c r="BH73" s="10">
        <v>2704</v>
      </c>
      <c r="BI73" s="10">
        <v>2513</v>
      </c>
      <c r="BJ73" s="10">
        <v>2373</v>
      </c>
      <c r="BK73" s="10">
        <v>2318</v>
      </c>
      <c r="BL73" s="10">
        <v>4831</v>
      </c>
    </row>
    <row r="74" spans="1:64">
      <c r="A74" s="1" t="s">
        <v>170</v>
      </c>
      <c r="B74" s="14">
        <v>729867</v>
      </c>
      <c r="C74" s="14">
        <v>305</v>
      </c>
      <c r="D74" s="2" t="str">
        <f>HYPERLINK("http://128.120.136.21:8080/binbase-compound/bin/show/199164?db=rtx5","199164")</f>
        <v>199164</v>
      </c>
      <c r="E74" s="2" t="s">
        <v>171</v>
      </c>
      <c r="F74" s="2" t="str">
        <f>HYPERLINK("http://www.genome.ad.jp/dbget-bin/www_bget?compound+C00137","C00137")</f>
        <v>C00137</v>
      </c>
      <c r="G74" s="2" t="str">
        <f>HYPERLINK("http://pubchem.ncbi.nlm.nih.gov/summary/summary.cgi?cid=892","892")</f>
        <v>892</v>
      </c>
      <c r="H74" s="10">
        <v>5239</v>
      </c>
      <c r="I74" s="10">
        <v>1841</v>
      </c>
      <c r="J74" s="10">
        <v>2254</v>
      </c>
      <c r="K74" s="10">
        <v>3180</v>
      </c>
      <c r="L74" s="10">
        <v>2008</v>
      </c>
      <c r="M74" s="10">
        <v>4120</v>
      </c>
      <c r="N74" s="10">
        <v>2782</v>
      </c>
      <c r="O74" s="10">
        <v>3164</v>
      </c>
      <c r="P74" s="10">
        <v>3045</v>
      </c>
      <c r="Q74" s="10">
        <v>4598</v>
      </c>
      <c r="R74" s="10">
        <v>6227</v>
      </c>
      <c r="S74" s="10">
        <v>4486</v>
      </c>
      <c r="T74" s="10">
        <v>4105</v>
      </c>
      <c r="U74" s="10">
        <v>1976</v>
      </c>
      <c r="V74" s="10">
        <v>2747</v>
      </c>
      <c r="W74" s="10">
        <v>2377</v>
      </c>
      <c r="X74" s="10">
        <v>2227</v>
      </c>
      <c r="Y74" s="10">
        <v>3259</v>
      </c>
      <c r="Z74" s="10">
        <v>4091</v>
      </c>
      <c r="AA74" s="10">
        <v>2409</v>
      </c>
      <c r="AB74" s="10">
        <v>2441</v>
      </c>
      <c r="AC74" s="10">
        <v>2535</v>
      </c>
      <c r="AD74" s="10">
        <v>1679</v>
      </c>
      <c r="AE74" s="10">
        <v>2609</v>
      </c>
      <c r="AF74" s="10">
        <v>2138</v>
      </c>
      <c r="AG74" s="10">
        <v>3646</v>
      </c>
      <c r="AH74" s="10">
        <v>7425</v>
      </c>
      <c r="AI74" s="10">
        <v>2520</v>
      </c>
      <c r="AJ74" s="10">
        <v>3819</v>
      </c>
      <c r="AK74" s="10">
        <v>2196</v>
      </c>
      <c r="AL74" s="10">
        <v>2731</v>
      </c>
      <c r="AM74" s="10">
        <v>2576</v>
      </c>
      <c r="AN74" s="10">
        <v>2456</v>
      </c>
      <c r="AO74" s="10">
        <v>2813</v>
      </c>
      <c r="AP74" s="10">
        <v>3390</v>
      </c>
      <c r="AQ74" s="10">
        <v>2625</v>
      </c>
      <c r="AR74" s="10">
        <v>2386</v>
      </c>
      <c r="AS74" s="10">
        <v>2656</v>
      </c>
      <c r="AT74" s="10">
        <v>2161</v>
      </c>
      <c r="AU74" s="10">
        <v>5247</v>
      </c>
      <c r="AV74" s="10">
        <v>1983</v>
      </c>
      <c r="AW74" s="10">
        <v>2349</v>
      </c>
      <c r="AX74" s="10">
        <v>1768</v>
      </c>
      <c r="AY74" s="10">
        <v>2434</v>
      </c>
      <c r="AZ74" s="10">
        <v>1914</v>
      </c>
      <c r="BA74" s="10">
        <v>3112</v>
      </c>
      <c r="BB74" s="10">
        <v>2642</v>
      </c>
      <c r="BC74" s="10">
        <v>2659</v>
      </c>
      <c r="BD74" s="10">
        <v>3671</v>
      </c>
      <c r="BE74" s="10">
        <v>3603</v>
      </c>
      <c r="BF74" s="10">
        <v>3101</v>
      </c>
      <c r="BG74" s="10">
        <v>2838</v>
      </c>
      <c r="BH74" s="10">
        <v>3915</v>
      </c>
      <c r="BI74" s="10">
        <v>3566</v>
      </c>
      <c r="BJ74" s="10">
        <v>3925</v>
      </c>
      <c r="BK74" s="10">
        <v>5073</v>
      </c>
      <c r="BL74" s="10">
        <v>3911</v>
      </c>
    </row>
    <row r="75" spans="1:64">
      <c r="A75" s="1" t="s">
        <v>153</v>
      </c>
      <c r="B75" s="14">
        <v>244928</v>
      </c>
      <c r="C75" s="14">
        <v>154</v>
      </c>
      <c r="D75" s="2" t="str">
        <f>HYPERLINK("http://128.120.136.21:8080/binbase-compound/bin/show/200907?db=rtx5","200907")</f>
        <v>200907</v>
      </c>
      <c r="E75" s="2" t="s">
        <v>154</v>
      </c>
      <c r="F75" s="2" t="str">
        <f>HYPERLINK("http://www.genome.ad.jp/dbget-bin/www_bget?compound+C07272","C07272")</f>
        <v>C07272</v>
      </c>
      <c r="G75" s="2" t="str">
        <f>HYPERLINK("http://pubchem.ncbi.nlm.nih.gov/summary/summary.cgi?cid=10935","10935")</f>
        <v>10935</v>
      </c>
      <c r="H75" s="10">
        <v>2225</v>
      </c>
      <c r="I75" s="10">
        <v>4187</v>
      </c>
      <c r="J75" s="10">
        <v>2280</v>
      </c>
      <c r="K75" s="10">
        <v>2110</v>
      </c>
      <c r="L75" s="10">
        <v>2309</v>
      </c>
      <c r="M75" s="10">
        <v>4218</v>
      </c>
      <c r="N75" s="10">
        <v>2415</v>
      </c>
      <c r="O75" s="10">
        <v>5139</v>
      </c>
      <c r="P75" s="10">
        <v>4126</v>
      </c>
      <c r="Q75" s="10">
        <v>4336</v>
      </c>
      <c r="R75" s="10">
        <v>5071</v>
      </c>
      <c r="S75" s="10">
        <v>4775</v>
      </c>
      <c r="T75" s="10">
        <v>4857</v>
      </c>
      <c r="U75" s="10">
        <v>3842</v>
      </c>
      <c r="V75" s="10">
        <v>2639</v>
      </c>
      <c r="W75" s="10">
        <v>4558</v>
      </c>
      <c r="X75" s="10">
        <v>4044</v>
      </c>
      <c r="Y75" s="10">
        <v>2155</v>
      </c>
      <c r="Z75" s="10">
        <v>4012</v>
      </c>
      <c r="AA75" s="10">
        <v>2590</v>
      </c>
      <c r="AB75" s="10">
        <v>3036</v>
      </c>
      <c r="AC75" s="10">
        <v>2316</v>
      </c>
      <c r="AD75" s="10">
        <v>1974</v>
      </c>
      <c r="AE75" s="10">
        <v>4017</v>
      </c>
      <c r="AF75" s="10">
        <v>3673</v>
      </c>
      <c r="AG75" s="10">
        <v>2846</v>
      </c>
      <c r="AH75" s="10">
        <v>2113</v>
      </c>
      <c r="AI75" s="10">
        <v>2306</v>
      </c>
      <c r="AJ75" s="10">
        <v>3643</v>
      </c>
      <c r="AK75" s="10">
        <v>3490</v>
      </c>
      <c r="AL75" s="10">
        <v>4131</v>
      </c>
      <c r="AM75" s="10">
        <v>1720</v>
      </c>
      <c r="AN75" s="10">
        <v>3223</v>
      </c>
      <c r="AO75" s="10">
        <v>4874</v>
      </c>
      <c r="AP75" s="10">
        <v>2718</v>
      </c>
      <c r="AQ75" s="10">
        <v>4578</v>
      </c>
      <c r="AR75" s="10">
        <v>3363</v>
      </c>
      <c r="AS75" s="10">
        <v>2616</v>
      </c>
      <c r="AT75" s="10">
        <v>3644</v>
      </c>
      <c r="AU75" s="10">
        <v>5374</v>
      </c>
      <c r="AV75" s="10">
        <v>2548</v>
      </c>
      <c r="AW75" s="10">
        <v>3172</v>
      </c>
      <c r="AX75" s="10">
        <v>1982</v>
      </c>
      <c r="AY75" s="10">
        <v>2456</v>
      </c>
      <c r="AZ75" s="10">
        <v>2847</v>
      </c>
      <c r="BA75" s="10">
        <v>3474</v>
      </c>
      <c r="BB75" s="10">
        <v>2638</v>
      </c>
      <c r="BC75" s="10">
        <v>2691</v>
      </c>
      <c r="BD75" s="10">
        <v>3401</v>
      </c>
      <c r="BE75" s="10">
        <v>3262</v>
      </c>
      <c r="BF75" s="10">
        <v>4323</v>
      </c>
      <c r="BG75" s="10">
        <v>4531</v>
      </c>
      <c r="BH75" s="10">
        <v>2325</v>
      </c>
      <c r="BI75" s="10">
        <v>2532</v>
      </c>
      <c r="BJ75" s="10">
        <v>3481</v>
      </c>
      <c r="BK75" s="10">
        <v>3147</v>
      </c>
      <c r="BL75" s="10">
        <v>7087</v>
      </c>
    </row>
    <row r="76" spans="1:64">
      <c r="A76" s="1" t="s">
        <v>572</v>
      </c>
      <c r="B76" s="14">
        <v>650726</v>
      </c>
      <c r="C76" s="14">
        <v>160</v>
      </c>
      <c r="D76" s="2" t="str">
        <f>HYPERLINK("http://128.120.136.21:8080/binbase-compound/bin/show/219881?db=rtx5","219881")</f>
        <v>219881</v>
      </c>
      <c r="E76" s="2" t="s">
        <v>210</v>
      </c>
      <c r="F76" s="2" t="str">
        <f>HYPERLINK("http://www.genome.ad.jp/dbget-bin/www_bget?compound+C00031","C00031")</f>
        <v>C00031</v>
      </c>
      <c r="G76" s="2" t="str">
        <f>HYPERLINK("http://pubchem.ncbi.nlm.nih.gov/summary/summary.cgi?cid=107526","107526")</f>
        <v>107526</v>
      </c>
      <c r="H76" s="10">
        <v>1376</v>
      </c>
      <c r="I76" s="10">
        <v>9703</v>
      </c>
      <c r="J76" s="10">
        <v>2414</v>
      </c>
      <c r="K76" s="10">
        <v>995</v>
      </c>
      <c r="L76" s="10">
        <v>1608</v>
      </c>
      <c r="M76" s="10">
        <v>1004</v>
      </c>
      <c r="N76" s="10">
        <v>965</v>
      </c>
      <c r="O76" s="10">
        <v>587</v>
      </c>
      <c r="P76" s="10">
        <v>885</v>
      </c>
      <c r="Q76" s="10">
        <v>22855</v>
      </c>
      <c r="R76" s="10">
        <v>29008</v>
      </c>
      <c r="S76" s="10">
        <v>16030</v>
      </c>
      <c r="T76" s="10">
        <v>799</v>
      </c>
      <c r="U76" s="10">
        <v>886</v>
      </c>
      <c r="V76" s="10">
        <v>329</v>
      </c>
      <c r="W76" s="10">
        <v>632</v>
      </c>
      <c r="X76" s="10">
        <v>1541</v>
      </c>
      <c r="Y76" s="10">
        <v>770</v>
      </c>
      <c r="Z76" s="10">
        <v>1082</v>
      </c>
      <c r="AA76" s="10">
        <v>1212</v>
      </c>
      <c r="AB76" s="10">
        <v>2212</v>
      </c>
      <c r="AC76" s="10">
        <v>1120</v>
      </c>
      <c r="AD76" s="10">
        <v>833</v>
      </c>
      <c r="AE76" s="10">
        <v>823</v>
      </c>
      <c r="AF76" s="10">
        <v>1083</v>
      </c>
      <c r="AG76" s="10">
        <v>2548</v>
      </c>
      <c r="AH76" s="10">
        <v>5986</v>
      </c>
      <c r="AI76" s="10">
        <v>763</v>
      </c>
      <c r="AJ76" s="10">
        <v>528</v>
      </c>
      <c r="AK76" s="10">
        <v>575</v>
      </c>
      <c r="AL76" s="10">
        <v>919</v>
      </c>
      <c r="AM76" s="10">
        <v>1839</v>
      </c>
      <c r="AN76" s="10">
        <v>1888</v>
      </c>
      <c r="AO76" s="10">
        <v>1580</v>
      </c>
      <c r="AP76" s="10">
        <v>941</v>
      </c>
      <c r="AQ76" s="10">
        <v>1594</v>
      </c>
      <c r="AR76" s="10">
        <v>2439</v>
      </c>
      <c r="AS76" s="10">
        <v>1483</v>
      </c>
      <c r="AT76" s="10">
        <v>2678</v>
      </c>
      <c r="AU76" s="10">
        <v>435</v>
      </c>
      <c r="AV76" s="10">
        <v>1154</v>
      </c>
      <c r="AW76" s="10">
        <v>1146</v>
      </c>
      <c r="AX76" s="10">
        <v>859</v>
      </c>
      <c r="AY76" s="10">
        <v>745</v>
      </c>
      <c r="AZ76" s="10">
        <v>1310</v>
      </c>
      <c r="BA76" s="10">
        <v>1019</v>
      </c>
      <c r="BB76" s="10">
        <v>936</v>
      </c>
      <c r="BC76" s="10">
        <v>1725</v>
      </c>
      <c r="BD76" s="10">
        <v>524</v>
      </c>
      <c r="BE76" s="10">
        <v>1358</v>
      </c>
      <c r="BF76" s="10">
        <v>1698</v>
      </c>
      <c r="BG76" s="10">
        <v>1246</v>
      </c>
      <c r="BH76" s="10">
        <v>1070</v>
      </c>
      <c r="BI76" s="10">
        <v>1620</v>
      </c>
      <c r="BJ76" s="10">
        <v>773</v>
      </c>
      <c r="BK76" s="10">
        <v>1098</v>
      </c>
      <c r="BL76" s="10">
        <v>440</v>
      </c>
    </row>
    <row r="77" spans="1:64">
      <c r="A77" s="1" t="s">
        <v>95</v>
      </c>
      <c r="B77" s="14">
        <v>212241</v>
      </c>
      <c r="C77" s="14">
        <v>174</v>
      </c>
      <c r="D77" s="2" t="str">
        <f>HYPERLINK("http://128.120.136.21:8080/binbase-compound/bin/show/241869?db=rtx5","241869")</f>
        <v>241869</v>
      </c>
      <c r="E77" s="2" t="s">
        <v>96</v>
      </c>
      <c r="F77" s="2" t="str">
        <f>HYPERLINK("http://www.genome.ad.jp/dbget-bin/www_bget?compound+C00022","C00022")</f>
        <v>C00022</v>
      </c>
      <c r="G77" s="2" t="str">
        <f>HYPERLINK("http://pubchem.ncbi.nlm.nih.gov/summary/summary.cgi?cid=1060","1060")</f>
        <v>1060</v>
      </c>
      <c r="H77" s="10">
        <v>4499</v>
      </c>
      <c r="I77" s="10">
        <v>8341</v>
      </c>
      <c r="J77" s="10">
        <v>22062</v>
      </c>
      <c r="K77" s="10">
        <v>3670</v>
      </c>
      <c r="L77" s="10">
        <v>9565</v>
      </c>
      <c r="M77" s="10">
        <v>5884</v>
      </c>
      <c r="N77" s="10">
        <v>9080</v>
      </c>
      <c r="O77" s="10">
        <v>5474</v>
      </c>
      <c r="P77" s="10">
        <v>2931</v>
      </c>
      <c r="Q77" s="10">
        <v>1800</v>
      </c>
      <c r="R77" s="10">
        <v>1548</v>
      </c>
      <c r="S77" s="10">
        <v>3880</v>
      </c>
      <c r="T77" s="10">
        <v>398</v>
      </c>
      <c r="U77" s="10">
        <v>1628</v>
      </c>
      <c r="V77" s="10">
        <v>3915</v>
      </c>
      <c r="W77" s="10">
        <v>2699</v>
      </c>
      <c r="X77" s="10">
        <v>3227</v>
      </c>
      <c r="Y77" s="10">
        <v>3065</v>
      </c>
      <c r="Z77" s="10">
        <v>3377</v>
      </c>
      <c r="AA77" s="10">
        <v>5746</v>
      </c>
      <c r="AB77" s="10">
        <v>3268</v>
      </c>
      <c r="AC77" s="10">
        <v>1532</v>
      </c>
      <c r="AD77" s="10">
        <v>1450</v>
      </c>
      <c r="AE77" s="10">
        <v>2077</v>
      </c>
      <c r="AF77" s="10">
        <v>2634</v>
      </c>
      <c r="AG77" s="10">
        <v>1687</v>
      </c>
      <c r="AH77" s="10">
        <v>7348</v>
      </c>
      <c r="AI77" s="10">
        <v>7096</v>
      </c>
      <c r="AJ77" s="10">
        <v>4332</v>
      </c>
      <c r="AK77" s="10">
        <v>4893</v>
      </c>
      <c r="AL77" s="10">
        <v>6924</v>
      </c>
      <c r="AM77" s="10">
        <v>2121</v>
      </c>
      <c r="AN77" s="10">
        <v>6703</v>
      </c>
      <c r="AO77" s="10">
        <v>6303</v>
      </c>
      <c r="AP77" s="10">
        <v>4788</v>
      </c>
      <c r="AQ77" s="10">
        <v>7175</v>
      </c>
      <c r="AR77" s="10">
        <v>3680</v>
      </c>
      <c r="AS77" s="10">
        <v>7308</v>
      </c>
      <c r="AT77" s="10">
        <v>2779</v>
      </c>
      <c r="AU77" s="10">
        <v>2006</v>
      </c>
      <c r="AV77" s="10">
        <v>9290</v>
      </c>
      <c r="AW77" s="10">
        <v>8673</v>
      </c>
      <c r="AX77" s="10">
        <v>10469</v>
      </c>
      <c r="AY77" s="10">
        <v>9513</v>
      </c>
      <c r="AZ77" s="10">
        <v>8994</v>
      </c>
      <c r="BA77" s="10">
        <v>3470</v>
      </c>
      <c r="BB77" s="10">
        <v>4385</v>
      </c>
      <c r="BC77" s="10">
        <v>8612</v>
      </c>
      <c r="BD77" s="10">
        <v>4197</v>
      </c>
      <c r="BE77" s="10">
        <v>7857</v>
      </c>
      <c r="BF77" s="10">
        <v>10283</v>
      </c>
      <c r="BG77" s="10">
        <v>7704</v>
      </c>
      <c r="BH77" s="10">
        <v>5534</v>
      </c>
      <c r="BI77" s="10">
        <v>6999</v>
      </c>
      <c r="BJ77" s="10">
        <v>3356</v>
      </c>
      <c r="BK77" s="10">
        <v>4868</v>
      </c>
      <c r="BL77" s="10">
        <v>5384</v>
      </c>
    </row>
    <row r="78" spans="1:64">
      <c r="A78" s="1" t="s">
        <v>127</v>
      </c>
      <c r="B78" s="14">
        <v>261697</v>
      </c>
      <c r="C78" s="14">
        <v>147</v>
      </c>
      <c r="D78" s="2" t="str">
        <f>HYPERLINK("http://128.120.136.21:8080/binbase-compound/bin/show/201037?db=rtx5","201037")</f>
        <v>201037</v>
      </c>
      <c r="E78" s="2" t="s">
        <v>128</v>
      </c>
      <c r="F78" s="2" t="str">
        <f>HYPERLINK("http://www.genome.ad.jp/dbget-bin/www_bget?compound+C00209","C00209")</f>
        <v>C00209</v>
      </c>
      <c r="G78" s="2" t="str">
        <f>HYPERLINK("http://pubchem.ncbi.nlm.nih.gov/summary/summary.cgi?cid=971","971")</f>
        <v>971</v>
      </c>
      <c r="H78" s="10">
        <v>14433</v>
      </c>
      <c r="I78" s="10">
        <v>10699</v>
      </c>
      <c r="J78" s="10">
        <v>6064</v>
      </c>
      <c r="K78" s="10">
        <v>6989</v>
      </c>
      <c r="L78" s="10">
        <v>13687</v>
      </c>
      <c r="M78" s="10">
        <v>7146</v>
      </c>
      <c r="N78" s="10">
        <v>10452</v>
      </c>
      <c r="O78" s="10">
        <v>6785</v>
      </c>
      <c r="P78" s="10">
        <v>5120</v>
      </c>
      <c r="Q78" s="10">
        <v>15464</v>
      </c>
      <c r="R78" s="10">
        <v>7703</v>
      </c>
      <c r="S78" s="10">
        <v>22198</v>
      </c>
      <c r="T78" s="10">
        <v>4062</v>
      </c>
      <c r="U78" s="10">
        <v>11322</v>
      </c>
      <c r="V78" s="10">
        <v>6712</v>
      </c>
      <c r="W78" s="10">
        <v>4789</v>
      </c>
      <c r="X78" s="10">
        <v>5378</v>
      </c>
      <c r="Y78" s="10">
        <v>5570</v>
      </c>
      <c r="Z78" s="10">
        <v>5650</v>
      </c>
      <c r="AA78" s="10">
        <v>12113</v>
      </c>
      <c r="AB78" s="10">
        <v>7926</v>
      </c>
      <c r="AC78" s="10">
        <v>3916</v>
      </c>
      <c r="AD78" s="10">
        <v>4029</v>
      </c>
      <c r="AE78" s="10">
        <v>6587</v>
      </c>
      <c r="AF78" s="10">
        <v>6076</v>
      </c>
      <c r="AG78" s="10">
        <v>3158</v>
      </c>
      <c r="AH78" s="10">
        <v>90878</v>
      </c>
      <c r="AI78" s="10">
        <v>10597</v>
      </c>
      <c r="AJ78" s="10">
        <v>8838</v>
      </c>
      <c r="AK78" s="10">
        <v>11315</v>
      </c>
      <c r="AL78" s="10">
        <v>8694</v>
      </c>
      <c r="AM78" s="10">
        <v>7174</v>
      </c>
      <c r="AN78" s="10">
        <v>8288</v>
      </c>
      <c r="AO78" s="10">
        <v>8882</v>
      </c>
      <c r="AP78" s="10">
        <v>7798</v>
      </c>
      <c r="AQ78" s="10">
        <v>36560</v>
      </c>
      <c r="AR78" s="10">
        <v>6739</v>
      </c>
      <c r="AS78" s="10">
        <v>10114</v>
      </c>
      <c r="AT78" s="10">
        <v>15517</v>
      </c>
      <c r="AU78" s="10">
        <v>5732</v>
      </c>
      <c r="AV78" s="10">
        <v>13595</v>
      </c>
      <c r="AW78" s="10">
        <v>14140</v>
      </c>
      <c r="AX78" s="10">
        <v>12707</v>
      </c>
      <c r="AY78" s="10">
        <v>8995</v>
      </c>
      <c r="AZ78" s="10">
        <v>12087</v>
      </c>
      <c r="BA78" s="10">
        <v>7580</v>
      </c>
      <c r="BB78" s="10">
        <v>7747</v>
      </c>
      <c r="BC78" s="10">
        <v>16921</v>
      </c>
      <c r="BD78" s="10">
        <v>5879</v>
      </c>
      <c r="BE78" s="10">
        <v>10599</v>
      </c>
      <c r="BF78" s="10">
        <v>9676</v>
      </c>
      <c r="BG78" s="10">
        <v>23368</v>
      </c>
      <c r="BH78" s="10">
        <v>7025</v>
      </c>
      <c r="BI78" s="10">
        <v>13828</v>
      </c>
      <c r="BJ78" s="10">
        <v>8180</v>
      </c>
      <c r="BK78" s="10">
        <v>11685</v>
      </c>
      <c r="BL78" s="10">
        <v>5420</v>
      </c>
    </row>
    <row r="79" spans="1:64">
      <c r="A79" s="1" t="s">
        <v>227</v>
      </c>
      <c r="B79" s="14">
        <v>780799</v>
      </c>
      <c r="C79" s="14">
        <v>339</v>
      </c>
      <c r="D79" s="2" t="str">
        <f>HYPERLINK("http://128.120.136.21:8080/binbase-compound/bin/show/201152?db=rtx5","201152")</f>
        <v>201152</v>
      </c>
      <c r="E79" s="2" t="s">
        <v>228</v>
      </c>
      <c r="F79" s="2" t="str">
        <f>HYPERLINK("http://www.genome.ad.jp/dbget-bin/www_bget?compound+C01712","C01712")</f>
        <v>C01712</v>
      </c>
      <c r="G79" s="2" t="str">
        <f>HYPERLINK("http://pubchem.ncbi.nlm.nih.gov/summary/summary.cgi?cid=5282749","5282749")</f>
        <v>5282749</v>
      </c>
      <c r="H79" s="10">
        <v>2450</v>
      </c>
      <c r="I79" s="10">
        <v>4315</v>
      </c>
      <c r="J79" s="10">
        <v>2806</v>
      </c>
      <c r="K79" s="10">
        <v>2880</v>
      </c>
      <c r="L79" s="10">
        <v>2853</v>
      </c>
      <c r="M79" s="10">
        <v>1126</v>
      </c>
      <c r="N79" s="10">
        <v>3791</v>
      </c>
      <c r="O79" s="10">
        <v>2656</v>
      </c>
      <c r="P79" s="10">
        <v>2593</v>
      </c>
      <c r="Q79" s="10">
        <v>398</v>
      </c>
      <c r="R79" s="10">
        <v>258</v>
      </c>
      <c r="S79" s="10">
        <v>925</v>
      </c>
      <c r="T79" s="10">
        <v>1908</v>
      </c>
      <c r="U79" s="10">
        <v>3272</v>
      </c>
      <c r="V79" s="10">
        <v>2975</v>
      </c>
      <c r="W79" s="10">
        <v>1435</v>
      </c>
      <c r="X79" s="10">
        <v>1517</v>
      </c>
      <c r="Y79" s="10">
        <v>3474</v>
      </c>
      <c r="Z79" s="10">
        <v>1010</v>
      </c>
      <c r="AA79" s="10">
        <v>1486</v>
      </c>
      <c r="AB79" s="10">
        <v>830</v>
      </c>
      <c r="AC79" s="10">
        <v>1555</v>
      </c>
      <c r="AD79" s="10">
        <v>1410</v>
      </c>
      <c r="AE79" s="10">
        <v>1448</v>
      </c>
      <c r="AF79" s="10">
        <v>1857</v>
      </c>
      <c r="AG79" s="10">
        <v>1425</v>
      </c>
      <c r="AH79" s="10">
        <v>2763</v>
      </c>
      <c r="AI79" s="10">
        <v>2805</v>
      </c>
      <c r="AJ79" s="10">
        <v>1594</v>
      </c>
      <c r="AK79" s="10">
        <v>904</v>
      </c>
      <c r="AL79" s="10">
        <v>1321</v>
      </c>
      <c r="AM79" s="10">
        <v>658</v>
      </c>
      <c r="AN79" s="10">
        <v>2604</v>
      </c>
      <c r="AO79" s="10">
        <v>3461</v>
      </c>
      <c r="AP79" s="10">
        <v>1128</v>
      </c>
      <c r="AQ79" s="10">
        <v>779</v>
      </c>
      <c r="AR79" s="10">
        <v>1498</v>
      </c>
      <c r="AS79" s="10">
        <v>1929</v>
      </c>
      <c r="AT79" s="10">
        <v>1684</v>
      </c>
      <c r="AU79" s="10">
        <v>2329</v>
      </c>
      <c r="AV79" s="10">
        <v>3727</v>
      </c>
      <c r="AW79" s="10">
        <v>860</v>
      </c>
      <c r="AX79" s="10">
        <v>2065</v>
      </c>
      <c r="AY79" s="10">
        <v>2813</v>
      </c>
      <c r="AZ79" s="10">
        <v>3885</v>
      </c>
      <c r="BA79" s="10">
        <v>902</v>
      </c>
      <c r="BB79" s="10">
        <v>1020</v>
      </c>
      <c r="BC79" s="10">
        <v>1698</v>
      </c>
      <c r="BD79" s="10">
        <v>1743</v>
      </c>
      <c r="BE79" s="10">
        <v>1308</v>
      </c>
      <c r="BF79" s="10">
        <v>2891</v>
      </c>
      <c r="BG79" s="10">
        <v>4127</v>
      </c>
      <c r="BH79" s="10">
        <v>1068</v>
      </c>
      <c r="BI79" s="10">
        <v>2788</v>
      </c>
      <c r="BJ79" s="10">
        <v>1512</v>
      </c>
      <c r="BK79" s="10">
        <v>785</v>
      </c>
      <c r="BL79" s="10">
        <v>1510</v>
      </c>
    </row>
    <row r="80" spans="1:64">
      <c r="A80" s="1" t="s">
        <v>238</v>
      </c>
      <c r="B80" s="14">
        <v>621606</v>
      </c>
      <c r="C80" s="14">
        <v>157</v>
      </c>
      <c r="D80" s="2" t="str">
        <f>HYPERLINK("http://128.120.136.21:8080/binbase-compound/bin/show/323374?db=rtx5","323374")</f>
        <v>323374</v>
      </c>
      <c r="E80" s="2" t="s">
        <v>239</v>
      </c>
      <c r="F80" s="2" t="str">
        <f>HYPERLINK("http://www.genome.ad.jp/dbget-bin/www_bget?compound+C00327","C00327")</f>
        <v>C00327</v>
      </c>
      <c r="G80" s="2" t="str">
        <f>HYPERLINK("http://pubchem.ncbi.nlm.nih.gov/summary/summary.cgi?cid=9750","9750")</f>
        <v>9750</v>
      </c>
      <c r="H80" s="10">
        <v>4713</v>
      </c>
      <c r="I80" s="10">
        <v>4648</v>
      </c>
      <c r="J80" s="10">
        <v>6394</v>
      </c>
      <c r="K80" s="10">
        <v>4521</v>
      </c>
      <c r="L80" s="10">
        <v>5647</v>
      </c>
      <c r="M80" s="10">
        <v>4383</v>
      </c>
      <c r="N80" s="10">
        <v>5812</v>
      </c>
      <c r="O80" s="10">
        <v>4750</v>
      </c>
      <c r="P80" s="10">
        <v>4179</v>
      </c>
      <c r="Q80" s="10">
        <v>5753</v>
      </c>
      <c r="R80" s="10">
        <v>7003</v>
      </c>
      <c r="S80" s="10">
        <v>3982</v>
      </c>
      <c r="T80" s="10">
        <v>7896</v>
      </c>
      <c r="U80" s="10">
        <v>6239</v>
      </c>
      <c r="V80" s="10">
        <v>4154</v>
      </c>
      <c r="W80" s="10">
        <v>4522</v>
      </c>
      <c r="X80" s="10">
        <v>3996</v>
      </c>
      <c r="Y80" s="10">
        <v>3773</v>
      </c>
      <c r="Z80" s="10">
        <v>6605</v>
      </c>
      <c r="AA80" s="10">
        <v>6127</v>
      </c>
      <c r="AB80" s="10">
        <v>7487</v>
      </c>
      <c r="AC80" s="10">
        <v>4076</v>
      </c>
      <c r="AD80" s="10">
        <v>3286</v>
      </c>
      <c r="AE80" s="10">
        <v>4230</v>
      </c>
      <c r="AF80" s="10">
        <v>4211</v>
      </c>
      <c r="AG80" s="10">
        <v>3375</v>
      </c>
      <c r="AH80" s="10">
        <v>7263</v>
      </c>
      <c r="AI80" s="10">
        <v>5521</v>
      </c>
      <c r="AJ80" s="10">
        <v>5931</v>
      </c>
      <c r="AK80" s="10">
        <v>5227</v>
      </c>
      <c r="AL80" s="10">
        <v>3712</v>
      </c>
      <c r="AM80" s="10">
        <v>1896</v>
      </c>
      <c r="AN80" s="10">
        <v>4474</v>
      </c>
      <c r="AO80" s="10">
        <v>2999</v>
      </c>
      <c r="AP80" s="10">
        <v>5960</v>
      </c>
      <c r="AQ80" s="10">
        <v>3156</v>
      </c>
      <c r="AR80" s="10">
        <v>5659</v>
      </c>
      <c r="AS80" s="10">
        <v>7291</v>
      </c>
      <c r="AT80" s="10">
        <v>6738</v>
      </c>
      <c r="AU80" s="10">
        <v>4754</v>
      </c>
      <c r="AV80" s="10">
        <v>6482</v>
      </c>
      <c r="AW80" s="10">
        <v>6308</v>
      </c>
      <c r="AX80" s="10">
        <v>7076</v>
      </c>
      <c r="AY80" s="10">
        <v>8932</v>
      </c>
      <c r="AZ80" s="10">
        <v>4910</v>
      </c>
      <c r="BA80" s="10">
        <v>3706</v>
      </c>
      <c r="BB80" s="10">
        <v>4715</v>
      </c>
      <c r="BC80" s="10">
        <v>2631</v>
      </c>
      <c r="BD80" s="10">
        <v>3850</v>
      </c>
      <c r="BE80" s="10">
        <v>3554</v>
      </c>
      <c r="BF80" s="10">
        <v>3251</v>
      </c>
      <c r="BG80" s="10">
        <v>2838</v>
      </c>
      <c r="BH80" s="10">
        <v>3681</v>
      </c>
      <c r="BI80" s="10">
        <v>3776</v>
      </c>
      <c r="BJ80" s="10">
        <v>4135</v>
      </c>
      <c r="BK80" s="10">
        <v>4857</v>
      </c>
      <c r="BL80" s="10">
        <v>5435</v>
      </c>
    </row>
    <row r="81" spans="1:64">
      <c r="A81" s="1" t="s">
        <v>135</v>
      </c>
      <c r="B81" s="14">
        <v>472223</v>
      </c>
      <c r="C81" s="14">
        <v>179</v>
      </c>
      <c r="D81" s="2" t="str">
        <f>HYPERLINK("http://128.120.136.21:8080/binbase-compound/bin/show/199638?db=rtx5","199638")</f>
        <v>199638</v>
      </c>
      <c r="E81" s="2" t="s">
        <v>136</v>
      </c>
      <c r="F81" s="2" t="str">
        <f>HYPERLINK("http://www.genome.ad.jp/dbget-bin/www_bget?compound+C00153","C00153")</f>
        <v>C00153</v>
      </c>
      <c r="G81" s="2" t="str">
        <f>HYPERLINK("http://pubchem.ncbi.nlm.nih.gov/summary/summary.cgi?cid=936","936")</f>
        <v>936</v>
      </c>
      <c r="H81" s="10">
        <v>1622</v>
      </c>
      <c r="I81" s="10">
        <v>1954</v>
      </c>
      <c r="J81" s="10">
        <v>1556</v>
      </c>
      <c r="K81" s="10">
        <v>1668</v>
      </c>
      <c r="L81" s="10">
        <v>1905</v>
      </c>
      <c r="M81" s="10">
        <v>380</v>
      </c>
      <c r="N81" s="10">
        <v>3419</v>
      </c>
      <c r="O81" s="10">
        <v>1900</v>
      </c>
      <c r="P81" s="10">
        <v>638</v>
      </c>
      <c r="Q81" s="10">
        <v>1250</v>
      </c>
      <c r="R81" s="10">
        <v>1248</v>
      </c>
      <c r="S81" s="10">
        <v>1489</v>
      </c>
      <c r="T81" s="10">
        <v>1079</v>
      </c>
      <c r="U81" s="10">
        <v>1650</v>
      </c>
      <c r="V81" s="10">
        <v>1108</v>
      </c>
      <c r="W81" s="10">
        <v>346</v>
      </c>
      <c r="X81" s="10">
        <v>324</v>
      </c>
      <c r="Y81" s="10">
        <v>496</v>
      </c>
      <c r="Z81" s="10">
        <v>984</v>
      </c>
      <c r="AA81" s="10">
        <v>2137</v>
      </c>
      <c r="AB81" s="10">
        <v>2843</v>
      </c>
      <c r="AC81" s="10">
        <v>842</v>
      </c>
      <c r="AD81" s="10">
        <v>710</v>
      </c>
      <c r="AE81" s="10">
        <v>576</v>
      </c>
      <c r="AF81" s="10">
        <v>448</v>
      </c>
      <c r="AG81" s="10">
        <v>272</v>
      </c>
      <c r="AH81" s="10">
        <v>1633</v>
      </c>
      <c r="AI81" s="10">
        <v>4645</v>
      </c>
      <c r="AJ81" s="10">
        <v>3295</v>
      </c>
      <c r="AK81" s="10">
        <v>3830</v>
      </c>
      <c r="AL81" s="10">
        <v>5915</v>
      </c>
      <c r="AM81" s="10">
        <v>1869</v>
      </c>
      <c r="AN81" s="10">
        <v>4251</v>
      </c>
      <c r="AO81" s="10">
        <v>5089</v>
      </c>
      <c r="AP81" s="10">
        <v>4468</v>
      </c>
      <c r="AQ81" s="10">
        <v>4222</v>
      </c>
      <c r="AR81" s="10">
        <v>2711</v>
      </c>
      <c r="AS81" s="10">
        <v>2757</v>
      </c>
      <c r="AT81" s="10">
        <v>1632</v>
      </c>
      <c r="AU81" s="10">
        <v>1005</v>
      </c>
      <c r="AV81" s="10">
        <v>1965</v>
      </c>
      <c r="AW81" s="10">
        <v>3212</v>
      </c>
      <c r="AX81" s="10">
        <v>1874</v>
      </c>
      <c r="AY81" s="10">
        <v>2615</v>
      </c>
      <c r="AZ81" s="10">
        <v>1975</v>
      </c>
      <c r="BA81" s="10">
        <v>2831</v>
      </c>
      <c r="BB81" s="10">
        <v>5075</v>
      </c>
      <c r="BC81" s="10">
        <v>2555</v>
      </c>
      <c r="BD81" s="10">
        <v>2375</v>
      </c>
      <c r="BE81" s="10">
        <v>2138</v>
      </c>
      <c r="BF81" s="10">
        <v>2410</v>
      </c>
      <c r="BG81" s="10">
        <v>4294</v>
      </c>
      <c r="BH81" s="10">
        <v>2026</v>
      </c>
      <c r="BI81" s="10">
        <v>4298</v>
      </c>
      <c r="BJ81" s="10">
        <v>2506</v>
      </c>
      <c r="BK81" s="10">
        <v>2169</v>
      </c>
      <c r="BL81" s="10">
        <v>1929</v>
      </c>
    </row>
    <row r="82" spans="1:64">
      <c r="A82" s="1" t="s">
        <v>142</v>
      </c>
      <c r="B82" s="14">
        <v>634543</v>
      </c>
      <c r="C82" s="14">
        <v>285</v>
      </c>
      <c r="D82" s="2" t="str">
        <f>HYPERLINK("http://128.120.136.21:8080/binbase-compound/bin/show/199929?db=rtx5","199929")</f>
        <v>199929</v>
      </c>
      <c r="E82" s="2" t="s">
        <v>143</v>
      </c>
      <c r="F82" s="2" t="str">
        <f>HYPERLINK("http://www.genome.ad.jp/dbget-bin/www_bget?compound+C06424","C06424")</f>
        <v>C06424</v>
      </c>
      <c r="G82" s="2" t="str">
        <f>HYPERLINK("http://pubchem.ncbi.nlm.nih.gov/summary/summary.cgi?cid=11005","11005")</f>
        <v>11005</v>
      </c>
      <c r="H82" s="10">
        <v>1279</v>
      </c>
      <c r="I82" s="10">
        <v>1610</v>
      </c>
      <c r="J82" s="10">
        <v>978</v>
      </c>
      <c r="K82" s="10">
        <v>1701</v>
      </c>
      <c r="L82" s="10">
        <v>1823</v>
      </c>
      <c r="M82" s="10">
        <v>957</v>
      </c>
      <c r="N82" s="10">
        <v>2359</v>
      </c>
      <c r="O82" s="10">
        <v>1254</v>
      </c>
      <c r="P82" s="10">
        <v>1306</v>
      </c>
      <c r="Q82" s="10">
        <v>2020</v>
      </c>
      <c r="R82" s="10">
        <v>1305</v>
      </c>
      <c r="S82" s="10">
        <v>2769</v>
      </c>
      <c r="T82" s="10">
        <v>1015</v>
      </c>
      <c r="U82" s="10">
        <v>1850</v>
      </c>
      <c r="V82" s="10">
        <v>1775</v>
      </c>
      <c r="W82" s="10">
        <v>1181</v>
      </c>
      <c r="X82" s="10">
        <v>1474</v>
      </c>
      <c r="Y82" s="10">
        <v>1082</v>
      </c>
      <c r="Z82" s="10">
        <v>2450</v>
      </c>
      <c r="AA82" s="10">
        <v>2022</v>
      </c>
      <c r="AB82" s="10">
        <v>2135</v>
      </c>
      <c r="AC82" s="10">
        <v>1011</v>
      </c>
      <c r="AD82" s="10">
        <v>1483</v>
      </c>
      <c r="AE82" s="10">
        <v>1223</v>
      </c>
      <c r="AF82" s="10">
        <v>1677</v>
      </c>
      <c r="AG82" s="10">
        <v>923</v>
      </c>
      <c r="AH82" s="10">
        <v>2635</v>
      </c>
      <c r="AI82" s="10">
        <v>4324</v>
      </c>
      <c r="AJ82" s="10">
        <v>1799</v>
      </c>
      <c r="AK82" s="10">
        <v>3017</v>
      </c>
      <c r="AL82" s="10">
        <v>2333</v>
      </c>
      <c r="AM82" s="10">
        <v>1154</v>
      </c>
      <c r="AN82" s="10">
        <v>2875</v>
      </c>
      <c r="AO82" s="10">
        <v>3465</v>
      </c>
      <c r="AP82" s="10">
        <v>1838</v>
      </c>
      <c r="AQ82" s="10">
        <v>5641</v>
      </c>
      <c r="AR82" s="10">
        <v>2077</v>
      </c>
      <c r="AS82" s="10">
        <v>2420</v>
      </c>
      <c r="AT82" s="10">
        <v>2391</v>
      </c>
      <c r="AU82" s="10">
        <v>1245</v>
      </c>
      <c r="AV82" s="10">
        <v>2151</v>
      </c>
      <c r="AW82" s="10">
        <v>1609</v>
      </c>
      <c r="AX82" s="10">
        <v>1431</v>
      </c>
      <c r="AY82" s="10">
        <v>1846</v>
      </c>
      <c r="AZ82" s="10">
        <v>2497</v>
      </c>
      <c r="BA82" s="10">
        <v>1821</v>
      </c>
      <c r="BB82" s="10">
        <v>1841</v>
      </c>
      <c r="BC82" s="10">
        <v>2227</v>
      </c>
      <c r="BD82" s="10">
        <v>1942</v>
      </c>
      <c r="BE82" s="10">
        <v>2341</v>
      </c>
      <c r="BF82" s="10">
        <v>3380</v>
      </c>
      <c r="BG82" s="10">
        <v>4267</v>
      </c>
      <c r="BH82" s="10">
        <v>2127</v>
      </c>
      <c r="BI82" s="10">
        <v>3136</v>
      </c>
      <c r="BJ82" s="10">
        <v>1014</v>
      </c>
      <c r="BK82" s="10">
        <v>1239</v>
      </c>
      <c r="BL82" s="10">
        <v>979</v>
      </c>
    </row>
    <row r="83" spans="1:64">
      <c r="A83" s="1" t="s">
        <v>379</v>
      </c>
      <c r="B83" s="14">
        <v>372132</v>
      </c>
      <c r="C83" s="14">
        <v>219</v>
      </c>
      <c r="D83" s="2" t="str">
        <f>HYPERLINK("http://128.120.136.21:8080/binbase-compound/bin/show/228128?db=rtx5","228128")</f>
        <v>228128</v>
      </c>
      <c r="E83" s="2" t="s">
        <v>380</v>
      </c>
      <c r="F83" s="2" t="str">
        <f>HYPERLINK("http://www.genome.ad.jp/dbget-bin/www_bget?compound+n/a","n/a")</f>
        <v>n/a</v>
      </c>
      <c r="G83" s="2" t="str">
        <f>HYPERLINK("http://pubchem.ncbi.nlm.nih.gov/summary/summary.cgi?cid=152265","152265")</f>
        <v>152265</v>
      </c>
      <c r="H83" s="10">
        <v>1811</v>
      </c>
      <c r="I83" s="10">
        <v>765</v>
      </c>
      <c r="J83" s="10">
        <v>1117</v>
      </c>
      <c r="K83" s="10">
        <v>1970</v>
      </c>
      <c r="L83" s="10">
        <v>940</v>
      </c>
      <c r="M83" s="10">
        <v>2637</v>
      </c>
      <c r="N83" s="10">
        <v>970</v>
      </c>
      <c r="O83" s="10">
        <v>1732</v>
      </c>
      <c r="P83" s="10">
        <v>1948</v>
      </c>
      <c r="Q83" s="10">
        <v>2928</v>
      </c>
      <c r="R83" s="10">
        <v>3724</v>
      </c>
      <c r="S83" s="10">
        <v>2967</v>
      </c>
      <c r="T83" s="10">
        <v>2211</v>
      </c>
      <c r="U83" s="10">
        <v>601</v>
      </c>
      <c r="V83" s="10">
        <v>1702</v>
      </c>
      <c r="W83" s="10">
        <v>1509</v>
      </c>
      <c r="X83" s="10">
        <v>1567</v>
      </c>
      <c r="Y83" s="10">
        <v>1702</v>
      </c>
      <c r="Z83" s="10">
        <v>1994</v>
      </c>
      <c r="AA83" s="10">
        <v>1107</v>
      </c>
      <c r="AB83" s="10">
        <v>1332</v>
      </c>
      <c r="AC83" s="10">
        <v>1695</v>
      </c>
      <c r="AD83" s="10">
        <v>1086</v>
      </c>
      <c r="AE83" s="10">
        <v>1593</v>
      </c>
      <c r="AF83" s="10">
        <v>1261</v>
      </c>
      <c r="AG83" s="10">
        <v>2586</v>
      </c>
      <c r="AH83" s="10">
        <v>669</v>
      </c>
      <c r="AI83" s="10">
        <v>1541</v>
      </c>
      <c r="AJ83" s="10">
        <v>1794</v>
      </c>
      <c r="AK83" s="10">
        <v>1338</v>
      </c>
      <c r="AL83" s="10">
        <v>1441</v>
      </c>
      <c r="AM83" s="10">
        <v>1483</v>
      </c>
      <c r="AN83" s="10">
        <v>1394</v>
      </c>
      <c r="AO83" s="10">
        <v>1643</v>
      </c>
      <c r="AP83" s="10">
        <v>1588</v>
      </c>
      <c r="AQ83" s="10">
        <v>1322</v>
      </c>
      <c r="AR83" s="10">
        <v>1496</v>
      </c>
      <c r="AS83" s="10">
        <v>1536</v>
      </c>
      <c r="AT83" s="10">
        <v>1241</v>
      </c>
      <c r="AU83" s="10">
        <v>2931</v>
      </c>
      <c r="AV83" s="10">
        <v>1042</v>
      </c>
      <c r="AW83" s="10">
        <v>1231</v>
      </c>
      <c r="AX83" s="10">
        <v>1160</v>
      </c>
      <c r="AY83" s="10">
        <v>1345</v>
      </c>
      <c r="AZ83" s="10">
        <v>936</v>
      </c>
      <c r="BA83" s="10">
        <v>1841</v>
      </c>
      <c r="BB83" s="10">
        <v>1417</v>
      </c>
      <c r="BC83" s="10">
        <v>1412</v>
      </c>
      <c r="BD83" s="10">
        <v>1948</v>
      </c>
      <c r="BE83" s="10">
        <v>2233</v>
      </c>
      <c r="BF83" s="10">
        <v>1550</v>
      </c>
      <c r="BG83" s="10">
        <v>1218</v>
      </c>
      <c r="BH83" s="10">
        <v>1673</v>
      </c>
      <c r="BI83" s="10">
        <v>1177</v>
      </c>
      <c r="BJ83" s="10">
        <v>1995</v>
      </c>
      <c r="BK83" s="10">
        <v>2871</v>
      </c>
      <c r="BL83" s="10">
        <v>2562</v>
      </c>
    </row>
    <row r="84" spans="1:64">
      <c r="A84" s="1" t="s">
        <v>577</v>
      </c>
      <c r="B84" s="14">
        <v>848671</v>
      </c>
      <c r="C84" s="14">
        <v>256</v>
      </c>
      <c r="D84" s="2" t="str">
        <f>HYPERLINK("http://128.120.136.21:8080/binbase-compound/bin/show/408504?db=rtx5","408504")</f>
        <v>408504</v>
      </c>
      <c r="E84" s="2" t="s">
        <v>229</v>
      </c>
      <c r="F84" s="2" t="s">
        <v>57</v>
      </c>
      <c r="G84" s="2" t="s">
        <v>57</v>
      </c>
      <c r="H84" s="10">
        <v>3880</v>
      </c>
      <c r="I84" s="10">
        <v>734</v>
      </c>
      <c r="J84" s="10">
        <v>1190</v>
      </c>
      <c r="K84" s="10">
        <v>4179</v>
      </c>
      <c r="L84" s="10">
        <v>3739</v>
      </c>
      <c r="M84" s="10">
        <v>1414</v>
      </c>
      <c r="N84" s="10">
        <v>3746</v>
      </c>
      <c r="O84" s="10">
        <v>2843</v>
      </c>
      <c r="P84" s="10">
        <v>949</v>
      </c>
      <c r="Q84" s="10">
        <v>225</v>
      </c>
      <c r="R84" s="10">
        <v>164</v>
      </c>
      <c r="S84" s="10">
        <v>733</v>
      </c>
      <c r="T84" s="10">
        <v>2092</v>
      </c>
      <c r="U84" s="10">
        <v>2997</v>
      </c>
      <c r="V84" s="10">
        <v>1739</v>
      </c>
      <c r="W84" s="10">
        <v>4307</v>
      </c>
      <c r="X84" s="10">
        <v>2545</v>
      </c>
      <c r="Y84" s="10">
        <v>1367</v>
      </c>
      <c r="Z84" s="10">
        <v>1017</v>
      </c>
      <c r="AA84" s="10">
        <v>1449</v>
      </c>
      <c r="AB84" s="10">
        <v>3478</v>
      </c>
      <c r="AC84" s="10">
        <v>2100</v>
      </c>
      <c r="AD84" s="10">
        <v>2122</v>
      </c>
      <c r="AE84" s="10">
        <v>1185</v>
      </c>
      <c r="AF84" s="10">
        <v>688</v>
      </c>
      <c r="AG84" s="10">
        <v>2457</v>
      </c>
      <c r="AH84" s="10">
        <v>1068</v>
      </c>
      <c r="AI84" s="10">
        <v>461</v>
      </c>
      <c r="AJ84" s="10">
        <v>388</v>
      </c>
      <c r="AK84" s="10">
        <v>4860</v>
      </c>
      <c r="AL84" s="10">
        <v>1992</v>
      </c>
      <c r="AM84" s="10">
        <v>355</v>
      </c>
      <c r="AN84" s="10">
        <v>413</v>
      </c>
      <c r="AO84" s="10">
        <v>336</v>
      </c>
      <c r="AP84" s="10">
        <v>292</v>
      </c>
      <c r="AQ84" s="10">
        <v>1370</v>
      </c>
      <c r="AR84" s="10">
        <v>3375</v>
      </c>
      <c r="AS84" s="10">
        <v>3516</v>
      </c>
      <c r="AT84" s="10">
        <v>3505</v>
      </c>
      <c r="AU84" s="10">
        <v>270</v>
      </c>
      <c r="AV84" s="10">
        <v>1756</v>
      </c>
      <c r="AW84" s="10">
        <v>664</v>
      </c>
      <c r="AX84" s="10">
        <v>2315</v>
      </c>
      <c r="AY84" s="10">
        <v>905</v>
      </c>
      <c r="AZ84" s="10">
        <v>1474</v>
      </c>
      <c r="BA84" s="10">
        <v>635</v>
      </c>
      <c r="BB84" s="10">
        <v>729</v>
      </c>
      <c r="BC84" s="10">
        <v>1036</v>
      </c>
      <c r="BD84" s="10">
        <v>1145</v>
      </c>
      <c r="BE84" s="10">
        <v>1134</v>
      </c>
      <c r="BF84" s="10">
        <v>851</v>
      </c>
      <c r="BG84" s="10">
        <v>937</v>
      </c>
      <c r="BH84" s="10">
        <v>520</v>
      </c>
      <c r="BI84" s="10">
        <v>202</v>
      </c>
      <c r="BJ84" s="10">
        <v>542</v>
      </c>
      <c r="BK84" s="10">
        <v>4283</v>
      </c>
      <c r="BL84" s="10">
        <v>1569</v>
      </c>
    </row>
    <row r="85" spans="1:64">
      <c r="A85" s="1" t="s">
        <v>257</v>
      </c>
      <c r="B85" s="14">
        <v>572573</v>
      </c>
      <c r="C85" s="14">
        <v>307</v>
      </c>
      <c r="D85" s="2" t="str">
        <f>HYPERLINK("http://128.120.136.21:8080/binbase-compound/bin/show/362135?db=rtx5","362135")</f>
        <v>362135</v>
      </c>
      <c r="E85" s="2" t="s">
        <v>258</v>
      </c>
      <c r="F85" s="2" t="str">
        <f>HYPERLINK("http://www.genome.ad.jp/dbget-bin/www_bget?compound+C01904","C01904")</f>
        <v>C01904</v>
      </c>
      <c r="G85" s="2" t="str">
        <f>HYPERLINK("http://pubchem.ncbi.nlm.nih.gov/summary/summary.cgi?cid=94154","94154")</f>
        <v>94154</v>
      </c>
      <c r="H85" s="10">
        <v>1285</v>
      </c>
      <c r="I85" s="10">
        <v>5414</v>
      </c>
      <c r="J85" s="10">
        <v>4203</v>
      </c>
      <c r="K85" s="10">
        <v>2419</v>
      </c>
      <c r="L85" s="10">
        <v>2443</v>
      </c>
      <c r="M85" s="10">
        <v>1704</v>
      </c>
      <c r="N85" s="10">
        <v>3066</v>
      </c>
      <c r="O85" s="10">
        <v>1870</v>
      </c>
      <c r="P85" s="10">
        <v>1618</v>
      </c>
      <c r="Q85" s="10">
        <v>4</v>
      </c>
      <c r="R85" s="10">
        <v>208</v>
      </c>
      <c r="S85" s="10">
        <v>973</v>
      </c>
      <c r="T85" s="10">
        <v>2226</v>
      </c>
      <c r="U85" s="10">
        <v>3409</v>
      </c>
      <c r="V85" s="10">
        <v>4830</v>
      </c>
      <c r="W85" s="10">
        <v>1599</v>
      </c>
      <c r="X85" s="10">
        <v>1394</v>
      </c>
      <c r="Y85" s="10">
        <v>3087</v>
      </c>
      <c r="Z85" s="10">
        <v>1551</v>
      </c>
      <c r="AA85" s="10">
        <v>2038</v>
      </c>
      <c r="AB85" s="10">
        <v>1200</v>
      </c>
      <c r="AC85" s="10">
        <v>2122</v>
      </c>
      <c r="AD85" s="10">
        <v>1591</v>
      </c>
      <c r="AE85" s="10">
        <v>1994</v>
      </c>
      <c r="AF85" s="10">
        <v>1215</v>
      </c>
      <c r="AG85" s="10">
        <v>1706</v>
      </c>
      <c r="AH85" s="10">
        <v>2614</v>
      </c>
      <c r="AI85" s="10">
        <v>1697</v>
      </c>
      <c r="AJ85" s="10">
        <v>4259</v>
      </c>
      <c r="AK85" s="10">
        <v>1202</v>
      </c>
      <c r="AL85" s="10">
        <v>4064</v>
      </c>
      <c r="AM85" s="10">
        <v>3069</v>
      </c>
      <c r="AN85" s="10">
        <v>3551</v>
      </c>
      <c r="AO85" s="10">
        <v>5145</v>
      </c>
      <c r="AP85" s="10">
        <v>1926</v>
      </c>
      <c r="AQ85" s="10">
        <v>1578</v>
      </c>
      <c r="AR85" s="10">
        <v>1731</v>
      </c>
      <c r="AS85" s="10">
        <v>1436</v>
      </c>
      <c r="AT85" s="10">
        <v>3095</v>
      </c>
      <c r="AU85" s="10">
        <v>1806</v>
      </c>
      <c r="AV85" s="10">
        <v>3015</v>
      </c>
      <c r="AW85" s="10">
        <v>2183</v>
      </c>
      <c r="AX85" s="10">
        <v>1865</v>
      </c>
      <c r="AY85" s="10">
        <v>2698</v>
      </c>
      <c r="AZ85" s="10">
        <v>2605</v>
      </c>
      <c r="BA85" s="10">
        <v>4744</v>
      </c>
      <c r="BB85" s="10">
        <v>5015</v>
      </c>
      <c r="BC85" s="10">
        <v>6156</v>
      </c>
      <c r="BD85" s="10">
        <v>3299</v>
      </c>
      <c r="BE85" s="10">
        <v>6621</v>
      </c>
      <c r="BF85" s="10">
        <v>9515</v>
      </c>
      <c r="BG85" s="10">
        <v>7106</v>
      </c>
      <c r="BH85" s="10">
        <v>3828</v>
      </c>
      <c r="BI85" s="10">
        <v>6684</v>
      </c>
      <c r="BJ85" s="10">
        <v>3139</v>
      </c>
      <c r="BK85" s="10">
        <v>1473</v>
      </c>
      <c r="BL85" s="10">
        <v>1941</v>
      </c>
    </row>
    <row r="86" spans="1:64">
      <c r="A86" s="1" t="s">
        <v>579</v>
      </c>
      <c r="B86" s="14">
        <v>700264</v>
      </c>
      <c r="C86" s="14">
        <v>243</v>
      </c>
      <c r="D86" s="2" t="str">
        <f>HYPERLINK("http://128.120.136.21:8080/binbase-compound/bin/show/234677?db=rtx5","234677")</f>
        <v>234677</v>
      </c>
      <c r="E86" s="2" t="s">
        <v>237</v>
      </c>
      <c r="F86" s="2" t="str">
        <f>HYPERLINK("http://www.genome.ad.jp/dbget-bin/www_bget?compound+C00055","C00055")</f>
        <v>C00055</v>
      </c>
      <c r="G86" s="2" t="str">
        <f>HYPERLINK("http://pubchem.ncbi.nlm.nih.gov/summary/summary.cgi?cid=6131","6131")</f>
        <v>6131</v>
      </c>
      <c r="H86" s="10">
        <v>1702</v>
      </c>
      <c r="I86" s="10">
        <v>1923</v>
      </c>
      <c r="J86" s="10">
        <v>1422</v>
      </c>
      <c r="K86" s="10">
        <v>2951</v>
      </c>
      <c r="L86" s="10">
        <v>3230</v>
      </c>
      <c r="M86" s="10">
        <v>810</v>
      </c>
      <c r="N86" s="10">
        <v>3335</v>
      </c>
      <c r="O86" s="10">
        <v>1547</v>
      </c>
      <c r="P86" s="10">
        <v>1384</v>
      </c>
      <c r="Q86" s="10">
        <v>4034</v>
      </c>
      <c r="R86" s="10">
        <v>510</v>
      </c>
      <c r="S86" s="10">
        <v>2462</v>
      </c>
      <c r="T86" s="10">
        <v>1192</v>
      </c>
      <c r="U86" s="10">
        <v>3960</v>
      </c>
      <c r="V86" s="10">
        <v>2668</v>
      </c>
      <c r="W86" s="10">
        <v>1808</v>
      </c>
      <c r="X86" s="10">
        <v>1300</v>
      </c>
      <c r="Y86" s="10">
        <v>1006</v>
      </c>
      <c r="Z86" s="10">
        <v>1460</v>
      </c>
      <c r="AA86" s="10">
        <v>2424</v>
      </c>
      <c r="AB86" s="10">
        <v>2477</v>
      </c>
      <c r="AC86" s="10">
        <v>1109</v>
      </c>
      <c r="AD86" s="10">
        <v>1289</v>
      </c>
      <c r="AE86" s="10">
        <v>1704</v>
      </c>
      <c r="AF86" s="10">
        <v>1252</v>
      </c>
      <c r="AG86" s="10">
        <v>1224</v>
      </c>
      <c r="AH86" s="10">
        <v>3028</v>
      </c>
      <c r="AI86" s="10">
        <v>2762</v>
      </c>
      <c r="AJ86" s="10">
        <v>2378</v>
      </c>
      <c r="AK86" s="10">
        <v>2293</v>
      </c>
      <c r="AL86" s="10">
        <v>3402</v>
      </c>
      <c r="AM86" s="10">
        <v>2247</v>
      </c>
      <c r="AN86" s="10">
        <v>3915</v>
      </c>
      <c r="AO86" s="10">
        <v>3451</v>
      </c>
      <c r="AP86" s="10">
        <v>1532</v>
      </c>
      <c r="AQ86" s="10">
        <v>2329</v>
      </c>
      <c r="AR86" s="10">
        <v>2461</v>
      </c>
      <c r="AS86" s="10">
        <v>3148</v>
      </c>
      <c r="AT86" s="10">
        <v>2989</v>
      </c>
      <c r="AU86" s="10">
        <v>703</v>
      </c>
      <c r="AV86" s="10">
        <v>2898</v>
      </c>
      <c r="AW86" s="10">
        <v>1674</v>
      </c>
      <c r="AX86" s="10">
        <v>1850</v>
      </c>
      <c r="AY86" s="10">
        <v>2437</v>
      </c>
      <c r="AZ86" s="10">
        <v>2605</v>
      </c>
      <c r="BA86" s="10">
        <v>1584</v>
      </c>
      <c r="BB86" s="10">
        <v>1901</v>
      </c>
      <c r="BC86" s="10">
        <v>2558</v>
      </c>
      <c r="BD86" s="10">
        <v>997</v>
      </c>
      <c r="BE86" s="10">
        <v>1629</v>
      </c>
      <c r="BF86" s="10">
        <v>1225</v>
      </c>
      <c r="BG86" s="10">
        <v>4143</v>
      </c>
      <c r="BH86" s="10">
        <v>1904</v>
      </c>
      <c r="BI86" s="10">
        <v>2346</v>
      </c>
      <c r="BJ86" s="10">
        <v>1511</v>
      </c>
      <c r="BK86" s="10">
        <v>1982</v>
      </c>
      <c r="BL86" s="10">
        <v>1091</v>
      </c>
    </row>
    <row r="87" spans="1:64">
      <c r="A87" s="1" t="s">
        <v>66</v>
      </c>
      <c r="B87" s="14">
        <v>856953</v>
      </c>
      <c r="C87" s="14">
        <v>258</v>
      </c>
      <c r="D87" s="2" t="str">
        <f>HYPERLINK("http://128.120.136.21:8080/binbase-compound/bin/show/213127?db=rtx5","213127")</f>
        <v>213127</v>
      </c>
      <c r="E87" s="2" t="s">
        <v>67</v>
      </c>
      <c r="F87" s="2" t="str">
        <f>HYPERLINK("http://www.genome.ad.jp/dbget-bin/www_bget?compound+C00299","C00299")</f>
        <v>C00299</v>
      </c>
      <c r="G87" s="2" t="str">
        <f>HYPERLINK("http://pubchem.ncbi.nlm.nih.gov/summary/summary.cgi?cid=6029","6029")</f>
        <v>6029</v>
      </c>
      <c r="H87" s="10">
        <v>1904</v>
      </c>
      <c r="I87" s="10">
        <v>275</v>
      </c>
      <c r="J87" s="10">
        <v>458</v>
      </c>
      <c r="K87" s="10">
        <v>1054</v>
      </c>
      <c r="L87" s="10">
        <v>962</v>
      </c>
      <c r="M87" s="10">
        <v>4850</v>
      </c>
      <c r="N87" s="10">
        <v>519</v>
      </c>
      <c r="O87" s="10">
        <v>1529</v>
      </c>
      <c r="P87" s="10">
        <v>746</v>
      </c>
      <c r="Q87" s="10">
        <v>414</v>
      </c>
      <c r="R87" s="10">
        <v>216</v>
      </c>
      <c r="S87" s="10">
        <v>829</v>
      </c>
      <c r="T87" s="10">
        <v>1617</v>
      </c>
      <c r="U87" s="10">
        <v>448</v>
      </c>
      <c r="V87" s="10">
        <v>120</v>
      </c>
      <c r="W87" s="10">
        <v>10122</v>
      </c>
      <c r="X87" s="10">
        <v>4219</v>
      </c>
      <c r="Y87" s="10">
        <v>5215</v>
      </c>
      <c r="Z87" s="10">
        <v>1539</v>
      </c>
      <c r="AA87" s="10">
        <v>304</v>
      </c>
      <c r="AB87" s="10">
        <v>915</v>
      </c>
      <c r="AC87" s="10">
        <v>9642</v>
      </c>
      <c r="AD87" s="10">
        <v>7922</v>
      </c>
      <c r="AE87" s="10">
        <v>424</v>
      </c>
      <c r="AF87" s="10">
        <v>8937</v>
      </c>
      <c r="AG87" s="10">
        <v>3762</v>
      </c>
      <c r="AH87" s="10">
        <v>294</v>
      </c>
      <c r="AI87" s="10">
        <v>329</v>
      </c>
      <c r="AJ87" s="10">
        <v>253</v>
      </c>
      <c r="AK87" s="10">
        <v>544</v>
      </c>
      <c r="AL87" s="10">
        <v>271</v>
      </c>
      <c r="AM87" s="10">
        <v>325</v>
      </c>
      <c r="AN87" s="10">
        <v>299</v>
      </c>
      <c r="AO87" s="10">
        <v>309</v>
      </c>
      <c r="AP87" s="10">
        <v>779</v>
      </c>
      <c r="AQ87" s="10">
        <v>611</v>
      </c>
      <c r="AR87" s="10">
        <v>1978</v>
      </c>
      <c r="AS87" s="10">
        <v>382</v>
      </c>
      <c r="AT87" s="10">
        <v>725</v>
      </c>
      <c r="AU87" s="10">
        <v>1913</v>
      </c>
      <c r="AV87" s="10">
        <v>374</v>
      </c>
      <c r="AW87" s="10">
        <v>657</v>
      </c>
      <c r="AX87" s="10">
        <v>431</v>
      </c>
      <c r="AY87" s="10">
        <v>498</v>
      </c>
      <c r="AZ87" s="10">
        <v>355</v>
      </c>
      <c r="BA87" s="10">
        <v>292</v>
      </c>
      <c r="BB87" s="10">
        <v>371</v>
      </c>
      <c r="BC87" s="10">
        <v>58</v>
      </c>
      <c r="BD87" s="10">
        <v>367</v>
      </c>
      <c r="BE87" s="10">
        <v>302</v>
      </c>
      <c r="BF87" s="10">
        <v>345</v>
      </c>
      <c r="BG87" s="10">
        <v>397</v>
      </c>
      <c r="BH87" s="10">
        <v>407</v>
      </c>
      <c r="BI87" s="10">
        <v>501</v>
      </c>
      <c r="BJ87" s="10">
        <v>207</v>
      </c>
      <c r="BK87" s="10">
        <v>1958</v>
      </c>
      <c r="BL87" s="10">
        <v>873</v>
      </c>
    </row>
    <row r="88" spans="1:64">
      <c r="A88" s="1" t="s">
        <v>221</v>
      </c>
      <c r="B88" s="14">
        <v>316988</v>
      </c>
      <c r="C88" s="14">
        <v>211</v>
      </c>
      <c r="D88" s="2" t="str">
        <f>HYPERLINK("http://128.120.136.21:8080/binbase-compound/bin/show/404433?db=rtx5","404433")</f>
        <v>404433</v>
      </c>
      <c r="E88" s="2" t="s">
        <v>222</v>
      </c>
      <c r="F88" s="2" t="s">
        <v>57</v>
      </c>
      <c r="G88" s="2" t="s">
        <v>57</v>
      </c>
      <c r="H88" s="10">
        <v>3709</v>
      </c>
      <c r="I88" s="10">
        <v>424</v>
      </c>
      <c r="J88" s="10">
        <v>432</v>
      </c>
      <c r="K88" s="10">
        <v>2925</v>
      </c>
      <c r="L88" s="10">
        <v>455</v>
      </c>
      <c r="M88" s="10">
        <v>1398</v>
      </c>
      <c r="N88" s="10">
        <v>383</v>
      </c>
      <c r="O88" s="10">
        <v>776</v>
      </c>
      <c r="P88" s="10">
        <v>2212</v>
      </c>
      <c r="Q88" s="10">
        <v>357</v>
      </c>
      <c r="R88" s="10">
        <v>200</v>
      </c>
      <c r="S88" s="10">
        <v>901</v>
      </c>
      <c r="T88" s="10">
        <v>3040</v>
      </c>
      <c r="U88" s="10">
        <v>512</v>
      </c>
      <c r="V88" s="10">
        <v>1992</v>
      </c>
      <c r="W88" s="10">
        <v>493</v>
      </c>
      <c r="X88" s="10">
        <v>19505</v>
      </c>
      <c r="Y88" s="10">
        <v>554</v>
      </c>
      <c r="Z88" s="10">
        <v>261</v>
      </c>
      <c r="AA88" s="10">
        <v>386</v>
      </c>
      <c r="AB88" s="10">
        <v>360</v>
      </c>
      <c r="AC88" s="10">
        <v>488</v>
      </c>
      <c r="AD88" s="10">
        <v>263</v>
      </c>
      <c r="AE88" s="10">
        <v>19809</v>
      </c>
      <c r="AF88" s="10">
        <v>376</v>
      </c>
      <c r="AG88" s="10">
        <v>21164</v>
      </c>
      <c r="AH88" s="10">
        <v>428</v>
      </c>
      <c r="AI88" s="10">
        <v>443</v>
      </c>
      <c r="AJ88" s="10">
        <v>371</v>
      </c>
      <c r="AK88" s="10">
        <v>478</v>
      </c>
      <c r="AL88" s="10">
        <v>516</v>
      </c>
      <c r="AM88" s="10">
        <v>371</v>
      </c>
      <c r="AN88" s="10">
        <v>544</v>
      </c>
      <c r="AO88" s="10">
        <v>609</v>
      </c>
      <c r="AP88" s="10">
        <v>341</v>
      </c>
      <c r="AQ88" s="10">
        <v>567</v>
      </c>
      <c r="AR88" s="10">
        <v>373</v>
      </c>
      <c r="AS88" s="10">
        <v>445</v>
      </c>
      <c r="AT88" s="10">
        <v>264</v>
      </c>
      <c r="AU88" s="10">
        <v>217</v>
      </c>
      <c r="AV88" s="10">
        <v>383</v>
      </c>
      <c r="AW88" s="10">
        <v>571</v>
      </c>
      <c r="AX88" s="10">
        <v>448</v>
      </c>
      <c r="AY88" s="10">
        <v>310</v>
      </c>
      <c r="AZ88" s="10">
        <v>449</v>
      </c>
      <c r="BA88" s="10">
        <v>289</v>
      </c>
      <c r="BB88" s="10">
        <v>286</v>
      </c>
      <c r="BC88" s="10">
        <v>656</v>
      </c>
      <c r="BD88" s="10">
        <v>295</v>
      </c>
      <c r="BE88" s="10">
        <v>281</v>
      </c>
      <c r="BF88" s="10">
        <v>588</v>
      </c>
      <c r="BG88" s="10">
        <v>646</v>
      </c>
      <c r="BH88" s="10">
        <v>327</v>
      </c>
      <c r="BI88" s="10">
        <v>468</v>
      </c>
      <c r="BJ88" s="10">
        <v>418</v>
      </c>
      <c r="BK88" s="10">
        <v>321</v>
      </c>
      <c r="BL88" s="10">
        <v>349</v>
      </c>
    </row>
    <row r="89" spans="1:64">
      <c r="A89" s="1" t="s">
        <v>244</v>
      </c>
      <c r="B89" s="14">
        <v>277000</v>
      </c>
      <c r="C89" s="14">
        <v>142</v>
      </c>
      <c r="D89" s="2" t="str">
        <f>HYPERLINK("http://128.120.136.21:8080/binbase-compound/bin/show/200952?db=rtx5","200952")</f>
        <v>200952</v>
      </c>
      <c r="E89" s="2" t="s">
        <v>245</v>
      </c>
      <c r="F89" s="2" t="str">
        <f>HYPERLINK("http://www.genome.ad.jp/dbget-bin/www_bget?compound+n/a","n/a")</f>
        <v>n/a</v>
      </c>
      <c r="G89" s="2" t="str">
        <f>HYPERLINK("http://pubchem.ncbi.nlm.nih.gov/summary/summary.cgi?cid=12025","12025")</f>
        <v>12025</v>
      </c>
      <c r="H89" s="10">
        <v>1390</v>
      </c>
      <c r="I89" s="10">
        <v>836</v>
      </c>
      <c r="J89" s="10">
        <v>872</v>
      </c>
      <c r="K89" s="10">
        <v>2467</v>
      </c>
      <c r="L89" s="10">
        <v>702</v>
      </c>
      <c r="M89" s="10">
        <v>1288</v>
      </c>
      <c r="N89" s="10">
        <v>1045</v>
      </c>
      <c r="O89" s="10">
        <v>2193</v>
      </c>
      <c r="P89" s="10">
        <v>2535</v>
      </c>
      <c r="Q89" s="10">
        <v>1128</v>
      </c>
      <c r="R89" s="10">
        <v>908</v>
      </c>
      <c r="S89" s="10">
        <v>1784</v>
      </c>
      <c r="T89" s="10">
        <v>1245</v>
      </c>
      <c r="U89" s="10">
        <v>637</v>
      </c>
      <c r="V89" s="10">
        <v>1916</v>
      </c>
      <c r="W89" s="10">
        <v>4517</v>
      </c>
      <c r="X89" s="10">
        <v>4848</v>
      </c>
      <c r="Y89" s="10">
        <v>3959</v>
      </c>
      <c r="Z89" s="10">
        <v>926</v>
      </c>
      <c r="AA89" s="10">
        <v>756</v>
      </c>
      <c r="AB89" s="10">
        <v>910</v>
      </c>
      <c r="AC89" s="10">
        <v>1772</v>
      </c>
      <c r="AD89" s="10">
        <v>2679</v>
      </c>
      <c r="AE89" s="10">
        <v>1077</v>
      </c>
      <c r="AF89" s="10">
        <v>2624</v>
      </c>
      <c r="AG89" s="10">
        <v>2209</v>
      </c>
      <c r="AH89" s="10">
        <v>849</v>
      </c>
      <c r="AI89" s="10">
        <v>688</v>
      </c>
      <c r="AJ89" s="10">
        <v>692</v>
      </c>
      <c r="AK89" s="10">
        <v>1408</v>
      </c>
      <c r="AL89" s="10">
        <v>1178</v>
      </c>
      <c r="AM89" s="10">
        <v>611</v>
      </c>
      <c r="AN89" s="10">
        <v>927</v>
      </c>
      <c r="AO89" s="10">
        <v>1344</v>
      </c>
      <c r="AP89" s="10">
        <v>1105</v>
      </c>
      <c r="AQ89" s="10">
        <v>1454</v>
      </c>
      <c r="AR89" s="10">
        <v>876</v>
      </c>
      <c r="AS89" s="10">
        <v>697</v>
      </c>
      <c r="AT89" s="10">
        <v>624</v>
      </c>
      <c r="AU89" s="10">
        <v>1094</v>
      </c>
      <c r="AV89" s="10">
        <v>1518</v>
      </c>
      <c r="AW89" s="10">
        <v>1151</v>
      </c>
      <c r="AX89" s="10">
        <v>1247</v>
      </c>
      <c r="AY89" s="10">
        <v>699</v>
      </c>
      <c r="AZ89" s="10">
        <v>734</v>
      </c>
      <c r="BA89" s="10">
        <v>1693</v>
      </c>
      <c r="BB89" s="10">
        <v>976</v>
      </c>
      <c r="BC89" s="10">
        <v>1855</v>
      </c>
      <c r="BD89" s="10">
        <v>948</v>
      </c>
      <c r="BE89" s="10">
        <v>1127</v>
      </c>
      <c r="BF89" s="10">
        <v>1044</v>
      </c>
      <c r="BG89" s="10">
        <v>1878</v>
      </c>
      <c r="BH89" s="10">
        <v>918</v>
      </c>
      <c r="BI89" s="10">
        <v>875</v>
      </c>
      <c r="BJ89" s="10">
        <v>1640</v>
      </c>
      <c r="BK89" s="10">
        <v>1449</v>
      </c>
      <c r="BL89" s="10">
        <v>2677</v>
      </c>
    </row>
    <row r="90" spans="1:64">
      <c r="A90" s="1" t="s">
        <v>570</v>
      </c>
      <c r="B90" s="14">
        <v>598894</v>
      </c>
      <c r="C90" s="14">
        <v>156</v>
      </c>
      <c r="D90" s="2" t="str">
        <f>HYPERLINK("http://128.120.136.21:8080/binbase-compound/bin/show/410985?db=rtx5","410985")</f>
        <v>410985</v>
      </c>
      <c r="E90" s="2" t="s">
        <v>204</v>
      </c>
      <c r="F90" s="2" t="str">
        <f>HYPERLINK("http://www.genome.ad.jp/dbget-bin/www_bget?compound+C00064","C00064")</f>
        <v>C00064</v>
      </c>
      <c r="G90" s="2" t="str">
        <f>HYPERLINK("http://pubchem.ncbi.nlm.nih.gov/summary/summary.cgi?cid=5961","5961")</f>
        <v>5961</v>
      </c>
      <c r="H90" s="10">
        <v>7790</v>
      </c>
      <c r="I90" s="10">
        <v>793</v>
      </c>
      <c r="J90" s="10">
        <v>1079</v>
      </c>
      <c r="K90" s="10">
        <v>1971</v>
      </c>
      <c r="L90" s="10">
        <v>1712</v>
      </c>
      <c r="M90" s="10">
        <v>5814</v>
      </c>
      <c r="N90" s="10">
        <v>2233</v>
      </c>
      <c r="O90" s="10">
        <v>2590</v>
      </c>
      <c r="P90" s="10">
        <v>1242</v>
      </c>
      <c r="Q90" s="10">
        <v>1838</v>
      </c>
      <c r="R90" s="10">
        <v>3025</v>
      </c>
      <c r="S90" s="10">
        <v>3063</v>
      </c>
      <c r="T90" s="10">
        <v>3447</v>
      </c>
      <c r="U90" s="10">
        <v>1432</v>
      </c>
      <c r="V90" s="10">
        <v>1211</v>
      </c>
      <c r="W90" s="10">
        <v>2587</v>
      </c>
      <c r="X90" s="10">
        <v>2110</v>
      </c>
      <c r="Y90" s="10">
        <v>1449</v>
      </c>
      <c r="Z90" s="10">
        <v>4236</v>
      </c>
      <c r="AA90" s="10">
        <v>2265</v>
      </c>
      <c r="AB90" s="10">
        <v>2305</v>
      </c>
      <c r="AC90" s="10">
        <v>4552</v>
      </c>
      <c r="AD90" s="10">
        <v>4219</v>
      </c>
      <c r="AE90" s="10">
        <v>4213</v>
      </c>
      <c r="AF90" s="10">
        <v>3580</v>
      </c>
      <c r="AG90" s="10">
        <v>2186</v>
      </c>
      <c r="AH90" s="10">
        <v>5463</v>
      </c>
      <c r="AI90" s="10">
        <v>1898</v>
      </c>
      <c r="AJ90" s="10">
        <v>2336</v>
      </c>
      <c r="AK90" s="10">
        <v>1906</v>
      </c>
      <c r="AL90" s="10">
        <v>1814</v>
      </c>
      <c r="AM90" s="10">
        <v>2068</v>
      </c>
      <c r="AN90" s="10">
        <v>1518</v>
      </c>
      <c r="AO90" s="10">
        <v>1464</v>
      </c>
      <c r="AP90" s="10">
        <v>1632</v>
      </c>
      <c r="AQ90" s="10">
        <v>2473</v>
      </c>
      <c r="AR90" s="10">
        <v>2694</v>
      </c>
      <c r="AS90" s="10">
        <v>3209</v>
      </c>
      <c r="AT90" s="10">
        <v>1329</v>
      </c>
      <c r="AU90" s="10">
        <v>3749</v>
      </c>
      <c r="AV90" s="10">
        <v>2757</v>
      </c>
      <c r="AW90" s="10">
        <v>3234</v>
      </c>
      <c r="AX90" s="10">
        <v>2304</v>
      </c>
      <c r="AY90" s="10">
        <v>1778</v>
      </c>
      <c r="AZ90" s="10">
        <v>2102</v>
      </c>
      <c r="BA90" s="10">
        <v>1983</v>
      </c>
      <c r="BB90" s="10">
        <v>1692</v>
      </c>
      <c r="BC90" s="10">
        <v>1338</v>
      </c>
      <c r="BD90" s="10">
        <v>1740</v>
      </c>
      <c r="BE90" s="10">
        <v>1834</v>
      </c>
      <c r="BF90" s="10">
        <v>1246</v>
      </c>
      <c r="BG90" s="10">
        <v>1083</v>
      </c>
      <c r="BH90" s="10">
        <v>1631</v>
      </c>
      <c r="BI90" s="10">
        <v>2202</v>
      </c>
      <c r="BJ90" s="10">
        <v>1325</v>
      </c>
      <c r="BK90" s="10">
        <v>1659</v>
      </c>
      <c r="BL90" s="10">
        <v>1510</v>
      </c>
    </row>
    <row r="91" spans="1:64">
      <c r="A91" s="1" t="s">
        <v>382</v>
      </c>
      <c r="B91" s="14">
        <v>507692</v>
      </c>
      <c r="C91" s="14">
        <v>129</v>
      </c>
      <c r="D91" s="2" t="str">
        <f>HYPERLINK("http://128.120.136.21:8080/binbase-compound/bin/show/374016?db=rtx5","374016")</f>
        <v>374016</v>
      </c>
      <c r="E91" s="2" t="s">
        <v>383</v>
      </c>
      <c r="F91" s="2" t="str">
        <f>HYPERLINK("http://www.genome.ad.jp/dbget-bin/www_bget?compound+C02630","C02630")</f>
        <v>C02630</v>
      </c>
      <c r="G91" s="2" t="str">
        <f>HYPERLINK("http://pubchem.ncbi.nlm.nih.gov/summary/summary.cgi?cid=43","43")</f>
        <v>43</v>
      </c>
      <c r="H91" s="10">
        <v>3782</v>
      </c>
      <c r="I91" s="10">
        <v>3151</v>
      </c>
      <c r="J91" s="10">
        <v>2662</v>
      </c>
      <c r="K91" s="10">
        <v>2481</v>
      </c>
      <c r="L91" s="10">
        <v>2386</v>
      </c>
      <c r="M91" s="10">
        <v>2413</v>
      </c>
      <c r="N91" s="10">
        <v>2656</v>
      </c>
      <c r="O91" s="10">
        <v>1833</v>
      </c>
      <c r="P91" s="10">
        <v>1531</v>
      </c>
      <c r="Q91" s="10">
        <v>3193</v>
      </c>
      <c r="R91" s="10">
        <v>3954</v>
      </c>
      <c r="S91" s="10">
        <v>4060</v>
      </c>
      <c r="T91" s="10">
        <v>1882</v>
      </c>
      <c r="U91" s="10">
        <v>2405</v>
      </c>
      <c r="V91" s="10">
        <v>2468</v>
      </c>
      <c r="W91" s="10">
        <v>1136</v>
      </c>
      <c r="X91" s="10">
        <v>1307</v>
      </c>
      <c r="Y91" s="10">
        <v>1841</v>
      </c>
      <c r="Z91" s="10">
        <v>2678</v>
      </c>
      <c r="AA91" s="10">
        <v>8906</v>
      </c>
      <c r="AB91" s="10">
        <v>2678</v>
      </c>
      <c r="AC91" s="10">
        <v>2264</v>
      </c>
      <c r="AD91" s="10">
        <v>2319</v>
      </c>
      <c r="AE91" s="10">
        <v>1702</v>
      </c>
      <c r="AF91" s="10">
        <v>2169</v>
      </c>
      <c r="AG91" s="10">
        <v>2421</v>
      </c>
      <c r="AH91" s="10">
        <v>2465</v>
      </c>
      <c r="AI91" s="10">
        <v>2276</v>
      </c>
      <c r="AJ91" s="10">
        <v>3553</v>
      </c>
      <c r="AK91" s="10">
        <v>3208</v>
      </c>
      <c r="AL91" s="10">
        <v>3717</v>
      </c>
      <c r="AM91" s="10">
        <v>3545</v>
      </c>
      <c r="AN91" s="10">
        <v>3950</v>
      </c>
      <c r="AO91" s="10">
        <v>6523</v>
      </c>
      <c r="AP91" s="10">
        <v>3211</v>
      </c>
      <c r="AQ91" s="10">
        <v>3124</v>
      </c>
      <c r="AR91" s="10">
        <v>3739</v>
      </c>
      <c r="AS91" s="10">
        <v>4726</v>
      </c>
      <c r="AT91" s="10">
        <v>4696</v>
      </c>
      <c r="AU91" s="10">
        <v>4221</v>
      </c>
      <c r="AV91" s="10">
        <v>12906</v>
      </c>
      <c r="AW91" s="10">
        <v>7719</v>
      </c>
      <c r="AX91" s="10">
        <v>2333</v>
      </c>
      <c r="AY91" s="10">
        <v>8241</v>
      </c>
      <c r="AZ91" s="10">
        <v>6375</v>
      </c>
      <c r="BA91" s="10">
        <v>2809</v>
      </c>
      <c r="BB91" s="10">
        <v>1796</v>
      </c>
      <c r="BC91" s="10">
        <v>3953</v>
      </c>
      <c r="BD91" s="10">
        <v>1393</v>
      </c>
      <c r="BE91" s="10">
        <v>3648</v>
      </c>
      <c r="BF91" s="10">
        <v>3170</v>
      </c>
      <c r="BG91" s="10">
        <v>4410</v>
      </c>
      <c r="BH91" s="10">
        <v>2224</v>
      </c>
      <c r="BI91" s="10">
        <v>4144</v>
      </c>
      <c r="BJ91" s="10">
        <v>2167</v>
      </c>
      <c r="BK91" s="10">
        <v>3654</v>
      </c>
      <c r="BL91" s="10">
        <v>3024</v>
      </c>
    </row>
    <row r="92" spans="1:64">
      <c r="A92" s="1" t="s">
        <v>327</v>
      </c>
      <c r="B92" s="14">
        <v>516416</v>
      </c>
      <c r="C92" s="14">
        <v>193</v>
      </c>
      <c r="D92" s="2" t="str">
        <f>HYPERLINK("http://128.120.136.21:8080/binbase-compound/bin/show/213134?db=rtx5","213134")</f>
        <v>213134</v>
      </c>
      <c r="E92" s="2" t="s">
        <v>328</v>
      </c>
      <c r="F92" s="2" t="str">
        <f>HYPERLINK("http://www.genome.ad.jp/dbget-bin/www_bget?compound+C05607","C05607")</f>
        <v>C05607</v>
      </c>
      <c r="G92" s="2" t="str">
        <f>HYPERLINK("http://pubchem.ncbi.nlm.nih.gov/summary/summary.cgi?cid=3848","3848")</f>
        <v>3848</v>
      </c>
      <c r="H92" s="10">
        <v>851</v>
      </c>
      <c r="I92" s="10">
        <v>1334</v>
      </c>
      <c r="J92" s="10">
        <v>2064</v>
      </c>
      <c r="K92" s="10">
        <v>1166</v>
      </c>
      <c r="L92" s="10">
        <v>1740</v>
      </c>
      <c r="M92" s="10">
        <v>814</v>
      </c>
      <c r="N92" s="10">
        <v>1636</v>
      </c>
      <c r="O92" s="10">
        <v>903</v>
      </c>
      <c r="P92" s="10">
        <v>900</v>
      </c>
      <c r="Q92" s="10">
        <v>356</v>
      </c>
      <c r="R92" s="10">
        <v>327</v>
      </c>
      <c r="S92" s="10">
        <v>1183</v>
      </c>
      <c r="T92" s="10">
        <v>1091</v>
      </c>
      <c r="U92" s="10">
        <v>1521</v>
      </c>
      <c r="V92" s="10">
        <v>2225</v>
      </c>
      <c r="W92" s="10">
        <v>664</v>
      </c>
      <c r="X92" s="10">
        <v>740</v>
      </c>
      <c r="Y92" s="10">
        <v>1734</v>
      </c>
      <c r="Z92" s="10">
        <v>2210</v>
      </c>
      <c r="AA92" s="10">
        <v>1297</v>
      </c>
      <c r="AB92" s="10">
        <v>1225</v>
      </c>
      <c r="AC92" s="10">
        <v>1081</v>
      </c>
      <c r="AD92" s="10">
        <v>622</v>
      </c>
      <c r="AE92" s="10">
        <v>1072</v>
      </c>
      <c r="AF92" s="10">
        <v>657</v>
      </c>
      <c r="AG92" s="10">
        <v>1180</v>
      </c>
      <c r="AH92" s="10">
        <v>1186</v>
      </c>
      <c r="AI92" s="10">
        <v>1465</v>
      </c>
      <c r="AJ92" s="10">
        <v>1253</v>
      </c>
      <c r="AK92" s="10">
        <v>1838</v>
      </c>
      <c r="AL92" s="10">
        <v>2097</v>
      </c>
      <c r="AM92" s="10">
        <v>13390</v>
      </c>
      <c r="AN92" s="10">
        <v>1663</v>
      </c>
      <c r="AO92" s="10">
        <v>1477</v>
      </c>
      <c r="AP92" s="10">
        <v>1189</v>
      </c>
      <c r="AQ92" s="10">
        <v>1622</v>
      </c>
      <c r="AR92" s="10">
        <v>1743</v>
      </c>
      <c r="AS92" s="10">
        <v>1933</v>
      </c>
      <c r="AT92" s="10">
        <v>2136</v>
      </c>
      <c r="AU92" s="10">
        <v>1685</v>
      </c>
      <c r="AV92" s="10">
        <v>2581</v>
      </c>
      <c r="AW92" s="10">
        <v>2479</v>
      </c>
      <c r="AX92" s="10">
        <v>2206</v>
      </c>
      <c r="AY92" s="10">
        <v>1890</v>
      </c>
      <c r="AZ92" s="10">
        <v>2558</v>
      </c>
      <c r="BA92" s="10">
        <v>2362</v>
      </c>
      <c r="BB92" s="10">
        <v>1641</v>
      </c>
      <c r="BC92" s="10">
        <v>2362</v>
      </c>
      <c r="BD92" s="10">
        <v>1154</v>
      </c>
      <c r="BE92" s="10">
        <v>1214</v>
      </c>
      <c r="BF92" s="10">
        <v>1812</v>
      </c>
      <c r="BG92" s="10">
        <v>1808</v>
      </c>
      <c r="BH92" s="10">
        <v>1624</v>
      </c>
      <c r="BI92" s="10">
        <v>1756</v>
      </c>
      <c r="BJ92" s="10">
        <v>1178</v>
      </c>
      <c r="BK92" s="10">
        <v>903</v>
      </c>
      <c r="BL92" s="10">
        <v>1325</v>
      </c>
    </row>
    <row r="93" spans="1:64">
      <c r="A93" s="1" t="s">
        <v>242</v>
      </c>
      <c r="B93" s="14">
        <v>451122</v>
      </c>
      <c r="C93" s="14">
        <v>117</v>
      </c>
      <c r="D93" s="2" t="str">
        <f>HYPERLINK("http://128.120.136.21:8080/binbase-compound/bin/show/213517?db=rtx5","213517")</f>
        <v>213517</v>
      </c>
      <c r="E93" s="2" t="s">
        <v>243</v>
      </c>
      <c r="F93" s="2" t="str">
        <f>HYPERLINK("http://www.genome.ad.jp/dbget-bin/www_bget?compound+C01571","C01571")</f>
        <v>C01571</v>
      </c>
      <c r="G93" s="2" t="str">
        <f>HYPERLINK("http://pubchem.ncbi.nlm.nih.gov/summary/summary.cgi?cid=2969","2969")</f>
        <v>2969</v>
      </c>
      <c r="H93" s="10">
        <v>1135</v>
      </c>
      <c r="I93" s="10">
        <v>2022</v>
      </c>
      <c r="J93" s="10">
        <v>1571</v>
      </c>
      <c r="K93" s="10">
        <v>1161</v>
      </c>
      <c r="L93" s="10">
        <v>1350</v>
      </c>
      <c r="M93" s="10">
        <v>1039</v>
      </c>
      <c r="N93" s="10">
        <v>1843</v>
      </c>
      <c r="O93" s="10">
        <v>894</v>
      </c>
      <c r="P93" s="10">
        <v>1253</v>
      </c>
      <c r="Q93" s="10">
        <v>2707</v>
      </c>
      <c r="R93" s="10">
        <v>2204</v>
      </c>
      <c r="S93" s="10">
        <v>6853</v>
      </c>
      <c r="T93" s="10">
        <v>960</v>
      </c>
      <c r="U93" s="10">
        <v>2252</v>
      </c>
      <c r="V93" s="10">
        <v>2000</v>
      </c>
      <c r="W93" s="10">
        <v>703</v>
      </c>
      <c r="X93" s="10">
        <v>1087</v>
      </c>
      <c r="Y93" s="10">
        <v>1273</v>
      </c>
      <c r="Z93" s="10">
        <v>1435</v>
      </c>
      <c r="AA93" s="10">
        <v>2371</v>
      </c>
      <c r="AB93" s="10">
        <v>3129</v>
      </c>
      <c r="AC93" s="10">
        <v>910</v>
      </c>
      <c r="AD93" s="10">
        <v>816</v>
      </c>
      <c r="AE93" s="10">
        <v>1115</v>
      </c>
      <c r="AF93" s="10">
        <v>2162</v>
      </c>
      <c r="AG93" s="10">
        <v>1047</v>
      </c>
      <c r="AH93" s="10">
        <v>2302</v>
      </c>
      <c r="AI93" s="10">
        <v>2129</v>
      </c>
      <c r="AJ93" s="10">
        <v>2276</v>
      </c>
      <c r="AK93" s="10">
        <v>2098</v>
      </c>
      <c r="AL93" s="10">
        <v>1953</v>
      </c>
      <c r="AM93" s="10">
        <v>970</v>
      </c>
      <c r="AN93" s="10">
        <v>2125</v>
      </c>
      <c r="AO93" s="10">
        <v>2796</v>
      </c>
      <c r="AP93" s="10">
        <v>1841</v>
      </c>
      <c r="AQ93" s="10">
        <v>6060</v>
      </c>
      <c r="AR93" s="10">
        <v>2206</v>
      </c>
      <c r="AS93" s="10">
        <v>1616</v>
      </c>
      <c r="AT93" s="10">
        <v>2306</v>
      </c>
      <c r="AU93" s="10">
        <v>1321</v>
      </c>
      <c r="AV93" s="10">
        <v>2018</v>
      </c>
      <c r="AW93" s="10">
        <v>2669</v>
      </c>
      <c r="AX93" s="10">
        <v>2139</v>
      </c>
      <c r="AY93" s="10">
        <v>1241</v>
      </c>
      <c r="AZ93" s="10">
        <v>2451</v>
      </c>
      <c r="BA93" s="10">
        <v>1974</v>
      </c>
      <c r="BB93" s="10">
        <v>1427</v>
      </c>
      <c r="BC93" s="10">
        <v>2401</v>
      </c>
      <c r="BD93" s="10">
        <v>2041</v>
      </c>
      <c r="BE93" s="10">
        <v>2405</v>
      </c>
      <c r="BF93" s="10">
        <v>2338</v>
      </c>
      <c r="BG93" s="10">
        <v>4099</v>
      </c>
      <c r="BH93" s="10">
        <v>1985</v>
      </c>
      <c r="BI93" s="10">
        <v>2666</v>
      </c>
      <c r="BJ93" s="10">
        <v>1582</v>
      </c>
      <c r="BK93" s="10">
        <v>1476</v>
      </c>
      <c r="BL93" s="10">
        <v>1103</v>
      </c>
    </row>
    <row r="94" spans="1:64">
      <c r="A94" s="1" t="s">
        <v>64</v>
      </c>
      <c r="B94" s="14">
        <v>977896</v>
      </c>
      <c r="C94" s="14">
        <v>352</v>
      </c>
      <c r="D94" s="2" t="str">
        <f>HYPERLINK("http://128.120.136.21:8080/binbase-compound/bin/show/411472?db=rtx5","411472")</f>
        <v>411472</v>
      </c>
      <c r="E94" s="2" t="s">
        <v>65</v>
      </c>
      <c r="F94" s="2" t="s">
        <v>57</v>
      </c>
      <c r="G94" s="2" t="s">
        <v>57</v>
      </c>
      <c r="H94" s="10">
        <v>4860</v>
      </c>
      <c r="I94" s="10">
        <v>864</v>
      </c>
      <c r="J94" s="10">
        <v>1655</v>
      </c>
      <c r="K94" s="10">
        <v>4266</v>
      </c>
      <c r="L94" s="10">
        <v>1264</v>
      </c>
      <c r="M94" s="10">
        <v>1098</v>
      </c>
      <c r="N94" s="10">
        <v>3004</v>
      </c>
      <c r="O94" s="10">
        <v>2749</v>
      </c>
      <c r="P94" s="10">
        <v>2083</v>
      </c>
      <c r="Q94" s="10">
        <v>152</v>
      </c>
      <c r="R94" s="10">
        <v>114</v>
      </c>
      <c r="S94" s="10">
        <v>871</v>
      </c>
      <c r="T94" s="10">
        <v>4591</v>
      </c>
      <c r="U94" s="10">
        <v>910</v>
      </c>
      <c r="V94" s="10">
        <v>1530</v>
      </c>
      <c r="W94" s="10">
        <v>3184</v>
      </c>
      <c r="X94" s="10">
        <v>1763</v>
      </c>
      <c r="Y94" s="10">
        <v>3131</v>
      </c>
      <c r="Z94" s="10">
        <v>589</v>
      </c>
      <c r="AA94" s="10">
        <v>1053</v>
      </c>
      <c r="AB94" s="10">
        <v>1547</v>
      </c>
      <c r="AC94" s="10">
        <v>3674</v>
      </c>
      <c r="AD94" s="10">
        <v>2796</v>
      </c>
      <c r="AE94" s="10">
        <v>2604</v>
      </c>
      <c r="AF94" s="10">
        <v>394</v>
      </c>
      <c r="AG94" s="10">
        <v>1215</v>
      </c>
      <c r="AH94" s="10">
        <v>215</v>
      </c>
      <c r="AI94" s="10">
        <v>1104</v>
      </c>
      <c r="AJ94" s="10">
        <v>620</v>
      </c>
      <c r="AK94" s="10">
        <v>2813</v>
      </c>
      <c r="AL94" s="10">
        <v>1683</v>
      </c>
      <c r="AM94" s="10">
        <v>1354</v>
      </c>
      <c r="AN94" s="10">
        <v>328</v>
      </c>
      <c r="AO94" s="10">
        <v>319</v>
      </c>
      <c r="AP94" s="10">
        <v>1059</v>
      </c>
      <c r="AQ94" s="10">
        <v>1258</v>
      </c>
      <c r="AR94" s="10">
        <v>1576</v>
      </c>
      <c r="AS94" s="10">
        <v>680</v>
      </c>
      <c r="AT94" s="10">
        <v>1166</v>
      </c>
      <c r="AU94" s="10">
        <v>610</v>
      </c>
      <c r="AV94" s="10">
        <v>888</v>
      </c>
      <c r="AW94" s="10">
        <v>1972</v>
      </c>
      <c r="AX94" s="10">
        <v>166</v>
      </c>
      <c r="AY94" s="10">
        <v>1721</v>
      </c>
      <c r="AZ94" s="10">
        <v>404</v>
      </c>
      <c r="BA94" s="10">
        <v>681</v>
      </c>
      <c r="BB94" s="10">
        <v>2102</v>
      </c>
      <c r="BC94" s="10">
        <v>291</v>
      </c>
      <c r="BD94" s="10">
        <v>1119</v>
      </c>
      <c r="BE94" s="10">
        <v>1002</v>
      </c>
      <c r="BF94" s="10">
        <v>350</v>
      </c>
      <c r="BG94" s="10">
        <v>195</v>
      </c>
      <c r="BH94" s="10">
        <v>149</v>
      </c>
      <c r="BI94" s="10">
        <v>1343</v>
      </c>
      <c r="BJ94" s="10">
        <v>283</v>
      </c>
      <c r="BK94" s="10">
        <v>1603</v>
      </c>
      <c r="BL94" s="10">
        <v>1248</v>
      </c>
    </row>
    <row r="95" spans="1:64">
      <c r="A95" s="1" t="s">
        <v>180</v>
      </c>
      <c r="B95" s="14">
        <v>325357</v>
      </c>
      <c r="C95" s="14">
        <v>278</v>
      </c>
      <c r="D95" s="2" t="str">
        <f>HYPERLINK("http://128.120.136.21:8080/binbase-compound/bin/show/203241?db=rtx5","203241")</f>
        <v>203241</v>
      </c>
      <c r="E95" s="2" t="s">
        <v>181</v>
      </c>
      <c r="F95" s="2" t="str">
        <f>HYPERLINK("http://www.genome.ad.jp/dbget-bin/www_bget?compound+n/a","n/a")</f>
        <v>n/a</v>
      </c>
      <c r="G95" s="2" t="str">
        <f>HYPERLINK("http://pubchem.ncbi.nlm.nih.gov/summary/summary.cgi?cid=18931500","18931500")</f>
        <v>18931500</v>
      </c>
      <c r="H95" s="10">
        <v>861</v>
      </c>
      <c r="I95" s="10">
        <v>1058</v>
      </c>
      <c r="J95" s="10">
        <v>532</v>
      </c>
      <c r="K95" s="10">
        <v>586</v>
      </c>
      <c r="L95" s="10">
        <v>1092</v>
      </c>
      <c r="M95" s="10">
        <v>812</v>
      </c>
      <c r="N95" s="10">
        <v>1564</v>
      </c>
      <c r="O95" s="10">
        <v>736</v>
      </c>
      <c r="P95" s="10">
        <v>699</v>
      </c>
      <c r="Q95" s="10">
        <v>1489</v>
      </c>
      <c r="R95" s="10">
        <v>1375</v>
      </c>
      <c r="S95" s="10">
        <v>2895</v>
      </c>
      <c r="T95" s="10">
        <v>207</v>
      </c>
      <c r="U95" s="10">
        <v>1275</v>
      </c>
      <c r="V95" s="10">
        <v>891</v>
      </c>
      <c r="W95" s="10">
        <v>487</v>
      </c>
      <c r="X95" s="10">
        <v>801</v>
      </c>
      <c r="Y95" s="10">
        <v>1260</v>
      </c>
      <c r="Z95" s="10">
        <v>758</v>
      </c>
      <c r="AA95" s="10">
        <v>1652</v>
      </c>
      <c r="AB95" s="10">
        <v>572</v>
      </c>
      <c r="AC95" s="10">
        <v>855</v>
      </c>
      <c r="AD95" s="10">
        <v>534</v>
      </c>
      <c r="AE95" s="10">
        <v>842</v>
      </c>
      <c r="AF95" s="10">
        <v>1058</v>
      </c>
      <c r="AG95" s="10">
        <v>915</v>
      </c>
      <c r="AH95" s="10">
        <v>1412</v>
      </c>
      <c r="AI95" s="10">
        <v>476</v>
      </c>
      <c r="AJ95" s="10">
        <v>1197</v>
      </c>
      <c r="AK95" s="10">
        <v>1453</v>
      </c>
      <c r="AL95" s="10">
        <v>1260</v>
      </c>
      <c r="AM95" s="10">
        <v>317</v>
      </c>
      <c r="AN95" s="10">
        <v>1568</v>
      </c>
      <c r="AO95" s="10">
        <v>1220</v>
      </c>
      <c r="AP95" s="10">
        <v>715</v>
      </c>
      <c r="AQ95" s="10">
        <v>1386</v>
      </c>
      <c r="AR95" s="10">
        <v>1289</v>
      </c>
      <c r="AS95" s="10">
        <v>966</v>
      </c>
      <c r="AT95" s="10">
        <v>1584</v>
      </c>
      <c r="AU95" s="10">
        <v>615</v>
      </c>
      <c r="AV95" s="10">
        <v>1921</v>
      </c>
      <c r="AW95" s="10">
        <v>1377</v>
      </c>
      <c r="AX95" s="10">
        <v>1689</v>
      </c>
      <c r="AY95" s="10">
        <v>577</v>
      </c>
      <c r="AZ95" s="10">
        <v>1467</v>
      </c>
      <c r="BA95" s="10">
        <v>1011</v>
      </c>
      <c r="BB95" s="10">
        <v>449</v>
      </c>
      <c r="BC95" s="10">
        <v>1721</v>
      </c>
      <c r="BD95" s="10">
        <v>493</v>
      </c>
      <c r="BE95" s="10">
        <v>1424</v>
      </c>
      <c r="BF95" s="10">
        <v>1336</v>
      </c>
      <c r="BG95" s="10">
        <v>2156</v>
      </c>
      <c r="BH95" s="10">
        <v>1010</v>
      </c>
      <c r="BI95" s="10">
        <v>885</v>
      </c>
      <c r="BJ95" s="10">
        <v>1193</v>
      </c>
      <c r="BK95" s="10">
        <v>1815</v>
      </c>
      <c r="BL95" s="10">
        <v>736</v>
      </c>
    </row>
    <row r="96" spans="1:64">
      <c r="A96" s="1" t="s">
        <v>233</v>
      </c>
      <c r="B96" s="14">
        <v>499495</v>
      </c>
      <c r="C96" s="14">
        <v>220</v>
      </c>
      <c r="D96" s="2" t="str">
        <f>HYPERLINK("http://128.120.136.21:8080/binbase-compound/bin/show/223529?db=rtx5","223529")</f>
        <v>223529</v>
      </c>
      <c r="E96" s="2" t="s">
        <v>234</v>
      </c>
      <c r="F96" s="2" t="str">
        <f>HYPERLINK("http://www.genome.ad.jp/dbget-bin/www_bget?compound+C00097","C00097")</f>
        <v>C00097</v>
      </c>
      <c r="G96" s="2" t="str">
        <f>HYPERLINK("http://pubchem.ncbi.nlm.nih.gov/summary/summary.cgi?cid=594","594")</f>
        <v>594</v>
      </c>
      <c r="H96" s="10">
        <v>951</v>
      </c>
      <c r="I96" s="10">
        <v>2103</v>
      </c>
      <c r="J96" s="10">
        <v>1996</v>
      </c>
      <c r="K96" s="10">
        <v>958</v>
      </c>
      <c r="L96" s="10">
        <v>1405</v>
      </c>
      <c r="M96" s="10">
        <v>949</v>
      </c>
      <c r="N96" s="10">
        <v>1029</v>
      </c>
      <c r="O96" s="10">
        <v>308</v>
      </c>
      <c r="P96" s="10">
        <v>1695</v>
      </c>
      <c r="Q96" s="10">
        <v>437</v>
      </c>
      <c r="R96" s="10">
        <v>619</v>
      </c>
      <c r="S96" s="10">
        <v>733</v>
      </c>
      <c r="T96" s="10">
        <v>2004</v>
      </c>
      <c r="U96" s="10">
        <v>802</v>
      </c>
      <c r="V96" s="10">
        <v>945</v>
      </c>
      <c r="W96" s="10">
        <v>2247</v>
      </c>
      <c r="X96" s="10">
        <v>1636</v>
      </c>
      <c r="Y96" s="10">
        <v>1797</v>
      </c>
      <c r="Z96" s="10">
        <v>894</v>
      </c>
      <c r="AA96" s="10">
        <v>928</v>
      </c>
      <c r="AB96" s="10">
        <v>397</v>
      </c>
      <c r="AC96" s="10">
        <v>747</v>
      </c>
      <c r="AD96" s="10">
        <v>645</v>
      </c>
      <c r="AE96" s="10">
        <v>1434</v>
      </c>
      <c r="AF96" s="10">
        <v>853</v>
      </c>
      <c r="AG96" s="10">
        <v>658</v>
      </c>
      <c r="AH96" s="10">
        <v>431</v>
      </c>
      <c r="AI96" s="10">
        <v>469</v>
      </c>
      <c r="AJ96" s="10">
        <v>464</v>
      </c>
      <c r="AK96" s="10">
        <v>1928</v>
      </c>
      <c r="AL96" s="10">
        <v>540</v>
      </c>
      <c r="AM96" s="10">
        <v>619</v>
      </c>
      <c r="AN96" s="10">
        <v>449</v>
      </c>
      <c r="AO96" s="10">
        <v>568</v>
      </c>
      <c r="AP96" s="10">
        <v>386</v>
      </c>
      <c r="AQ96" s="10">
        <v>527</v>
      </c>
      <c r="AR96" s="10">
        <v>584</v>
      </c>
      <c r="AS96" s="10">
        <v>383</v>
      </c>
      <c r="AT96" s="10">
        <v>1925</v>
      </c>
      <c r="AU96" s="10">
        <v>883</v>
      </c>
      <c r="AV96" s="10">
        <v>549</v>
      </c>
      <c r="AW96" s="10">
        <v>1155</v>
      </c>
      <c r="AX96" s="10">
        <v>145</v>
      </c>
      <c r="AY96" s="10">
        <v>726</v>
      </c>
      <c r="AZ96" s="10">
        <v>515</v>
      </c>
      <c r="BA96" s="10">
        <v>474</v>
      </c>
      <c r="BB96" s="10">
        <v>932</v>
      </c>
      <c r="BC96" s="10">
        <v>485</v>
      </c>
      <c r="BD96" s="10">
        <v>652</v>
      </c>
      <c r="BE96" s="10">
        <v>665</v>
      </c>
      <c r="BF96" s="10">
        <v>605</v>
      </c>
      <c r="BG96" s="10">
        <v>506</v>
      </c>
      <c r="BH96" s="10">
        <v>801</v>
      </c>
      <c r="BI96" s="10">
        <v>406</v>
      </c>
      <c r="BJ96" s="10">
        <v>471</v>
      </c>
      <c r="BK96" s="10">
        <v>494</v>
      </c>
      <c r="BL96" s="10">
        <v>398</v>
      </c>
    </row>
    <row r="97" spans="1:64">
      <c r="A97" s="1" t="s">
        <v>581</v>
      </c>
      <c r="B97" s="14">
        <v>310629</v>
      </c>
      <c r="C97" s="14">
        <v>200</v>
      </c>
      <c r="D97" s="2" t="str">
        <f>HYPERLINK("http://128.120.136.21:8080/binbase-compound/bin/show/213388?db=rtx5","213388")</f>
        <v>213388</v>
      </c>
      <c r="E97" s="2" t="s">
        <v>381</v>
      </c>
      <c r="F97" s="2" t="str">
        <f>HYPERLINK("http://www.genome.ad.jp/dbget-bin/www_bget?compound+C00233","C00233")</f>
        <v>C00233</v>
      </c>
      <c r="G97" s="2" t="str">
        <f>HYPERLINK("http://pubchem.ncbi.nlm.nih.gov/summary/summary.cgi?cid=70","70")</f>
        <v>70</v>
      </c>
      <c r="H97" s="10">
        <v>1611</v>
      </c>
      <c r="I97" s="10">
        <v>4306</v>
      </c>
      <c r="J97" s="10">
        <v>3932</v>
      </c>
      <c r="K97" s="10">
        <v>1862</v>
      </c>
      <c r="L97" s="10">
        <v>7055</v>
      </c>
      <c r="M97" s="10">
        <v>1397</v>
      </c>
      <c r="N97" s="10">
        <v>6639</v>
      </c>
      <c r="O97" s="10">
        <v>2861</v>
      </c>
      <c r="P97" s="10">
        <v>1680</v>
      </c>
      <c r="Q97" s="10">
        <v>1725</v>
      </c>
      <c r="R97" s="10">
        <v>1315</v>
      </c>
      <c r="S97" s="10">
        <v>3291</v>
      </c>
      <c r="T97" s="10">
        <v>1482</v>
      </c>
      <c r="U97" s="10">
        <v>4373</v>
      </c>
      <c r="V97" s="10">
        <v>2241</v>
      </c>
      <c r="W97" s="10">
        <v>876</v>
      </c>
      <c r="X97" s="10">
        <v>1215</v>
      </c>
      <c r="Y97" s="10">
        <v>854</v>
      </c>
      <c r="Z97" s="10">
        <v>1433</v>
      </c>
      <c r="AA97" s="10">
        <v>3425</v>
      </c>
      <c r="AB97" s="10">
        <v>2178</v>
      </c>
      <c r="AC97" s="10">
        <v>820</v>
      </c>
      <c r="AD97" s="10">
        <v>965</v>
      </c>
      <c r="AE97" s="10">
        <v>1344</v>
      </c>
      <c r="AF97" s="10">
        <v>1132</v>
      </c>
      <c r="AG97" s="10">
        <v>1000</v>
      </c>
      <c r="AH97" s="10">
        <v>3233</v>
      </c>
      <c r="AI97" s="10">
        <v>4701</v>
      </c>
      <c r="AJ97" s="10">
        <v>2966</v>
      </c>
      <c r="AK97" s="10">
        <v>4235</v>
      </c>
      <c r="AL97" s="10">
        <v>4429</v>
      </c>
      <c r="AM97" s="10">
        <v>1813</v>
      </c>
      <c r="AN97" s="10">
        <v>4464</v>
      </c>
      <c r="AO97" s="10">
        <v>4859</v>
      </c>
      <c r="AP97" s="10">
        <v>3285</v>
      </c>
      <c r="AQ97" s="10">
        <v>6148</v>
      </c>
      <c r="AR97" s="10">
        <v>2591</v>
      </c>
      <c r="AS97" s="10">
        <v>5499</v>
      </c>
      <c r="AT97" s="10">
        <v>3229</v>
      </c>
      <c r="AU97" s="10">
        <v>1752</v>
      </c>
      <c r="AV97" s="10">
        <v>4905</v>
      </c>
      <c r="AW97" s="10">
        <v>4223</v>
      </c>
      <c r="AX97" s="10">
        <v>7451</v>
      </c>
      <c r="AY97" s="10">
        <v>3721</v>
      </c>
      <c r="AZ97" s="10">
        <v>6662</v>
      </c>
      <c r="BA97" s="10">
        <v>3773</v>
      </c>
      <c r="BB97" s="10">
        <v>3890</v>
      </c>
      <c r="BC97" s="10">
        <v>4256</v>
      </c>
      <c r="BD97" s="10">
        <v>3764</v>
      </c>
      <c r="BE97" s="10">
        <v>4092</v>
      </c>
      <c r="BF97" s="10">
        <v>3987</v>
      </c>
      <c r="BG97" s="10">
        <v>4810</v>
      </c>
      <c r="BH97" s="10">
        <v>2828</v>
      </c>
      <c r="BI97" s="10">
        <v>4468</v>
      </c>
      <c r="BJ97" s="10">
        <v>2745</v>
      </c>
      <c r="BK97" s="10">
        <v>2635</v>
      </c>
      <c r="BL97" s="10">
        <v>2434</v>
      </c>
    </row>
    <row r="98" spans="1:64">
      <c r="A98" s="1" t="s">
        <v>568</v>
      </c>
      <c r="B98" s="14">
        <v>637668</v>
      </c>
      <c r="C98" s="14">
        <v>301</v>
      </c>
      <c r="D98" s="2" t="str">
        <f>HYPERLINK("http://128.120.136.21:8080/binbase-compound/bin/show/303827?db=rtx5","303827")</f>
        <v>303827</v>
      </c>
      <c r="E98" s="2" t="s">
        <v>146</v>
      </c>
      <c r="F98" s="2" t="s">
        <v>57</v>
      </c>
      <c r="G98" s="2" t="s">
        <v>57</v>
      </c>
      <c r="H98" s="10">
        <v>1572</v>
      </c>
      <c r="I98" s="10">
        <v>1426</v>
      </c>
      <c r="J98" s="10">
        <v>1662</v>
      </c>
      <c r="K98" s="10">
        <v>1507</v>
      </c>
      <c r="L98" s="10">
        <v>1550</v>
      </c>
      <c r="M98" s="10">
        <v>1549</v>
      </c>
      <c r="N98" s="10">
        <v>2011</v>
      </c>
      <c r="O98" s="10">
        <v>3629</v>
      </c>
      <c r="P98" s="10">
        <v>2652</v>
      </c>
      <c r="Q98" s="10">
        <v>3767</v>
      </c>
      <c r="R98" s="10">
        <v>12218</v>
      </c>
      <c r="S98" s="10">
        <v>5261</v>
      </c>
      <c r="T98" s="10">
        <v>3192</v>
      </c>
      <c r="U98" s="10">
        <v>1664</v>
      </c>
      <c r="V98" s="10">
        <v>1653</v>
      </c>
      <c r="W98" s="10">
        <v>849</v>
      </c>
      <c r="X98" s="10">
        <v>1265</v>
      </c>
      <c r="Y98" s="10">
        <v>2790</v>
      </c>
      <c r="Z98" s="10">
        <v>1510</v>
      </c>
      <c r="AA98" s="10">
        <v>2304</v>
      </c>
      <c r="AB98" s="10">
        <v>3071</v>
      </c>
      <c r="AC98" s="10">
        <v>1301</v>
      </c>
      <c r="AD98" s="10">
        <v>1162</v>
      </c>
      <c r="AE98" s="10">
        <v>3326</v>
      </c>
      <c r="AF98" s="10">
        <v>2938</v>
      </c>
      <c r="AG98" s="10">
        <v>1502</v>
      </c>
      <c r="AH98" s="10">
        <v>2807</v>
      </c>
      <c r="AI98" s="10">
        <v>1378</v>
      </c>
      <c r="AJ98" s="10">
        <v>1227</v>
      </c>
      <c r="AK98" s="10">
        <v>1523</v>
      </c>
      <c r="AL98" s="10">
        <v>2932</v>
      </c>
      <c r="AM98" s="10">
        <v>2716</v>
      </c>
      <c r="AN98" s="10">
        <v>1279</v>
      </c>
      <c r="AO98" s="10">
        <v>1152</v>
      </c>
      <c r="AP98" s="10">
        <v>1112</v>
      </c>
      <c r="AQ98" s="10">
        <v>2557</v>
      </c>
      <c r="AR98" s="10">
        <v>3134</v>
      </c>
      <c r="AS98" s="10">
        <v>1938</v>
      </c>
      <c r="AT98" s="10">
        <v>2709</v>
      </c>
      <c r="AU98" s="10">
        <v>3644</v>
      </c>
      <c r="AV98" s="10">
        <v>3142</v>
      </c>
      <c r="AW98" s="10">
        <v>3394</v>
      </c>
      <c r="AX98" s="10">
        <v>1656</v>
      </c>
      <c r="AY98" s="10">
        <v>1663</v>
      </c>
      <c r="AZ98" s="10">
        <v>1696</v>
      </c>
      <c r="BA98" s="10">
        <v>1328</v>
      </c>
      <c r="BB98" s="10">
        <v>1015</v>
      </c>
      <c r="BC98" s="10">
        <v>1134</v>
      </c>
      <c r="BD98" s="10">
        <v>1372</v>
      </c>
      <c r="BE98" s="10">
        <v>1190</v>
      </c>
      <c r="BF98" s="10">
        <v>1257</v>
      </c>
      <c r="BG98" s="10">
        <v>1245</v>
      </c>
      <c r="BH98" s="10">
        <v>877</v>
      </c>
      <c r="BI98" s="10">
        <v>1018</v>
      </c>
      <c r="BJ98" s="10">
        <v>2681</v>
      </c>
      <c r="BK98" s="10">
        <v>1758</v>
      </c>
      <c r="BL98" s="10">
        <v>1419</v>
      </c>
    </row>
    <row r="99" spans="1:64">
      <c r="A99" s="1" t="s">
        <v>115</v>
      </c>
      <c r="B99" s="14">
        <v>217964</v>
      </c>
      <c r="C99" s="14">
        <v>151</v>
      </c>
      <c r="D99" s="2" t="str">
        <f>HYPERLINK("http://128.120.136.21:8080/binbase-compound/bin/show/200340?db=rtx5","200340")</f>
        <v>200340</v>
      </c>
      <c r="E99" s="2" t="s">
        <v>116</v>
      </c>
      <c r="F99" s="2" t="str">
        <f>HYPERLINK("http://www.genome.ad.jp/dbget-bin/www_bget?compound+C00146","C00146")</f>
        <v>C00146</v>
      </c>
      <c r="G99" s="2" t="str">
        <f>HYPERLINK("http://pubchem.ncbi.nlm.nih.gov/summary/summary.cgi?cid=996","996")</f>
        <v>996</v>
      </c>
      <c r="H99" s="10">
        <v>1910</v>
      </c>
      <c r="I99" s="10">
        <v>1746</v>
      </c>
      <c r="J99" s="10">
        <v>1615</v>
      </c>
      <c r="K99" s="10">
        <v>771</v>
      </c>
      <c r="L99" s="10">
        <v>1050</v>
      </c>
      <c r="M99" s="10">
        <v>1746</v>
      </c>
      <c r="N99" s="10">
        <v>3079</v>
      </c>
      <c r="O99" s="10">
        <v>1636</v>
      </c>
      <c r="P99" s="10">
        <v>914</v>
      </c>
      <c r="Q99" s="10">
        <v>2184</v>
      </c>
      <c r="R99" s="10">
        <v>1963</v>
      </c>
      <c r="S99" s="10">
        <v>9790</v>
      </c>
      <c r="T99" s="10">
        <v>576</v>
      </c>
      <c r="U99" s="10">
        <v>2307</v>
      </c>
      <c r="V99" s="10">
        <v>2710</v>
      </c>
      <c r="W99" s="10">
        <v>772</v>
      </c>
      <c r="X99" s="10">
        <v>1274</v>
      </c>
      <c r="Y99" s="10">
        <v>596</v>
      </c>
      <c r="Z99" s="10">
        <v>915</v>
      </c>
      <c r="AA99" s="10">
        <v>4266</v>
      </c>
      <c r="AB99" s="10">
        <v>1521</v>
      </c>
      <c r="AC99" s="10">
        <v>470</v>
      </c>
      <c r="AD99" s="10">
        <v>1681</v>
      </c>
      <c r="AE99" s="10">
        <v>1643</v>
      </c>
      <c r="AF99" s="10">
        <v>2060</v>
      </c>
      <c r="AG99" s="10">
        <v>1704</v>
      </c>
      <c r="AH99" s="10">
        <v>1716</v>
      </c>
      <c r="AI99" s="10">
        <v>895</v>
      </c>
      <c r="AJ99" s="10">
        <v>3161</v>
      </c>
      <c r="AK99" s="10">
        <v>3714</v>
      </c>
      <c r="AL99" s="10">
        <v>3493</v>
      </c>
      <c r="AM99" s="10">
        <v>538</v>
      </c>
      <c r="AN99" s="10">
        <v>2288</v>
      </c>
      <c r="AO99" s="10">
        <v>2452</v>
      </c>
      <c r="AP99" s="10">
        <v>1023</v>
      </c>
      <c r="AQ99" s="10">
        <v>5069</v>
      </c>
      <c r="AR99" s="10">
        <v>2036</v>
      </c>
      <c r="AS99" s="10">
        <v>2065</v>
      </c>
      <c r="AT99" s="10">
        <v>3452</v>
      </c>
      <c r="AU99" s="10">
        <v>349</v>
      </c>
      <c r="AV99" s="10">
        <v>3550</v>
      </c>
      <c r="AW99" s="10">
        <v>1770</v>
      </c>
      <c r="AX99" s="10">
        <v>3193</v>
      </c>
      <c r="AY99" s="10">
        <v>717</v>
      </c>
      <c r="AZ99" s="10">
        <v>1934</v>
      </c>
      <c r="BA99" s="10">
        <v>978</v>
      </c>
      <c r="BB99" s="10">
        <v>1103</v>
      </c>
      <c r="BC99" s="10">
        <v>2899</v>
      </c>
      <c r="BD99" s="10">
        <v>1659</v>
      </c>
      <c r="BE99" s="10">
        <v>2860</v>
      </c>
      <c r="BF99" s="10">
        <v>4403</v>
      </c>
      <c r="BG99" s="10">
        <v>7104</v>
      </c>
      <c r="BH99" s="10">
        <v>2193</v>
      </c>
      <c r="BI99" s="10">
        <v>1437</v>
      </c>
      <c r="BJ99" s="10">
        <v>846</v>
      </c>
      <c r="BK99" s="10">
        <v>1956</v>
      </c>
      <c r="BL99" s="10">
        <v>809</v>
      </c>
    </row>
    <row r="100" spans="1:64">
      <c r="A100" s="1" t="s">
        <v>58</v>
      </c>
      <c r="B100" s="14">
        <v>924754</v>
      </c>
      <c r="C100" s="14">
        <v>325</v>
      </c>
      <c r="D100" s="2" t="str">
        <f>HYPERLINK("http://128.120.136.21:8080/binbase-compound/bin/show/237801?db=rtx5","237801")</f>
        <v>237801</v>
      </c>
      <c r="E100" s="2" t="s">
        <v>59</v>
      </c>
      <c r="F100" s="2" t="str">
        <f>HYPERLINK("http://www.genome.ad.jp/dbget-bin/www_bget?compound+C01762","C01762")</f>
        <v>C01762</v>
      </c>
      <c r="G100" s="2" t="str">
        <f>HYPERLINK("http://pubchem.ncbi.nlm.nih.gov/summary/summary.cgi?cid=64959","64959")</f>
        <v>64959</v>
      </c>
      <c r="H100" s="10">
        <v>2076</v>
      </c>
      <c r="I100" s="10">
        <v>934</v>
      </c>
      <c r="J100" s="10">
        <v>521</v>
      </c>
      <c r="K100" s="10">
        <v>1460</v>
      </c>
      <c r="L100" s="10">
        <v>472</v>
      </c>
      <c r="M100" s="10">
        <v>1465</v>
      </c>
      <c r="N100" s="10">
        <v>1309</v>
      </c>
      <c r="O100" s="10">
        <v>1863</v>
      </c>
      <c r="P100" s="10">
        <v>792</v>
      </c>
      <c r="Q100" s="10">
        <v>322</v>
      </c>
      <c r="R100" s="10">
        <v>271</v>
      </c>
      <c r="S100" s="10">
        <v>931</v>
      </c>
      <c r="T100" s="10">
        <v>1275</v>
      </c>
      <c r="U100" s="10">
        <v>507</v>
      </c>
      <c r="V100" s="10">
        <v>339</v>
      </c>
      <c r="W100" s="10">
        <v>795</v>
      </c>
      <c r="X100" s="10">
        <v>635</v>
      </c>
      <c r="Y100" s="10">
        <v>2037</v>
      </c>
      <c r="Z100" s="10">
        <v>1520</v>
      </c>
      <c r="AA100" s="10">
        <v>648</v>
      </c>
      <c r="AB100" s="10">
        <v>927</v>
      </c>
      <c r="AC100" s="10">
        <v>2371</v>
      </c>
      <c r="AD100" s="10">
        <v>997</v>
      </c>
      <c r="AE100" s="10">
        <v>372</v>
      </c>
      <c r="AF100" s="10">
        <v>781</v>
      </c>
      <c r="AG100" s="10">
        <v>1210</v>
      </c>
      <c r="AH100" s="10">
        <v>451</v>
      </c>
      <c r="AI100" s="10">
        <v>444</v>
      </c>
      <c r="AJ100" s="10">
        <v>466</v>
      </c>
      <c r="AK100" s="10">
        <v>454</v>
      </c>
      <c r="AL100" s="10">
        <v>516</v>
      </c>
      <c r="AM100" s="10">
        <v>636</v>
      </c>
      <c r="AN100" s="10">
        <v>459</v>
      </c>
      <c r="AO100" s="10">
        <v>493</v>
      </c>
      <c r="AP100" s="10">
        <v>606</v>
      </c>
      <c r="AQ100" s="10">
        <v>1039</v>
      </c>
      <c r="AR100" s="10">
        <v>1668</v>
      </c>
      <c r="AS100" s="10">
        <v>565</v>
      </c>
      <c r="AT100" s="10">
        <v>1272</v>
      </c>
      <c r="AU100" s="10">
        <v>1644</v>
      </c>
      <c r="AV100" s="10">
        <v>783</v>
      </c>
      <c r="AW100" s="10">
        <v>1063</v>
      </c>
      <c r="AX100" s="10">
        <v>775</v>
      </c>
      <c r="AY100" s="10">
        <v>486</v>
      </c>
      <c r="AZ100" s="10">
        <v>580</v>
      </c>
      <c r="BA100" s="10">
        <v>385</v>
      </c>
      <c r="BB100" s="10">
        <v>523</v>
      </c>
      <c r="BC100" s="10">
        <v>560</v>
      </c>
      <c r="BD100" s="10">
        <v>920</v>
      </c>
      <c r="BE100" s="10">
        <v>443</v>
      </c>
      <c r="BF100" s="10">
        <v>585</v>
      </c>
      <c r="BG100" s="10">
        <v>706</v>
      </c>
      <c r="BH100" s="10">
        <v>316</v>
      </c>
      <c r="BI100" s="10">
        <v>442</v>
      </c>
      <c r="BJ100" s="10">
        <v>280</v>
      </c>
      <c r="BK100" s="10">
        <v>2082</v>
      </c>
      <c r="BL100" s="10">
        <v>1491</v>
      </c>
    </row>
    <row r="101" spans="1:64">
      <c r="A101" s="1" t="s">
        <v>223</v>
      </c>
      <c r="B101" s="14">
        <v>471274</v>
      </c>
      <c r="C101" s="14">
        <v>205</v>
      </c>
      <c r="D101" s="2" t="str">
        <f>HYPERLINK("http://128.120.136.21:8080/binbase-compound/bin/show/200514?db=rtx5","200514")</f>
        <v>200514</v>
      </c>
      <c r="E101" s="2" t="s">
        <v>224</v>
      </c>
      <c r="F101" s="2" t="str">
        <f>HYPERLINK("http://www.genome.ad.jp/dbget-bin/www_bget?compound+C00503","C00503")</f>
        <v>C00503</v>
      </c>
      <c r="G101" s="2" t="str">
        <f>HYPERLINK("http://pubchem.ncbi.nlm.nih.gov/summary/summary.cgi?cid=222285","222285")</f>
        <v>222285</v>
      </c>
      <c r="H101" s="10">
        <v>599</v>
      </c>
      <c r="I101" s="10">
        <v>516</v>
      </c>
      <c r="J101" s="10">
        <v>514</v>
      </c>
      <c r="K101" s="10">
        <v>570</v>
      </c>
      <c r="L101" s="10">
        <v>556</v>
      </c>
      <c r="M101" s="10">
        <v>366</v>
      </c>
      <c r="N101" s="10">
        <v>664</v>
      </c>
      <c r="O101" s="10">
        <v>381</v>
      </c>
      <c r="P101" s="10">
        <v>342</v>
      </c>
      <c r="Q101" s="10">
        <v>464</v>
      </c>
      <c r="R101" s="10">
        <v>274</v>
      </c>
      <c r="S101" s="10">
        <v>859</v>
      </c>
      <c r="T101" s="10">
        <v>629</v>
      </c>
      <c r="U101" s="10">
        <v>756</v>
      </c>
      <c r="V101" s="10">
        <v>645</v>
      </c>
      <c r="W101" s="10">
        <v>493</v>
      </c>
      <c r="X101" s="10">
        <v>121</v>
      </c>
      <c r="Y101" s="10">
        <v>255</v>
      </c>
      <c r="Z101" s="10">
        <v>1060</v>
      </c>
      <c r="AA101" s="10">
        <v>636</v>
      </c>
      <c r="AB101" s="10">
        <v>381</v>
      </c>
      <c r="AC101" s="10">
        <v>767</v>
      </c>
      <c r="AD101" s="10">
        <v>745</v>
      </c>
      <c r="AE101" s="10">
        <v>558</v>
      </c>
      <c r="AF101" s="10">
        <v>539</v>
      </c>
      <c r="AG101" s="10">
        <v>354</v>
      </c>
      <c r="AH101" s="10">
        <v>373</v>
      </c>
      <c r="AI101" s="10">
        <v>888</v>
      </c>
      <c r="AJ101" s="10">
        <v>1149</v>
      </c>
      <c r="AK101" s="10">
        <v>542</v>
      </c>
      <c r="AL101" s="10">
        <v>644</v>
      </c>
      <c r="AM101" s="10">
        <v>483</v>
      </c>
      <c r="AN101" s="10">
        <v>1064</v>
      </c>
      <c r="AO101" s="10">
        <v>918</v>
      </c>
      <c r="AP101" s="10">
        <v>611</v>
      </c>
      <c r="AQ101" s="10">
        <v>967</v>
      </c>
      <c r="AR101" s="10">
        <v>1129</v>
      </c>
      <c r="AS101" s="10">
        <v>562</v>
      </c>
      <c r="AT101" s="10">
        <v>1096</v>
      </c>
      <c r="AU101" s="10">
        <v>567</v>
      </c>
      <c r="AV101" s="10">
        <v>554</v>
      </c>
      <c r="AW101" s="10">
        <v>380</v>
      </c>
      <c r="AX101" s="10">
        <v>253</v>
      </c>
      <c r="AY101" s="10">
        <v>794</v>
      </c>
      <c r="AZ101" s="10">
        <v>583</v>
      </c>
      <c r="BA101" s="10">
        <v>1594</v>
      </c>
      <c r="BB101" s="10">
        <v>1301</v>
      </c>
      <c r="BC101" s="10">
        <v>884</v>
      </c>
      <c r="BD101" s="10">
        <v>634</v>
      </c>
      <c r="BE101" s="10">
        <v>1244</v>
      </c>
      <c r="BF101" s="10">
        <v>1602</v>
      </c>
      <c r="BG101" s="10">
        <v>824</v>
      </c>
      <c r="BH101" s="10">
        <v>1705</v>
      </c>
      <c r="BI101" s="10">
        <v>987</v>
      </c>
      <c r="BJ101" s="10">
        <v>250</v>
      </c>
      <c r="BK101" s="10">
        <v>384</v>
      </c>
      <c r="BL101" s="10">
        <v>479</v>
      </c>
    </row>
    <row r="102" spans="1:64">
      <c r="A102" s="1" t="s">
        <v>578</v>
      </c>
      <c r="B102" s="14">
        <v>861380</v>
      </c>
      <c r="C102" s="14">
        <v>217</v>
      </c>
      <c r="D102" s="2" t="str">
        <f>HYPERLINK("http://128.120.136.21:8080/binbase-compound/bin/show/203807?db=rtx5","203807")</f>
        <v>203807</v>
      </c>
      <c r="E102" s="2" t="s">
        <v>230</v>
      </c>
      <c r="F102" s="2" t="str">
        <f>HYPERLINK("http://www.genome.ad.jp/dbget-bin/www_bget?compound+C00112","C00112")</f>
        <v>C00112</v>
      </c>
      <c r="G102" s="2" t="str">
        <f>HYPERLINK("http://pubchem.ncbi.nlm.nih.gov/summary/summary.cgi?cid=290","290")</f>
        <v>290</v>
      </c>
      <c r="H102" s="10">
        <v>2236</v>
      </c>
      <c r="I102" s="10">
        <v>812</v>
      </c>
      <c r="J102" s="10">
        <v>840</v>
      </c>
      <c r="K102" s="10">
        <v>1546</v>
      </c>
      <c r="L102" s="10">
        <v>947</v>
      </c>
      <c r="M102" s="10">
        <v>1585</v>
      </c>
      <c r="N102" s="10">
        <v>1210</v>
      </c>
      <c r="O102" s="10">
        <v>1490</v>
      </c>
      <c r="P102" s="10">
        <v>632</v>
      </c>
      <c r="Q102" s="10">
        <v>623</v>
      </c>
      <c r="R102" s="10">
        <v>567</v>
      </c>
      <c r="S102" s="10">
        <v>1153</v>
      </c>
      <c r="T102" s="10">
        <v>939</v>
      </c>
      <c r="U102" s="10">
        <v>625</v>
      </c>
      <c r="V102" s="10">
        <v>708</v>
      </c>
      <c r="W102" s="10">
        <v>4854</v>
      </c>
      <c r="X102" s="10">
        <v>3375</v>
      </c>
      <c r="Y102" s="10">
        <v>4599</v>
      </c>
      <c r="Z102" s="10">
        <v>1068</v>
      </c>
      <c r="AA102" s="10">
        <v>424</v>
      </c>
      <c r="AB102" s="10">
        <v>893</v>
      </c>
      <c r="AC102" s="10">
        <v>2542</v>
      </c>
      <c r="AD102" s="10">
        <v>3308</v>
      </c>
      <c r="AE102" s="10">
        <v>419</v>
      </c>
      <c r="AF102" s="10">
        <v>2610</v>
      </c>
      <c r="AG102" s="10">
        <v>4996</v>
      </c>
      <c r="AH102" s="10">
        <v>629</v>
      </c>
      <c r="AI102" s="10">
        <v>574</v>
      </c>
      <c r="AJ102" s="10">
        <v>595</v>
      </c>
      <c r="AK102" s="10">
        <v>632</v>
      </c>
      <c r="AL102" s="10">
        <v>609</v>
      </c>
      <c r="AM102" s="10">
        <v>387</v>
      </c>
      <c r="AN102" s="10">
        <v>562</v>
      </c>
      <c r="AO102" s="10">
        <v>505</v>
      </c>
      <c r="AP102" s="10">
        <v>617</v>
      </c>
      <c r="AQ102" s="10">
        <v>623</v>
      </c>
      <c r="AR102" s="10">
        <v>967</v>
      </c>
      <c r="AS102" s="10">
        <v>622</v>
      </c>
      <c r="AT102" s="10">
        <v>551</v>
      </c>
      <c r="AU102" s="10">
        <v>1016</v>
      </c>
      <c r="AV102" s="10">
        <v>398</v>
      </c>
      <c r="AW102" s="10">
        <v>593</v>
      </c>
      <c r="AX102" s="10">
        <v>847</v>
      </c>
      <c r="AY102" s="10">
        <v>507</v>
      </c>
      <c r="AZ102" s="10">
        <v>427</v>
      </c>
      <c r="BA102" s="10">
        <v>456</v>
      </c>
      <c r="BB102" s="10">
        <v>512</v>
      </c>
      <c r="BC102" s="10">
        <v>633</v>
      </c>
      <c r="BD102" s="10">
        <v>827</v>
      </c>
      <c r="BE102" s="10">
        <v>561</v>
      </c>
      <c r="BF102" s="10">
        <v>598</v>
      </c>
      <c r="BG102" s="10">
        <v>697</v>
      </c>
      <c r="BH102" s="10">
        <v>571</v>
      </c>
      <c r="BI102" s="10">
        <v>512</v>
      </c>
      <c r="BJ102" s="10">
        <v>510</v>
      </c>
      <c r="BK102" s="10">
        <v>1422</v>
      </c>
      <c r="BL102" s="10">
        <v>751</v>
      </c>
    </row>
    <row r="103" spans="1:64">
      <c r="A103" s="1" t="s">
        <v>105</v>
      </c>
      <c r="B103" s="14">
        <v>214259</v>
      </c>
      <c r="C103" s="14">
        <v>177</v>
      </c>
      <c r="D103" s="2" t="str">
        <f>HYPERLINK("http://128.120.136.21:8080/binbase-compound/bin/show/272666?db=rtx5","272666")</f>
        <v>272666</v>
      </c>
      <c r="E103" s="2" t="s">
        <v>106</v>
      </c>
      <c r="F103" s="2" t="str">
        <f>HYPERLINK("http://www.genome.ad.jp/dbget-bin/www_bget?compound+C02457","C02457")</f>
        <v>C02457</v>
      </c>
      <c r="G103" s="2" t="str">
        <f>HYPERLINK("http://pubchem.ncbi.nlm.nih.gov/summary/summary.cgi?cid=10442","10442")</f>
        <v>10442</v>
      </c>
      <c r="H103" s="10">
        <v>481</v>
      </c>
      <c r="I103" s="10">
        <v>631</v>
      </c>
      <c r="J103" s="10">
        <v>1083</v>
      </c>
      <c r="K103" s="10">
        <v>910</v>
      </c>
      <c r="L103" s="10">
        <v>819</v>
      </c>
      <c r="M103" s="10">
        <v>696</v>
      </c>
      <c r="N103" s="10">
        <v>931</v>
      </c>
      <c r="O103" s="10">
        <v>844</v>
      </c>
      <c r="P103" s="10">
        <v>427</v>
      </c>
      <c r="Q103" s="10">
        <v>1714</v>
      </c>
      <c r="R103" s="10">
        <v>951</v>
      </c>
      <c r="S103" s="10">
        <v>3784</v>
      </c>
      <c r="T103" s="10">
        <v>273</v>
      </c>
      <c r="U103" s="10">
        <v>1188</v>
      </c>
      <c r="V103" s="10">
        <v>1091</v>
      </c>
      <c r="W103" s="10">
        <v>436</v>
      </c>
      <c r="X103" s="10">
        <v>938</v>
      </c>
      <c r="Y103" s="10">
        <v>563</v>
      </c>
      <c r="Z103" s="10">
        <v>411</v>
      </c>
      <c r="AA103" s="10">
        <v>1276</v>
      </c>
      <c r="AB103" s="10">
        <v>1092</v>
      </c>
      <c r="AC103" s="10">
        <v>410</v>
      </c>
      <c r="AD103" s="10">
        <v>547</v>
      </c>
      <c r="AE103" s="10">
        <v>538</v>
      </c>
      <c r="AF103" s="10">
        <v>681</v>
      </c>
      <c r="AG103" s="10">
        <v>611</v>
      </c>
      <c r="AH103" s="10">
        <v>1944</v>
      </c>
      <c r="AI103" s="10">
        <v>1246</v>
      </c>
      <c r="AJ103" s="10">
        <v>1000</v>
      </c>
      <c r="AK103" s="10">
        <v>1676</v>
      </c>
      <c r="AL103" s="10">
        <v>1667</v>
      </c>
      <c r="AM103" s="10">
        <v>580</v>
      </c>
      <c r="AN103" s="10">
        <v>1872</v>
      </c>
      <c r="AO103" s="10">
        <v>1672</v>
      </c>
      <c r="AP103" s="10">
        <v>947</v>
      </c>
      <c r="AQ103" s="10">
        <v>4099</v>
      </c>
      <c r="AR103" s="10">
        <v>1292</v>
      </c>
      <c r="AS103" s="10">
        <v>1130</v>
      </c>
      <c r="AT103" s="10">
        <v>1128</v>
      </c>
      <c r="AU103" s="10">
        <v>296</v>
      </c>
      <c r="AV103" s="10">
        <v>1368</v>
      </c>
      <c r="AW103" s="10">
        <v>1257</v>
      </c>
      <c r="AX103" s="10">
        <v>1128</v>
      </c>
      <c r="AY103" s="10">
        <v>1037</v>
      </c>
      <c r="AZ103" s="10">
        <v>1662</v>
      </c>
      <c r="BA103" s="10">
        <v>728</v>
      </c>
      <c r="BB103" s="10">
        <v>809</v>
      </c>
      <c r="BC103" s="10">
        <v>1047</v>
      </c>
      <c r="BD103" s="10">
        <v>866</v>
      </c>
      <c r="BE103" s="10">
        <v>1217</v>
      </c>
      <c r="BF103" s="10">
        <v>2153</v>
      </c>
      <c r="BG103" s="10">
        <v>1927</v>
      </c>
      <c r="BH103" s="10">
        <v>863</v>
      </c>
      <c r="BI103" s="10">
        <v>1234</v>
      </c>
      <c r="BJ103" s="10">
        <v>568</v>
      </c>
      <c r="BK103" s="10">
        <v>1419</v>
      </c>
      <c r="BL103" s="10">
        <v>797</v>
      </c>
    </row>
    <row r="104" spans="1:64">
      <c r="A104" s="1" t="s">
        <v>231</v>
      </c>
      <c r="B104" s="14">
        <v>715639</v>
      </c>
      <c r="C104" s="14">
        <v>220</v>
      </c>
      <c r="D104" s="2" t="str">
        <f>HYPERLINK("http://128.120.136.21:8080/binbase-compound/bin/show/227594?db=rtx5","227594")</f>
        <v>227594</v>
      </c>
      <c r="E104" s="2" t="s">
        <v>232</v>
      </c>
      <c r="F104" s="2" t="str">
        <f>HYPERLINK("http://www.genome.ad.jp/dbget-bin/www_bget?compound+C01419","C01419")</f>
        <v>C01419</v>
      </c>
      <c r="G104" s="2" t="str">
        <f>HYPERLINK("http://pubchem.ncbi.nlm.nih.gov/summary/summary.cgi?cid=439498","439498")</f>
        <v>439498</v>
      </c>
      <c r="H104" s="10">
        <v>620</v>
      </c>
      <c r="I104" s="10">
        <v>6568</v>
      </c>
      <c r="J104" s="10">
        <v>7616</v>
      </c>
      <c r="K104" s="10">
        <v>750</v>
      </c>
      <c r="L104" s="10">
        <v>3604</v>
      </c>
      <c r="M104" s="10">
        <v>366</v>
      </c>
      <c r="N104" s="10">
        <v>4217</v>
      </c>
      <c r="O104" s="10">
        <v>592</v>
      </c>
      <c r="P104" s="10">
        <v>1745</v>
      </c>
      <c r="Q104" s="10">
        <v>210</v>
      </c>
      <c r="R104" s="10">
        <v>280</v>
      </c>
      <c r="S104" s="10">
        <v>709</v>
      </c>
      <c r="T104" s="10">
        <v>627</v>
      </c>
      <c r="U104" s="10">
        <v>4043</v>
      </c>
      <c r="V104" s="10">
        <v>2729</v>
      </c>
      <c r="W104" s="10">
        <v>907</v>
      </c>
      <c r="X104" s="10">
        <v>968</v>
      </c>
      <c r="Y104" s="10">
        <v>1883</v>
      </c>
      <c r="Z104" s="10">
        <v>491</v>
      </c>
      <c r="AA104" s="10">
        <v>1210</v>
      </c>
      <c r="AB104" s="10">
        <v>652</v>
      </c>
      <c r="AC104" s="10">
        <v>668</v>
      </c>
      <c r="AD104" s="10">
        <v>797</v>
      </c>
      <c r="AE104" s="10">
        <v>1148</v>
      </c>
      <c r="AF104" s="10">
        <v>720</v>
      </c>
      <c r="AG104" s="10">
        <v>470</v>
      </c>
      <c r="AH104" s="10">
        <v>1130</v>
      </c>
      <c r="AI104" s="10">
        <v>3376</v>
      </c>
      <c r="AJ104" s="10">
        <v>1796</v>
      </c>
      <c r="AK104" s="10">
        <v>2851</v>
      </c>
      <c r="AL104" s="10">
        <v>2321</v>
      </c>
      <c r="AM104" s="10">
        <v>2210</v>
      </c>
      <c r="AN104" s="10">
        <v>2127</v>
      </c>
      <c r="AO104" s="10">
        <v>2044</v>
      </c>
      <c r="AP104" s="10">
        <v>1571</v>
      </c>
      <c r="AQ104" s="10">
        <v>1502</v>
      </c>
      <c r="AR104" s="10">
        <v>861</v>
      </c>
      <c r="AS104" s="10">
        <v>1009</v>
      </c>
      <c r="AT104" s="10">
        <v>1074</v>
      </c>
      <c r="AU104" s="10">
        <v>713</v>
      </c>
      <c r="AV104" s="10">
        <v>1924</v>
      </c>
      <c r="AW104" s="10">
        <v>1020</v>
      </c>
      <c r="AX104" s="10">
        <v>981</v>
      </c>
      <c r="AY104" s="10">
        <v>1842</v>
      </c>
      <c r="AZ104" s="10">
        <v>1664</v>
      </c>
      <c r="BA104" s="10">
        <v>1525</v>
      </c>
      <c r="BB104" s="10">
        <v>1971</v>
      </c>
      <c r="BC104" s="10">
        <v>2308</v>
      </c>
      <c r="BD104" s="10">
        <v>1878</v>
      </c>
      <c r="BE104" s="10">
        <v>1064</v>
      </c>
      <c r="BF104" s="10">
        <v>1400</v>
      </c>
      <c r="BG104" s="10">
        <v>1816</v>
      </c>
      <c r="BH104" s="10">
        <v>1650</v>
      </c>
      <c r="BI104" s="10">
        <v>2384</v>
      </c>
      <c r="BJ104" s="10">
        <v>1691</v>
      </c>
      <c r="BK104" s="10">
        <v>1389</v>
      </c>
      <c r="BL104" s="10">
        <v>690</v>
      </c>
    </row>
    <row r="105" spans="1:64">
      <c r="A105" s="1" t="s">
        <v>184</v>
      </c>
      <c r="B105" s="14">
        <v>874579</v>
      </c>
      <c r="C105" s="14">
        <v>128</v>
      </c>
      <c r="D105" s="2" t="str">
        <f>HYPERLINK("http://128.120.136.21:8080/binbase-compound/bin/show/236875?db=rtx5","236875")</f>
        <v>236875</v>
      </c>
      <c r="E105" s="2" t="s">
        <v>185</v>
      </c>
      <c r="F105" s="2" t="str">
        <f>HYPERLINK("http://www.genome.ad.jp/dbget-bin/www_bget?compound+C01817","C01817")</f>
        <v>C01817</v>
      </c>
      <c r="G105" s="2" t="str">
        <f>HYPERLINK("http://pubchem.ncbi.nlm.nih.gov/summary/summary.cgi?cid=439579","439579")</f>
        <v>439579</v>
      </c>
      <c r="H105" s="10">
        <v>832</v>
      </c>
      <c r="I105" s="10">
        <v>1116</v>
      </c>
      <c r="J105" s="10">
        <v>1939</v>
      </c>
      <c r="K105" s="10">
        <v>695</v>
      </c>
      <c r="L105" s="10">
        <v>1997</v>
      </c>
      <c r="M105" s="10">
        <v>635</v>
      </c>
      <c r="N105" s="10">
        <v>1205</v>
      </c>
      <c r="O105" s="10">
        <v>695</v>
      </c>
      <c r="P105" s="10">
        <v>504</v>
      </c>
      <c r="Q105" s="10">
        <v>557</v>
      </c>
      <c r="R105" s="10">
        <v>457</v>
      </c>
      <c r="S105" s="10">
        <v>1495</v>
      </c>
      <c r="T105" s="10">
        <v>540</v>
      </c>
      <c r="U105" s="10">
        <v>1246</v>
      </c>
      <c r="V105" s="10">
        <v>1339</v>
      </c>
      <c r="W105" s="10">
        <v>881</v>
      </c>
      <c r="X105" s="10">
        <v>776</v>
      </c>
      <c r="Y105" s="10">
        <v>1065</v>
      </c>
      <c r="Z105" s="10">
        <v>536</v>
      </c>
      <c r="AA105" s="10">
        <v>1054</v>
      </c>
      <c r="AB105" s="10">
        <v>773</v>
      </c>
      <c r="AC105" s="10">
        <v>632</v>
      </c>
      <c r="AD105" s="10">
        <v>533</v>
      </c>
      <c r="AE105" s="10">
        <v>551</v>
      </c>
      <c r="AF105" s="10">
        <v>663</v>
      </c>
      <c r="AG105" s="10">
        <v>444</v>
      </c>
      <c r="AH105" s="10">
        <v>1368</v>
      </c>
      <c r="AI105" s="10">
        <v>1037</v>
      </c>
      <c r="AJ105" s="10">
        <v>1119</v>
      </c>
      <c r="AK105" s="10">
        <v>758</v>
      </c>
      <c r="AL105" s="10">
        <v>1110</v>
      </c>
      <c r="AM105" s="10">
        <v>700</v>
      </c>
      <c r="AN105" s="10">
        <v>1147</v>
      </c>
      <c r="AO105" s="10">
        <v>1568</v>
      </c>
      <c r="AP105" s="10">
        <v>1135</v>
      </c>
      <c r="AQ105" s="10">
        <v>1766</v>
      </c>
      <c r="AR105" s="10">
        <v>1104</v>
      </c>
      <c r="AS105" s="10">
        <v>1147</v>
      </c>
      <c r="AT105" s="10">
        <v>843</v>
      </c>
      <c r="AU105" s="10">
        <v>702</v>
      </c>
      <c r="AV105" s="10">
        <v>1085</v>
      </c>
      <c r="AW105" s="10">
        <v>839</v>
      </c>
      <c r="AX105" s="10">
        <v>574</v>
      </c>
      <c r="AY105" s="10">
        <v>890</v>
      </c>
      <c r="AZ105" s="10">
        <v>1198</v>
      </c>
      <c r="BA105" s="10">
        <v>1679</v>
      </c>
      <c r="BB105" s="10">
        <v>1548</v>
      </c>
      <c r="BC105" s="10">
        <v>2724</v>
      </c>
      <c r="BD105" s="10">
        <v>744</v>
      </c>
      <c r="BE105" s="10">
        <v>861</v>
      </c>
      <c r="BF105" s="10">
        <v>1705</v>
      </c>
      <c r="BG105" s="10">
        <v>1129</v>
      </c>
      <c r="BH105" s="10">
        <v>820</v>
      </c>
      <c r="BI105" s="10">
        <v>1951</v>
      </c>
      <c r="BJ105" s="10">
        <v>969</v>
      </c>
      <c r="BK105" s="10">
        <v>1490</v>
      </c>
      <c r="BL105" s="10">
        <v>693</v>
      </c>
    </row>
    <row r="106" spans="1:64">
      <c r="A106" s="1" t="s">
        <v>261</v>
      </c>
      <c r="B106" s="14">
        <v>455266</v>
      </c>
      <c r="C106" s="14">
        <v>218</v>
      </c>
      <c r="D106" s="2" t="str">
        <f>HYPERLINK("http://128.120.136.21:8080/binbase-compound/bin/show/240264?db=rtx5","240264")</f>
        <v>240264</v>
      </c>
      <c r="E106" s="2" t="s">
        <v>262</v>
      </c>
      <c r="F106" s="2" t="str">
        <f>HYPERLINK("http://www.genome.ad.jp/dbget-bin/www_bget?compound+C00872","C00872")</f>
        <v>C00872</v>
      </c>
      <c r="G106" s="2" t="str">
        <f>HYPERLINK("http://pubchem.ncbi.nlm.nih.gov/summary/summary.cgi?cid=100714","100714")</f>
        <v>100714</v>
      </c>
      <c r="H106" s="10">
        <v>1678</v>
      </c>
      <c r="I106" s="10">
        <v>823</v>
      </c>
      <c r="J106" s="10">
        <v>896</v>
      </c>
      <c r="K106" s="10">
        <v>992</v>
      </c>
      <c r="L106" s="10">
        <v>835</v>
      </c>
      <c r="M106" s="10">
        <v>1737</v>
      </c>
      <c r="N106" s="10">
        <v>846</v>
      </c>
      <c r="O106" s="10">
        <v>923</v>
      </c>
      <c r="P106" s="10">
        <v>1006</v>
      </c>
      <c r="Q106" s="10">
        <v>760</v>
      </c>
      <c r="R106" s="10">
        <v>895</v>
      </c>
      <c r="S106" s="10">
        <v>1105</v>
      </c>
      <c r="T106" s="10">
        <v>1286</v>
      </c>
      <c r="U106" s="10">
        <v>709</v>
      </c>
      <c r="V106" s="10">
        <v>752</v>
      </c>
      <c r="W106" s="10">
        <v>1446</v>
      </c>
      <c r="X106" s="10">
        <v>616</v>
      </c>
      <c r="Y106" s="10">
        <v>1137</v>
      </c>
      <c r="Z106" s="10">
        <v>1798</v>
      </c>
      <c r="AA106" s="10">
        <v>859</v>
      </c>
      <c r="AB106" s="10">
        <v>786</v>
      </c>
      <c r="AC106" s="10">
        <v>1145</v>
      </c>
      <c r="AD106" s="10">
        <v>889</v>
      </c>
      <c r="AE106" s="10">
        <v>745</v>
      </c>
      <c r="AF106" s="10">
        <v>1044</v>
      </c>
      <c r="AG106" s="10">
        <v>780</v>
      </c>
      <c r="AH106" s="10">
        <v>847</v>
      </c>
      <c r="AI106" s="10">
        <v>737</v>
      </c>
      <c r="AJ106" s="10">
        <v>697</v>
      </c>
      <c r="AK106" s="10">
        <v>899</v>
      </c>
      <c r="AL106" s="10">
        <v>650</v>
      </c>
      <c r="AM106" s="10">
        <v>672</v>
      </c>
      <c r="AN106" s="10">
        <v>619</v>
      </c>
      <c r="AO106" s="10">
        <v>452</v>
      </c>
      <c r="AP106" s="10">
        <v>544</v>
      </c>
      <c r="AQ106" s="10">
        <v>727</v>
      </c>
      <c r="AR106" s="10">
        <v>981</v>
      </c>
      <c r="AS106" s="10">
        <v>712</v>
      </c>
      <c r="AT106" s="10">
        <v>1192</v>
      </c>
      <c r="AU106" s="10">
        <v>2110</v>
      </c>
      <c r="AV106" s="10">
        <v>1190</v>
      </c>
      <c r="AW106" s="10">
        <v>1100</v>
      </c>
      <c r="AX106" s="10">
        <v>880</v>
      </c>
      <c r="AY106" s="10">
        <v>1001</v>
      </c>
      <c r="AZ106" s="10">
        <v>702</v>
      </c>
      <c r="BA106" s="10">
        <v>462</v>
      </c>
      <c r="BB106" s="10">
        <v>437</v>
      </c>
      <c r="BC106" s="10">
        <v>358</v>
      </c>
      <c r="BD106" s="10">
        <v>662</v>
      </c>
      <c r="BE106" s="10">
        <v>362</v>
      </c>
      <c r="BF106" s="10">
        <v>493</v>
      </c>
      <c r="BG106" s="10">
        <v>448</v>
      </c>
      <c r="BH106" s="10">
        <v>539</v>
      </c>
      <c r="BI106" s="10">
        <v>308</v>
      </c>
      <c r="BJ106" s="10">
        <v>472</v>
      </c>
      <c r="BK106" s="10">
        <v>954</v>
      </c>
      <c r="BL106" s="10">
        <v>899</v>
      </c>
    </row>
    <row r="107" spans="1:64">
      <c r="A107" s="1" t="s">
        <v>132</v>
      </c>
      <c r="B107" s="14">
        <v>594392</v>
      </c>
      <c r="C107" s="14">
        <v>174</v>
      </c>
      <c r="D107" s="2" t="str">
        <f>HYPERLINK("http://128.120.136.21:8080/binbase-compound/bin/show/202826?db=rtx5","202826")</f>
        <v>202826</v>
      </c>
      <c r="E107" s="2" t="s">
        <v>131</v>
      </c>
      <c r="F107" s="2" t="str">
        <f>HYPERLINK("http://www.genome.ad.jp/dbget-bin/www_bget?compound+C00077","C00077")</f>
        <v>C00077</v>
      </c>
      <c r="G107" s="2" t="str">
        <f>HYPERLINK("http://pubchem.ncbi.nlm.nih.gov/summary/summary.cgi?cid=6262","6262")</f>
        <v>6262</v>
      </c>
      <c r="H107" s="10">
        <v>968</v>
      </c>
      <c r="I107" s="10">
        <v>4318</v>
      </c>
      <c r="J107" s="10">
        <v>3094</v>
      </c>
      <c r="K107" s="10">
        <v>2374</v>
      </c>
      <c r="L107" s="10">
        <v>5009</v>
      </c>
      <c r="M107" s="10">
        <v>1181</v>
      </c>
      <c r="N107" s="10">
        <v>3217</v>
      </c>
      <c r="O107" s="10">
        <v>1642</v>
      </c>
      <c r="P107" s="10">
        <v>1624</v>
      </c>
      <c r="Q107" s="10">
        <v>3903</v>
      </c>
      <c r="R107" s="10">
        <v>4469</v>
      </c>
      <c r="S107" s="10">
        <v>2721</v>
      </c>
      <c r="T107" s="10">
        <v>2313</v>
      </c>
      <c r="U107" s="10">
        <v>3696</v>
      </c>
      <c r="V107" s="10">
        <v>4685</v>
      </c>
      <c r="W107" s="10">
        <v>1300</v>
      </c>
      <c r="X107" s="10">
        <v>1434</v>
      </c>
      <c r="Y107" s="10">
        <v>1604</v>
      </c>
      <c r="Z107" s="10">
        <v>3936</v>
      </c>
      <c r="AA107" s="10">
        <v>3951</v>
      </c>
      <c r="AB107" s="10">
        <v>3401</v>
      </c>
      <c r="AC107" s="10">
        <v>1602</v>
      </c>
      <c r="AD107" s="10">
        <v>1826</v>
      </c>
      <c r="AE107" s="10">
        <v>1516</v>
      </c>
      <c r="AF107" s="10">
        <v>915</v>
      </c>
      <c r="AG107" s="10">
        <v>2046</v>
      </c>
      <c r="AH107" s="10">
        <v>4330</v>
      </c>
      <c r="AI107" s="10">
        <v>2824</v>
      </c>
      <c r="AJ107" s="10">
        <v>4150</v>
      </c>
      <c r="AK107" s="10">
        <v>6798</v>
      </c>
      <c r="AL107" s="10">
        <v>7113</v>
      </c>
      <c r="AM107" s="10">
        <v>4440</v>
      </c>
      <c r="AN107" s="10">
        <v>5400</v>
      </c>
      <c r="AO107" s="10">
        <v>8231</v>
      </c>
      <c r="AP107" s="10">
        <v>2113</v>
      </c>
      <c r="AQ107" s="10">
        <v>4514</v>
      </c>
      <c r="AR107" s="10">
        <v>4038</v>
      </c>
      <c r="AS107" s="10">
        <v>3191</v>
      </c>
      <c r="AT107" s="10">
        <v>3477</v>
      </c>
      <c r="AU107" s="10">
        <v>2345</v>
      </c>
      <c r="AV107" s="10">
        <v>4105</v>
      </c>
      <c r="AW107" s="10">
        <v>3287</v>
      </c>
      <c r="AX107" s="10">
        <v>1643</v>
      </c>
      <c r="AY107" s="10">
        <v>2761</v>
      </c>
      <c r="AZ107" s="10">
        <v>2872</v>
      </c>
      <c r="BA107" s="10">
        <v>4941</v>
      </c>
      <c r="BB107" s="10">
        <v>3936</v>
      </c>
      <c r="BC107" s="10">
        <v>5253</v>
      </c>
      <c r="BD107" s="10">
        <v>3926</v>
      </c>
      <c r="BE107" s="10">
        <v>2818</v>
      </c>
      <c r="BF107" s="10">
        <v>4937</v>
      </c>
      <c r="BG107" s="10">
        <v>4888</v>
      </c>
      <c r="BH107" s="10">
        <v>3909</v>
      </c>
      <c r="BI107" s="10">
        <v>6591</v>
      </c>
      <c r="BJ107" s="10">
        <v>2398</v>
      </c>
      <c r="BK107" s="10">
        <v>2054</v>
      </c>
      <c r="BL107" s="10">
        <v>2187</v>
      </c>
    </row>
    <row r="108" spans="1:64">
      <c r="A108" s="1" t="s">
        <v>575</v>
      </c>
      <c r="B108" s="14">
        <v>577861</v>
      </c>
      <c r="C108" s="14">
        <v>117</v>
      </c>
      <c r="D108" s="2" t="str">
        <f>HYPERLINK("http://128.120.136.21:8080/binbase-compound/bin/show/205102?db=rtx5","205102")</f>
        <v>205102</v>
      </c>
      <c r="E108" s="2" t="s">
        <v>217</v>
      </c>
      <c r="F108" s="2" t="str">
        <f>HYPERLINK("http://www.genome.ad.jp/dbget-bin/www_bget?compound+C01018","C01018")</f>
        <v>C01018</v>
      </c>
      <c r="G108" s="2" t="str">
        <f>HYPERLINK("http://pubchem.ncbi.nlm.nih.gov/summary/summary.cgi?cid=94270","94270")</f>
        <v>94270</v>
      </c>
      <c r="H108" s="10">
        <v>2037</v>
      </c>
      <c r="I108" s="10">
        <v>5762</v>
      </c>
      <c r="J108" s="10">
        <v>8389</v>
      </c>
      <c r="K108" s="10">
        <v>1024</v>
      </c>
      <c r="L108" s="10">
        <v>2876</v>
      </c>
      <c r="M108" s="10">
        <v>750</v>
      </c>
      <c r="N108" s="10">
        <v>3722</v>
      </c>
      <c r="O108" s="10">
        <v>750</v>
      </c>
      <c r="P108" s="10">
        <v>1614</v>
      </c>
      <c r="Q108" s="10">
        <v>1105</v>
      </c>
      <c r="R108" s="10">
        <v>1196</v>
      </c>
      <c r="S108" s="10">
        <v>2042</v>
      </c>
      <c r="T108" s="10">
        <v>2156</v>
      </c>
      <c r="U108" s="10">
        <v>4795</v>
      </c>
      <c r="V108" s="10">
        <v>2904</v>
      </c>
      <c r="W108" s="10">
        <v>594</v>
      </c>
      <c r="X108" s="10">
        <v>670</v>
      </c>
      <c r="Y108" s="10">
        <v>939</v>
      </c>
      <c r="Z108" s="10">
        <v>785</v>
      </c>
      <c r="AA108" s="10">
        <v>2448</v>
      </c>
      <c r="AB108" s="10">
        <v>953</v>
      </c>
      <c r="AC108" s="10">
        <v>853</v>
      </c>
      <c r="AD108" s="10">
        <v>486</v>
      </c>
      <c r="AE108" s="10">
        <v>931</v>
      </c>
      <c r="AF108" s="10">
        <v>815</v>
      </c>
      <c r="AG108" s="10">
        <v>430</v>
      </c>
      <c r="AH108" s="10">
        <v>4332</v>
      </c>
      <c r="AI108" s="10">
        <v>4068</v>
      </c>
      <c r="AJ108" s="10">
        <v>1585</v>
      </c>
      <c r="AK108" s="10">
        <v>1185</v>
      </c>
      <c r="AL108" s="10">
        <v>2451</v>
      </c>
      <c r="AM108" s="10">
        <v>1794</v>
      </c>
      <c r="AN108" s="10">
        <v>4360</v>
      </c>
      <c r="AO108" s="10">
        <v>2854</v>
      </c>
      <c r="AP108" s="10">
        <v>1399</v>
      </c>
      <c r="AQ108" s="10">
        <v>2365</v>
      </c>
      <c r="AR108" s="10">
        <v>513</v>
      </c>
      <c r="AS108" s="10">
        <v>2222</v>
      </c>
      <c r="AT108" s="10">
        <v>1142</v>
      </c>
      <c r="AU108" s="10">
        <v>2175</v>
      </c>
      <c r="AV108" s="10">
        <v>7847</v>
      </c>
      <c r="AW108" s="10">
        <v>1797</v>
      </c>
      <c r="AX108" s="10">
        <v>3778</v>
      </c>
      <c r="AY108" s="10">
        <v>394</v>
      </c>
      <c r="AZ108" s="10">
        <v>5678</v>
      </c>
      <c r="BA108" s="10">
        <v>1064</v>
      </c>
      <c r="BB108" s="10">
        <v>1737</v>
      </c>
      <c r="BC108" s="10">
        <v>4536</v>
      </c>
      <c r="BD108" s="10">
        <v>670</v>
      </c>
      <c r="BE108" s="10">
        <v>776</v>
      </c>
      <c r="BF108" s="10">
        <v>3545</v>
      </c>
      <c r="BG108" s="10">
        <v>2216</v>
      </c>
      <c r="BH108" s="10">
        <v>1001</v>
      </c>
      <c r="BI108" s="10">
        <v>3357</v>
      </c>
      <c r="BJ108" s="10">
        <v>1470</v>
      </c>
      <c r="BK108" s="10">
        <v>1113</v>
      </c>
      <c r="BL108" s="10">
        <v>705</v>
      </c>
    </row>
    <row r="109" spans="1:64">
      <c r="A109" s="1" t="s">
        <v>182</v>
      </c>
      <c r="B109" s="14">
        <v>444244</v>
      </c>
      <c r="C109" s="14">
        <v>218</v>
      </c>
      <c r="D109" s="2" t="str">
        <f>HYPERLINK("http://128.120.136.21:8080/binbase-compound/bin/show/227861?db=rtx5","227861")</f>
        <v>227861</v>
      </c>
      <c r="E109" s="2" t="s">
        <v>183</v>
      </c>
      <c r="F109" s="2" t="str">
        <f>HYPERLINK("http://www.genome.ad.jp/dbget-bin/www_bget?compound+C00263","C00263")</f>
        <v>C00263</v>
      </c>
      <c r="G109" s="2" t="str">
        <f>HYPERLINK("http://pubchem.ncbi.nlm.nih.gov/summary/summary.cgi?cid=12647","12647")</f>
        <v>12647</v>
      </c>
      <c r="H109" s="10">
        <v>1281</v>
      </c>
      <c r="I109" s="10">
        <v>1982</v>
      </c>
      <c r="J109" s="10">
        <v>2077</v>
      </c>
      <c r="K109" s="10">
        <v>840</v>
      </c>
      <c r="L109" s="10">
        <v>2497</v>
      </c>
      <c r="M109" s="10">
        <v>1123</v>
      </c>
      <c r="N109" s="10">
        <v>2183</v>
      </c>
      <c r="O109" s="10">
        <v>1138</v>
      </c>
      <c r="P109" s="10">
        <v>962</v>
      </c>
      <c r="Q109" s="10">
        <v>2728</v>
      </c>
      <c r="R109" s="10">
        <v>3733</v>
      </c>
      <c r="S109" s="10">
        <v>3387</v>
      </c>
      <c r="T109" s="10">
        <v>1189</v>
      </c>
      <c r="U109" s="10">
        <v>1823</v>
      </c>
      <c r="V109" s="10">
        <v>1589</v>
      </c>
      <c r="W109" s="10">
        <v>1278</v>
      </c>
      <c r="X109" s="10">
        <v>1060</v>
      </c>
      <c r="Y109" s="10">
        <v>1218</v>
      </c>
      <c r="Z109" s="10">
        <v>1308</v>
      </c>
      <c r="AA109" s="10">
        <v>1850</v>
      </c>
      <c r="AB109" s="10">
        <v>1631</v>
      </c>
      <c r="AC109" s="10">
        <v>1422</v>
      </c>
      <c r="AD109" s="10">
        <v>914</v>
      </c>
      <c r="AE109" s="10">
        <v>1479</v>
      </c>
      <c r="AF109" s="10">
        <v>1326</v>
      </c>
      <c r="AG109" s="10">
        <v>867</v>
      </c>
      <c r="AH109" s="10">
        <v>2310</v>
      </c>
      <c r="AI109" s="10">
        <v>1847</v>
      </c>
      <c r="AJ109" s="10">
        <v>1217</v>
      </c>
      <c r="AK109" s="10">
        <v>3735</v>
      </c>
      <c r="AL109" s="10">
        <v>2288</v>
      </c>
      <c r="AM109" s="10">
        <v>2250</v>
      </c>
      <c r="AN109" s="10">
        <v>1837</v>
      </c>
      <c r="AO109" s="10">
        <v>1520</v>
      </c>
      <c r="AP109" s="10">
        <v>1151</v>
      </c>
      <c r="AQ109" s="10">
        <v>3879</v>
      </c>
      <c r="AR109" s="10">
        <v>1174</v>
      </c>
      <c r="AS109" s="10">
        <v>1653</v>
      </c>
      <c r="AT109" s="10">
        <v>1313</v>
      </c>
      <c r="AU109" s="10">
        <v>795</v>
      </c>
      <c r="AV109" s="10">
        <v>1419</v>
      </c>
      <c r="AW109" s="10">
        <v>1724</v>
      </c>
      <c r="AX109" s="10">
        <v>1991</v>
      </c>
      <c r="AY109" s="10">
        <v>1213</v>
      </c>
      <c r="AZ109" s="10">
        <v>1499</v>
      </c>
      <c r="BA109" s="10">
        <v>1713</v>
      </c>
      <c r="BB109" s="10">
        <v>1773</v>
      </c>
      <c r="BC109" s="10">
        <v>1373</v>
      </c>
      <c r="BD109" s="10">
        <v>1193</v>
      </c>
      <c r="BE109" s="10">
        <v>1218</v>
      </c>
      <c r="BF109" s="10">
        <v>1124</v>
      </c>
      <c r="BG109" s="10">
        <v>2703</v>
      </c>
      <c r="BH109" s="10">
        <v>1311</v>
      </c>
      <c r="BI109" s="10">
        <v>1566</v>
      </c>
      <c r="BJ109" s="10">
        <v>1012</v>
      </c>
      <c r="BK109" s="10">
        <v>1173</v>
      </c>
      <c r="BL109" s="10">
        <v>791</v>
      </c>
    </row>
    <row r="110" spans="1:64">
      <c r="A110" s="1" t="s">
        <v>252</v>
      </c>
      <c r="B110" s="14">
        <v>476542</v>
      </c>
      <c r="C110" s="14">
        <v>100</v>
      </c>
      <c r="D110" s="2" t="str">
        <f>HYPERLINK("http://128.120.136.21:8080/binbase-compound/bin/show/200518?db=rtx5","200518")</f>
        <v>200518</v>
      </c>
      <c r="E110" s="2" t="s">
        <v>251</v>
      </c>
      <c r="F110" s="2" t="str">
        <f>HYPERLINK("http://www.genome.ad.jp/dbget-bin/www_bget?compound+C00152","C00152")</f>
        <v>C00152</v>
      </c>
      <c r="G110" s="2" t="str">
        <f>HYPERLINK("http://pubchem.ncbi.nlm.nih.gov/summary/summary.cgi?cid=236","236")</f>
        <v>236</v>
      </c>
      <c r="H110" s="10">
        <v>719</v>
      </c>
      <c r="I110" s="10">
        <v>847</v>
      </c>
      <c r="J110" s="10">
        <v>775</v>
      </c>
      <c r="K110" s="10">
        <v>931</v>
      </c>
      <c r="L110" s="10">
        <v>713</v>
      </c>
      <c r="M110" s="10">
        <v>1417</v>
      </c>
      <c r="N110" s="10">
        <v>992</v>
      </c>
      <c r="O110" s="10">
        <v>896</v>
      </c>
      <c r="P110" s="10">
        <v>941</v>
      </c>
      <c r="Q110" s="10">
        <v>1287</v>
      </c>
      <c r="R110" s="10">
        <v>2857</v>
      </c>
      <c r="S110" s="10">
        <v>3201</v>
      </c>
      <c r="T110" s="10">
        <v>1040</v>
      </c>
      <c r="U110" s="10">
        <v>796</v>
      </c>
      <c r="V110" s="10">
        <v>841</v>
      </c>
      <c r="W110" s="10">
        <v>819</v>
      </c>
      <c r="X110" s="10">
        <v>346</v>
      </c>
      <c r="Y110" s="10">
        <v>237</v>
      </c>
      <c r="Z110" s="10">
        <v>982</v>
      </c>
      <c r="AA110" s="10">
        <v>1323</v>
      </c>
      <c r="AB110" s="10">
        <v>1301</v>
      </c>
      <c r="AC110" s="10">
        <v>682</v>
      </c>
      <c r="AD110" s="10">
        <v>702</v>
      </c>
      <c r="AE110" s="10">
        <v>764</v>
      </c>
      <c r="AF110" s="10">
        <v>920</v>
      </c>
      <c r="AG110" s="10">
        <v>566</v>
      </c>
      <c r="AH110" s="10">
        <v>671</v>
      </c>
      <c r="AI110" s="10">
        <v>874</v>
      </c>
      <c r="AJ110" s="10">
        <v>883</v>
      </c>
      <c r="AK110" s="10">
        <v>1367</v>
      </c>
      <c r="AL110" s="10">
        <v>816</v>
      </c>
      <c r="AM110" s="10">
        <v>880</v>
      </c>
      <c r="AN110" s="10">
        <v>779</v>
      </c>
      <c r="AO110" s="10">
        <v>897</v>
      </c>
      <c r="AP110" s="10">
        <v>1105</v>
      </c>
      <c r="AQ110" s="10">
        <v>2333</v>
      </c>
      <c r="AR110" s="10">
        <v>1017</v>
      </c>
      <c r="AS110" s="10">
        <v>1010</v>
      </c>
      <c r="AT110" s="10">
        <v>1182</v>
      </c>
      <c r="AU110" s="10">
        <v>1486</v>
      </c>
      <c r="AV110" s="10">
        <v>737</v>
      </c>
      <c r="AW110" s="10">
        <v>1327</v>
      </c>
      <c r="AX110" s="10">
        <v>913</v>
      </c>
      <c r="AY110" s="10">
        <v>873</v>
      </c>
      <c r="AZ110" s="10">
        <v>979</v>
      </c>
      <c r="BA110" s="10">
        <v>1072</v>
      </c>
      <c r="BB110" s="10">
        <v>745</v>
      </c>
      <c r="BC110" s="10">
        <v>1024</v>
      </c>
      <c r="BD110" s="10">
        <v>1049</v>
      </c>
      <c r="BE110" s="10">
        <v>881</v>
      </c>
      <c r="BF110" s="10">
        <v>911</v>
      </c>
      <c r="BG110" s="10">
        <v>906</v>
      </c>
      <c r="BH110" s="10">
        <v>842</v>
      </c>
      <c r="BI110" s="10">
        <v>930</v>
      </c>
      <c r="BJ110" s="10">
        <v>796</v>
      </c>
      <c r="BK110" s="10">
        <v>1020</v>
      </c>
      <c r="BL110" s="10">
        <v>1571</v>
      </c>
    </row>
    <row r="111" spans="1:64">
      <c r="A111" s="1" t="s">
        <v>275</v>
      </c>
      <c r="B111" s="14">
        <v>863982</v>
      </c>
      <c r="C111" s="14">
        <v>174</v>
      </c>
      <c r="D111" s="2" t="str">
        <f>HYPERLINK("http://128.120.136.21:8080/binbase-compound/bin/show/200896?db=rtx5","200896")</f>
        <v>200896</v>
      </c>
      <c r="E111" s="2" t="s">
        <v>276</v>
      </c>
      <c r="F111" s="2" t="str">
        <f>HYPERLINK("http://www.genome.ad.jp/dbget-bin/www_bget?compound+C05659","C05659")</f>
        <v>C05659</v>
      </c>
      <c r="G111" s="2" t="str">
        <f>HYPERLINK("http://pubchem.ncbi.nlm.nih.gov/summary/summary.cgi?cid=1833","1833")</f>
        <v>1833</v>
      </c>
      <c r="H111" s="10">
        <v>1294</v>
      </c>
      <c r="I111" s="10">
        <v>685</v>
      </c>
      <c r="J111" s="10">
        <v>804</v>
      </c>
      <c r="K111" s="10">
        <v>1492</v>
      </c>
      <c r="L111" s="10">
        <v>534</v>
      </c>
      <c r="M111" s="10">
        <v>1500</v>
      </c>
      <c r="N111" s="10">
        <v>1053</v>
      </c>
      <c r="O111" s="10">
        <v>1445</v>
      </c>
      <c r="P111" s="10">
        <v>900</v>
      </c>
      <c r="Q111" s="10">
        <v>595</v>
      </c>
      <c r="R111" s="10">
        <v>730</v>
      </c>
      <c r="S111" s="10">
        <v>1574</v>
      </c>
      <c r="T111" s="10">
        <v>1097</v>
      </c>
      <c r="U111" s="10">
        <v>749</v>
      </c>
      <c r="V111" s="10">
        <v>1200</v>
      </c>
      <c r="W111" s="10">
        <v>1269</v>
      </c>
      <c r="X111" s="10">
        <v>707</v>
      </c>
      <c r="Y111" s="10">
        <v>2776</v>
      </c>
      <c r="Z111" s="10">
        <v>2399</v>
      </c>
      <c r="AA111" s="10">
        <v>599</v>
      </c>
      <c r="AB111" s="10">
        <v>625</v>
      </c>
      <c r="AC111" s="10">
        <v>1698</v>
      </c>
      <c r="AD111" s="10">
        <v>1083</v>
      </c>
      <c r="AE111" s="10">
        <v>661</v>
      </c>
      <c r="AF111" s="10">
        <v>1292</v>
      </c>
      <c r="AG111" s="10">
        <v>590</v>
      </c>
      <c r="AH111" s="10">
        <v>530</v>
      </c>
      <c r="AI111" s="10">
        <v>617</v>
      </c>
      <c r="AJ111" s="10">
        <v>814</v>
      </c>
      <c r="AK111" s="10">
        <v>976</v>
      </c>
      <c r="AL111" s="10">
        <v>690</v>
      </c>
      <c r="AM111" s="10">
        <v>581</v>
      </c>
      <c r="AN111" s="10">
        <v>714</v>
      </c>
      <c r="AO111" s="10">
        <v>725</v>
      </c>
      <c r="AP111" s="10">
        <v>627</v>
      </c>
      <c r="AQ111" s="10">
        <v>967</v>
      </c>
      <c r="AR111" s="10">
        <v>1511</v>
      </c>
      <c r="AS111" s="10">
        <v>754</v>
      </c>
      <c r="AT111" s="10">
        <v>610</v>
      </c>
      <c r="AU111" s="10">
        <v>1836</v>
      </c>
      <c r="AV111" s="10">
        <v>835</v>
      </c>
      <c r="AW111" s="10">
        <v>1165</v>
      </c>
      <c r="AX111" s="10">
        <v>584</v>
      </c>
      <c r="AY111" s="10">
        <v>537</v>
      </c>
      <c r="AZ111" s="10">
        <v>520</v>
      </c>
      <c r="BA111" s="10">
        <v>1299</v>
      </c>
      <c r="BB111" s="10">
        <v>872</v>
      </c>
      <c r="BC111" s="10">
        <v>824</v>
      </c>
      <c r="BD111" s="10">
        <v>1107</v>
      </c>
      <c r="BE111" s="10">
        <v>961</v>
      </c>
      <c r="BF111" s="10">
        <v>624</v>
      </c>
      <c r="BG111" s="10">
        <v>432</v>
      </c>
      <c r="BH111" s="10">
        <v>711</v>
      </c>
      <c r="BI111" s="10">
        <v>555</v>
      </c>
      <c r="BJ111" s="10">
        <v>1006</v>
      </c>
      <c r="BK111" s="10">
        <v>566</v>
      </c>
      <c r="BL111" s="10">
        <v>496</v>
      </c>
    </row>
    <row r="112" spans="1:64">
      <c r="A112" s="1" t="s">
        <v>566</v>
      </c>
      <c r="B112" s="14">
        <v>773946</v>
      </c>
      <c r="C112" s="14">
        <v>86</v>
      </c>
      <c r="D112" s="2" t="str">
        <f>HYPERLINK("http://128.120.136.21:8080/binbase-compound/bin/show/211951?db=rtx5","211951")</f>
        <v>211951</v>
      </c>
      <c r="E112" s="2" t="s">
        <v>88</v>
      </c>
      <c r="F112" s="2" t="str">
        <f>HYPERLINK("http://www.genome.ad.jp/dbget-bin/www_bget?compound+C00315","C00315")</f>
        <v>C00315</v>
      </c>
      <c r="G112" s="2" t="str">
        <f>HYPERLINK("http://pubchem.ncbi.nlm.nih.gov/summary/summary.cgi?cid=1102","1102")</f>
        <v>1102</v>
      </c>
      <c r="H112" s="10">
        <v>30491</v>
      </c>
      <c r="I112" s="10">
        <v>6240</v>
      </c>
      <c r="J112" s="10">
        <v>10054</v>
      </c>
      <c r="K112" s="10">
        <v>11551</v>
      </c>
      <c r="L112" s="10">
        <v>9306</v>
      </c>
      <c r="M112" s="10">
        <v>27528</v>
      </c>
      <c r="N112" s="10">
        <v>7538</v>
      </c>
      <c r="O112" s="10">
        <v>16010</v>
      </c>
      <c r="P112" s="10">
        <v>10102</v>
      </c>
      <c r="Q112" s="10">
        <v>2719</v>
      </c>
      <c r="R112" s="10">
        <v>3515</v>
      </c>
      <c r="S112" s="10">
        <v>4577</v>
      </c>
      <c r="T112" s="10">
        <v>20745</v>
      </c>
      <c r="U112" s="10">
        <v>7481</v>
      </c>
      <c r="V112" s="10">
        <v>7628</v>
      </c>
      <c r="W112" s="10">
        <v>23457</v>
      </c>
      <c r="X112" s="10">
        <v>16000</v>
      </c>
      <c r="Y112" s="10">
        <v>12650</v>
      </c>
      <c r="Z112" s="10">
        <v>61486</v>
      </c>
      <c r="AA112" s="10">
        <v>13376</v>
      </c>
      <c r="AB112" s="10">
        <v>30022</v>
      </c>
      <c r="AC112" s="10">
        <v>17473</v>
      </c>
      <c r="AD112" s="10">
        <v>27559</v>
      </c>
      <c r="AE112" s="10">
        <v>11822</v>
      </c>
      <c r="AF112" s="10">
        <v>45724</v>
      </c>
      <c r="AG112" s="10">
        <v>20153</v>
      </c>
      <c r="AH112" s="10">
        <v>8127</v>
      </c>
      <c r="AI112" s="10">
        <v>15747</v>
      </c>
      <c r="AJ112" s="10">
        <v>11929</v>
      </c>
      <c r="AK112" s="10">
        <v>22816</v>
      </c>
      <c r="AL112" s="10">
        <v>7597</v>
      </c>
      <c r="AM112" s="10">
        <v>8328</v>
      </c>
      <c r="AN112" s="10">
        <v>9738</v>
      </c>
      <c r="AO112" s="10">
        <v>10321</v>
      </c>
      <c r="AP112" s="10">
        <v>13287</v>
      </c>
      <c r="AQ112" s="10">
        <v>20138</v>
      </c>
      <c r="AR112" s="10">
        <v>47395</v>
      </c>
      <c r="AS112" s="10">
        <v>15987</v>
      </c>
      <c r="AT112" s="10">
        <v>22976</v>
      </c>
      <c r="AU112" s="10">
        <v>37796</v>
      </c>
      <c r="AV112" s="10">
        <v>16200</v>
      </c>
      <c r="AW112" s="10">
        <v>38006</v>
      </c>
      <c r="AX112" s="10">
        <v>9742</v>
      </c>
      <c r="AY112" s="10">
        <v>15333</v>
      </c>
      <c r="AZ112" s="10">
        <v>12845</v>
      </c>
      <c r="BA112" s="10">
        <v>18460</v>
      </c>
      <c r="BB112" s="10">
        <v>15581</v>
      </c>
      <c r="BC112" s="10">
        <v>11864</v>
      </c>
      <c r="BD112" s="10">
        <v>16649</v>
      </c>
      <c r="BE112" s="10">
        <v>23101</v>
      </c>
      <c r="BF112" s="10">
        <v>12185</v>
      </c>
      <c r="BG112" s="10">
        <v>9131</v>
      </c>
      <c r="BH112" s="10">
        <v>20486</v>
      </c>
      <c r="BI112" s="10">
        <v>12878</v>
      </c>
      <c r="BJ112" s="10">
        <v>10689</v>
      </c>
      <c r="BK112" s="10">
        <v>12791</v>
      </c>
      <c r="BL112" s="10">
        <v>19323</v>
      </c>
    </row>
    <row r="113" spans="1:64">
      <c r="A113" s="1" t="s">
        <v>208</v>
      </c>
      <c r="B113" s="14">
        <v>594823</v>
      </c>
      <c r="C113" s="14">
        <v>217</v>
      </c>
      <c r="D113" s="2" t="str">
        <f>HYPERLINK("http://128.120.136.21:8080/binbase-compound/bin/show/199178?db=rtx5","199178")</f>
        <v>199178</v>
      </c>
      <c r="E113" s="2" t="s">
        <v>209</v>
      </c>
      <c r="F113" s="2" t="str">
        <f>HYPERLINK("http://www.genome.ad.jp/dbget-bin/www_bget?compound+C00103","C00103")</f>
        <v>C00103</v>
      </c>
      <c r="G113" s="2" t="str">
        <f>HYPERLINK("http://pubchem.ncbi.nlm.nih.gov/summary/summary.cgi?cid=65533","65533")</f>
        <v>65533</v>
      </c>
      <c r="H113" s="10">
        <v>901</v>
      </c>
      <c r="I113" s="10">
        <v>1206</v>
      </c>
      <c r="J113" s="10">
        <v>1079</v>
      </c>
      <c r="K113" s="10">
        <v>1170</v>
      </c>
      <c r="L113" s="10">
        <v>932</v>
      </c>
      <c r="M113" s="10">
        <v>570</v>
      </c>
      <c r="N113" s="10">
        <v>1176</v>
      </c>
      <c r="O113" s="10">
        <v>1159</v>
      </c>
      <c r="P113" s="10">
        <v>619</v>
      </c>
      <c r="Q113" s="10">
        <v>1125</v>
      </c>
      <c r="R113" s="10">
        <v>768</v>
      </c>
      <c r="S113" s="10">
        <v>823</v>
      </c>
      <c r="T113" s="10">
        <v>669</v>
      </c>
      <c r="U113" s="10">
        <v>889</v>
      </c>
      <c r="V113" s="10">
        <v>549</v>
      </c>
      <c r="W113" s="10">
        <v>919</v>
      </c>
      <c r="X113" s="10">
        <v>748</v>
      </c>
      <c r="Y113" s="10">
        <v>693</v>
      </c>
      <c r="Z113" s="10">
        <v>457</v>
      </c>
      <c r="AA113" s="10">
        <v>967</v>
      </c>
      <c r="AB113" s="10">
        <v>1520</v>
      </c>
      <c r="AC113" s="10">
        <v>903</v>
      </c>
      <c r="AD113" s="10">
        <v>1024</v>
      </c>
      <c r="AE113" s="10">
        <v>803</v>
      </c>
      <c r="AF113" s="10">
        <v>992</v>
      </c>
      <c r="AG113" s="10">
        <v>522</v>
      </c>
      <c r="AH113" s="10">
        <v>1726</v>
      </c>
      <c r="AI113" s="10">
        <v>1019</v>
      </c>
      <c r="AJ113" s="10">
        <v>1220</v>
      </c>
      <c r="AK113" s="10">
        <v>2135</v>
      </c>
      <c r="AL113" s="10">
        <v>2504</v>
      </c>
      <c r="AM113" s="10">
        <v>1295</v>
      </c>
      <c r="AN113" s="10">
        <v>1390</v>
      </c>
      <c r="AO113" s="10">
        <v>1833</v>
      </c>
      <c r="AP113" s="10">
        <v>1003</v>
      </c>
      <c r="AQ113" s="10">
        <v>2649</v>
      </c>
      <c r="AR113" s="10">
        <v>885</v>
      </c>
      <c r="AS113" s="10">
        <v>1072</v>
      </c>
      <c r="AT113" s="10">
        <v>1123</v>
      </c>
      <c r="AU113" s="10">
        <v>652</v>
      </c>
      <c r="AV113" s="10">
        <v>14072</v>
      </c>
      <c r="AW113" s="10">
        <v>1824</v>
      </c>
      <c r="AX113" s="10">
        <v>1351</v>
      </c>
      <c r="AY113" s="10">
        <v>1149</v>
      </c>
      <c r="AZ113" s="10">
        <v>1409</v>
      </c>
      <c r="BA113" s="10">
        <v>1068</v>
      </c>
      <c r="BB113" s="10">
        <v>1689</v>
      </c>
      <c r="BC113" s="10">
        <v>1648</v>
      </c>
      <c r="BD113" s="10">
        <v>1393</v>
      </c>
      <c r="BE113" s="10">
        <v>1838</v>
      </c>
      <c r="BF113" s="10">
        <v>2117</v>
      </c>
      <c r="BG113" s="10">
        <v>2986</v>
      </c>
      <c r="BH113" s="10">
        <v>1168</v>
      </c>
      <c r="BI113" s="10">
        <v>1504</v>
      </c>
      <c r="BJ113" s="10">
        <v>1396</v>
      </c>
      <c r="BK113" s="10">
        <v>1163</v>
      </c>
      <c r="BL113" s="10">
        <v>1051</v>
      </c>
    </row>
    <row r="114" spans="1:64">
      <c r="A114" s="1" t="s">
        <v>576</v>
      </c>
      <c r="B114" s="14">
        <v>638631</v>
      </c>
      <c r="C114" s="14">
        <v>307</v>
      </c>
      <c r="D114" s="2" t="str">
        <f>HYPERLINK("http://128.120.136.21:8080/binbase-compound/bin/show/199188?db=rtx5","199188")</f>
        <v>199188</v>
      </c>
      <c r="E114" s="2" t="s">
        <v>220</v>
      </c>
      <c r="F114" s="2" t="str">
        <f>HYPERLINK("http://www.genome.ad.jp/dbget-bin/www_bget?compound+C00095","C00095")</f>
        <v>C00095</v>
      </c>
      <c r="G114" s="2" t="str">
        <f>HYPERLINK("http://pubchem.ncbi.nlm.nih.gov/summary/summary.cgi?cid=5984","5984")</f>
        <v>5984</v>
      </c>
      <c r="H114" s="10">
        <v>1064</v>
      </c>
      <c r="I114" s="10">
        <v>1984</v>
      </c>
      <c r="J114" s="10">
        <v>1191</v>
      </c>
      <c r="K114" s="10">
        <v>926</v>
      </c>
      <c r="L114" s="10">
        <v>726</v>
      </c>
      <c r="M114" s="10">
        <v>670</v>
      </c>
      <c r="N114" s="10">
        <v>789</v>
      </c>
      <c r="O114" s="10">
        <v>482</v>
      </c>
      <c r="P114" s="10">
        <v>499</v>
      </c>
      <c r="Q114" s="10">
        <v>6276</v>
      </c>
      <c r="R114" s="10">
        <v>7569</v>
      </c>
      <c r="S114" s="10">
        <v>6084</v>
      </c>
      <c r="T114" s="10">
        <v>740</v>
      </c>
      <c r="U114" s="10">
        <v>693</v>
      </c>
      <c r="V114" s="10">
        <v>537</v>
      </c>
      <c r="W114" s="10">
        <v>851</v>
      </c>
      <c r="X114" s="10">
        <v>964</v>
      </c>
      <c r="Y114" s="10">
        <v>1147</v>
      </c>
      <c r="Z114" s="10">
        <v>539</v>
      </c>
      <c r="AA114" s="10">
        <v>831</v>
      </c>
      <c r="AB114" s="10">
        <v>983</v>
      </c>
      <c r="AC114" s="10">
        <v>1957</v>
      </c>
      <c r="AD114" s="10">
        <v>1574</v>
      </c>
      <c r="AE114" s="10">
        <v>2309</v>
      </c>
      <c r="AF114" s="10">
        <v>1083</v>
      </c>
      <c r="AG114" s="10">
        <v>2842</v>
      </c>
      <c r="AH114" s="10">
        <v>5274</v>
      </c>
      <c r="AI114" s="10">
        <v>714</v>
      </c>
      <c r="AJ114" s="10">
        <v>607</v>
      </c>
      <c r="AK114" s="10">
        <v>731</v>
      </c>
      <c r="AL114" s="10">
        <v>874</v>
      </c>
      <c r="AM114" s="10">
        <v>710</v>
      </c>
      <c r="AN114" s="10">
        <v>923</v>
      </c>
      <c r="AO114" s="10">
        <v>835</v>
      </c>
      <c r="AP114" s="10">
        <v>747</v>
      </c>
      <c r="AQ114" s="10">
        <v>1462</v>
      </c>
      <c r="AR114" s="10">
        <v>1063</v>
      </c>
      <c r="AS114" s="10">
        <v>1311</v>
      </c>
      <c r="AT114" s="10">
        <v>1461</v>
      </c>
      <c r="AU114" s="10">
        <v>395</v>
      </c>
      <c r="AV114" s="10">
        <v>583</v>
      </c>
      <c r="AW114" s="10">
        <v>695</v>
      </c>
      <c r="AX114" s="10">
        <v>989</v>
      </c>
      <c r="AY114" s="10">
        <v>602</v>
      </c>
      <c r="AZ114" s="10">
        <v>750</v>
      </c>
      <c r="BA114" s="10">
        <v>141</v>
      </c>
      <c r="BB114" s="10">
        <v>545</v>
      </c>
      <c r="BC114" s="10">
        <v>616</v>
      </c>
      <c r="BD114" s="10">
        <v>379</v>
      </c>
      <c r="BE114" s="10">
        <v>657</v>
      </c>
      <c r="BF114" s="10">
        <v>948</v>
      </c>
      <c r="BG114" s="10">
        <v>706</v>
      </c>
      <c r="BH114" s="10">
        <v>601</v>
      </c>
      <c r="BI114" s="10">
        <v>895</v>
      </c>
      <c r="BJ114" s="10">
        <v>656</v>
      </c>
      <c r="BK114" s="10">
        <v>780</v>
      </c>
      <c r="BL114" s="10">
        <v>489</v>
      </c>
    </row>
    <row r="115" spans="1:64">
      <c r="A115" s="1" t="s">
        <v>399</v>
      </c>
      <c r="B115" s="14">
        <v>686574</v>
      </c>
      <c r="C115" s="14">
        <v>272</v>
      </c>
      <c r="D115" s="2" t="str">
        <f>HYPERLINK("http://128.120.136.21:8080/binbase-compound/bin/show/227633?db=rtx5","227633")</f>
        <v>227633</v>
      </c>
      <c r="E115" s="2" t="s">
        <v>400</v>
      </c>
      <c r="F115" s="2" t="str">
        <f>HYPERLINK("http://www.genome.ad.jp/dbget-bin/www_bget?compound+C00666","C00666")</f>
        <v>C00666</v>
      </c>
      <c r="G115" s="2" t="str">
        <f>HYPERLINK("http://pubchem.ncbi.nlm.nih.gov/summary/summary.cgi?cid=439283","439283")</f>
        <v>439283</v>
      </c>
      <c r="H115" s="10">
        <v>286</v>
      </c>
      <c r="I115" s="10">
        <v>3545</v>
      </c>
      <c r="J115" s="10">
        <v>1640</v>
      </c>
      <c r="K115" s="10">
        <v>519</v>
      </c>
      <c r="L115" s="10">
        <v>1612</v>
      </c>
      <c r="M115" s="10">
        <v>192</v>
      </c>
      <c r="N115" s="10">
        <v>1234</v>
      </c>
      <c r="O115" s="10">
        <v>499</v>
      </c>
      <c r="P115" s="10">
        <v>795</v>
      </c>
      <c r="Q115" s="10">
        <v>148</v>
      </c>
      <c r="R115" s="10">
        <v>127</v>
      </c>
      <c r="S115" s="10">
        <v>853</v>
      </c>
      <c r="T115" s="10">
        <v>421</v>
      </c>
      <c r="U115" s="10">
        <v>1663</v>
      </c>
      <c r="V115" s="10">
        <v>1079</v>
      </c>
      <c r="W115" s="10">
        <v>359</v>
      </c>
      <c r="X115" s="10">
        <v>464</v>
      </c>
      <c r="Y115" s="10">
        <v>982</v>
      </c>
      <c r="Z115" s="10">
        <v>282</v>
      </c>
      <c r="AA115" s="10">
        <v>223</v>
      </c>
      <c r="AB115" s="10">
        <v>438</v>
      </c>
      <c r="AC115" s="10">
        <v>595</v>
      </c>
      <c r="AD115" s="10">
        <v>300</v>
      </c>
      <c r="AE115" s="10">
        <v>1623</v>
      </c>
      <c r="AF115" s="10">
        <v>311</v>
      </c>
      <c r="AG115" s="10">
        <v>317</v>
      </c>
      <c r="AH115" s="10">
        <v>967</v>
      </c>
      <c r="AI115" s="10">
        <v>881</v>
      </c>
      <c r="AJ115" s="10">
        <v>505</v>
      </c>
      <c r="AK115" s="10">
        <v>493</v>
      </c>
      <c r="AL115" s="10">
        <v>329</v>
      </c>
      <c r="AM115" s="10">
        <v>288</v>
      </c>
      <c r="AN115" s="10">
        <v>447</v>
      </c>
      <c r="AO115" s="10">
        <v>418</v>
      </c>
      <c r="AP115" s="10">
        <v>550</v>
      </c>
      <c r="AQ115" s="10">
        <v>695</v>
      </c>
      <c r="AR115" s="10">
        <v>496</v>
      </c>
      <c r="AS115" s="10">
        <v>594</v>
      </c>
      <c r="AT115" s="10">
        <v>440</v>
      </c>
      <c r="AU115" s="10">
        <v>291</v>
      </c>
      <c r="AV115" s="10">
        <v>1154</v>
      </c>
      <c r="AW115" s="10">
        <v>526</v>
      </c>
      <c r="AX115" s="10">
        <v>479</v>
      </c>
      <c r="AY115" s="10">
        <v>1203</v>
      </c>
      <c r="AZ115" s="10">
        <v>948</v>
      </c>
      <c r="BA115" s="10">
        <v>301</v>
      </c>
      <c r="BB115" s="10">
        <v>396</v>
      </c>
      <c r="BC115" s="10">
        <v>297</v>
      </c>
      <c r="BD115" s="10">
        <v>633</v>
      </c>
      <c r="BE115" s="10">
        <v>305</v>
      </c>
      <c r="BF115" s="10">
        <v>450</v>
      </c>
      <c r="BG115" s="10">
        <v>294</v>
      </c>
      <c r="BH115" s="10">
        <v>490</v>
      </c>
      <c r="BI115" s="10">
        <v>432</v>
      </c>
      <c r="BJ115" s="10">
        <v>479</v>
      </c>
      <c r="BK115" s="10">
        <v>317</v>
      </c>
      <c r="BL115" s="10">
        <v>251</v>
      </c>
    </row>
    <row r="116" spans="1:64">
      <c r="A116" s="1" t="s">
        <v>137</v>
      </c>
      <c r="B116" s="14">
        <v>315496</v>
      </c>
      <c r="C116" s="14">
        <v>128</v>
      </c>
      <c r="D116" s="2" t="str">
        <f>HYPERLINK("http://128.120.136.21:8080/binbase-compound/bin/show/199632?db=rtx5","199632")</f>
        <v>199632</v>
      </c>
      <c r="E116" s="2" t="s">
        <v>138</v>
      </c>
      <c r="F116" s="2" t="str">
        <f>HYPERLINK("http://www.genome.ad.jp/dbget-bin/www_bget?compound+C00829","C00829")</f>
        <v>C00829</v>
      </c>
      <c r="G116" s="2" t="str">
        <f>HYPERLINK("http://pubchem.ncbi.nlm.nih.gov/summary/summary.cgi?cid=931","931")</f>
        <v>931</v>
      </c>
      <c r="H116" s="10">
        <v>564</v>
      </c>
      <c r="I116" s="10">
        <v>874</v>
      </c>
      <c r="J116" s="10">
        <v>1311</v>
      </c>
      <c r="K116" s="10">
        <v>462</v>
      </c>
      <c r="L116" s="10">
        <v>1375</v>
      </c>
      <c r="M116" s="10">
        <v>916</v>
      </c>
      <c r="N116" s="10">
        <v>1042</v>
      </c>
      <c r="O116" s="10">
        <v>610</v>
      </c>
      <c r="P116" s="10">
        <v>793</v>
      </c>
      <c r="Q116" s="10">
        <v>3664</v>
      </c>
      <c r="R116" s="10">
        <v>909</v>
      </c>
      <c r="S116" s="10">
        <v>5015</v>
      </c>
      <c r="T116" s="10">
        <v>2104</v>
      </c>
      <c r="U116" s="10">
        <v>949</v>
      </c>
      <c r="V116" s="10">
        <v>1943</v>
      </c>
      <c r="W116" s="10">
        <v>623</v>
      </c>
      <c r="X116" s="10">
        <v>1097</v>
      </c>
      <c r="Y116" s="10">
        <v>849</v>
      </c>
      <c r="Z116" s="10">
        <v>885</v>
      </c>
      <c r="AA116" s="10">
        <v>1785</v>
      </c>
      <c r="AB116" s="10">
        <v>2059</v>
      </c>
      <c r="AC116" s="10">
        <v>1028</v>
      </c>
      <c r="AD116" s="10">
        <v>710</v>
      </c>
      <c r="AE116" s="10">
        <v>881</v>
      </c>
      <c r="AF116" s="10">
        <v>672</v>
      </c>
      <c r="AG116" s="10">
        <v>718</v>
      </c>
      <c r="AH116" s="10">
        <v>2436</v>
      </c>
      <c r="AI116" s="10">
        <v>1576</v>
      </c>
      <c r="AJ116" s="10">
        <v>958</v>
      </c>
      <c r="AK116" s="10">
        <v>1921</v>
      </c>
      <c r="AL116" s="10">
        <v>1820</v>
      </c>
      <c r="AM116" s="10">
        <v>1874</v>
      </c>
      <c r="AN116" s="10">
        <v>1412</v>
      </c>
      <c r="AO116" s="10">
        <v>2024</v>
      </c>
      <c r="AP116" s="10">
        <v>2058</v>
      </c>
      <c r="AQ116" s="10">
        <v>3587</v>
      </c>
      <c r="AR116" s="10">
        <v>1289</v>
      </c>
      <c r="AS116" s="10">
        <v>1415</v>
      </c>
      <c r="AT116" s="10">
        <v>1867</v>
      </c>
      <c r="AU116" s="10">
        <v>494</v>
      </c>
      <c r="AV116" s="10">
        <v>1292</v>
      </c>
      <c r="AW116" s="10">
        <v>1165</v>
      </c>
      <c r="AX116" s="10">
        <v>1017</v>
      </c>
      <c r="AY116" s="10">
        <v>1270</v>
      </c>
      <c r="AZ116" s="10">
        <v>2067</v>
      </c>
      <c r="BA116" s="10">
        <v>1348</v>
      </c>
      <c r="BB116" s="10">
        <v>1744</v>
      </c>
      <c r="BC116" s="10">
        <v>2486</v>
      </c>
      <c r="BD116" s="10">
        <v>901</v>
      </c>
      <c r="BE116" s="10">
        <v>759</v>
      </c>
      <c r="BF116" s="10">
        <v>2095</v>
      </c>
      <c r="BG116" s="10">
        <v>3807</v>
      </c>
      <c r="BH116" s="10">
        <v>972</v>
      </c>
      <c r="BI116" s="10">
        <v>1620</v>
      </c>
      <c r="BJ116" s="10">
        <v>1021</v>
      </c>
      <c r="BK116" s="10">
        <v>965</v>
      </c>
      <c r="BL116" s="10">
        <v>697</v>
      </c>
    </row>
    <row r="117" spans="1:64">
      <c r="A117" s="1" t="s">
        <v>255</v>
      </c>
      <c r="B117" s="14">
        <v>855930</v>
      </c>
      <c r="C117" s="14">
        <v>117</v>
      </c>
      <c r="D117" s="2" t="str">
        <f>HYPERLINK("http://128.120.136.21:8080/binbase-compound/bin/show/410997?db=rtx5","410997")</f>
        <v>410997</v>
      </c>
      <c r="E117" s="2" t="s">
        <v>256</v>
      </c>
      <c r="F117" s="2" t="s">
        <v>57</v>
      </c>
      <c r="G117" s="2" t="s">
        <v>57</v>
      </c>
      <c r="H117" s="10">
        <v>2335</v>
      </c>
      <c r="I117" s="10">
        <v>2307</v>
      </c>
      <c r="J117" s="10">
        <v>2488</v>
      </c>
      <c r="K117" s="10">
        <v>2711</v>
      </c>
      <c r="L117" s="10">
        <v>3693</v>
      </c>
      <c r="M117" s="10">
        <v>3489</v>
      </c>
      <c r="N117" s="10">
        <v>5589</v>
      </c>
      <c r="O117" s="10">
        <v>2045</v>
      </c>
      <c r="P117" s="10">
        <v>2125</v>
      </c>
      <c r="Q117" s="10">
        <v>5408</v>
      </c>
      <c r="R117" s="10">
        <v>3311</v>
      </c>
      <c r="S117" s="10">
        <v>8414</v>
      </c>
      <c r="T117" s="10">
        <v>1775</v>
      </c>
      <c r="U117" s="10">
        <v>2459</v>
      </c>
      <c r="V117" s="10">
        <v>2204</v>
      </c>
      <c r="W117" s="10">
        <v>6276</v>
      </c>
      <c r="X117" s="10">
        <v>4883</v>
      </c>
      <c r="Y117" s="10">
        <v>4603</v>
      </c>
      <c r="Z117" s="10">
        <v>1831</v>
      </c>
      <c r="AA117" s="10">
        <v>2170</v>
      </c>
      <c r="AB117" s="10">
        <v>3747</v>
      </c>
      <c r="AC117" s="10">
        <v>5666</v>
      </c>
      <c r="AD117" s="10">
        <v>5999</v>
      </c>
      <c r="AE117" s="10">
        <v>2253</v>
      </c>
      <c r="AF117" s="10">
        <v>5735</v>
      </c>
      <c r="AG117" s="10">
        <v>3269</v>
      </c>
      <c r="AH117" s="10">
        <v>5177</v>
      </c>
      <c r="AI117" s="10">
        <v>3991</v>
      </c>
      <c r="AJ117" s="10">
        <v>3415</v>
      </c>
      <c r="AK117" s="10">
        <v>4321</v>
      </c>
      <c r="AL117" s="10">
        <v>2601</v>
      </c>
      <c r="AM117" s="10">
        <v>2012</v>
      </c>
      <c r="AN117" s="10">
        <v>3203</v>
      </c>
      <c r="AO117" s="10">
        <v>5309</v>
      </c>
      <c r="AP117" s="10">
        <v>3438</v>
      </c>
      <c r="AQ117" s="10">
        <v>13183</v>
      </c>
      <c r="AR117" s="10">
        <v>2572</v>
      </c>
      <c r="AS117" s="10">
        <v>2350</v>
      </c>
      <c r="AT117" s="10">
        <v>2540</v>
      </c>
      <c r="AU117" s="10">
        <v>1844</v>
      </c>
      <c r="AV117" s="10">
        <v>2183</v>
      </c>
      <c r="AW117" s="10">
        <v>2636</v>
      </c>
      <c r="AX117" s="10">
        <v>2689</v>
      </c>
      <c r="AY117" s="10">
        <v>2410</v>
      </c>
      <c r="AZ117" s="10">
        <v>3027</v>
      </c>
      <c r="BA117" s="10">
        <v>2849</v>
      </c>
      <c r="BB117" s="10">
        <v>2759</v>
      </c>
      <c r="BC117" s="10">
        <v>4102</v>
      </c>
      <c r="BD117" s="10">
        <v>3036</v>
      </c>
      <c r="BE117" s="10">
        <v>3115</v>
      </c>
      <c r="BF117" s="10">
        <v>6380</v>
      </c>
      <c r="BG117" s="10">
        <v>8193</v>
      </c>
      <c r="BH117" s="10">
        <v>3008</v>
      </c>
      <c r="BI117" s="10">
        <v>5301</v>
      </c>
      <c r="BJ117" s="10">
        <v>3731</v>
      </c>
      <c r="BK117" s="10">
        <v>3327</v>
      </c>
      <c r="BL117" s="10">
        <v>1764</v>
      </c>
    </row>
    <row r="118" spans="1:64">
      <c r="A118" s="1" t="s">
        <v>246</v>
      </c>
      <c r="B118" s="14">
        <v>435375</v>
      </c>
      <c r="C118" s="14">
        <v>248</v>
      </c>
      <c r="D118" s="2" t="str">
        <f>HYPERLINK("http://128.120.136.21:8080/binbase-compound/bin/show/233412?db=rtx5","233412")</f>
        <v>233412</v>
      </c>
      <c r="E118" s="2" t="s">
        <v>247</v>
      </c>
      <c r="F118" s="2" t="str">
        <f>HYPERLINK("http://www.genome.ad.jp/dbget-bin/www_bget?compound+C00099","C00099")</f>
        <v>C00099</v>
      </c>
      <c r="G118" s="2" t="str">
        <f>HYPERLINK("http://pubchem.ncbi.nlm.nih.gov/summary/summary.cgi?cid=239","239")</f>
        <v>239</v>
      </c>
      <c r="H118" s="10">
        <v>204</v>
      </c>
      <c r="I118" s="10">
        <v>911</v>
      </c>
      <c r="J118" s="10">
        <v>370</v>
      </c>
      <c r="K118" s="10">
        <v>322</v>
      </c>
      <c r="L118" s="10">
        <v>1059</v>
      </c>
      <c r="M118" s="10">
        <v>158</v>
      </c>
      <c r="N118" s="10">
        <v>593</v>
      </c>
      <c r="O118" s="10">
        <v>346</v>
      </c>
      <c r="P118" s="10">
        <v>142</v>
      </c>
      <c r="Q118" s="10">
        <v>205</v>
      </c>
      <c r="R118" s="10">
        <v>206</v>
      </c>
      <c r="S118" s="10">
        <v>775</v>
      </c>
      <c r="T118" s="10">
        <v>104</v>
      </c>
      <c r="U118" s="10">
        <v>781</v>
      </c>
      <c r="V118" s="10">
        <v>289</v>
      </c>
      <c r="W118" s="10">
        <v>205</v>
      </c>
      <c r="X118" s="10">
        <v>208</v>
      </c>
      <c r="Y118" s="10">
        <v>351</v>
      </c>
      <c r="Z118" s="10">
        <v>273</v>
      </c>
      <c r="AA118" s="10">
        <v>603</v>
      </c>
      <c r="AB118" s="10">
        <v>264</v>
      </c>
      <c r="AC118" s="10">
        <v>190</v>
      </c>
      <c r="AD118" s="10">
        <v>178</v>
      </c>
      <c r="AE118" s="10">
        <v>145</v>
      </c>
      <c r="AF118" s="10">
        <v>240</v>
      </c>
      <c r="AG118" s="10">
        <v>156</v>
      </c>
      <c r="AH118" s="10">
        <v>1675</v>
      </c>
      <c r="AI118" s="10">
        <v>405</v>
      </c>
      <c r="AJ118" s="10">
        <v>254</v>
      </c>
      <c r="AK118" s="10">
        <v>602</v>
      </c>
      <c r="AL118" s="10">
        <v>504</v>
      </c>
      <c r="AM118" s="10">
        <v>114</v>
      </c>
      <c r="AN118" s="10">
        <v>457</v>
      </c>
      <c r="AO118" s="10">
        <v>360</v>
      </c>
      <c r="AP118" s="10">
        <v>271</v>
      </c>
      <c r="AQ118" s="10">
        <v>727</v>
      </c>
      <c r="AR118" s="10">
        <v>355</v>
      </c>
      <c r="AS118" s="10">
        <v>508</v>
      </c>
      <c r="AT118" s="10">
        <v>408</v>
      </c>
      <c r="AU118" s="10">
        <v>364</v>
      </c>
      <c r="AV118" s="10">
        <v>1495</v>
      </c>
      <c r="AW118" s="10">
        <v>322</v>
      </c>
      <c r="AX118" s="10">
        <v>782</v>
      </c>
      <c r="AY118" s="10">
        <v>573</v>
      </c>
      <c r="AZ118" s="10">
        <v>731</v>
      </c>
      <c r="BA118" s="10">
        <v>319</v>
      </c>
      <c r="BB118" s="10">
        <v>202</v>
      </c>
      <c r="BC118" s="10">
        <v>397</v>
      </c>
      <c r="BD118" s="10">
        <v>241</v>
      </c>
      <c r="BE118" s="10">
        <v>271</v>
      </c>
      <c r="BF118" s="10">
        <v>221</v>
      </c>
      <c r="BG118" s="10">
        <v>694</v>
      </c>
      <c r="BH118" s="10">
        <v>310</v>
      </c>
      <c r="BI118" s="10">
        <v>326</v>
      </c>
      <c r="BJ118" s="10">
        <v>328</v>
      </c>
      <c r="BK118" s="10">
        <v>366</v>
      </c>
      <c r="BL118" s="10">
        <v>263</v>
      </c>
    </row>
    <row r="119" spans="1:64">
      <c r="A119" s="1" t="s">
        <v>172</v>
      </c>
      <c r="B119" s="14">
        <v>675911</v>
      </c>
      <c r="C119" s="14">
        <v>318</v>
      </c>
      <c r="D119" s="2" t="str">
        <f>HYPERLINK("http://128.120.136.21:8080/binbase-compound/bin/show/203304?db=rtx5","203304")</f>
        <v>203304</v>
      </c>
      <c r="E119" s="2" t="s">
        <v>173</v>
      </c>
      <c r="F119" s="2" t="str">
        <f>HYPERLINK("http://www.genome.ad.jp/dbget-bin/www_bget?compound+n/a","n/a")</f>
        <v>n/a</v>
      </c>
      <c r="G119" s="2" t="str">
        <f>HYPERLINK("http://pubchem.ncbi.nlm.nih.gov/summary/summary.cgi?cid=892","892")</f>
        <v>892</v>
      </c>
      <c r="H119" s="10">
        <v>808</v>
      </c>
      <c r="I119" s="10">
        <v>359</v>
      </c>
      <c r="J119" s="10">
        <v>463</v>
      </c>
      <c r="K119" s="10">
        <v>368</v>
      </c>
      <c r="L119" s="10">
        <v>396</v>
      </c>
      <c r="M119" s="10">
        <v>494</v>
      </c>
      <c r="N119" s="10">
        <v>508</v>
      </c>
      <c r="O119" s="10">
        <v>351</v>
      </c>
      <c r="P119" s="10">
        <v>407</v>
      </c>
      <c r="Q119" s="10">
        <v>990</v>
      </c>
      <c r="R119" s="10">
        <v>949</v>
      </c>
      <c r="S119" s="10">
        <v>985</v>
      </c>
      <c r="T119" s="10">
        <v>472</v>
      </c>
      <c r="U119" s="10">
        <v>190</v>
      </c>
      <c r="V119" s="10">
        <v>502</v>
      </c>
      <c r="W119" s="10">
        <v>251</v>
      </c>
      <c r="X119" s="10">
        <v>451</v>
      </c>
      <c r="Y119" s="10">
        <v>496</v>
      </c>
      <c r="Z119" s="10">
        <v>690</v>
      </c>
      <c r="AA119" s="10">
        <v>515</v>
      </c>
      <c r="AB119" s="10">
        <v>210</v>
      </c>
      <c r="AC119" s="10">
        <v>312</v>
      </c>
      <c r="AD119" s="10">
        <v>418</v>
      </c>
      <c r="AE119" s="10">
        <v>509</v>
      </c>
      <c r="AF119" s="10">
        <v>479</v>
      </c>
      <c r="AG119" s="10">
        <v>480</v>
      </c>
      <c r="AH119" s="10">
        <v>404</v>
      </c>
      <c r="AI119" s="10">
        <v>452</v>
      </c>
      <c r="AJ119" s="10">
        <v>620</v>
      </c>
      <c r="AK119" s="10">
        <v>505</v>
      </c>
      <c r="AL119" s="10">
        <v>548</v>
      </c>
      <c r="AM119" s="10">
        <v>276</v>
      </c>
      <c r="AN119" s="10">
        <v>607</v>
      </c>
      <c r="AO119" s="10">
        <v>532</v>
      </c>
      <c r="AP119" s="10">
        <v>328</v>
      </c>
      <c r="AQ119" s="10">
        <v>883</v>
      </c>
      <c r="AR119" s="10">
        <v>416</v>
      </c>
      <c r="AS119" s="10">
        <v>518</v>
      </c>
      <c r="AT119" s="10">
        <v>444</v>
      </c>
      <c r="AU119" s="10">
        <v>625</v>
      </c>
      <c r="AV119" s="10">
        <v>267</v>
      </c>
      <c r="AW119" s="10">
        <v>512</v>
      </c>
      <c r="AX119" s="10">
        <v>565</v>
      </c>
      <c r="AY119" s="10">
        <v>518</v>
      </c>
      <c r="AZ119" s="10">
        <v>515</v>
      </c>
      <c r="BA119" s="10">
        <v>583</v>
      </c>
      <c r="BB119" s="10">
        <v>497</v>
      </c>
      <c r="BC119" s="10">
        <v>538</v>
      </c>
      <c r="BD119" s="10">
        <v>629</v>
      </c>
      <c r="BE119" s="10">
        <v>517</v>
      </c>
      <c r="BF119" s="10">
        <v>716</v>
      </c>
      <c r="BG119" s="10">
        <v>587</v>
      </c>
      <c r="BH119" s="10">
        <v>453</v>
      </c>
      <c r="BI119" s="10">
        <v>348</v>
      </c>
      <c r="BJ119" s="10">
        <v>429</v>
      </c>
      <c r="BK119" s="10">
        <v>785</v>
      </c>
      <c r="BL119" s="10">
        <v>719</v>
      </c>
    </row>
    <row r="120" spans="1:64">
      <c r="A120" s="1" t="s">
        <v>91</v>
      </c>
      <c r="B120" s="14">
        <v>480445</v>
      </c>
      <c r="C120" s="14">
        <v>267</v>
      </c>
      <c r="D120" s="2" t="str">
        <f>HYPERLINK("http://128.120.136.21:8080/binbase-compound/bin/show/199200?db=rtx5","199200")</f>
        <v>199200</v>
      </c>
      <c r="E120" s="2" t="s">
        <v>92</v>
      </c>
      <c r="F120" s="2" t="str">
        <f>HYPERLINK("http://www.genome.ad.jp/dbget-bin/www_bget?compound+C00805","C00805")</f>
        <v>C00805</v>
      </c>
      <c r="G120" s="2" t="str">
        <f>HYPERLINK("http://pubchem.ncbi.nlm.nih.gov/summary/summary.cgi?cid=338","338")</f>
        <v>338</v>
      </c>
      <c r="H120" s="10">
        <v>662</v>
      </c>
      <c r="I120" s="10">
        <v>609</v>
      </c>
      <c r="J120" s="10">
        <v>456</v>
      </c>
      <c r="K120" s="10">
        <v>527</v>
      </c>
      <c r="L120" s="10">
        <v>492</v>
      </c>
      <c r="M120" s="10">
        <v>281</v>
      </c>
      <c r="N120" s="10">
        <v>803</v>
      </c>
      <c r="O120" s="10">
        <v>285</v>
      </c>
      <c r="P120" s="10">
        <v>384</v>
      </c>
      <c r="Q120" s="10">
        <v>498</v>
      </c>
      <c r="R120" s="10">
        <v>478</v>
      </c>
      <c r="S120" s="10">
        <v>1904</v>
      </c>
      <c r="T120" s="10">
        <v>353</v>
      </c>
      <c r="U120" s="10">
        <v>432</v>
      </c>
      <c r="V120" s="10">
        <v>579</v>
      </c>
      <c r="W120" s="10">
        <v>386</v>
      </c>
      <c r="X120" s="10">
        <v>466</v>
      </c>
      <c r="Y120" s="10">
        <v>317</v>
      </c>
      <c r="Z120" s="10">
        <v>509</v>
      </c>
      <c r="AA120" s="10">
        <v>922</v>
      </c>
      <c r="AB120" s="10">
        <v>1003</v>
      </c>
      <c r="AC120" s="10">
        <v>332</v>
      </c>
      <c r="AD120" s="10">
        <v>351</v>
      </c>
      <c r="AE120" s="10">
        <v>426</v>
      </c>
      <c r="AF120" s="10">
        <v>513</v>
      </c>
      <c r="AG120" s="10">
        <v>313</v>
      </c>
      <c r="AH120" s="10">
        <v>818</v>
      </c>
      <c r="AI120" s="10">
        <v>972</v>
      </c>
      <c r="AJ120" s="10">
        <v>617</v>
      </c>
      <c r="AK120" s="10">
        <v>879</v>
      </c>
      <c r="AL120" s="10">
        <v>954</v>
      </c>
      <c r="AM120" s="10">
        <v>538</v>
      </c>
      <c r="AN120" s="10">
        <v>1190</v>
      </c>
      <c r="AO120" s="10">
        <v>994</v>
      </c>
      <c r="AP120" s="10">
        <v>838</v>
      </c>
      <c r="AQ120" s="10">
        <v>1606</v>
      </c>
      <c r="AR120" s="10">
        <v>641</v>
      </c>
      <c r="AS120" s="10">
        <v>989</v>
      </c>
      <c r="AT120" s="10">
        <v>652</v>
      </c>
      <c r="AU120" s="10">
        <v>450</v>
      </c>
      <c r="AV120" s="10">
        <v>730</v>
      </c>
      <c r="AW120" s="10">
        <v>945</v>
      </c>
      <c r="AX120" s="10">
        <v>764</v>
      </c>
      <c r="AY120" s="10">
        <v>709</v>
      </c>
      <c r="AZ120" s="10">
        <v>597</v>
      </c>
      <c r="BA120" s="10">
        <v>797</v>
      </c>
      <c r="BB120" s="10">
        <v>692</v>
      </c>
      <c r="BC120" s="10">
        <v>1064</v>
      </c>
      <c r="BD120" s="10">
        <v>440</v>
      </c>
      <c r="BE120" s="10">
        <v>698</v>
      </c>
      <c r="BF120" s="10">
        <v>1079</v>
      </c>
      <c r="BG120" s="10">
        <v>1475</v>
      </c>
      <c r="BH120" s="10">
        <v>669</v>
      </c>
      <c r="BI120" s="10">
        <v>864</v>
      </c>
      <c r="BJ120" s="10">
        <v>392</v>
      </c>
      <c r="BK120" s="10">
        <v>1060</v>
      </c>
      <c r="BL120" s="10">
        <v>404</v>
      </c>
    </row>
    <row r="121" spans="1:64">
      <c r="A121" s="1" t="s">
        <v>574</v>
      </c>
      <c r="B121" s="14">
        <v>1018547</v>
      </c>
      <c r="C121" s="14">
        <v>204</v>
      </c>
      <c r="D121" s="2" t="str">
        <f>HYPERLINK("http://128.120.136.21:8080/binbase-compound/bin/show/211957?db=rtx5","211957")</f>
        <v>211957</v>
      </c>
      <c r="E121" s="2" t="s">
        <v>212</v>
      </c>
      <c r="F121" s="2" t="str">
        <f>HYPERLINK("http://www.genome.ad.jp/dbget-bin/www_bget?compound+C01235","C01235")</f>
        <v>C01235</v>
      </c>
      <c r="G121" s="2" t="str">
        <f>HYPERLINK("http://pubchem.ncbi.nlm.nih.gov/summary/summary.cgi?cid=439451","439451")</f>
        <v>439451</v>
      </c>
      <c r="H121" s="10">
        <v>918</v>
      </c>
      <c r="I121" s="10">
        <v>637</v>
      </c>
      <c r="J121" s="10">
        <v>591</v>
      </c>
      <c r="K121" s="10">
        <v>581</v>
      </c>
      <c r="L121" s="10">
        <v>563</v>
      </c>
      <c r="M121" s="10">
        <v>640</v>
      </c>
      <c r="N121" s="10">
        <v>896</v>
      </c>
      <c r="O121" s="10">
        <v>551</v>
      </c>
      <c r="P121" s="10">
        <v>563</v>
      </c>
      <c r="Q121" s="10">
        <v>943</v>
      </c>
      <c r="R121" s="10">
        <v>1077</v>
      </c>
      <c r="S121" s="10">
        <v>1165</v>
      </c>
      <c r="T121" s="10">
        <v>433</v>
      </c>
      <c r="U121" s="10">
        <v>702</v>
      </c>
      <c r="V121" s="10">
        <v>421</v>
      </c>
      <c r="W121" s="10">
        <v>527</v>
      </c>
      <c r="X121" s="10">
        <v>590</v>
      </c>
      <c r="Y121" s="10">
        <v>607</v>
      </c>
      <c r="Z121" s="10">
        <v>729</v>
      </c>
      <c r="AA121" s="10">
        <v>567</v>
      </c>
      <c r="AB121" s="10">
        <v>446</v>
      </c>
      <c r="AC121" s="10">
        <v>557</v>
      </c>
      <c r="AD121" s="10">
        <v>344</v>
      </c>
      <c r="AE121" s="10">
        <v>563</v>
      </c>
      <c r="AF121" s="10">
        <v>490</v>
      </c>
      <c r="AG121" s="10">
        <v>569</v>
      </c>
      <c r="AH121" s="10">
        <v>1031</v>
      </c>
      <c r="AI121" s="10">
        <v>457</v>
      </c>
      <c r="AJ121" s="10">
        <v>739</v>
      </c>
      <c r="AK121" s="10">
        <v>894</v>
      </c>
      <c r="AL121" s="10">
        <v>766</v>
      </c>
      <c r="AM121" s="10">
        <v>341</v>
      </c>
      <c r="AN121" s="10">
        <v>858</v>
      </c>
      <c r="AO121" s="10">
        <v>565</v>
      </c>
      <c r="AP121" s="10">
        <v>590</v>
      </c>
      <c r="AQ121" s="10">
        <v>727</v>
      </c>
      <c r="AR121" s="10">
        <v>518</v>
      </c>
      <c r="AS121" s="10">
        <v>566</v>
      </c>
      <c r="AT121" s="10">
        <v>486</v>
      </c>
      <c r="AU121" s="10">
        <v>846</v>
      </c>
      <c r="AV121" s="10">
        <v>606</v>
      </c>
      <c r="AW121" s="10">
        <v>517</v>
      </c>
      <c r="AX121" s="10">
        <v>706</v>
      </c>
      <c r="AY121" s="10">
        <v>469</v>
      </c>
      <c r="AZ121" s="10">
        <v>642</v>
      </c>
      <c r="BA121" s="10">
        <v>621</v>
      </c>
      <c r="BB121" s="10">
        <v>462</v>
      </c>
      <c r="BC121" s="10">
        <v>966</v>
      </c>
      <c r="BD121" s="10">
        <v>540</v>
      </c>
      <c r="BE121" s="10">
        <v>659</v>
      </c>
      <c r="BF121" s="10">
        <v>583</v>
      </c>
      <c r="BG121" s="10">
        <v>764</v>
      </c>
      <c r="BH121" s="10">
        <v>587</v>
      </c>
      <c r="BI121" s="10">
        <v>626</v>
      </c>
      <c r="BJ121" s="10">
        <v>708</v>
      </c>
      <c r="BK121" s="10">
        <v>1023</v>
      </c>
      <c r="BL121" s="10">
        <v>839</v>
      </c>
    </row>
    <row r="122" spans="1:64">
      <c r="A122" s="1" t="s">
        <v>571</v>
      </c>
      <c r="B122" s="14">
        <v>806065</v>
      </c>
      <c r="C122" s="14">
        <v>387</v>
      </c>
      <c r="D122" s="2" t="str">
        <f>HYPERLINK("http://128.120.136.21:8080/binbase-compound/bin/show/199915?db=rtx5","199915")</f>
        <v>199915</v>
      </c>
      <c r="E122" s="2" t="s">
        <v>207</v>
      </c>
      <c r="F122" s="2" t="str">
        <f>HYPERLINK("http://www.genome.ad.jp/dbget-bin/www_bget?compound+C00092","C00092")</f>
        <v>C00092</v>
      </c>
      <c r="G122" s="2" t="str">
        <f>HYPERLINK("http://pubchem.ncbi.nlm.nih.gov/summary/summary.cgi?cid=5958","5958")</f>
        <v>5958</v>
      </c>
      <c r="H122" s="10">
        <v>794</v>
      </c>
      <c r="I122" s="10">
        <v>204</v>
      </c>
      <c r="J122" s="10">
        <v>200</v>
      </c>
      <c r="K122" s="10">
        <v>221</v>
      </c>
      <c r="L122" s="10">
        <v>264</v>
      </c>
      <c r="M122" s="10">
        <v>357</v>
      </c>
      <c r="N122" s="10">
        <v>297</v>
      </c>
      <c r="O122" s="10">
        <v>237</v>
      </c>
      <c r="P122" s="10">
        <v>157</v>
      </c>
      <c r="Q122" s="10">
        <v>185</v>
      </c>
      <c r="R122" s="10">
        <v>122</v>
      </c>
      <c r="S122" s="10">
        <v>625</v>
      </c>
      <c r="T122" s="10">
        <v>229</v>
      </c>
      <c r="U122" s="10">
        <v>193</v>
      </c>
      <c r="V122" s="10">
        <v>322</v>
      </c>
      <c r="W122" s="10">
        <v>167</v>
      </c>
      <c r="X122" s="10">
        <v>151</v>
      </c>
      <c r="Y122" s="10">
        <v>173</v>
      </c>
      <c r="Z122" s="10">
        <v>580</v>
      </c>
      <c r="AA122" s="10">
        <v>365</v>
      </c>
      <c r="AB122" s="10">
        <v>327</v>
      </c>
      <c r="AC122" s="10">
        <v>163</v>
      </c>
      <c r="AD122" s="10">
        <v>186</v>
      </c>
      <c r="AE122" s="10">
        <v>241</v>
      </c>
      <c r="AF122" s="10">
        <v>472</v>
      </c>
      <c r="AG122" s="10">
        <v>318</v>
      </c>
      <c r="AH122" s="10">
        <v>217</v>
      </c>
      <c r="AI122" s="10">
        <v>259</v>
      </c>
      <c r="AJ122" s="10">
        <v>365</v>
      </c>
      <c r="AK122" s="10">
        <v>410</v>
      </c>
      <c r="AL122" s="10">
        <v>405</v>
      </c>
      <c r="AM122" s="10">
        <v>222</v>
      </c>
      <c r="AN122" s="10">
        <v>391</v>
      </c>
      <c r="AO122" s="10">
        <v>570</v>
      </c>
      <c r="AP122" s="10">
        <v>219</v>
      </c>
      <c r="AQ122" s="10">
        <v>455</v>
      </c>
      <c r="AR122" s="10">
        <v>404</v>
      </c>
      <c r="AS122" s="10">
        <v>521</v>
      </c>
      <c r="AT122" s="10">
        <v>314</v>
      </c>
      <c r="AU122" s="10">
        <v>483</v>
      </c>
      <c r="AV122" s="10">
        <v>250</v>
      </c>
      <c r="AW122" s="10">
        <v>265</v>
      </c>
      <c r="AX122" s="10">
        <v>247</v>
      </c>
      <c r="AY122" s="10">
        <v>233</v>
      </c>
      <c r="AZ122" s="10">
        <v>377</v>
      </c>
      <c r="BA122" s="10">
        <v>313</v>
      </c>
      <c r="BB122" s="10">
        <v>270</v>
      </c>
      <c r="BC122" s="10">
        <v>340</v>
      </c>
      <c r="BD122" s="10">
        <v>318</v>
      </c>
      <c r="BE122" s="10">
        <v>548</v>
      </c>
      <c r="BF122" s="10">
        <v>504</v>
      </c>
      <c r="BG122" s="10">
        <v>524</v>
      </c>
      <c r="BH122" s="10">
        <v>407</v>
      </c>
      <c r="BI122" s="10">
        <v>409</v>
      </c>
      <c r="BJ122" s="10">
        <v>241</v>
      </c>
      <c r="BK122" s="10">
        <v>521</v>
      </c>
      <c r="BL122" s="10">
        <v>351</v>
      </c>
    </row>
    <row r="123" spans="1:64">
      <c r="A123" s="1" t="s">
        <v>202</v>
      </c>
      <c r="B123" s="14">
        <v>422031</v>
      </c>
      <c r="C123" s="14">
        <v>158</v>
      </c>
      <c r="D123" s="2" t="str">
        <f>HYPERLINK("http://128.120.136.21:8080/binbase-compound/bin/show/219178?db=rtx5","219178")</f>
        <v>219178</v>
      </c>
      <c r="E123" s="2" t="s">
        <v>203</v>
      </c>
      <c r="F123" s="2" t="str">
        <f>HYPERLINK("http://www.genome.ad.jp/dbget-bin/www_bget?compound+C00489","C00489")</f>
        <v>C00489</v>
      </c>
      <c r="G123" s="2" t="str">
        <f>HYPERLINK("http://pubchem.ncbi.nlm.nih.gov/summary/summary.cgi?cid=743","743")</f>
        <v>743</v>
      </c>
      <c r="H123" s="10">
        <v>410</v>
      </c>
      <c r="I123" s="10">
        <v>1834</v>
      </c>
      <c r="J123" s="10">
        <v>1332</v>
      </c>
      <c r="K123" s="10">
        <v>469</v>
      </c>
      <c r="L123" s="10">
        <v>1161</v>
      </c>
      <c r="M123" s="10">
        <v>188</v>
      </c>
      <c r="N123" s="10">
        <v>880</v>
      </c>
      <c r="O123" s="10">
        <v>400</v>
      </c>
      <c r="P123" s="10">
        <v>361</v>
      </c>
      <c r="Q123" s="10">
        <v>308</v>
      </c>
      <c r="R123" s="10">
        <v>193</v>
      </c>
      <c r="S123" s="10">
        <v>859</v>
      </c>
      <c r="T123" s="10">
        <v>200</v>
      </c>
      <c r="U123" s="10">
        <v>1710</v>
      </c>
      <c r="V123" s="10">
        <v>720</v>
      </c>
      <c r="W123" s="10">
        <v>305</v>
      </c>
      <c r="X123" s="10">
        <v>290</v>
      </c>
      <c r="Y123" s="10">
        <v>366</v>
      </c>
      <c r="Z123" s="10">
        <v>329</v>
      </c>
      <c r="AA123" s="10">
        <v>2074</v>
      </c>
      <c r="AB123" s="10">
        <v>493</v>
      </c>
      <c r="AC123" s="10">
        <v>290</v>
      </c>
      <c r="AD123" s="10">
        <v>340</v>
      </c>
      <c r="AE123" s="10">
        <v>397</v>
      </c>
      <c r="AF123" s="10">
        <v>320</v>
      </c>
      <c r="AG123" s="10">
        <v>208</v>
      </c>
      <c r="AH123" s="10">
        <v>2215</v>
      </c>
      <c r="AI123" s="10">
        <v>659</v>
      </c>
      <c r="AJ123" s="10">
        <v>570</v>
      </c>
      <c r="AK123" s="10">
        <v>831</v>
      </c>
      <c r="AL123" s="10">
        <v>402</v>
      </c>
      <c r="AM123" s="10">
        <v>1151</v>
      </c>
      <c r="AN123" s="10">
        <v>860</v>
      </c>
      <c r="AO123" s="10">
        <v>967</v>
      </c>
      <c r="AP123" s="10">
        <v>372</v>
      </c>
      <c r="AQ123" s="10">
        <v>1055</v>
      </c>
      <c r="AR123" s="10">
        <v>734</v>
      </c>
      <c r="AS123" s="10">
        <v>767</v>
      </c>
      <c r="AT123" s="10">
        <v>985</v>
      </c>
      <c r="AU123" s="10">
        <v>293</v>
      </c>
      <c r="AV123" s="10">
        <v>1634</v>
      </c>
      <c r="AW123" s="10">
        <v>930</v>
      </c>
      <c r="AX123" s="10">
        <v>950</v>
      </c>
      <c r="AY123" s="10">
        <v>1565</v>
      </c>
      <c r="AZ123" s="10">
        <v>2033</v>
      </c>
      <c r="BA123" s="10">
        <v>676</v>
      </c>
      <c r="BB123" s="10">
        <v>500</v>
      </c>
      <c r="BC123" s="10">
        <v>1037</v>
      </c>
      <c r="BD123" s="10">
        <v>456</v>
      </c>
      <c r="BE123" s="10">
        <v>570</v>
      </c>
      <c r="BF123" s="10">
        <v>851</v>
      </c>
      <c r="BG123" s="10">
        <v>1227</v>
      </c>
      <c r="BH123" s="10">
        <v>548</v>
      </c>
      <c r="BI123" s="10">
        <v>700</v>
      </c>
      <c r="BJ123" s="10">
        <v>473</v>
      </c>
      <c r="BK123" s="10">
        <v>473</v>
      </c>
      <c r="BL123" s="10">
        <v>298</v>
      </c>
    </row>
    <row r="124" spans="1:64">
      <c r="A124" s="1" t="s">
        <v>164</v>
      </c>
      <c r="B124" s="14">
        <v>489846</v>
      </c>
      <c r="C124" s="14">
        <v>292</v>
      </c>
      <c r="D124" s="2" t="str">
        <f>HYPERLINK("http://128.120.136.21:8080/binbase-compound/bin/show/200467?db=rtx5","200467")</f>
        <v>200467</v>
      </c>
      <c r="E124" s="2" t="s">
        <v>165</v>
      </c>
      <c r="F124" s="2" t="str">
        <f>HYPERLINK("http://www.genome.ad.jp/dbget-bin/www_bget?compound+n/a","n/a")</f>
        <v>n/a</v>
      </c>
      <c r="G124" s="2" t="str">
        <f>HYPERLINK("http://pubchem.ncbi.nlm.nih.gov/summary/summary.cgi?cid=151152","151152")</f>
        <v>151152</v>
      </c>
      <c r="H124" s="10">
        <v>1091</v>
      </c>
      <c r="I124" s="10">
        <v>572</v>
      </c>
      <c r="J124" s="10">
        <v>486</v>
      </c>
      <c r="K124" s="10">
        <v>831</v>
      </c>
      <c r="L124" s="10">
        <v>647</v>
      </c>
      <c r="M124" s="10">
        <v>1025</v>
      </c>
      <c r="N124" s="10">
        <v>1220</v>
      </c>
      <c r="O124" s="10">
        <v>1340</v>
      </c>
      <c r="P124" s="10">
        <v>553</v>
      </c>
      <c r="Q124" s="10">
        <v>896</v>
      </c>
      <c r="R124" s="10">
        <v>1016</v>
      </c>
      <c r="S124" s="10">
        <v>1315</v>
      </c>
      <c r="T124" s="10">
        <v>940</v>
      </c>
      <c r="U124" s="10">
        <v>643</v>
      </c>
      <c r="V124" s="10">
        <v>1004</v>
      </c>
      <c r="W124" s="10">
        <v>535</v>
      </c>
      <c r="X124" s="10">
        <v>574</v>
      </c>
      <c r="Y124" s="10">
        <v>934</v>
      </c>
      <c r="Z124" s="10">
        <v>936</v>
      </c>
      <c r="AA124" s="10">
        <v>781</v>
      </c>
      <c r="AB124" s="10">
        <v>723</v>
      </c>
      <c r="AC124" s="10">
        <v>697</v>
      </c>
      <c r="AD124" s="10">
        <v>431</v>
      </c>
      <c r="AE124" s="10">
        <v>580</v>
      </c>
      <c r="AF124" s="10">
        <v>483</v>
      </c>
      <c r="AG124" s="10">
        <v>689</v>
      </c>
      <c r="AH124" s="10">
        <v>733</v>
      </c>
      <c r="AI124" s="10">
        <v>667</v>
      </c>
      <c r="AJ124" s="10">
        <v>1060</v>
      </c>
      <c r="AK124" s="10">
        <v>743</v>
      </c>
      <c r="AL124" s="10">
        <v>1145</v>
      </c>
      <c r="AM124" s="10">
        <v>229</v>
      </c>
      <c r="AN124" s="10">
        <v>1000</v>
      </c>
      <c r="AO124" s="10">
        <v>1087</v>
      </c>
      <c r="AP124" s="10">
        <v>802</v>
      </c>
      <c r="AQ124" s="10">
        <v>799</v>
      </c>
      <c r="AR124" s="10">
        <v>858</v>
      </c>
      <c r="AS124" s="10">
        <v>852</v>
      </c>
      <c r="AT124" s="10">
        <v>645</v>
      </c>
      <c r="AU124" s="10">
        <v>1145</v>
      </c>
      <c r="AV124" s="10">
        <v>722</v>
      </c>
      <c r="AW124" s="10">
        <v>707</v>
      </c>
      <c r="AX124" s="10">
        <v>646</v>
      </c>
      <c r="AY124" s="10">
        <v>759</v>
      </c>
      <c r="AZ124" s="10">
        <v>738</v>
      </c>
      <c r="BA124" s="10">
        <v>618</v>
      </c>
      <c r="BB124" s="10">
        <v>694</v>
      </c>
      <c r="BC124" s="10">
        <v>631</v>
      </c>
      <c r="BD124" s="10">
        <v>983</v>
      </c>
      <c r="BE124" s="10">
        <v>1049</v>
      </c>
      <c r="BF124" s="10">
        <v>1029</v>
      </c>
      <c r="BG124" s="10">
        <v>873</v>
      </c>
      <c r="BH124" s="10">
        <v>825</v>
      </c>
      <c r="BI124" s="10">
        <v>709</v>
      </c>
      <c r="BJ124" s="10">
        <v>949</v>
      </c>
      <c r="BK124" s="10">
        <v>1236</v>
      </c>
      <c r="BL124" s="10">
        <v>1045</v>
      </c>
    </row>
    <row r="125" spans="1:64">
      <c r="A125" s="1" t="s">
        <v>158</v>
      </c>
      <c r="B125" s="14">
        <v>569799</v>
      </c>
      <c r="C125" s="14">
        <v>204</v>
      </c>
      <c r="D125" s="2" t="str">
        <f>HYPERLINK("http://128.120.136.21:8080/binbase-compound/bin/show/199201?db=rtx5","199201")</f>
        <v>199201</v>
      </c>
      <c r="E125" s="2" t="s">
        <v>159</v>
      </c>
      <c r="F125" s="2" t="str">
        <f>HYPERLINK("http://www.genome.ad.jp/dbget-bin/www_bget?compound+n/a","n/a")</f>
        <v>n/a</v>
      </c>
      <c r="G125" s="2" t="str">
        <f>HYPERLINK("http://pubchem.ncbi.nlm.nih.gov/summary/summary.cgi?cid=2724705","2724705")</f>
        <v>2724705</v>
      </c>
      <c r="H125" s="10">
        <v>1117</v>
      </c>
      <c r="I125" s="10">
        <v>595</v>
      </c>
      <c r="J125" s="10">
        <v>708</v>
      </c>
      <c r="K125" s="10">
        <v>688</v>
      </c>
      <c r="L125" s="10">
        <v>384</v>
      </c>
      <c r="M125" s="10">
        <v>521</v>
      </c>
      <c r="N125" s="10">
        <v>688</v>
      </c>
      <c r="O125" s="10">
        <v>638</v>
      </c>
      <c r="P125" s="10">
        <v>424</v>
      </c>
      <c r="Q125" s="10">
        <v>700</v>
      </c>
      <c r="R125" s="10">
        <v>580</v>
      </c>
      <c r="S125" s="10">
        <v>997</v>
      </c>
      <c r="T125" s="10">
        <v>844</v>
      </c>
      <c r="U125" s="10">
        <v>327</v>
      </c>
      <c r="V125" s="10">
        <v>1711</v>
      </c>
      <c r="W125" s="10">
        <v>616</v>
      </c>
      <c r="X125" s="10">
        <v>253</v>
      </c>
      <c r="Y125" s="10">
        <v>395</v>
      </c>
      <c r="Z125" s="10">
        <v>450</v>
      </c>
      <c r="AA125" s="10">
        <v>555</v>
      </c>
      <c r="AB125" s="10">
        <v>715</v>
      </c>
      <c r="AC125" s="10">
        <v>776</v>
      </c>
      <c r="AD125" s="10">
        <v>452</v>
      </c>
      <c r="AE125" s="10">
        <v>538</v>
      </c>
      <c r="AF125" s="10">
        <v>573</v>
      </c>
      <c r="AG125" s="10">
        <v>364</v>
      </c>
      <c r="AH125" s="10">
        <v>308</v>
      </c>
      <c r="AI125" s="10">
        <v>772</v>
      </c>
      <c r="AJ125" s="10">
        <v>698</v>
      </c>
      <c r="AK125" s="10">
        <v>1069</v>
      </c>
      <c r="AL125" s="10">
        <v>683</v>
      </c>
      <c r="AM125" s="10">
        <v>742</v>
      </c>
      <c r="AN125" s="10">
        <v>824</v>
      </c>
      <c r="AO125" s="10">
        <v>700</v>
      </c>
      <c r="AP125" s="10">
        <v>705</v>
      </c>
      <c r="AQ125" s="10">
        <v>1546</v>
      </c>
      <c r="AR125" s="10">
        <v>607</v>
      </c>
      <c r="AS125" s="10">
        <v>730</v>
      </c>
      <c r="AT125" s="10">
        <v>602</v>
      </c>
      <c r="AU125" s="10">
        <v>472</v>
      </c>
      <c r="AV125" s="10">
        <v>268</v>
      </c>
      <c r="AW125" s="10">
        <v>947</v>
      </c>
      <c r="AX125" s="10">
        <v>599</v>
      </c>
      <c r="AY125" s="10">
        <v>438</v>
      </c>
      <c r="AZ125" s="10">
        <v>393</v>
      </c>
      <c r="BA125" s="10">
        <v>574</v>
      </c>
      <c r="BB125" s="10">
        <v>890</v>
      </c>
      <c r="BC125" s="10">
        <v>617</v>
      </c>
      <c r="BD125" s="10">
        <v>546</v>
      </c>
      <c r="BE125" s="10">
        <v>659</v>
      </c>
      <c r="BF125" s="10">
        <v>787</v>
      </c>
      <c r="BG125" s="10">
        <v>849</v>
      </c>
      <c r="BH125" s="10">
        <v>583</v>
      </c>
      <c r="BI125" s="10">
        <v>838</v>
      </c>
      <c r="BJ125" s="10">
        <v>599</v>
      </c>
      <c r="BK125" s="10">
        <v>602</v>
      </c>
      <c r="BL125" s="10">
        <v>284</v>
      </c>
    </row>
    <row r="126" spans="1:64">
      <c r="A126" s="1" t="s">
        <v>218</v>
      </c>
      <c r="B126" s="14">
        <v>800708</v>
      </c>
      <c r="C126" s="14">
        <v>387</v>
      </c>
      <c r="D126" s="2" t="str">
        <f>HYPERLINK("http://128.120.136.21:8080/binbase-compound/bin/show/284388?db=rtx5","284388")</f>
        <v>284388</v>
      </c>
      <c r="E126" s="2" t="s">
        <v>219</v>
      </c>
      <c r="F126" s="2" t="str">
        <f>HYPERLINK("http://www.genome.ad.jp/dbget-bin/www_bget?compound+C01094","C01094")</f>
        <v>C01094</v>
      </c>
      <c r="G126" s="2" t="str">
        <f>HYPERLINK("http://pubchem.ncbi.nlm.nih.gov/summary/summary.cgi?cid=65246","65246")</f>
        <v>65246</v>
      </c>
      <c r="H126" s="10">
        <v>1529</v>
      </c>
      <c r="I126" s="10">
        <v>195</v>
      </c>
      <c r="J126" s="10">
        <v>293</v>
      </c>
      <c r="K126" s="10">
        <v>390</v>
      </c>
      <c r="L126" s="10">
        <v>269</v>
      </c>
      <c r="M126" s="10">
        <v>805</v>
      </c>
      <c r="N126" s="10">
        <v>396</v>
      </c>
      <c r="O126" s="10">
        <v>1048</v>
      </c>
      <c r="P126" s="10">
        <v>481</v>
      </c>
      <c r="Q126" s="10">
        <v>193</v>
      </c>
      <c r="R126" s="10">
        <v>133</v>
      </c>
      <c r="S126" s="10">
        <v>1021</v>
      </c>
      <c r="T126" s="10">
        <v>511</v>
      </c>
      <c r="U126" s="10">
        <v>191</v>
      </c>
      <c r="V126" s="10">
        <v>359</v>
      </c>
      <c r="W126" s="10">
        <v>335</v>
      </c>
      <c r="X126" s="10">
        <v>176</v>
      </c>
      <c r="Y126" s="10">
        <v>561</v>
      </c>
      <c r="Z126" s="10">
        <v>487</v>
      </c>
      <c r="AA126" s="10">
        <v>370</v>
      </c>
      <c r="AB126" s="10">
        <v>393</v>
      </c>
      <c r="AC126" s="10">
        <v>403</v>
      </c>
      <c r="AD126" s="10">
        <v>454</v>
      </c>
      <c r="AE126" s="10">
        <v>215</v>
      </c>
      <c r="AF126" s="10">
        <v>876</v>
      </c>
      <c r="AG126" s="10">
        <v>234</v>
      </c>
      <c r="AH126" s="10">
        <v>302</v>
      </c>
      <c r="AI126" s="10">
        <v>240</v>
      </c>
      <c r="AJ126" s="10">
        <v>268</v>
      </c>
      <c r="AK126" s="10">
        <v>527</v>
      </c>
      <c r="AL126" s="10">
        <v>499</v>
      </c>
      <c r="AM126" s="10">
        <v>139</v>
      </c>
      <c r="AN126" s="10">
        <v>427</v>
      </c>
      <c r="AO126" s="10">
        <v>536</v>
      </c>
      <c r="AP126" s="10">
        <v>339</v>
      </c>
      <c r="AQ126" s="10">
        <v>567</v>
      </c>
      <c r="AR126" s="10">
        <v>318</v>
      </c>
      <c r="AS126" s="10">
        <v>264</v>
      </c>
      <c r="AT126" s="10">
        <v>311</v>
      </c>
      <c r="AU126" s="10">
        <v>276</v>
      </c>
      <c r="AV126" s="10">
        <v>481</v>
      </c>
      <c r="AW126" s="10">
        <v>211</v>
      </c>
      <c r="AX126" s="10">
        <v>306</v>
      </c>
      <c r="AY126" s="10">
        <v>440</v>
      </c>
      <c r="AZ126" s="10">
        <v>408</v>
      </c>
      <c r="BA126" s="10">
        <v>438</v>
      </c>
      <c r="BB126" s="10">
        <v>317</v>
      </c>
      <c r="BC126" s="10">
        <v>497</v>
      </c>
      <c r="BD126" s="10">
        <v>748</v>
      </c>
      <c r="BE126" s="10">
        <v>499</v>
      </c>
      <c r="BF126" s="10">
        <v>435</v>
      </c>
      <c r="BG126" s="10">
        <v>479</v>
      </c>
      <c r="BH126" s="10">
        <v>404</v>
      </c>
      <c r="BI126" s="10">
        <v>405</v>
      </c>
      <c r="BJ126" s="10">
        <v>178</v>
      </c>
      <c r="BK126" s="10">
        <v>577</v>
      </c>
      <c r="BL126" s="10">
        <v>620</v>
      </c>
    </row>
    <row r="127" spans="1:64">
      <c r="A127" s="1" t="s">
        <v>277</v>
      </c>
      <c r="B127" s="14">
        <v>967673</v>
      </c>
      <c r="C127" s="14">
        <v>236</v>
      </c>
      <c r="D127" s="2" t="str">
        <f>HYPERLINK("http://128.120.136.21:8080/binbase-compound/bin/show/213373?db=rtx5","213373")</f>
        <v>213373</v>
      </c>
      <c r="E127" s="2" t="s">
        <v>278</v>
      </c>
      <c r="F127" s="2" t="str">
        <f>HYPERLINK("http://www.genome.ad.jp/dbget-bin/www_bget?compound+C00170","C00170")</f>
        <v>C00170</v>
      </c>
      <c r="G127" s="2" t="str">
        <f>HYPERLINK("http://pubchem.ncbi.nlm.nih.gov/summary/summary.cgi?cid=439176","439176")</f>
        <v>439176</v>
      </c>
      <c r="H127" s="10">
        <v>635</v>
      </c>
      <c r="I127" s="10">
        <v>986</v>
      </c>
      <c r="J127" s="10">
        <v>964</v>
      </c>
      <c r="K127" s="10">
        <v>765</v>
      </c>
      <c r="L127" s="10">
        <v>899</v>
      </c>
      <c r="M127" s="10">
        <v>417</v>
      </c>
      <c r="N127" s="10">
        <v>1539</v>
      </c>
      <c r="O127" s="10">
        <v>571</v>
      </c>
      <c r="P127" s="10">
        <v>418</v>
      </c>
      <c r="Q127" s="10">
        <v>405</v>
      </c>
      <c r="R127" s="10">
        <v>328</v>
      </c>
      <c r="S127" s="10">
        <v>823</v>
      </c>
      <c r="T127" s="10">
        <v>565</v>
      </c>
      <c r="U127" s="10">
        <v>699</v>
      </c>
      <c r="V127" s="10">
        <v>788</v>
      </c>
      <c r="W127" s="10">
        <v>479</v>
      </c>
      <c r="X127" s="10">
        <v>204</v>
      </c>
      <c r="Y127" s="10">
        <v>756</v>
      </c>
      <c r="Z127" s="10">
        <v>620</v>
      </c>
      <c r="AA127" s="10">
        <v>353</v>
      </c>
      <c r="AB127" s="10">
        <v>664</v>
      </c>
      <c r="AC127" s="10">
        <v>470</v>
      </c>
      <c r="AD127" s="10">
        <v>444</v>
      </c>
      <c r="AE127" s="10">
        <v>193</v>
      </c>
      <c r="AF127" s="10">
        <v>446</v>
      </c>
      <c r="AG127" s="10">
        <v>273</v>
      </c>
      <c r="AH127" s="10">
        <v>938</v>
      </c>
      <c r="AI127" s="10">
        <v>619</v>
      </c>
      <c r="AJ127" s="10">
        <v>880</v>
      </c>
      <c r="AK127" s="10">
        <v>614</v>
      </c>
      <c r="AL127" s="10">
        <v>1619</v>
      </c>
      <c r="AM127" s="10">
        <v>750</v>
      </c>
      <c r="AN127" s="10">
        <v>615</v>
      </c>
      <c r="AO127" s="10">
        <v>746</v>
      </c>
      <c r="AP127" s="10">
        <v>526</v>
      </c>
      <c r="AQ127" s="10">
        <v>919</v>
      </c>
      <c r="AR127" s="10">
        <v>692</v>
      </c>
      <c r="AS127" s="10">
        <v>300</v>
      </c>
      <c r="AT127" s="10">
        <v>270</v>
      </c>
      <c r="AU127" s="10">
        <v>481</v>
      </c>
      <c r="AV127" s="10">
        <v>714</v>
      </c>
      <c r="AW127" s="10">
        <v>1461</v>
      </c>
      <c r="AX127" s="10">
        <v>429</v>
      </c>
      <c r="AY127" s="10">
        <v>405</v>
      </c>
      <c r="AZ127" s="10">
        <v>522</v>
      </c>
      <c r="BA127" s="10">
        <v>1229</v>
      </c>
      <c r="BB127" s="10">
        <v>1082</v>
      </c>
      <c r="BC127" s="10">
        <v>1347</v>
      </c>
      <c r="BD127" s="10">
        <v>685</v>
      </c>
      <c r="BE127" s="10">
        <v>955</v>
      </c>
      <c r="BF127" s="10">
        <v>976</v>
      </c>
      <c r="BG127" s="10">
        <v>1148</v>
      </c>
      <c r="BH127" s="10">
        <v>599</v>
      </c>
      <c r="BI127" s="10">
        <v>790</v>
      </c>
      <c r="BJ127" s="10">
        <v>554</v>
      </c>
      <c r="BK127" s="10">
        <v>545</v>
      </c>
      <c r="BL127" s="10">
        <v>349</v>
      </c>
    </row>
    <row r="128" spans="1:64">
      <c r="A128" s="1" t="s">
        <v>149</v>
      </c>
      <c r="B128" s="14">
        <v>822477</v>
      </c>
      <c r="C128" s="14">
        <v>387</v>
      </c>
      <c r="D128" s="2" t="str">
        <f>HYPERLINK("http://128.120.136.21:8080/binbase-compound/bin/show/227823?db=rtx5","227823")</f>
        <v>227823</v>
      </c>
      <c r="E128" s="2" t="s">
        <v>150</v>
      </c>
      <c r="F128" s="2" t="str">
        <f>HYPERLINK("http://www.genome.ad.jp/dbget-bin/www_bget?compound+C00275","C00275")</f>
        <v>C00275</v>
      </c>
      <c r="G128" s="2" t="str">
        <f>HYPERLINK("http://pubchem.ncbi.nlm.nih.gov/summary/summary.cgi?cid=65127","65127")</f>
        <v>65127</v>
      </c>
      <c r="H128" s="10">
        <v>637</v>
      </c>
      <c r="I128" s="10">
        <v>212</v>
      </c>
      <c r="J128" s="10">
        <v>275</v>
      </c>
      <c r="K128" s="10">
        <v>213</v>
      </c>
      <c r="L128" s="10">
        <v>253</v>
      </c>
      <c r="M128" s="10">
        <v>240</v>
      </c>
      <c r="N128" s="10">
        <v>332</v>
      </c>
      <c r="O128" s="10">
        <v>148</v>
      </c>
      <c r="P128" s="10">
        <v>292</v>
      </c>
      <c r="Q128" s="10">
        <v>202</v>
      </c>
      <c r="R128" s="10">
        <v>145</v>
      </c>
      <c r="S128" s="10">
        <v>715</v>
      </c>
      <c r="T128" s="10">
        <v>304</v>
      </c>
      <c r="U128" s="10">
        <v>198</v>
      </c>
      <c r="V128" s="10">
        <v>254</v>
      </c>
      <c r="W128" s="10">
        <v>174</v>
      </c>
      <c r="X128" s="10">
        <v>247</v>
      </c>
      <c r="Y128" s="10">
        <v>331</v>
      </c>
      <c r="Z128" s="10">
        <v>188</v>
      </c>
      <c r="AA128" s="10">
        <v>225</v>
      </c>
      <c r="AB128" s="10">
        <v>259</v>
      </c>
      <c r="AC128" s="10">
        <v>321</v>
      </c>
      <c r="AD128" s="10">
        <v>148</v>
      </c>
      <c r="AE128" s="10">
        <v>431</v>
      </c>
      <c r="AF128" s="10">
        <v>306</v>
      </c>
      <c r="AG128" s="10">
        <v>614</v>
      </c>
      <c r="AH128" s="10">
        <v>288</v>
      </c>
      <c r="AI128" s="10">
        <v>220</v>
      </c>
      <c r="AJ128" s="10">
        <v>225</v>
      </c>
      <c r="AK128" s="10">
        <v>394</v>
      </c>
      <c r="AL128" s="10">
        <v>286</v>
      </c>
      <c r="AM128" s="10">
        <v>158</v>
      </c>
      <c r="AN128" s="10">
        <v>342</v>
      </c>
      <c r="AO128" s="10">
        <v>445</v>
      </c>
      <c r="AP128" s="10">
        <v>215</v>
      </c>
      <c r="AQ128" s="10">
        <v>487</v>
      </c>
      <c r="AR128" s="10">
        <v>75</v>
      </c>
      <c r="AS128" s="10">
        <v>331</v>
      </c>
      <c r="AT128" s="10">
        <v>271</v>
      </c>
      <c r="AU128" s="10">
        <v>212</v>
      </c>
      <c r="AV128" s="10">
        <v>420</v>
      </c>
      <c r="AW128" s="10">
        <v>224</v>
      </c>
      <c r="AX128" s="10">
        <v>233</v>
      </c>
      <c r="AY128" s="10">
        <v>317</v>
      </c>
      <c r="AZ128" s="10">
        <v>343</v>
      </c>
      <c r="BA128" s="10">
        <v>233</v>
      </c>
      <c r="BB128" s="10">
        <v>221</v>
      </c>
      <c r="BC128" s="10">
        <v>252</v>
      </c>
      <c r="BD128" s="10">
        <v>200</v>
      </c>
      <c r="BE128" s="10">
        <v>131</v>
      </c>
      <c r="BF128" s="10">
        <v>425</v>
      </c>
      <c r="BG128" s="10">
        <v>213</v>
      </c>
      <c r="BH128" s="10">
        <v>284</v>
      </c>
      <c r="BI128" s="10">
        <v>296</v>
      </c>
      <c r="BJ128" s="10">
        <v>141</v>
      </c>
      <c r="BK128" s="10">
        <v>440</v>
      </c>
      <c r="BL128" s="10">
        <v>173</v>
      </c>
    </row>
    <row r="129" spans="1:64">
      <c r="A129" s="1" t="s">
        <v>225</v>
      </c>
      <c r="B129" s="14">
        <v>234457</v>
      </c>
      <c r="C129" s="14">
        <v>217</v>
      </c>
      <c r="D129" s="2" t="str">
        <f>HYPERLINK("http://128.120.136.21:8080/binbase-compound/bin/show/295001?db=rtx5","295001")</f>
        <v>295001</v>
      </c>
      <c r="E129" s="2" t="s">
        <v>226</v>
      </c>
      <c r="F129" s="2" t="str">
        <f>HYPERLINK("http://www.genome.ad.jp/dbget-bin/www_bget?compound+C00022","C00022")</f>
        <v>C00022</v>
      </c>
      <c r="G129" s="2" t="str">
        <f>HYPERLINK("http://pubchem.ncbi.nlm.nih.gov/summary/summary.cgi?cid=1060","1060")</f>
        <v>1060</v>
      </c>
      <c r="H129" s="10">
        <v>263</v>
      </c>
      <c r="I129" s="10">
        <v>697</v>
      </c>
      <c r="J129" s="10">
        <v>710</v>
      </c>
      <c r="K129" s="10">
        <v>196</v>
      </c>
      <c r="L129" s="10">
        <v>540</v>
      </c>
      <c r="M129" s="10">
        <v>226</v>
      </c>
      <c r="N129" s="10">
        <v>684</v>
      </c>
      <c r="O129" s="10">
        <v>321</v>
      </c>
      <c r="P129" s="10">
        <v>219</v>
      </c>
      <c r="Q129" s="10">
        <v>948</v>
      </c>
      <c r="R129" s="10">
        <v>151</v>
      </c>
      <c r="S129" s="10">
        <v>787</v>
      </c>
      <c r="T129" s="10">
        <v>172</v>
      </c>
      <c r="U129" s="10">
        <v>702</v>
      </c>
      <c r="V129" s="10">
        <v>369</v>
      </c>
      <c r="W129" s="10">
        <v>261</v>
      </c>
      <c r="X129" s="10">
        <v>254</v>
      </c>
      <c r="Y129" s="10">
        <v>201</v>
      </c>
      <c r="Z129" s="10">
        <v>289</v>
      </c>
      <c r="AA129" s="10">
        <v>736</v>
      </c>
      <c r="AB129" s="10">
        <v>664</v>
      </c>
      <c r="AC129" s="10">
        <v>134</v>
      </c>
      <c r="AD129" s="10">
        <v>137</v>
      </c>
      <c r="AE129" s="10">
        <v>264</v>
      </c>
      <c r="AF129" s="10">
        <v>223</v>
      </c>
      <c r="AG129" s="10">
        <v>132</v>
      </c>
      <c r="AH129" s="10">
        <v>323</v>
      </c>
      <c r="AI129" s="10">
        <v>385</v>
      </c>
      <c r="AJ129" s="10">
        <v>445</v>
      </c>
      <c r="AK129" s="10">
        <v>639</v>
      </c>
      <c r="AL129" s="10">
        <v>703</v>
      </c>
      <c r="AM129" s="10">
        <v>283</v>
      </c>
      <c r="AN129" s="10">
        <v>619</v>
      </c>
      <c r="AO129" s="10">
        <v>601</v>
      </c>
      <c r="AP129" s="10">
        <v>711</v>
      </c>
      <c r="AQ129" s="10">
        <v>1003</v>
      </c>
      <c r="AR129" s="10">
        <v>465</v>
      </c>
      <c r="AS129" s="10">
        <v>488</v>
      </c>
      <c r="AT129" s="10">
        <v>722</v>
      </c>
      <c r="AU129" s="10">
        <v>176</v>
      </c>
      <c r="AV129" s="10">
        <v>704</v>
      </c>
      <c r="AW129" s="10">
        <v>552</v>
      </c>
      <c r="AX129" s="10">
        <v>811</v>
      </c>
      <c r="AY129" s="10">
        <v>572</v>
      </c>
      <c r="AZ129" s="10">
        <v>671</v>
      </c>
      <c r="BA129" s="10">
        <v>430</v>
      </c>
      <c r="BB129" s="10">
        <v>510</v>
      </c>
      <c r="BC129" s="10">
        <v>819</v>
      </c>
      <c r="BD129" s="10">
        <v>309</v>
      </c>
      <c r="BE129" s="10">
        <v>498</v>
      </c>
      <c r="BF129" s="10">
        <v>875</v>
      </c>
      <c r="BG129" s="10">
        <v>852</v>
      </c>
      <c r="BH129" s="10">
        <v>343</v>
      </c>
      <c r="BI129" s="10">
        <v>556</v>
      </c>
      <c r="BJ129" s="10">
        <v>283</v>
      </c>
      <c r="BK129" s="10">
        <v>455</v>
      </c>
      <c r="BL129" s="10">
        <v>316</v>
      </c>
    </row>
    <row r="130" spans="1:64">
      <c r="A130" s="1" t="s">
        <v>565</v>
      </c>
      <c r="B130" s="14">
        <v>953011</v>
      </c>
      <c r="C130" s="14">
        <v>144</v>
      </c>
      <c r="D130" s="2" t="str">
        <f>HYPERLINK("http://128.120.136.21:8080/binbase-compound/bin/show/226186?db=rtx5","226186")</f>
        <v>226186</v>
      </c>
      <c r="E130" s="2" t="s">
        <v>87</v>
      </c>
      <c r="F130" s="2" t="str">
        <f>HYPERLINK("http://www.genome.ad.jp/dbget-bin/www_bget?compound+C00750","C00750")</f>
        <v>C00750</v>
      </c>
      <c r="G130" s="2" t="str">
        <f>HYPERLINK("http://pubchem.ncbi.nlm.nih.gov/summary/summary.cgi?cid=1103","1103")</f>
        <v>1103</v>
      </c>
      <c r="H130" s="10">
        <v>242</v>
      </c>
      <c r="I130" s="10">
        <v>507</v>
      </c>
      <c r="J130" s="10">
        <v>679</v>
      </c>
      <c r="K130" s="10">
        <v>182</v>
      </c>
      <c r="L130" s="10">
        <v>223</v>
      </c>
      <c r="M130" s="10">
        <v>580</v>
      </c>
      <c r="N130" s="10">
        <v>529</v>
      </c>
      <c r="O130" s="10">
        <v>306</v>
      </c>
      <c r="P130" s="10">
        <v>203</v>
      </c>
      <c r="Q130" s="10">
        <v>557</v>
      </c>
      <c r="R130" s="10">
        <v>513</v>
      </c>
      <c r="S130" s="10">
        <v>793</v>
      </c>
      <c r="T130" s="10">
        <v>290</v>
      </c>
      <c r="U130" s="10">
        <v>340</v>
      </c>
      <c r="V130" s="10">
        <v>237</v>
      </c>
      <c r="W130" s="10">
        <v>2732</v>
      </c>
      <c r="X130" s="10">
        <v>1871</v>
      </c>
      <c r="Y130" s="10">
        <v>505</v>
      </c>
      <c r="Z130" s="10">
        <v>408</v>
      </c>
      <c r="AA130" s="10">
        <v>310</v>
      </c>
      <c r="AB130" s="10">
        <v>893</v>
      </c>
      <c r="AC130" s="10">
        <v>248</v>
      </c>
      <c r="AD130" s="10">
        <v>216</v>
      </c>
      <c r="AE130" s="10">
        <v>252</v>
      </c>
      <c r="AF130" s="10">
        <v>580</v>
      </c>
      <c r="AG130" s="10">
        <v>1348</v>
      </c>
      <c r="AH130" s="10">
        <v>308</v>
      </c>
      <c r="AI130" s="10">
        <v>1043</v>
      </c>
      <c r="AJ130" s="10">
        <v>294</v>
      </c>
      <c r="AK130" s="10">
        <v>490</v>
      </c>
      <c r="AL130" s="10">
        <v>297</v>
      </c>
      <c r="AM130" s="10">
        <v>398</v>
      </c>
      <c r="AN130" s="10">
        <v>346</v>
      </c>
      <c r="AO130" s="10">
        <v>383</v>
      </c>
      <c r="AP130" s="10">
        <v>822</v>
      </c>
      <c r="AQ130" s="10">
        <v>2892</v>
      </c>
      <c r="AR130" s="10">
        <v>340</v>
      </c>
      <c r="AS130" s="10">
        <v>188</v>
      </c>
      <c r="AT130" s="10">
        <v>156</v>
      </c>
      <c r="AU130" s="10">
        <v>208</v>
      </c>
      <c r="AV130" s="10">
        <v>241</v>
      </c>
      <c r="AW130" s="10">
        <v>283</v>
      </c>
      <c r="AX130" s="10">
        <v>178</v>
      </c>
      <c r="AY130" s="10">
        <v>564</v>
      </c>
      <c r="AZ130" s="10">
        <v>280</v>
      </c>
      <c r="BA130" s="10">
        <v>252</v>
      </c>
      <c r="BB130" s="10">
        <v>728</v>
      </c>
      <c r="BC130" s="10">
        <v>179</v>
      </c>
      <c r="BD130" s="10">
        <v>298</v>
      </c>
      <c r="BE130" s="10">
        <v>388</v>
      </c>
      <c r="BF130" s="10">
        <v>566</v>
      </c>
      <c r="BG130" s="10">
        <v>305</v>
      </c>
      <c r="BH130" s="10">
        <v>223</v>
      </c>
      <c r="BI130" s="10">
        <v>1101</v>
      </c>
      <c r="BJ130" s="10">
        <v>236</v>
      </c>
      <c r="BK130" s="10">
        <v>274</v>
      </c>
      <c r="BL130" s="10">
        <v>256</v>
      </c>
    </row>
    <row r="131" spans="1:64">
      <c r="A131" s="1" t="s">
        <v>573</v>
      </c>
      <c r="B131" s="14">
        <v>828457</v>
      </c>
      <c r="C131" s="14">
        <v>387</v>
      </c>
      <c r="D131" s="2" t="str">
        <f>HYPERLINK("http://128.120.136.21:8080/binbase-compound/bin/show/200536?db=rtx5","200536")</f>
        <v>200536</v>
      </c>
      <c r="E131" s="2" t="s">
        <v>211</v>
      </c>
      <c r="F131" s="2" t="str">
        <f>HYPERLINK("http://www.genome.ad.jp/dbget-bin/www_bget?compound+C00446","C00446")</f>
        <v>C00446</v>
      </c>
      <c r="G131" s="2" t="str">
        <f>HYPERLINK("http://pubchem.ncbi.nlm.nih.gov/summary/summary.cgi?cid=99058","99058")</f>
        <v>99058</v>
      </c>
      <c r="H131" s="10">
        <v>703</v>
      </c>
      <c r="I131" s="10">
        <v>666</v>
      </c>
      <c r="J131" s="10">
        <v>728</v>
      </c>
      <c r="K131" s="10">
        <v>566</v>
      </c>
      <c r="L131" s="10">
        <v>342</v>
      </c>
      <c r="M131" s="10">
        <v>175</v>
      </c>
      <c r="N131" s="10">
        <v>1502</v>
      </c>
      <c r="O131" s="10">
        <v>520</v>
      </c>
      <c r="P131" s="10">
        <v>425</v>
      </c>
      <c r="Q131" s="10">
        <v>137</v>
      </c>
      <c r="R131" s="10">
        <v>126</v>
      </c>
      <c r="S131" s="10">
        <v>781</v>
      </c>
      <c r="T131" s="10">
        <v>242</v>
      </c>
      <c r="U131" s="10">
        <v>386</v>
      </c>
      <c r="V131" s="10">
        <v>309</v>
      </c>
      <c r="W131" s="10">
        <v>588</v>
      </c>
      <c r="X131" s="10">
        <v>335</v>
      </c>
      <c r="Y131" s="10">
        <v>194</v>
      </c>
      <c r="Z131" s="10">
        <v>347</v>
      </c>
      <c r="AA131" s="10">
        <v>311</v>
      </c>
      <c r="AB131" s="10">
        <v>312</v>
      </c>
      <c r="AC131" s="10">
        <v>167</v>
      </c>
      <c r="AD131" s="10">
        <v>340</v>
      </c>
      <c r="AE131" s="10">
        <v>335</v>
      </c>
      <c r="AF131" s="10">
        <v>462</v>
      </c>
      <c r="AG131" s="10">
        <v>167</v>
      </c>
      <c r="AH131" s="10">
        <v>329</v>
      </c>
      <c r="AI131" s="10">
        <v>577</v>
      </c>
      <c r="AJ131" s="10">
        <v>1653</v>
      </c>
      <c r="AK131" s="10">
        <v>510</v>
      </c>
      <c r="AL131" s="10">
        <v>444</v>
      </c>
      <c r="AM131" s="10">
        <v>312</v>
      </c>
      <c r="AN131" s="10">
        <v>328</v>
      </c>
      <c r="AO131" s="10">
        <v>835</v>
      </c>
      <c r="AP131" s="10">
        <v>838</v>
      </c>
      <c r="AQ131" s="10">
        <v>671</v>
      </c>
      <c r="AR131" s="10">
        <v>196</v>
      </c>
      <c r="AS131" s="10">
        <v>287</v>
      </c>
      <c r="AT131" s="10">
        <v>376</v>
      </c>
      <c r="AU131" s="10">
        <v>100</v>
      </c>
      <c r="AV131" s="10">
        <v>395</v>
      </c>
      <c r="AW131" s="10">
        <v>391</v>
      </c>
      <c r="AX131" s="10">
        <v>659</v>
      </c>
      <c r="AY131" s="10">
        <v>1017</v>
      </c>
      <c r="AZ131" s="10">
        <v>1407</v>
      </c>
      <c r="BA131" s="10">
        <v>730</v>
      </c>
      <c r="BB131" s="10">
        <v>667</v>
      </c>
      <c r="BC131" s="10">
        <v>758</v>
      </c>
      <c r="BD131" s="10">
        <v>1128</v>
      </c>
      <c r="BE131" s="10">
        <v>898</v>
      </c>
      <c r="BF131" s="10">
        <v>1576</v>
      </c>
      <c r="BG131" s="10">
        <v>395</v>
      </c>
      <c r="BH131" s="10">
        <v>643</v>
      </c>
      <c r="BI131" s="10">
        <v>672</v>
      </c>
      <c r="BJ131" s="10">
        <v>163</v>
      </c>
      <c r="BK131" s="10">
        <v>792</v>
      </c>
      <c r="BL131" s="10">
        <v>279</v>
      </c>
    </row>
    <row r="132" spans="1:64">
      <c r="A132" s="1" t="s">
        <v>72</v>
      </c>
      <c r="B132" s="14">
        <v>623732</v>
      </c>
      <c r="C132" s="14">
        <v>226</v>
      </c>
      <c r="D132" s="2" t="str">
        <f>HYPERLINK("http://128.120.136.21:8080/binbase-compound/bin/show/227600?db=rtx5","227600")</f>
        <v>227600</v>
      </c>
      <c r="E132" s="2" t="s">
        <v>73</v>
      </c>
      <c r="F132" s="2" t="str">
        <f>HYPERLINK("http://www.genome.ad.jp/dbget-bin/www_bget?compound+C00043","C00043")</f>
        <v>C00043</v>
      </c>
      <c r="G132" s="2" t="str">
        <f>HYPERLINK("http://pubchem.ncbi.nlm.nih.gov/summary/summary.cgi?cid=445675","445675")</f>
        <v>445675</v>
      </c>
      <c r="H132" s="10">
        <v>204</v>
      </c>
      <c r="I132" s="10">
        <v>305</v>
      </c>
      <c r="J132" s="10">
        <v>245</v>
      </c>
      <c r="K132" s="10">
        <v>248</v>
      </c>
      <c r="L132" s="10">
        <v>284</v>
      </c>
      <c r="M132" s="10">
        <v>144</v>
      </c>
      <c r="N132" s="10">
        <v>357</v>
      </c>
      <c r="O132" s="10">
        <v>337</v>
      </c>
      <c r="P132" s="10">
        <v>181</v>
      </c>
      <c r="Q132" s="10">
        <v>182</v>
      </c>
      <c r="R132" s="10">
        <v>186</v>
      </c>
      <c r="S132" s="10">
        <v>793</v>
      </c>
      <c r="T132" s="10">
        <v>198</v>
      </c>
      <c r="U132" s="10">
        <v>231</v>
      </c>
      <c r="V132" s="10">
        <v>218</v>
      </c>
      <c r="W132" s="10">
        <v>188</v>
      </c>
      <c r="X132" s="10">
        <v>180</v>
      </c>
      <c r="Y132" s="10">
        <v>171</v>
      </c>
      <c r="Z132" s="10">
        <v>123</v>
      </c>
      <c r="AA132" s="10">
        <v>273</v>
      </c>
      <c r="AB132" s="10">
        <v>247</v>
      </c>
      <c r="AC132" s="10">
        <v>219</v>
      </c>
      <c r="AD132" s="10">
        <v>189</v>
      </c>
      <c r="AE132" s="10">
        <v>272</v>
      </c>
      <c r="AF132" s="10">
        <v>127</v>
      </c>
      <c r="AG132" s="10">
        <v>50</v>
      </c>
      <c r="AH132" s="10">
        <v>226</v>
      </c>
      <c r="AI132" s="10">
        <v>200</v>
      </c>
      <c r="AJ132" s="10">
        <v>491</v>
      </c>
      <c r="AK132" s="10">
        <v>588</v>
      </c>
      <c r="AL132" s="10">
        <v>460</v>
      </c>
      <c r="AM132" s="10">
        <v>249</v>
      </c>
      <c r="AN132" s="10">
        <v>360</v>
      </c>
      <c r="AO132" s="10">
        <v>543</v>
      </c>
      <c r="AP132" s="10">
        <v>398</v>
      </c>
      <c r="AQ132" s="10">
        <v>703</v>
      </c>
      <c r="AR132" s="10">
        <v>241</v>
      </c>
      <c r="AS132" s="10">
        <v>251</v>
      </c>
      <c r="AT132" s="10">
        <v>265</v>
      </c>
      <c r="AU132" s="10">
        <v>125</v>
      </c>
      <c r="AV132" s="10">
        <v>203</v>
      </c>
      <c r="AW132" s="10">
        <v>365</v>
      </c>
      <c r="AX132" s="10">
        <v>222</v>
      </c>
      <c r="AY132" s="10">
        <v>224</v>
      </c>
      <c r="AZ132" s="10">
        <v>328</v>
      </c>
      <c r="BA132" s="10">
        <v>345</v>
      </c>
      <c r="BB132" s="10">
        <v>395</v>
      </c>
      <c r="BC132" s="10">
        <v>369</v>
      </c>
      <c r="BD132" s="10">
        <v>341</v>
      </c>
      <c r="BE132" s="10">
        <v>525</v>
      </c>
      <c r="BF132" s="10">
        <v>618</v>
      </c>
      <c r="BG132" s="10">
        <v>491</v>
      </c>
      <c r="BH132" s="10">
        <v>357</v>
      </c>
      <c r="BI132" s="10">
        <v>522</v>
      </c>
      <c r="BJ132" s="10">
        <v>212</v>
      </c>
      <c r="BK132" s="10">
        <v>358</v>
      </c>
      <c r="BL132" s="10">
        <v>269</v>
      </c>
    </row>
    <row r="133" spans="1:64">
      <c r="A133" s="1" t="s">
        <v>503</v>
      </c>
      <c r="B133" s="14">
        <v>679338</v>
      </c>
      <c r="C133" s="14">
        <v>299</v>
      </c>
      <c r="D133" s="2" t="str">
        <f>HYPERLINK("http://128.120.136.21:8080/binbase-compound/bin/show/213408?db=rtx5","213408")</f>
        <v>213408</v>
      </c>
      <c r="E133" s="2" t="s">
        <v>504</v>
      </c>
      <c r="F133" s="2" t="str">
        <f>HYPERLINK("http://www.genome.ad.jp/dbget-bin/www_bget?compound+C00823","C00823")</f>
        <v>C00823</v>
      </c>
      <c r="G133" s="2" t="str">
        <f>HYPERLINK("http://pubchem.ncbi.nlm.nih.gov/summary/summary.cgi?cid=2682","2682")</f>
        <v>2682</v>
      </c>
      <c r="H133" s="10">
        <v>377</v>
      </c>
      <c r="I133" s="10">
        <v>441</v>
      </c>
      <c r="J133" s="10">
        <v>369</v>
      </c>
      <c r="K133" s="10">
        <v>149</v>
      </c>
      <c r="L133" s="10">
        <v>436</v>
      </c>
      <c r="M133" s="10">
        <v>291</v>
      </c>
      <c r="N133" s="10">
        <v>556</v>
      </c>
      <c r="O133" s="10">
        <v>375</v>
      </c>
      <c r="P133" s="10">
        <v>268</v>
      </c>
      <c r="Q133" s="10">
        <v>675</v>
      </c>
      <c r="R133" s="10">
        <v>371</v>
      </c>
      <c r="S133" s="10">
        <v>1862</v>
      </c>
      <c r="T133" s="10">
        <v>164</v>
      </c>
      <c r="U133" s="10">
        <v>518</v>
      </c>
      <c r="V133" s="10">
        <v>460</v>
      </c>
      <c r="W133" s="10">
        <v>294</v>
      </c>
      <c r="X133" s="10">
        <v>333</v>
      </c>
      <c r="Y133" s="10">
        <v>267</v>
      </c>
      <c r="Z133" s="10">
        <v>341</v>
      </c>
      <c r="AA133" s="10">
        <v>554</v>
      </c>
      <c r="AB133" s="10">
        <v>424</v>
      </c>
      <c r="AC133" s="10">
        <v>261</v>
      </c>
      <c r="AD133" s="10">
        <v>247</v>
      </c>
      <c r="AE133" s="10">
        <v>314</v>
      </c>
      <c r="AF133" s="10">
        <v>337</v>
      </c>
      <c r="AG133" s="10">
        <v>315</v>
      </c>
      <c r="AH133" s="10">
        <v>693</v>
      </c>
      <c r="AI133" s="10">
        <v>471</v>
      </c>
      <c r="AJ133" s="10">
        <v>463</v>
      </c>
      <c r="AK133" s="10">
        <v>522</v>
      </c>
      <c r="AL133" s="10">
        <v>403</v>
      </c>
      <c r="AM133" s="10">
        <v>217</v>
      </c>
      <c r="AN133" s="10">
        <v>591</v>
      </c>
      <c r="AO133" s="10">
        <v>677</v>
      </c>
      <c r="AP133" s="10">
        <v>372</v>
      </c>
      <c r="AQ133" s="10">
        <v>1210</v>
      </c>
      <c r="AR133" s="10">
        <v>470</v>
      </c>
      <c r="AS133" s="10">
        <v>488</v>
      </c>
      <c r="AT133" s="10">
        <v>602</v>
      </c>
      <c r="AU133" s="10">
        <v>209</v>
      </c>
      <c r="AV133" s="10">
        <v>481</v>
      </c>
      <c r="AW133" s="10">
        <v>470</v>
      </c>
      <c r="AX133" s="10">
        <v>376</v>
      </c>
      <c r="AY133" s="10">
        <v>322</v>
      </c>
      <c r="AZ133" s="10">
        <v>656</v>
      </c>
      <c r="BA133" s="10">
        <v>457</v>
      </c>
      <c r="BB133" s="10">
        <v>262</v>
      </c>
      <c r="BC133" s="10">
        <v>333</v>
      </c>
      <c r="BD133" s="10">
        <v>394</v>
      </c>
      <c r="BE133" s="10">
        <v>1371</v>
      </c>
      <c r="BF133" s="10">
        <v>1070</v>
      </c>
      <c r="BG133" s="10">
        <v>765</v>
      </c>
      <c r="BH133" s="10">
        <v>421</v>
      </c>
      <c r="BI133" s="10">
        <v>531</v>
      </c>
      <c r="BJ133" s="10">
        <v>347</v>
      </c>
      <c r="BK133" s="10">
        <v>531</v>
      </c>
      <c r="BL133" s="10">
        <v>287</v>
      </c>
    </row>
    <row r="134" spans="1:64">
      <c r="A134" s="1" t="s">
        <v>129</v>
      </c>
      <c r="B134" s="14">
        <v>586943</v>
      </c>
      <c r="C134" s="14">
        <v>254</v>
      </c>
      <c r="D134" s="2" t="str">
        <f>HYPERLINK("http://128.120.136.21:8080/binbase-compound/bin/show/219029?db=rtx5","219029")</f>
        <v>219029</v>
      </c>
      <c r="E134" s="2" t="s">
        <v>130</v>
      </c>
      <c r="F134" s="2" t="str">
        <f>HYPERLINK("http://www.genome.ad.jp/dbget-bin/www_bget?compound+C00295","C00295")</f>
        <v>C00295</v>
      </c>
      <c r="G134" s="2" t="str">
        <f>HYPERLINK("http://pubchem.ncbi.nlm.nih.gov/summary/summary.cgi?cid=967","967")</f>
        <v>967</v>
      </c>
      <c r="H134" s="10">
        <v>252</v>
      </c>
      <c r="I134" s="10">
        <v>325</v>
      </c>
      <c r="J134" s="10">
        <v>542</v>
      </c>
      <c r="K134" s="10">
        <v>346</v>
      </c>
      <c r="L134" s="10">
        <v>736</v>
      </c>
      <c r="M134" s="10">
        <v>283</v>
      </c>
      <c r="N134" s="10">
        <v>641</v>
      </c>
      <c r="O134" s="10">
        <v>393</v>
      </c>
      <c r="P134" s="10">
        <v>283</v>
      </c>
      <c r="Q134" s="10">
        <v>329</v>
      </c>
      <c r="R134" s="10">
        <v>367</v>
      </c>
      <c r="S134" s="10">
        <v>853</v>
      </c>
      <c r="T134" s="10">
        <v>211</v>
      </c>
      <c r="U134" s="10">
        <v>227</v>
      </c>
      <c r="V134" s="10">
        <v>358</v>
      </c>
      <c r="W134" s="10">
        <v>167</v>
      </c>
      <c r="X134" s="10">
        <v>226</v>
      </c>
      <c r="Y134" s="10">
        <v>263</v>
      </c>
      <c r="Z134" s="10">
        <v>202</v>
      </c>
      <c r="AA134" s="10">
        <v>224</v>
      </c>
      <c r="AB134" s="10">
        <v>196</v>
      </c>
      <c r="AC134" s="10">
        <v>279</v>
      </c>
      <c r="AD134" s="10">
        <v>173</v>
      </c>
      <c r="AE134" s="10">
        <v>193</v>
      </c>
      <c r="AF134" s="10">
        <v>169</v>
      </c>
      <c r="AG134" s="10">
        <v>197</v>
      </c>
      <c r="AH134" s="10">
        <v>286</v>
      </c>
      <c r="AI134" s="10">
        <v>249</v>
      </c>
      <c r="AJ134" s="10">
        <v>300</v>
      </c>
      <c r="AK134" s="10">
        <v>303</v>
      </c>
      <c r="AL134" s="10">
        <v>274</v>
      </c>
      <c r="AM134" s="10">
        <v>245</v>
      </c>
      <c r="AN134" s="10">
        <v>334</v>
      </c>
      <c r="AO134" s="10">
        <v>354</v>
      </c>
      <c r="AP134" s="10">
        <v>298</v>
      </c>
      <c r="AQ134" s="10">
        <v>491</v>
      </c>
      <c r="AR134" s="10">
        <v>254</v>
      </c>
      <c r="AS134" s="10">
        <v>203</v>
      </c>
      <c r="AT134" s="10">
        <v>242</v>
      </c>
      <c r="AU134" s="10">
        <v>277</v>
      </c>
      <c r="AV134" s="10">
        <v>252</v>
      </c>
      <c r="AW134" s="10">
        <v>211</v>
      </c>
      <c r="AX134" s="10">
        <v>156</v>
      </c>
      <c r="AY134" s="10">
        <v>360</v>
      </c>
      <c r="AZ134" s="10">
        <v>284</v>
      </c>
      <c r="BA134" s="10">
        <v>163</v>
      </c>
      <c r="BB134" s="10">
        <v>438</v>
      </c>
      <c r="BC134" s="10">
        <v>267</v>
      </c>
      <c r="BD134" s="10">
        <v>255</v>
      </c>
      <c r="BE134" s="10">
        <v>370</v>
      </c>
      <c r="BF134" s="10">
        <v>401</v>
      </c>
      <c r="BG134" s="10">
        <v>257</v>
      </c>
      <c r="BH134" s="10">
        <v>193</v>
      </c>
      <c r="BI134" s="10">
        <v>230</v>
      </c>
      <c r="BJ134" s="10">
        <v>333</v>
      </c>
      <c r="BK134" s="10">
        <v>373</v>
      </c>
      <c r="BL134" s="10">
        <v>295</v>
      </c>
    </row>
    <row r="135" spans="1:64">
      <c r="A135" s="1" t="s">
        <v>567</v>
      </c>
      <c r="B135" s="14">
        <v>736220</v>
      </c>
      <c r="C135" s="14">
        <v>319</v>
      </c>
      <c r="D135" s="2" t="str">
        <f>HYPERLINK("http://128.120.136.21:8080/binbase-compound/bin/show/199328?db=rtx5","199328")</f>
        <v>199328</v>
      </c>
      <c r="E135" s="2" t="s">
        <v>139</v>
      </c>
      <c r="F135" s="2" t="str">
        <f>HYPERLINK("http://www.genome.ad.jp/dbget-bin/www_bget?compound+C00645","C00645")</f>
        <v>C00645</v>
      </c>
      <c r="G135" s="2" t="str">
        <f>HYPERLINK("http://pubchem.ncbi.nlm.nih.gov/summary/summary.cgi?cid=65150","65150")</f>
        <v>65150</v>
      </c>
      <c r="H135" s="10">
        <v>653</v>
      </c>
      <c r="I135" s="10">
        <v>1061</v>
      </c>
      <c r="J135" s="10">
        <v>751</v>
      </c>
      <c r="K135" s="10">
        <v>687</v>
      </c>
      <c r="L135" s="10">
        <v>1328</v>
      </c>
      <c r="M135" s="10">
        <v>219</v>
      </c>
      <c r="N135" s="10">
        <v>1263</v>
      </c>
      <c r="O135" s="10">
        <v>637</v>
      </c>
      <c r="P135" s="10">
        <v>619</v>
      </c>
      <c r="Q135" s="10">
        <v>563</v>
      </c>
      <c r="R135" s="10">
        <v>448</v>
      </c>
      <c r="S135" s="10">
        <v>1580</v>
      </c>
      <c r="T135" s="10">
        <v>591</v>
      </c>
      <c r="U135" s="10">
        <v>1038</v>
      </c>
      <c r="V135" s="10">
        <v>555</v>
      </c>
      <c r="W135" s="10">
        <v>404</v>
      </c>
      <c r="X135" s="10">
        <v>412</v>
      </c>
      <c r="Y135" s="10">
        <v>828</v>
      </c>
      <c r="Z135" s="10">
        <v>399</v>
      </c>
      <c r="AA135" s="10">
        <v>682</v>
      </c>
      <c r="AB135" s="10">
        <v>559</v>
      </c>
      <c r="AC135" s="10">
        <v>967</v>
      </c>
      <c r="AD135" s="10">
        <v>723</v>
      </c>
      <c r="AE135" s="10">
        <v>822</v>
      </c>
      <c r="AF135" s="10">
        <v>702</v>
      </c>
      <c r="AG135" s="10">
        <v>492</v>
      </c>
      <c r="AH135" s="10">
        <v>1434</v>
      </c>
      <c r="AI135" s="10">
        <v>1061</v>
      </c>
      <c r="AJ135" s="10">
        <v>751</v>
      </c>
      <c r="AK135" s="10">
        <v>643</v>
      </c>
      <c r="AL135" s="10">
        <v>778</v>
      </c>
      <c r="AM135" s="10">
        <v>319</v>
      </c>
      <c r="AN135" s="10">
        <v>985</v>
      </c>
      <c r="AO135" s="10">
        <v>951</v>
      </c>
      <c r="AP135" s="10">
        <v>586</v>
      </c>
      <c r="AQ135" s="10">
        <v>1222</v>
      </c>
      <c r="AR135" s="10">
        <v>498</v>
      </c>
      <c r="AS135" s="10">
        <v>746</v>
      </c>
      <c r="AT135" s="10">
        <v>538</v>
      </c>
      <c r="AU135" s="10">
        <v>383</v>
      </c>
      <c r="AV135" s="10">
        <v>1119</v>
      </c>
      <c r="AW135" s="10">
        <v>684</v>
      </c>
      <c r="AX135" s="10">
        <v>592</v>
      </c>
      <c r="AY135" s="10">
        <v>789</v>
      </c>
      <c r="AZ135" s="10">
        <v>748</v>
      </c>
      <c r="BA135" s="10">
        <v>514</v>
      </c>
      <c r="BB135" s="10">
        <v>628</v>
      </c>
      <c r="BC135" s="10">
        <v>852</v>
      </c>
      <c r="BD135" s="10">
        <v>477</v>
      </c>
      <c r="BE135" s="10">
        <v>481</v>
      </c>
      <c r="BF135" s="10">
        <v>1001</v>
      </c>
      <c r="BG135" s="10">
        <v>689</v>
      </c>
      <c r="BH135" s="10">
        <v>602</v>
      </c>
      <c r="BI135" s="10">
        <v>893</v>
      </c>
      <c r="BJ135" s="10">
        <v>469</v>
      </c>
      <c r="BK135" s="10">
        <v>659</v>
      </c>
      <c r="BL135" s="10">
        <v>425</v>
      </c>
    </row>
    <row r="136" spans="1:64">
      <c r="A136" s="1" t="s">
        <v>263</v>
      </c>
      <c r="B136" s="14">
        <v>507734</v>
      </c>
      <c r="C136" s="14">
        <v>198</v>
      </c>
      <c r="D136" s="2" t="str">
        <f>HYPERLINK("http://128.120.136.21:8080/binbase-compound/bin/show/200425?db=rtx5","200425")</f>
        <v>200425</v>
      </c>
      <c r="E136" s="2" t="s">
        <v>264</v>
      </c>
      <c r="F136" s="2" t="str">
        <f>HYPERLINK("http://www.genome.ad.jp/dbget-bin/www_bget?compound+C00026","C00026")</f>
        <v>C00026</v>
      </c>
      <c r="G136" s="2" t="str">
        <f>HYPERLINK("http://pubchem.ncbi.nlm.nih.gov/summary/summary.cgi?cid=51","51")</f>
        <v>51</v>
      </c>
      <c r="H136" s="10">
        <v>432</v>
      </c>
      <c r="I136" s="10">
        <v>318</v>
      </c>
      <c r="J136" s="10">
        <v>338</v>
      </c>
      <c r="K136" s="10">
        <v>296</v>
      </c>
      <c r="L136" s="10">
        <v>321</v>
      </c>
      <c r="M136" s="10">
        <v>459</v>
      </c>
      <c r="N136" s="10">
        <v>316</v>
      </c>
      <c r="O136" s="10">
        <v>312</v>
      </c>
      <c r="P136" s="10">
        <v>242</v>
      </c>
      <c r="Q136" s="10">
        <v>341</v>
      </c>
      <c r="R136" s="10">
        <v>1</v>
      </c>
      <c r="S136" s="10">
        <v>1225</v>
      </c>
      <c r="T136" s="10">
        <v>217</v>
      </c>
      <c r="U136" s="10">
        <v>211</v>
      </c>
      <c r="V136" s="10">
        <v>188</v>
      </c>
      <c r="W136" s="10">
        <v>166</v>
      </c>
      <c r="X136" s="10">
        <v>178</v>
      </c>
      <c r="Y136" s="10">
        <v>213</v>
      </c>
      <c r="Z136" s="10">
        <v>182</v>
      </c>
      <c r="AA136" s="10">
        <v>301</v>
      </c>
      <c r="AB136" s="10">
        <v>254</v>
      </c>
      <c r="AC136" s="10">
        <v>380</v>
      </c>
      <c r="AD136" s="10">
        <v>139</v>
      </c>
      <c r="AE136" s="10">
        <v>332</v>
      </c>
      <c r="AF136" s="10">
        <v>212</v>
      </c>
      <c r="AG136" s="10">
        <v>424</v>
      </c>
      <c r="AH136" s="10">
        <v>346</v>
      </c>
      <c r="AI136" s="10">
        <v>402</v>
      </c>
      <c r="AJ136" s="10">
        <v>293</v>
      </c>
      <c r="AK136" s="10">
        <v>309</v>
      </c>
      <c r="AL136" s="10">
        <v>286</v>
      </c>
      <c r="AM136" s="10">
        <v>188</v>
      </c>
      <c r="AN136" s="10">
        <v>510</v>
      </c>
      <c r="AO136" s="10">
        <v>771</v>
      </c>
      <c r="AP136" s="10">
        <v>263</v>
      </c>
      <c r="AQ136" s="10">
        <v>739</v>
      </c>
      <c r="AR136" s="10">
        <v>259</v>
      </c>
      <c r="AS136" s="10">
        <v>317</v>
      </c>
      <c r="AT136" s="10">
        <v>214</v>
      </c>
      <c r="AU136" s="10">
        <v>238</v>
      </c>
      <c r="AV136" s="10">
        <v>568</v>
      </c>
      <c r="AW136" s="10">
        <v>414</v>
      </c>
      <c r="AX136" s="10">
        <v>259</v>
      </c>
      <c r="AY136" s="10">
        <v>411</v>
      </c>
      <c r="AZ136" s="10">
        <v>428</v>
      </c>
      <c r="BA136" s="10">
        <v>256</v>
      </c>
      <c r="BB136" s="10">
        <v>249</v>
      </c>
      <c r="BC136" s="10">
        <v>573</v>
      </c>
      <c r="BD136" s="10">
        <v>233</v>
      </c>
      <c r="BE136" s="10">
        <v>229</v>
      </c>
      <c r="BF136" s="10">
        <v>600</v>
      </c>
      <c r="BG136" s="10">
        <v>227</v>
      </c>
      <c r="BH136" s="10">
        <v>205</v>
      </c>
      <c r="BI136" s="10">
        <v>427</v>
      </c>
      <c r="BJ136" s="10">
        <v>208</v>
      </c>
      <c r="BK136" s="10">
        <v>279</v>
      </c>
      <c r="BL136" s="10">
        <v>284</v>
      </c>
    </row>
    <row r="137" spans="1:64">
      <c r="A137" s="15">
        <v>213253</v>
      </c>
      <c r="B137" s="14">
        <v>280269</v>
      </c>
      <c r="C137" s="14">
        <v>86</v>
      </c>
      <c r="D137" s="2" t="str">
        <f>HYPERLINK("http://128.120.136.21:8080/binbase-compound/bin/show/213253?db=rtx5","213253")</f>
        <v>213253</v>
      </c>
      <c r="E137" s="2" t="s">
        <v>480</v>
      </c>
      <c r="F137" s="2" t="s">
        <v>57</v>
      </c>
      <c r="G137" s="2" t="s">
        <v>57</v>
      </c>
      <c r="H137" s="10">
        <v>302116</v>
      </c>
      <c r="I137" s="10">
        <v>67356</v>
      </c>
      <c r="J137" s="10">
        <v>200360</v>
      </c>
      <c r="K137" s="10">
        <v>285621</v>
      </c>
      <c r="L137" s="10">
        <v>184404</v>
      </c>
      <c r="M137" s="10">
        <v>378819</v>
      </c>
      <c r="N137" s="10">
        <v>175849</v>
      </c>
      <c r="O137" s="10">
        <v>297549</v>
      </c>
      <c r="P137" s="10">
        <v>235875</v>
      </c>
      <c r="Q137" s="10">
        <v>327178</v>
      </c>
      <c r="R137" s="10">
        <v>400053</v>
      </c>
      <c r="S137" s="10">
        <v>200809</v>
      </c>
      <c r="T137" s="10">
        <v>229619</v>
      </c>
      <c r="U137" s="10">
        <v>133732</v>
      </c>
      <c r="V137" s="10">
        <v>288348</v>
      </c>
      <c r="W137" s="10">
        <v>223697</v>
      </c>
      <c r="X137" s="10">
        <v>212296</v>
      </c>
      <c r="Y137" s="10">
        <v>214566</v>
      </c>
      <c r="Z137" s="10">
        <v>290281</v>
      </c>
      <c r="AA137" s="10">
        <v>170686</v>
      </c>
      <c r="AB137" s="10">
        <v>78558</v>
      </c>
      <c r="AC137" s="10">
        <v>231978</v>
      </c>
      <c r="AD137" s="10">
        <v>154791</v>
      </c>
      <c r="AE137" s="10">
        <v>238683</v>
      </c>
      <c r="AF137" s="10">
        <v>191979</v>
      </c>
      <c r="AG137" s="10">
        <v>285365</v>
      </c>
      <c r="AH137" s="10">
        <v>136778</v>
      </c>
      <c r="AI137" s="10">
        <v>235125</v>
      </c>
      <c r="AJ137" s="10">
        <v>239597</v>
      </c>
      <c r="AK137" s="10">
        <v>173297</v>
      </c>
      <c r="AL137" s="10">
        <v>295430</v>
      </c>
      <c r="AM137" s="10">
        <v>217156</v>
      </c>
      <c r="AN137" s="10">
        <v>229652</v>
      </c>
      <c r="AO137" s="10">
        <v>265084</v>
      </c>
      <c r="AP137" s="10">
        <v>206817</v>
      </c>
      <c r="AQ137" s="10">
        <v>122992</v>
      </c>
      <c r="AR137" s="10">
        <v>255032</v>
      </c>
      <c r="AS137" s="10">
        <v>254507</v>
      </c>
      <c r="AT137" s="10">
        <v>168605</v>
      </c>
      <c r="AU137" s="10">
        <v>312841</v>
      </c>
      <c r="AV137" s="10">
        <v>201446</v>
      </c>
      <c r="AW137" s="10">
        <v>190733</v>
      </c>
      <c r="AX137" s="10">
        <v>154310</v>
      </c>
      <c r="AY137" s="10">
        <v>276737</v>
      </c>
      <c r="AZ137" s="10">
        <v>166636</v>
      </c>
      <c r="BA137" s="10">
        <v>288598</v>
      </c>
      <c r="BB137" s="10">
        <v>257468</v>
      </c>
      <c r="BC137" s="10">
        <v>204900</v>
      </c>
      <c r="BD137" s="10">
        <v>276343</v>
      </c>
      <c r="BE137" s="10">
        <v>313870</v>
      </c>
      <c r="BF137" s="10">
        <v>242977</v>
      </c>
      <c r="BG137" s="10">
        <v>164866</v>
      </c>
      <c r="BH137" s="10">
        <v>264139</v>
      </c>
      <c r="BI137" s="10">
        <v>169541</v>
      </c>
      <c r="BJ137" s="10">
        <v>194836</v>
      </c>
      <c r="BK137" s="10">
        <v>393289</v>
      </c>
      <c r="BL137" s="10">
        <v>394406</v>
      </c>
    </row>
    <row r="138" spans="1:64" s="7" customFormat="1">
      <c r="A138" s="15">
        <v>285035</v>
      </c>
      <c r="B138" s="14">
        <v>631439</v>
      </c>
      <c r="C138" s="14">
        <v>174</v>
      </c>
      <c r="D138" s="2" t="str">
        <f>HYPERLINK("http://128.120.136.21:8080/binbase-compound/bin/show/285035?db=rtx5","285035")</f>
        <v>285035</v>
      </c>
      <c r="E138" s="2" t="s">
        <v>389</v>
      </c>
      <c r="F138" s="2" t="s">
        <v>57</v>
      </c>
      <c r="G138" s="2" t="s">
        <v>57</v>
      </c>
      <c r="H138" s="10">
        <v>1071125</v>
      </c>
      <c r="I138" s="10">
        <v>639198</v>
      </c>
      <c r="J138" s="10">
        <v>1127020</v>
      </c>
      <c r="K138" s="10">
        <v>1002637</v>
      </c>
      <c r="L138" s="10">
        <v>772379</v>
      </c>
      <c r="M138" s="10">
        <v>820470</v>
      </c>
      <c r="N138" s="10">
        <v>876326</v>
      </c>
      <c r="O138" s="10">
        <v>1060461</v>
      </c>
      <c r="P138" s="10">
        <v>767584</v>
      </c>
      <c r="Q138" s="10">
        <v>1809</v>
      </c>
      <c r="R138" s="10">
        <v>3776</v>
      </c>
      <c r="S138" s="10">
        <v>14931</v>
      </c>
      <c r="T138" s="10">
        <v>807281</v>
      </c>
      <c r="U138" s="10">
        <v>650605</v>
      </c>
      <c r="V138" s="10">
        <v>712994</v>
      </c>
      <c r="W138" s="10">
        <v>1165804</v>
      </c>
      <c r="X138" s="10">
        <v>957409</v>
      </c>
      <c r="Y138" s="10">
        <v>885642</v>
      </c>
      <c r="Z138" s="10">
        <v>870646</v>
      </c>
      <c r="AA138" s="10">
        <v>888932</v>
      </c>
      <c r="AB138" s="10">
        <v>764823</v>
      </c>
      <c r="AC138" s="10">
        <v>551992</v>
      </c>
      <c r="AD138" s="10">
        <v>777558</v>
      </c>
      <c r="AE138" s="10">
        <v>673127</v>
      </c>
      <c r="AF138" s="10">
        <v>1007031</v>
      </c>
      <c r="AG138" s="10">
        <v>912243</v>
      </c>
      <c r="AH138" s="10">
        <v>975091</v>
      </c>
      <c r="AI138" s="10">
        <v>962986</v>
      </c>
      <c r="AJ138" s="10">
        <v>1549733</v>
      </c>
      <c r="AK138" s="10">
        <v>1004438</v>
      </c>
      <c r="AL138" s="10">
        <v>762535</v>
      </c>
      <c r="AM138" s="10">
        <v>750909</v>
      </c>
      <c r="AN138" s="10">
        <v>1085572</v>
      </c>
      <c r="AO138" s="10">
        <v>1000177</v>
      </c>
      <c r="AP138" s="10">
        <v>1544017</v>
      </c>
      <c r="AQ138" s="10">
        <v>630770</v>
      </c>
      <c r="AR138" s="10">
        <v>1437156</v>
      </c>
      <c r="AS138" s="10">
        <v>1213894</v>
      </c>
      <c r="AT138" s="10">
        <v>1429284</v>
      </c>
      <c r="AU138" s="10">
        <v>1200073</v>
      </c>
      <c r="AV138" s="10">
        <v>1326665</v>
      </c>
      <c r="AW138" s="10">
        <v>1407545</v>
      </c>
      <c r="AX138" s="10">
        <v>661676</v>
      </c>
      <c r="AY138" s="10">
        <v>1009533</v>
      </c>
      <c r="AZ138" s="10">
        <v>1115773</v>
      </c>
      <c r="BA138" s="10">
        <v>1241900</v>
      </c>
      <c r="BB138" s="10">
        <v>1799134</v>
      </c>
      <c r="BC138" s="10">
        <v>1400603</v>
      </c>
      <c r="BD138" s="10">
        <v>1037912</v>
      </c>
      <c r="BE138" s="10">
        <v>1503207</v>
      </c>
      <c r="BF138" s="10">
        <v>1360946</v>
      </c>
      <c r="BG138" s="10">
        <v>1032106</v>
      </c>
      <c r="BH138" s="10">
        <v>1382306</v>
      </c>
      <c r="BI138" s="10">
        <v>1174914</v>
      </c>
      <c r="BJ138" s="10">
        <v>1199468</v>
      </c>
      <c r="BK138" s="10">
        <v>1536223</v>
      </c>
      <c r="BL138" s="10">
        <v>1501097</v>
      </c>
    </row>
    <row r="139" spans="1:64" s="7" customFormat="1">
      <c r="A139" s="15">
        <v>410624</v>
      </c>
      <c r="B139" s="14">
        <v>631669</v>
      </c>
      <c r="C139" s="14">
        <v>100</v>
      </c>
      <c r="D139" s="2" t="str">
        <f>HYPERLINK("http://128.120.136.21:8080/binbase-compound/bin/show/410624?db=rtx5","410624")</f>
        <v>410624</v>
      </c>
      <c r="E139" s="2" t="s">
        <v>305</v>
      </c>
      <c r="F139" s="2" t="s">
        <v>57</v>
      </c>
      <c r="G139" s="2" t="s">
        <v>57</v>
      </c>
      <c r="H139" s="10">
        <v>94108</v>
      </c>
      <c r="I139" s="10">
        <v>52184</v>
      </c>
      <c r="J139" s="10">
        <v>85468</v>
      </c>
      <c r="K139" s="10">
        <v>85409</v>
      </c>
      <c r="L139" s="10">
        <v>62613</v>
      </c>
      <c r="M139" s="10">
        <v>69786</v>
      </c>
      <c r="N139" s="10">
        <v>74233</v>
      </c>
      <c r="O139" s="10">
        <v>90418</v>
      </c>
      <c r="P139" s="10">
        <v>65330</v>
      </c>
      <c r="Q139" s="10">
        <v>847</v>
      </c>
      <c r="R139" s="10">
        <v>288</v>
      </c>
      <c r="S139" s="10">
        <v>3315</v>
      </c>
      <c r="T139" s="10">
        <v>65970</v>
      </c>
      <c r="U139" s="10">
        <v>52726</v>
      </c>
      <c r="V139" s="10">
        <v>58293</v>
      </c>
      <c r="W139" s="10">
        <v>101523</v>
      </c>
      <c r="X139" s="10">
        <v>80861</v>
      </c>
      <c r="Y139" s="10">
        <v>77361</v>
      </c>
      <c r="Z139" s="10">
        <v>77834</v>
      </c>
      <c r="AA139" s="10">
        <v>75441</v>
      </c>
      <c r="AB139" s="10">
        <v>56818</v>
      </c>
      <c r="AC139" s="10">
        <v>45520</v>
      </c>
      <c r="AD139" s="10">
        <v>66049</v>
      </c>
      <c r="AE139" s="10">
        <v>55798</v>
      </c>
      <c r="AF139" s="10">
        <v>85664</v>
      </c>
      <c r="AG139" s="10">
        <v>80294</v>
      </c>
      <c r="AH139" s="10">
        <v>78212</v>
      </c>
      <c r="AI139" s="10">
        <v>74045</v>
      </c>
      <c r="AJ139" s="10">
        <v>137485</v>
      </c>
      <c r="AK139" s="10">
        <v>85054</v>
      </c>
      <c r="AL139" s="10">
        <v>62095</v>
      </c>
      <c r="AM139" s="10">
        <v>57471</v>
      </c>
      <c r="AN139" s="10">
        <v>91298</v>
      </c>
      <c r="AO139" s="10">
        <v>82206</v>
      </c>
      <c r="AP139" s="10">
        <v>118172</v>
      </c>
      <c r="AQ139" s="10">
        <v>50003</v>
      </c>
      <c r="AR139" s="10">
        <v>120138</v>
      </c>
      <c r="AS139" s="10">
        <v>100225</v>
      </c>
      <c r="AT139" s="10">
        <v>115655</v>
      </c>
      <c r="AU139" s="10">
        <v>117342</v>
      </c>
      <c r="AV139" s="10">
        <v>110347</v>
      </c>
      <c r="AW139" s="10">
        <v>119662</v>
      </c>
      <c r="AX139" s="10">
        <v>52934</v>
      </c>
      <c r="AY139" s="10">
        <v>78065</v>
      </c>
      <c r="AZ139" s="10">
        <v>89173</v>
      </c>
      <c r="BA139" s="10">
        <v>102965</v>
      </c>
      <c r="BB139" s="10">
        <v>144414</v>
      </c>
      <c r="BC139" s="10">
        <v>115776</v>
      </c>
      <c r="BD139" s="10">
        <v>90264</v>
      </c>
      <c r="BE139" s="10">
        <v>127370</v>
      </c>
      <c r="BF139" s="10">
        <v>109516</v>
      </c>
      <c r="BG139" s="10">
        <v>84416</v>
      </c>
      <c r="BH139" s="10">
        <v>117485</v>
      </c>
      <c r="BI139" s="10">
        <v>86978</v>
      </c>
      <c r="BJ139" s="10">
        <v>100123</v>
      </c>
      <c r="BK139" s="10">
        <v>131102</v>
      </c>
      <c r="BL139" s="10">
        <v>133229</v>
      </c>
    </row>
    <row r="140" spans="1:64" s="7" customFormat="1">
      <c r="A140" s="15">
        <v>235965</v>
      </c>
      <c r="B140" s="14">
        <v>1070919</v>
      </c>
      <c r="C140" s="14">
        <v>119</v>
      </c>
      <c r="D140" s="2" t="str">
        <f>HYPERLINK("http://128.120.136.21:8080/binbase-compound/bin/show/235965?db=rtx5","235965")</f>
        <v>235965</v>
      </c>
      <c r="E140" s="2" t="s">
        <v>433</v>
      </c>
      <c r="F140" s="2" t="s">
        <v>57</v>
      </c>
      <c r="G140" s="2" t="s">
        <v>57</v>
      </c>
      <c r="H140" s="10">
        <v>9696</v>
      </c>
      <c r="I140" s="10">
        <v>30857</v>
      </c>
      <c r="J140" s="10">
        <v>7803</v>
      </c>
      <c r="K140" s="10">
        <v>20530</v>
      </c>
      <c r="L140" s="10">
        <v>16997</v>
      </c>
      <c r="M140" s="10">
        <v>5997</v>
      </c>
      <c r="N140" s="10">
        <v>15577</v>
      </c>
      <c r="O140" s="10">
        <v>15728</v>
      </c>
      <c r="P140" s="10">
        <v>7868</v>
      </c>
      <c r="Q140" s="10">
        <v>23346</v>
      </c>
      <c r="R140" s="10">
        <v>37790</v>
      </c>
      <c r="S140" s="10">
        <v>69357</v>
      </c>
      <c r="T140" s="10">
        <v>4125</v>
      </c>
      <c r="U140" s="10">
        <v>17132</v>
      </c>
      <c r="V140" s="10">
        <v>11711</v>
      </c>
      <c r="W140" s="10">
        <v>7564</v>
      </c>
      <c r="X140" s="10">
        <v>18278</v>
      </c>
      <c r="Y140" s="10">
        <v>11532</v>
      </c>
      <c r="Z140" s="10">
        <v>11186</v>
      </c>
      <c r="AA140" s="10">
        <v>26473</v>
      </c>
      <c r="AB140" s="10">
        <v>31172</v>
      </c>
      <c r="AC140" s="10">
        <v>12187</v>
      </c>
      <c r="AD140" s="10">
        <v>10730</v>
      </c>
      <c r="AE140" s="10">
        <v>13431</v>
      </c>
      <c r="AF140" s="10">
        <v>12186</v>
      </c>
      <c r="AG140" s="10">
        <v>15630</v>
      </c>
      <c r="AH140" s="10">
        <v>30397</v>
      </c>
      <c r="AI140" s="10">
        <v>694887</v>
      </c>
      <c r="AJ140" s="10">
        <v>16731</v>
      </c>
      <c r="AK140" s="10">
        <v>396831</v>
      </c>
      <c r="AL140" s="10">
        <v>52726</v>
      </c>
      <c r="AM140" s="10">
        <v>11784</v>
      </c>
      <c r="AN140" s="10">
        <v>1614667</v>
      </c>
      <c r="AO140" s="10">
        <v>1368946</v>
      </c>
      <c r="AP140" s="10">
        <v>9791</v>
      </c>
      <c r="AQ140" s="10">
        <v>129016</v>
      </c>
      <c r="AR140" s="10">
        <v>18817</v>
      </c>
      <c r="AS140" s="10">
        <v>24770</v>
      </c>
      <c r="AT140" s="10">
        <v>11668</v>
      </c>
      <c r="AU140" s="10">
        <v>12864</v>
      </c>
      <c r="AV140" s="10">
        <v>30409</v>
      </c>
      <c r="AW140" s="10">
        <v>20966</v>
      </c>
      <c r="AX140" s="10">
        <v>26994</v>
      </c>
      <c r="AY140" s="10">
        <v>26077</v>
      </c>
      <c r="AZ140" s="10">
        <v>27888</v>
      </c>
      <c r="BA140" s="10">
        <v>14671</v>
      </c>
      <c r="BB140" s="10">
        <v>15191</v>
      </c>
      <c r="BC140" s="10">
        <v>20376</v>
      </c>
      <c r="BD140" s="10">
        <v>11392</v>
      </c>
      <c r="BE140" s="10">
        <v>15984</v>
      </c>
      <c r="BF140" s="10">
        <v>17564</v>
      </c>
      <c r="BG140" s="10">
        <v>60348</v>
      </c>
      <c r="BH140" s="10">
        <v>12810</v>
      </c>
      <c r="BI140" s="10">
        <v>39971</v>
      </c>
      <c r="BJ140" s="10">
        <v>18078</v>
      </c>
      <c r="BK140" s="10">
        <v>12391</v>
      </c>
      <c r="BL140" s="10">
        <v>729451</v>
      </c>
    </row>
    <row r="141" spans="1:64" s="7" customFormat="1">
      <c r="A141" s="15">
        <v>234717</v>
      </c>
      <c r="B141" s="14">
        <v>628281</v>
      </c>
      <c r="C141" s="14">
        <v>214</v>
      </c>
      <c r="D141" s="2" t="str">
        <f>HYPERLINK("http://128.120.136.21:8080/binbase-compound/bin/show/234717?db=rtx5","234717")</f>
        <v>234717</v>
      </c>
      <c r="E141" s="2" t="s">
        <v>436</v>
      </c>
      <c r="F141" s="2" t="s">
        <v>57</v>
      </c>
      <c r="G141" s="2" t="s">
        <v>57</v>
      </c>
      <c r="H141" s="10">
        <v>47377</v>
      </c>
      <c r="I141" s="10">
        <v>66559</v>
      </c>
      <c r="J141" s="10">
        <v>70580</v>
      </c>
      <c r="K141" s="10">
        <v>37430</v>
      </c>
      <c r="L141" s="10">
        <v>51519</v>
      </c>
      <c r="M141" s="10">
        <v>30279</v>
      </c>
      <c r="N141" s="10">
        <v>76498</v>
      </c>
      <c r="O141" s="10">
        <v>43089</v>
      </c>
      <c r="P141" s="10">
        <v>28271</v>
      </c>
      <c r="Q141" s="10">
        <v>79261</v>
      </c>
      <c r="R141" s="10">
        <v>52471</v>
      </c>
      <c r="S141" s="10">
        <v>297775</v>
      </c>
      <c r="T141" s="10">
        <v>30408</v>
      </c>
      <c r="U141" s="10">
        <v>75203</v>
      </c>
      <c r="V141" s="10">
        <v>59029</v>
      </c>
      <c r="W141" s="10">
        <v>27435</v>
      </c>
      <c r="X141" s="10">
        <v>37099</v>
      </c>
      <c r="Y141" s="10">
        <v>48688</v>
      </c>
      <c r="Z141" s="10">
        <v>38261</v>
      </c>
      <c r="AA141" s="10">
        <v>87384</v>
      </c>
      <c r="AB141" s="10">
        <v>77878</v>
      </c>
      <c r="AC141" s="10">
        <v>28824</v>
      </c>
      <c r="AD141" s="10">
        <v>29616</v>
      </c>
      <c r="AE141" s="10">
        <v>34591</v>
      </c>
      <c r="AF141" s="10">
        <v>40014</v>
      </c>
      <c r="AG141" s="10">
        <v>30213</v>
      </c>
      <c r="AH141" s="10">
        <v>80750</v>
      </c>
      <c r="AI141" s="10">
        <v>61732</v>
      </c>
      <c r="AJ141" s="10">
        <v>61376</v>
      </c>
      <c r="AK141" s="10">
        <v>78655</v>
      </c>
      <c r="AL141" s="10">
        <v>75427</v>
      </c>
      <c r="AM141" s="10">
        <v>44229</v>
      </c>
      <c r="AN141" s="10">
        <v>101310</v>
      </c>
      <c r="AO141" s="10">
        <v>78831</v>
      </c>
      <c r="AP141" s="10">
        <v>63318</v>
      </c>
      <c r="AQ141" s="10">
        <v>203894</v>
      </c>
      <c r="AR141" s="10">
        <v>68203</v>
      </c>
      <c r="AS141" s="10">
        <v>78174</v>
      </c>
      <c r="AT141" s="10">
        <v>71966</v>
      </c>
      <c r="AU141" s="10">
        <v>28060</v>
      </c>
      <c r="AV141" s="10">
        <v>95315</v>
      </c>
      <c r="AW141" s="10">
        <v>71373</v>
      </c>
      <c r="AX141" s="10">
        <v>76857</v>
      </c>
      <c r="AY141" s="10">
        <v>69275</v>
      </c>
      <c r="AZ141" s="10">
        <v>88143</v>
      </c>
      <c r="BA141" s="10">
        <v>48995</v>
      </c>
      <c r="BB141" s="10">
        <v>49482</v>
      </c>
      <c r="BC141" s="10">
        <v>70789</v>
      </c>
      <c r="BD141" s="10">
        <v>42485</v>
      </c>
      <c r="BE141" s="10">
        <v>58224</v>
      </c>
      <c r="BF141" s="10">
        <v>72455</v>
      </c>
      <c r="BG141" s="10">
        <v>85229</v>
      </c>
      <c r="BH141" s="10">
        <v>43056</v>
      </c>
      <c r="BI141" s="10">
        <v>77514</v>
      </c>
      <c r="BJ141" s="10">
        <v>53817</v>
      </c>
      <c r="BK141" s="10">
        <v>78224</v>
      </c>
      <c r="BL141" s="10">
        <v>46373</v>
      </c>
    </row>
    <row r="142" spans="1:64" s="7" customFormat="1">
      <c r="A142" s="15">
        <v>368025</v>
      </c>
      <c r="B142" s="14">
        <v>344330</v>
      </c>
      <c r="C142" s="14">
        <v>174</v>
      </c>
      <c r="D142" s="2" t="str">
        <f>HYPERLINK("http://128.120.136.21:8080/binbase-compound/bin/show/368025?db=rtx5","368025")</f>
        <v>368025</v>
      </c>
      <c r="E142" s="2" t="s">
        <v>335</v>
      </c>
      <c r="F142" s="2" t="s">
        <v>57</v>
      </c>
      <c r="G142" s="2" t="s">
        <v>57</v>
      </c>
      <c r="H142" s="10">
        <v>86153</v>
      </c>
      <c r="I142" s="10">
        <v>187821</v>
      </c>
      <c r="J142" s="10">
        <v>146851</v>
      </c>
      <c r="K142" s="10">
        <v>131700</v>
      </c>
      <c r="L142" s="10">
        <v>188728</v>
      </c>
      <c r="M142" s="10">
        <v>73774</v>
      </c>
      <c r="N142" s="10">
        <v>168505</v>
      </c>
      <c r="O142" s="10">
        <v>141865</v>
      </c>
      <c r="P142" s="10">
        <v>115333</v>
      </c>
      <c r="Q142" s="10">
        <v>11701</v>
      </c>
      <c r="R142" s="10">
        <v>12258</v>
      </c>
      <c r="S142" s="10">
        <v>14907</v>
      </c>
      <c r="T142" s="10">
        <v>73927</v>
      </c>
      <c r="U142" s="10">
        <v>252984</v>
      </c>
      <c r="V142" s="10">
        <v>162005</v>
      </c>
      <c r="W142" s="10">
        <v>99791</v>
      </c>
      <c r="X142" s="10">
        <v>103947</v>
      </c>
      <c r="Y142" s="10">
        <v>100591</v>
      </c>
      <c r="Z142" s="10">
        <v>122914</v>
      </c>
      <c r="AA142" s="10">
        <v>165137</v>
      </c>
      <c r="AB142" s="10">
        <v>85450</v>
      </c>
      <c r="AC142" s="10">
        <v>81339</v>
      </c>
      <c r="AD142" s="10">
        <v>102446</v>
      </c>
      <c r="AE142" s="10">
        <v>101942</v>
      </c>
      <c r="AF142" s="10">
        <v>112429</v>
      </c>
      <c r="AG142" s="10">
        <v>76543</v>
      </c>
      <c r="AH142" s="10">
        <v>242744</v>
      </c>
      <c r="AI142" s="10">
        <v>139754</v>
      </c>
      <c r="AJ142" s="10">
        <v>114226</v>
      </c>
      <c r="AK142" s="10">
        <v>70818</v>
      </c>
      <c r="AL142" s="10">
        <v>178288</v>
      </c>
      <c r="AM142" s="10">
        <v>28505</v>
      </c>
      <c r="AN142" s="10">
        <v>218813</v>
      </c>
      <c r="AO142" s="10">
        <v>221024</v>
      </c>
      <c r="AP142" s="10">
        <v>71325</v>
      </c>
      <c r="AQ142" s="10">
        <v>120155</v>
      </c>
      <c r="AR142" s="10">
        <v>130534</v>
      </c>
      <c r="AS142" s="10">
        <v>172074</v>
      </c>
      <c r="AT142" s="10">
        <v>138512</v>
      </c>
      <c r="AU142" s="10">
        <v>124609</v>
      </c>
      <c r="AV142" s="10">
        <v>277947</v>
      </c>
      <c r="AW142" s="10">
        <v>113756</v>
      </c>
      <c r="AX142" s="10">
        <v>176287</v>
      </c>
      <c r="AY142" s="10">
        <v>217953</v>
      </c>
      <c r="AZ142" s="10">
        <v>322804</v>
      </c>
      <c r="BA142" s="10">
        <v>109884</v>
      </c>
      <c r="BB142" s="10">
        <v>73455</v>
      </c>
      <c r="BC142" s="10">
        <v>182179</v>
      </c>
      <c r="BD142" s="10">
        <v>123386</v>
      </c>
      <c r="BE142" s="10">
        <v>102718</v>
      </c>
      <c r="BF142" s="10">
        <v>278531</v>
      </c>
      <c r="BG142" s="10">
        <v>325191</v>
      </c>
      <c r="BH142" s="10">
        <v>122258</v>
      </c>
      <c r="BI142" s="10">
        <v>314426</v>
      </c>
      <c r="BJ142" s="10">
        <v>105162</v>
      </c>
      <c r="BK142" s="10">
        <v>69895</v>
      </c>
      <c r="BL142" s="10">
        <v>91838</v>
      </c>
    </row>
    <row r="143" spans="1:64" s="7" customFormat="1">
      <c r="A143" s="15">
        <v>446067</v>
      </c>
      <c r="B143" s="14">
        <v>178045</v>
      </c>
      <c r="C143" s="14">
        <v>175</v>
      </c>
      <c r="D143" s="2" t="str">
        <f>HYPERLINK("http://128.120.136.21:8080/binbase-compound/bin/show/446067?db=rtx5","446067")</f>
        <v>446067</v>
      </c>
      <c r="E143" s="2" t="s">
        <v>286</v>
      </c>
      <c r="F143" s="2" t="s">
        <v>57</v>
      </c>
      <c r="G143" s="2" t="s">
        <v>57</v>
      </c>
      <c r="H143" s="10">
        <v>5433</v>
      </c>
      <c r="I143" s="10">
        <v>28838</v>
      </c>
      <c r="J143" s="10">
        <v>97322</v>
      </c>
      <c r="K143" s="10">
        <v>29014</v>
      </c>
      <c r="L143" s="10">
        <v>82763</v>
      </c>
      <c r="M143" s="10">
        <v>44377</v>
      </c>
      <c r="N143" s="10">
        <v>130087</v>
      </c>
      <c r="O143" s="10">
        <v>39189</v>
      </c>
      <c r="P143" s="10">
        <v>47666</v>
      </c>
      <c r="Q143" s="10">
        <v>127313</v>
      </c>
      <c r="R143" s="10">
        <v>89545</v>
      </c>
      <c r="S143" s="10">
        <v>46918</v>
      </c>
      <c r="T143" s="10">
        <v>32640</v>
      </c>
      <c r="U143" s="10">
        <v>94030</v>
      </c>
      <c r="V143" s="10">
        <v>5886</v>
      </c>
      <c r="W143" s="10">
        <v>45761</v>
      </c>
      <c r="X143" s="10">
        <v>23085</v>
      </c>
      <c r="Y143" s="10">
        <v>17712</v>
      </c>
      <c r="Z143" s="10">
        <v>50579</v>
      </c>
      <c r="AA143" s="10">
        <v>96023</v>
      </c>
      <c r="AB143" s="10">
        <v>108078</v>
      </c>
      <c r="AC143" s="10">
        <v>42483</v>
      </c>
      <c r="AD143" s="10">
        <v>2913</v>
      </c>
      <c r="AE143" s="10">
        <v>49678</v>
      </c>
      <c r="AF143" s="10">
        <v>62363</v>
      </c>
      <c r="AG143" s="10">
        <v>44400</v>
      </c>
      <c r="AH143" s="10">
        <v>127507</v>
      </c>
      <c r="AI143" s="10">
        <v>111628</v>
      </c>
      <c r="AJ143" s="10">
        <v>94617</v>
      </c>
      <c r="AK143" s="10">
        <v>148530</v>
      </c>
      <c r="AL143" s="10">
        <v>102677</v>
      </c>
      <c r="AM143" s="10">
        <v>59809</v>
      </c>
      <c r="AN143" s="10">
        <v>46993</v>
      </c>
      <c r="AO143" s="10">
        <v>111771</v>
      </c>
      <c r="AP143" s="10">
        <v>104990</v>
      </c>
      <c r="AQ143" s="10">
        <v>373270</v>
      </c>
      <c r="AR143" s="10">
        <v>80897</v>
      </c>
      <c r="AS143" s="10">
        <v>36605</v>
      </c>
      <c r="AT143" s="10">
        <v>90029</v>
      </c>
      <c r="AU143" s="10">
        <v>29775</v>
      </c>
      <c r="AV143" s="10">
        <v>107134</v>
      </c>
      <c r="AW143" s="10">
        <v>89354</v>
      </c>
      <c r="AX143" s="10">
        <v>94614</v>
      </c>
      <c r="AY143" s="10">
        <v>86147</v>
      </c>
      <c r="AZ143" s="10">
        <v>107669</v>
      </c>
      <c r="BA143" s="10">
        <v>39198</v>
      </c>
      <c r="BB143" s="10">
        <v>78801</v>
      </c>
      <c r="BC143" s="10">
        <v>120128</v>
      </c>
      <c r="BD143" s="10">
        <v>87597</v>
      </c>
      <c r="BE143" s="10">
        <v>84792</v>
      </c>
      <c r="BF143" s="10">
        <v>109416</v>
      </c>
      <c r="BG143" s="10">
        <v>167784</v>
      </c>
      <c r="BH143" s="10">
        <v>73883</v>
      </c>
      <c r="BI143" s="10">
        <v>142017</v>
      </c>
      <c r="BJ143" s="10">
        <v>68932</v>
      </c>
      <c r="BK143" s="10">
        <v>104554</v>
      </c>
      <c r="BL143" s="10">
        <v>54223</v>
      </c>
    </row>
    <row r="144" spans="1:64" s="7" customFormat="1">
      <c r="A144" s="15">
        <v>204344</v>
      </c>
      <c r="B144" s="14">
        <v>246354</v>
      </c>
      <c r="C144" s="14">
        <v>147</v>
      </c>
      <c r="D144" s="2" t="str">
        <f>HYPERLINK("http://128.120.136.21:8080/binbase-compound/bin/show/204344?db=rtx5","204344")</f>
        <v>204344</v>
      </c>
      <c r="E144" s="2" t="s">
        <v>493</v>
      </c>
      <c r="F144" s="2" t="s">
        <v>57</v>
      </c>
      <c r="G144" s="2" t="s">
        <v>57</v>
      </c>
      <c r="H144" s="10">
        <v>18206</v>
      </c>
      <c r="I144" s="10">
        <v>46232</v>
      </c>
      <c r="J144" s="10">
        <v>42448</v>
      </c>
      <c r="K144" s="10">
        <v>24024</v>
      </c>
      <c r="L144" s="10">
        <v>38894</v>
      </c>
      <c r="M144" s="10">
        <v>25083</v>
      </c>
      <c r="N144" s="10">
        <v>43045</v>
      </c>
      <c r="O144" s="10">
        <v>30398</v>
      </c>
      <c r="P144" s="10">
        <v>27700</v>
      </c>
      <c r="Q144" s="10">
        <v>57963</v>
      </c>
      <c r="R144" s="10">
        <v>36023</v>
      </c>
      <c r="S144" s="10">
        <v>124785</v>
      </c>
      <c r="T144" s="10">
        <v>17542</v>
      </c>
      <c r="U144" s="10">
        <v>38486</v>
      </c>
      <c r="V144" s="10">
        <v>35647</v>
      </c>
      <c r="W144" s="10">
        <v>20736</v>
      </c>
      <c r="X144" s="10">
        <v>30609</v>
      </c>
      <c r="Y144" s="10">
        <v>24422</v>
      </c>
      <c r="Z144" s="10">
        <v>16824</v>
      </c>
      <c r="AA144" s="10">
        <v>41609</v>
      </c>
      <c r="AB144" s="10">
        <v>44687</v>
      </c>
      <c r="AC144" s="10">
        <v>18184</v>
      </c>
      <c r="AD144" s="10">
        <v>18779</v>
      </c>
      <c r="AE144" s="10">
        <v>26876</v>
      </c>
      <c r="AF144" s="10">
        <v>37810</v>
      </c>
      <c r="AG144" s="10">
        <v>25002</v>
      </c>
      <c r="AH144" s="10">
        <v>66573</v>
      </c>
      <c r="AI144" s="10">
        <v>46477</v>
      </c>
      <c r="AJ144" s="10">
        <v>33005</v>
      </c>
      <c r="AK144" s="10">
        <v>47770</v>
      </c>
      <c r="AL144" s="10">
        <v>50265</v>
      </c>
      <c r="AM144" s="10">
        <v>24636</v>
      </c>
      <c r="AN144" s="10">
        <v>66597</v>
      </c>
      <c r="AO144" s="10">
        <v>64260</v>
      </c>
      <c r="AP144" s="10">
        <v>39418</v>
      </c>
      <c r="AQ144" s="10">
        <v>149166</v>
      </c>
      <c r="AR144" s="10">
        <v>47553</v>
      </c>
      <c r="AS144" s="10">
        <v>46353</v>
      </c>
      <c r="AT144" s="10">
        <v>32481</v>
      </c>
      <c r="AU144" s="10">
        <v>16171</v>
      </c>
      <c r="AV144" s="10">
        <v>54382</v>
      </c>
      <c r="AW144" s="10">
        <v>50516</v>
      </c>
      <c r="AX144" s="10">
        <v>41871</v>
      </c>
      <c r="AY144" s="10">
        <v>34574</v>
      </c>
      <c r="AZ144" s="10">
        <v>58961</v>
      </c>
      <c r="BA144" s="10">
        <v>38841</v>
      </c>
      <c r="BB144" s="10">
        <v>33861</v>
      </c>
      <c r="BC144" s="10">
        <v>52971</v>
      </c>
      <c r="BD144" s="10">
        <v>33332</v>
      </c>
      <c r="BE144" s="10">
        <v>36660</v>
      </c>
      <c r="BF144" s="10">
        <v>60261</v>
      </c>
      <c r="BG144" s="10">
        <v>72797</v>
      </c>
      <c r="BH144" s="10">
        <v>33616</v>
      </c>
      <c r="BI144" s="10">
        <v>58288</v>
      </c>
      <c r="BJ144" s="10">
        <v>37536</v>
      </c>
      <c r="BK144" s="10">
        <v>39768</v>
      </c>
      <c r="BL144" s="10">
        <v>25788</v>
      </c>
    </row>
    <row r="145" spans="1:64" s="7" customFormat="1">
      <c r="A145" s="15">
        <v>213972</v>
      </c>
      <c r="B145" s="14">
        <v>194467</v>
      </c>
      <c r="C145" s="14">
        <v>104</v>
      </c>
      <c r="D145" s="2" t="str">
        <f>HYPERLINK("http://128.120.136.21:8080/binbase-compound/bin/show/213972?db=rtx5","213972")</f>
        <v>213972</v>
      </c>
      <c r="E145" s="2" t="s">
        <v>478</v>
      </c>
      <c r="F145" s="2" t="s">
        <v>57</v>
      </c>
      <c r="G145" s="2" t="s">
        <v>57</v>
      </c>
      <c r="H145" s="10">
        <v>16277</v>
      </c>
      <c r="I145" s="10">
        <v>2998</v>
      </c>
      <c r="J145" s="10">
        <v>31271</v>
      </c>
      <c r="K145" s="10">
        <v>35090</v>
      </c>
      <c r="L145" s="10">
        <v>33667</v>
      </c>
      <c r="M145" s="10">
        <v>30629</v>
      </c>
      <c r="N145" s="10">
        <v>30930</v>
      </c>
      <c r="O145" s="10">
        <v>33753</v>
      </c>
      <c r="P145" s="10">
        <v>13906</v>
      </c>
      <c r="Q145" s="10">
        <v>33274</v>
      </c>
      <c r="R145" s="10">
        <v>24273</v>
      </c>
      <c r="S145" s="10">
        <v>85044</v>
      </c>
      <c r="T145" s="10">
        <v>11724</v>
      </c>
      <c r="U145" s="10">
        <v>13752</v>
      </c>
      <c r="V145" s="10">
        <v>29518</v>
      </c>
      <c r="W145" s="10">
        <v>35643</v>
      </c>
      <c r="X145" s="10">
        <v>34906</v>
      </c>
      <c r="Y145" s="10">
        <v>32063</v>
      </c>
      <c r="Z145" s="10">
        <v>22133</v>
      </c>
      <c r="AA145" s="10">
        <v>23426</v>
      </c>
      <c r="AB145" s="10">
        <v>12231</v>
      </c>
      <c r="AC145" s="10">
        <v>19234</v>
      </c>
      <c r="AD145" s="10">
        <v>32747</v>
      </c>
      <c r="AE145" s="10">
        <v>15124</v>
      </c>
      <c r="AF145" s="10">
        <v>24451</v>
      </c>
      <c r="AG145" s="10">
        <v>27931</v>
      </c>
      <c r="AH145" s="10">
        <v>42050</v>
      </c>
      <c r="AI145" s="10">
        <v>40314</v>
      </c>
      <c r="AJ145" s="10">
        <v>27701</v>
      </c>
      <c r="AK145" s="10">
        <v>35929</v>
      </c>
      <c r="AL145" s="10">
        <v>45799</v>
      </c>
      <c r="AM145" s="10">
        <v>22960</v>
      </c>
      <c r="AN145" s="10">
        <v>46163</v>
      </c>
      <c r="AO145" s="10">
        <v>59562</v>
      </c>
      <c r="AP145" s="10">
        <v>19904</v>
      </c>
      <c r="AQ145" s="10">
        <v>42660</v>
      </c>
      <c r="AR145" s="10">
        <v>45520</v>
      </c>
      <c r="AS145" s="10">
        <v>47482</v>
      </c>
      <c r="AT145" s="10">
        <v>6076</v>
      </c>
      <c r="AU145" s="10">
        <v>14100</v>
      </c>
      <c r="AV145" s="10">
        <v>38124</v>
      </c>
      <c r="AW145" s="10">
        <v>16998</v>
      </c>
      <c r="AX145" s="10">
        <v>30590</v>
      </c>
      <c r="AY145" s="10">
        <v>29373</v>
      </c>
      <c r="AZ145" s="10">
        <v>26846</v>
      </c>
      <c r="BA145" s="10">
        <v>48670</v>
      </c>
      <c r="BB145" s="10">
        <v>28321</v>
      </c>
      <c r="BC145" s="10">
        <v>38551</v>
      </c>
      <c r="BD145" s="10">
        <v>36490</v>
      </c>
      <c r="BE145" s="10">
        <v>34022</v>
      </c>
      <c r="BF145" s="10">
        <v>52770</v>
      </c>
      <c r="BG145" s="10">
        <v>29611</v>
      </c>
      <c r="BH145" s="10">
        <v>37998</v>
      </c>
      <c r="BI145" s="10">
        <v>26478</v>
      </c>
      <c r="BJ145" s="10">
        <v>16163</v>
      </c>
      <c r="BK145" s="10">
        <v>46432</v>
      </c>
      <c r="BL145" s="10">
        <v>32926</v>
      </c>
    </row>
    <row r="146" spans="1:64">
      <c r="A146" s="15">
        <v>438061</v>
      </c>
      <c r="B146" s="14">
        <v>211273</v>
      </c>
      <c r="C146" s="14">
        <v>123</v>
      </c>
      <c r="D146" s="2" t="str">
        <f>HYPERLINK("http://128.120.136.21:8080/binbase-compound/bin/show/438061?db=rtx5","438061")</f>
        <v>438061</v>
      </c>
      <c r="E146" s="2" t="s">
        <v>293</v>
      </c>
      <c r="F146" s="2" t="s">
        <v>57</v>
      </c>
      <c r="G146" s="2" t="s">
        <v>57</v>
      </c>
      <c r="H146" s="10">
        <v>11332</v>
      </c>
      <c r="I146" s="10">
        <v>19317</v>
      </c>
      <c r="J146" s="10">
        <v>26886</v>
      </c>
      <c r="K146" s="10">
        <v>16517</v>
      </c>
      <c r="L146" s="10">
        <v>23066</v>
      </c>
      <c r="M146" s="10">
        <v>13883</v>
      </c>
      <c r="N146" s="10">
        <v>26684</v>
      </c>
      <c r="O146" s="10">
        <v>18176</v>
      </c>
      <c r="P146" s="10">
        <v>12276</v>
      </c>
      <c r="Q146" s="10">
        <v>38124</v>
      </c>
      <c r="R146" s="10">
        <v>23164</v>
      </c>
      <c r="S146" s="10">
        <v>92774</v>
      </c>
      <c r="T146" s="10">
        <v>8860</v>
      </c>
      <c r="U146" s="10">
        <v>26061</v>
      </c>
      <c r="V146" s="10">
        <v>21806</v>
      </c>
      <c r="W146" s="10">
        <v>12576</v>
      </c>
      <c r="X146" s="10">
        <v>19586</v>
      </c>
      <c r="Y146" s="10">
        <v>14658</v>
      </c>
      <c r="Z146" s="10">
        <v>11550</v>
      </c>
      <c r="AA146" s="10">
        <v>29254</v>
      </c>
      <c r="AB146" s="10">
        <v>25984</v>
      </c>
      <c r="AC146" s="10">
        <v>11917</v>
      </c>
      <c r="AD146" s="10">
        <v>12044</v>
      </c>
      <c r="AE146" s="10">
        <v>14220</v>
      </c>
      <c r="AF146" s="10">
        <v>17263</v>
      </c>
      <c r="AG146" s="10">
        <v>13365</v>
      </c>
      <c r="AH146" s="10">
        <v>41090</v>
      </c>
      <c r="AI146" s="10">
        <v>29288</v>
      </c>
      <c r="AJ146" s="10">
        <v>22373</v>
      </c>
      <c r="AK146" s="10">
        <v>30999</v>
      </c>
      <c r="AL146" s="10">
        <v>31926</v>
      </c>
      <c r="AM146" s="10">
        <v>14821</v>
      </c>
      <c r="AN146" s="10">
        <v>40132</v>
      </c>
      <c r="AO146" s="10">
        <v>40608</v>
      </c>
      <c r="AP146" s="10">
        <v>26910</v>
      </c>
      <c r="AQ146" s="10">
        <v>97545</v>
      </c>
      <c r="AR146" s="10">
        <v>27758</v>
      </c>
      <c r="AS146" s="10">
        <v>30444</v>
      </c>
      <c r="AT146" s="10">
        <v>25105</v>
      </c>
      <c r="AU146" s="10">
        <v>8022</v>
      </c>
      <c r="AV146" s="10">
        <v>31674</v>
      </c>
      <c r="AW146" s="10">
        <v>25472</v>
      </c>
      <c r="AX146" s="10">
        <v>26779</v>
      </c>
      <c r="AY146" s="10">
        <v>23279</v>
      </c>
      <c r="AZ146" s="10">
        <v>33568</v>
      </c>
      <c r="BA146" s="10">
        <v>23463</v>
      </c>
      <c r="BB146" s="10">
        <v>20864</v>
      </c>
      <c r="BC146" s="10">
        <v>33695</v>
      </c>
      <c r="BD146" s="10">
        <v>21135</v>
      </c>
      <c r="BE146" s="10">
        <v>23719</v>
      </c>
      <c r="BF146" s="10">
        <v>40617</v>
      </c>
      <c r="BG146" s="10">
        <v>46394</v>
      </c>
      <c r="BH146" s="10">
        <v>22700</v>
      </c>
      <c r="BI146" s="10">
        <v>37786</v>
      </c>
      <c r="BJ146" s="10">
        <v>17781</v>
      </c>
      <c r="BK146" s="10">
        <v>28970</v>
      </c>
      <c r="BL146" s="10">
        <v>15763</v>
      </c>
    </row>
    <row r="147" spans="1:64">
      <c r="A147" s="15">
        <v>446633</v>
      </c>
      <c r="B147" s="14">
        <v>181694</v>
      </c>
      <c r="C147" s="14">
        <v>117</v>
      </c>
      <c r="D147" s="2" t="str">
        <f>HYPERLINK("http://128.120.136.21:8080/binbase-compound/bin/show/446633?db=rtx5","446633")</f>
        <v>446633</v>
      </c>
      <c r="E147" s="2" t="s">
        <v>284</v>
      </c>
      <c r="F147" s="2" t="s">
        <v>57</v>
      </c>
      <c r="G147" s="2" t="s">
        <v>57</v>
      </c>
      <c r="H147" s="10">
        <v>28026</v>
      </c>
      <c r="I147" s="10">
        <v>28990</v>
      </c>
      <c r="J147" s="10">
        <v>40360</v>
      </c>
      <c r="K147" s="10">
        <v>14086</v>
      </c>
      <c r="L147" s="10">
        <v>18840</v>
      </c>
      <c r="M147" s="10">
        <v>25564</v>
      </c>
      <c r="N147" s="10">
        <v>50578</v>
      </c>
      <c r="O147" s="10">
        <v>35148</v>
      </c>
      <c r="P147" s="10">
        <v>19081</v>
      </c>
      <c r="Q147" s="10">
        <v>61823</v>
      </c>
      <c r="R147" s="10">
        <v>57921</v>
      </c>
      <c r="S147" s="10">
        <v>212388</v>
      </c>
      <c r="T147" s="10">
        <v>16195</v>
      </c>
      <c r="U147" s="10">
        <v>40325</v>
      </c>
      <c r="V147" s="10">
        <v>31124</v>
      </c>
      <c r="W147" s="10">
        <v>23567</v>
      </c>
      <c r="X147" s="10">
        <v>23172</v>
      </c>
      <c r="Y147" s="10">
        <v>31290</v>
      </c>
      <c r="Z147" s="10">
        <v>23738</v>
      </c>
      <c r="AA147" s="10">
        <v>62000</v>
      </c>
      <c r="AB147" s="10">
        <v>33048</v>
      </c>
      <c r="AC147" s="10">
        <v>17149</v>
      </c>
      <c r="AD147" s="10">
        <v>22055</v>
      </c>
      <c r="AE147" s="10">
        <v>25319</v>
      </c>
      <c r="AF147" s="10">
        <v>23161</v>
      </c>
      <c r="AG147" s="10">
        <v>29629</v>
      </c>
      <c r="AH147" s="10">
        <v>36182</v>
      </c>
      <c r="AI147" s="10">
        <v>24367</v>
      </c>
      <c r="AJ147" s="10">
        <v>44372</v>
      </c>
      <c r="AK147" s="10">
        <v>60717</v>
      </c>
      <c r="AL147" s="10">
        <v>51859</v>
      </c>
      <c r="AM147" s="10">
        <v>12790</v>
      </c>
      <c r="AN147" s="10">
        <v>67989</v>
      </c>
      <c r="AO147" s="10">
        <v>63672</v>
      </c>
      <c r="AP147" s="10">
        <v>39461</v>
      </c>
      <c r="AQ147" s="10">
        <v>156125</v>
      </c>
      <c r="AR147" s="10">
        <v>41351</v>
      </c>
      <c r="AS147" s="10">
        <v>28952</v>
      </c>
      <c r="AT147" s="10">
        <v>45035</v>
      </c>
      <c r="AU147" s="10">
        <v>8330</v>
      </c>
      <c r="AV147" s="10">
        <v>50430</v>
      </c>
      <c r="AW147" s="10">
        <v>41719</v>
      </c>
      <c r="AX147" s="10">
        <v>52335</v>
      </c>
      <c r="AY147" s="10">
        <v>11074</v>
      </c>
      <c r="AZ147" s="10">
        <v>53813</v>
      </c>
      <c r="BA147" s="10">
        <v>25873</v>
      </c>
      <c r="BB147" s="10">
        <v>33575</v>
      </c>
      <c r="BC147" s="10">
        <v>52011</v>
      </c>
      <c r="BD147" s="10">
        <v>40597</v>
      </c>
      <c r="BE147" s="10">
        <v>45838</v>
      </c>
      <c r="BF147" s="10">
        <v>67724</v>
      </c>
      <c r="BG147" s="10">
        <v>87477</v>
      </c>
      <c r="BH147" s="10">
        <v>26317</v>
      </c>
      <c r="BI147" s="10">
        <v>62065</v>
      </c>
      <c r="BJ147" s="10">
        <v>31989</v>
      </c>
      <c r="BK147" s="10">
        <v>50117</v>
      </c>
      <c r="BL147" s="10">
        <v>12939</v>
      </c>
    </row>
    <row r="148" spans="1:64">
      <c r="A148" s="15">
        <v>224616</v>
      </c>
      <c r="B148" s="14">
        <v>539413</v>
      </c>
      <c r="C148" s="14">
        <v>217</v>
      </c>
      <c r="D148" s="2" t="str">
        <f>HYPERLINK("http://128.120.136.21:8080/binbase-compound/bin/show/224616?db=rtx5","224616")</f>
        <v>224616</v>
      </c>
      <c r="E148" s="2" t="s">
        <v>458</v>
      </c>
      <c r="F148" s="2" t="s">
        <v>57</v>
      </c>
      <c r="G148" s="2" t="s">
        <v>57</v>
      </c>
      <c r="H148" s="10">
        <v>30504</v>
      </c>
      <c r="I148" s="10">
        <v>21939</v>
      </c>
      <c r="J148" s="10">
        <v>33563</v>
      </c>
      <c r="K148" s="10">
        <v>20126</v>
      </c>
      <c r="L148" s="10">
        <v>19929</v>
      </c>
      <c r="M148" s="10">
        <v>26367</v>
      </c>
      <c r="N148" s="10">
        <v>50745</v>
      </c>
      <c r="O148" s="10">
        <v>28267</v>
      </c>
      <c r="P148" s="10">
        <v>25548</v>
      </c>
      <c r="Q148" s="10">
        <v>12098</v>
      </c>
      <c r="R148" s="10">
        <v>15780</v>
      </c>
      <c r="S148" s="10">
        <v>8949</v>
      </c>
      <c r="T148" s="10">
        <v>35060</v>
      </c>
      <c r="U148" s="10">
        <v>24655</v>
      </c>
      <c r="V148" s="10">
        <v>28280</v>
      </c>
      <c r="W148" s="10">
        <v>24934</v>
      </c>
      <c r="X148" s="10">
        <v>10489</v>
      </c>
      <c r="Y148" s="10">
        <v>29097</v>
      </c>
      <c r="Z148" s="10">
        <v>38099</v>
      </c>
      <c r="AA148" s="10">
        <v>42836</v>
      </c>
      <c r="AB148" s="10">
        <v>22385</v>
      </c>
      <c r="AC148" s="10">
        <v>41363</v>
      </c>
      <c r="AD148" s="10">
        <v>20962</v>
      </c>
      <c r="AE148" s="10">
        <v>49214</v>
      </c>
      <c r="AF148" s="10">
        <v>23843</v>
      </c>
      <c r="AG148" s="10">
        <v>21159</v>
      </c>
      <c r="AH148" s="10">
        <v>13322</v>
      </c>
      <c r="AI148" s="10">
        <v>22725</v>
      </c>
      <c r="AJ148" s="10">
        <v>57269</v>
      </c>
      <c r="AK148" s="10">
        <v>29138</v>
      </c>
      <c r="AL148" s="10">
        <v>25851</v>
      </c>
      <c r="AM148" s="10">
        <v>36809</v>
      </c>
      <c r="AN148" s="10">
        <v>11278</v>
      </c>
      <c r="AO148" s="10">
        <v>24553</v>
      </c>
      <c r="AP148" s="10">
        <v>43655</v>
      </c>
      <c r="AQ148" s="10">
        <v>11677</v>
      </c>
      <c r="AR148" s="10">
        <v>26746</v>
      </c>
      <c r="AS148" s="10">
        <v>20465</v>
      </c>
      <c r="AT148" s="10">
        <v>43275</v>
      </c>
      <c r="AU148" s="10">
        <v>31786</v>
      </c>
      <c r="AV148" s="10">
        <v>17943</v>
      </c>
      <c r="AW148" s="10">
        <v>35158</v>
      </c>
      <c r="AX148" s="10">
        <v>21984</v>
      </c>
      <c r="AY148" s="10">
        <v>42243</v>
      </c>
      <c r="AZ148" s="10">
        <v>13911</v>
      </c>
      <c r="BA148" s="10">
        <v>54608</v>
      </c>
      <c r="BB148" s="10">
        <v>40716</v>
      </c>
      <c r="BC148" s="10">
        <v>14428</v>
      </c>
      <c r="BD148" s="10">
        <v>18167</v>
      </c>
      <c r="BE148" s="10">
        <v>34962</v>
      </c>
      <c r="BF148" s="10">
        <v>19560</v>
      </c>
      <c r="BG148" s="10">
        <v>29799</v>
      </c>
      <c r="BH148" s="10">
        <v>25652</v>
      </c>
      <c r="BI148" s="10">
        <v>24056</v>
      </c>
      <c r="BJ148" s="10">
        <v>20657</v>
      </c>
      <c r="BK148" s="10">
        <v>44003</v>
      </c>
      <c r="BL148" s="10">
        <v>37232</v>
      </c>
    </row>
    <row r="149" spans="1:64">
      <c r="A149" s="15">
        <v>454890</v>
      </c>
      <c r="B149" s="14">
        <v>178256</v>
      </c>
      <c r="C149" s="14">
        <v>155</v>
      </c>
      <c r="D149" s="2" t="str">
        <f>HYPERLINK("http://128.120.136.21:8080/binbase-compound/bin/show/454890?db=rtx5","454890")</f>
        <v>454890</v>
      </c>
      <c r="E149" s="2" t="s">
        <v>281</v>
      </c>
      <c r="F149" s="2" t="s">
        <v>57</v>
      </c>
      <c r="G149" s="2" t="s">
        <v>57</v>
      </c>
      <c r="H149" s="10">
        <v>18847</v>
      </c>
      <c r="I149" s="10">
        <v>2358</v>
      </c>
      <c r="J149" s="10">
        <v>33957</v>
      </c>
      <c r="K149" s="10">
        <v>19079</v>
      </c>
      <c r="L149" s="10">
        <v>29039</v>
      </c>
      <c r="M149" s="10">
        <v>15390</v>
      </c>
      <c r="N149" s="10">
        <v>45493</v>
      </c>
      <c r="O149" s="10">
        <v>20038</v>
      </c>
      <c r="P149" s="10">
        <v>19663</v>
      </c>
      <c r="Q149" s="10">
        <v>50081</v>
      </c>
      <c r="R149" s="10">
        <v>30892</v>
      </c>
      <c r="S149" s="10">
        <v>168887</v>
      </c>
      <c r="T149" s="10">
        <v>405</v>
      </c>
      <c r="U149" s="10">
        <v>608</v>
      </c>
      <c r="V149" s="10">
        <v>24272</v>
      </c>
      <c r="W149" s="10">
        <v>16096</v>
      </c>
      <c r="X149" s="10">
        <v>21396</v>
      </c>
      <c r="Y149" s="10">
        <v>18916</v>
      </c>
      <c r="Z149" s="10">
        <v>16260</v>
      </c>
      <c r="AA149" s="10">
        <v>37039</v>
      </c>
      <c r="AB149" s="10">
        <v>38760</v>
      </c>
      <c r="AC149" s="10">
        <v>13191</v>
      </c>
      <c r="AD149" s="10">
        <v>12784</v>
      </c>
      <c r="AE149" s="10">
        <v>19544</v>
      </c>
      <c r="AF149" s="10">
        <v>25614</v>
      </c>
      <c r="AG149" s="10">
        <v>14788</v>
      </c>
      <c r="AH149" s="10">
        <v>47979</v>
      </c>
      <c r="AI149" s="10">
        <v>39381</v>
      </c>
      <c r="AJ149" s="10">
        <v>30712</v>
      </c>
      <c r="AK149" s="10">
        <v>49645</v>
      </c>
      <c r="AL149" s="10">
        <v>36340</v>
      </c>
      <c r="AM149" s="10">
        <v>19825</v>
      </c>
      <c r="AN149" s="10">
        <v>46185</v>
      </c>
      <c r="AO149" s="10">
        <v>45977</v>
      </c>
      <c r="AP149" s="10">
        <v>37180</v>
      </c>
      <c r="AQ149" s="10">
        <v>132683</v>
      </c>
      <c r="AR149" s="10">
        <v>30183</v>
      </c>
      <c r="AS149" s="10">
        <v>34828</v>
      </c>
      <c r="AT149" s="10">
        <v>3407</v>
      </c>
      <c r="AU149" s="10">
        <v>11932</v>
      </c>
      <c r="AV149" s="10">
        <v>38747</v>
      </c>
      <c r="AW149" s="10">
        <v>37500</v>
      </c>
      <c r="AX149" s="10">
        <v>31220</v>
      </c>
      <c r="AY149" s="10">
        <v>10015</v>
      </c>
      <c r="AZ149" s="10">
        <v>43947</v>
      </c>
      <c r="BA149" s="10">
        <v>26600</v>
      </c>
      <c r="BB149" s="10">
        <v>27946</v>
      </c>
      <c r="BC149" s="10">
        <v>22782</v>
      </c>
      <c r="BD149" s="10">
        <v>28388</v>
      </c>
      <c r="BE149" s="10">
        <v>27682</v>
      </c>
      <c r="BF149" s="10">
        <v>47257</v>
      </c>
      <c r="BG149" s="10">
        <v>55355</v>
      </c>
      <c r="BH149" s="10">
        <v>25176</v>
      </c>
      <c r="BI149" s="10">
        <v>49756</v>
      </c>
      <c r="BJ149" s="10">
        <v>29025</v>
      </c>
      <c r="BK149" s="10">
        <v>37627</v>
      </c>
      <c r="BL149" s="10">
        <v>18413</v>
      </c>
    </row>
    <row r="150" spans="1:64">
      <c r="A150" s="15">
        <v>419631</v>
      </c>
      <c r="B150" s="14">
        <v>685378</v>
      </c>
      <c r="C150" s="14">
        <v>149</v>
      </c>
      <c r="D150" s="2" t="str">
        <f>HYPERLINK("http://128.120.136.21:8080/binbase-compound/bin/show/419631?db=rtx5","419631")</f>
        <v>419631</v>
      </c>
      <c r="E150" s="2" t="s">
        <v>298</v>
      </c>
      <c r="F150" s="2" t="s">
        <v>57</v>
      </c>
      <c r="G150" s="2" t="s">
        <v>57</v>
      </c>
      <c r="H150" s="10">
        <v>11837</v>
      </c>
      <c r="I150" s="10">
        <v>19299</v>
      </c>
      <c r="J150" s="10">
        <v>20498</v>
      </c>
      <c r="K150" s="10">
        <v>10386</v>
      </c>
      <c r="L150" s="10">
        <v>14759</v>
      </c>
      <c r="M150" s="10">
        <v>8460</v>
      </c>
      <c r="N150" s="10">
        <v>18517</v>
      </c>
      <c r="O150" s="10">
        <v>11790</v>
      </c>
      <c r="P150" s="10">
        <v>7905</v>
      </c>
      <c r="Q150" s="10">
        <v>20548</v>
      </c>
      <c r="R150" s="10">
        <v>13133</v>
      </c>
      <c r="S150" s="10">
        <v>73843</v>
      </c>
      <c r="T150" s="10">
        <v>9582</v>
      </c>
      <c r="U150" s="10">
        <v>18919</v>
      </c>
      <c r="V150" s="10">
        <v>16931</v>
      </c>
      <c r="W150" s="10">
        <v>7692</v>
      </c>
      <c r="X150" s="10">
        <v>10312</v>
      </c>
      <c r="Y150" s="10">
        <v>13900</v>
      </c>
      <c r="Z150" s="10">
        <v>11014</v>
      </c>
      <c r="AA150" s="10">
        <v>21748</v>
      </c>
      <c r="AB150" s="10">
        <v>24601</v>
      </c>
      <c r="AC150" s="10">
        <v>7851</v>
      </c>
      <c r="AD150" s="10">
        <v>8102</v>
      </c>
      <c r="AE150" s="10">
        <v>11295</v>
      </c>
      <c r="AF150" s="10">
        <v>12612</v>
      </c>
      <c r="AG150" s="10">
        <v>8551</v>
      </c>
      <c r="AH150" s="10">
        <v>20314</v>
      </c>
      <c r="AI150" s="10">
        <v>23155</v>
      </c>
      <c r="AJ150" s="10">
        <v>15895</v>
      </c>
      <c r="AK150" s="10">
        <v>20099</v>
      </c>
      <c r="AL150" s="10">
        <v>19483</v>
      </c>
      <c r="AM150" s="10">
        <v>14079</v>
      </c>
      <c r="AN150" s="10">
        <v>24752</v>
      </c>
      <c r="AO150" s="10">
        <v>20566</v>
      </c>
      <c r="AP150" s="10">
        <v>20407</v>
      </c>
      <c r="AQ150" s="10">
        <v>57405</v>
      </c>
      <c r="AR150" s="10">
        <v>18498</v>
      </c>
      <c r="AS150" s="10">
        <v>19920</v>
      </c>
      <c r="AT150" s="10">
        <v>17655</v>
      </c>
      <c r="AU150" s="10">
        <v>8744</v>
      </c>
      <c r="AV150" s="10">
        <v>22945</v>
      </c>
      <c r="AW150" s="10">
        <v>20501</v>
      </c>
      <c r="AX150" s="10">
        <v>21440</v>
      </c>
      <c r="AY150" s="10">
        <v>20981</v>
      </c>
      <c r="AZ150" s="10">
        <v>22671</v>
      </c>
      <c r="BA150" s="10">
        <v>13948</v>
      </c>
      <c r="BB150" s="10">
        <v>14196</v>
      </c>
      <c r="BC150" s="10">
        <v>17685</v>
      </c>
      <c r="BD150" s="10">
        <v>10723</v>
      </c>
      <c r="BE150" s="10">
        <v>15267</v>
      </c>
      <c r="BF150" s="10">
        <v>20892</v>
      </c>
      <c r="BG150" s="10">
        <v>23315</v>
      </c>
      <c r="BH150" s="10">
        <v>11772</v>
      </c>
      <c r="BI150" s="10">
        <v>26742</v>
      </c>
      <c r="BJ150" s="10">
        <v>15689</v>
      </c>
      <c r="BK150" s="10">
        <v>21070</v>
      </c>
      <c r="BL150" s="10">
        <v>12108</v>
      </c>
    </row>
    <row r="151" spans="1:64">
      <c r="A151" s="15">
        <v>199942</v>
      </c>
      <c r="B151" s="14">
        <v>431285</v>
      </c>
      <c r="C151" s="14">
        <v>104</v>
      </c>
      <c r="D151" s="2" t="str">
        <f>HYPERLINK("http://128.120.136.21:8080/binbase-compound/bin/show/199942?db=rtx5","199942")</f>
        <v>199942</v>
      </c>
      <c r="E151" s="2" t="s">
        <v>505</v>
      </c>
      <c r="F151" s="2" t="s">
        <v>57</v>
      </c>
      <c r="G151" s="2" t="s">
        <v>57</v>
      </c>
      <c r="H151" s="10">
        <v>10891</v>
      </c>
      <c r="I151" s="10">
        <v>8771</v>
      </c>
      <c r="J151" s="10">
        <v>10744</v>
      </c>
      <c r="K151" s="10">
        <v>19327</v>
      </c>
      <c r="L151" s="10">
        <v>13543</v>
      </c>
      <c r="M151" s="10">
        <v>12233</v>
      </c>
      <c r="N151" s="10">
        <v>16746</v>
      </c>
      <c r="O151" s="10">
        <v>21841</v>
      </c>
      <c r="P151" s="10">
        <v>13041</v>
      </c>
      <c r="Q151" s="10">
        <v>10509</v>
      </c>
      <c r="R151" s="10">
        <v>10393</v>
      </c>
      <c r="S151" s="10">
        <v>12877</v>
      </c>
      <c r="T151" s="10">
        <v>10388</v>
      </c>
      <c r="U151" s="10">
        <v>14156</v>
      </c>
      <c r="V151" s="10">
        <v>25013</v>
      </c>
      <c r="W151" s="10">
        <v>10264</v>
      </c>
      <c r="X151" s="10">
        <v>14608</v>
      </c>
      <c r="Y151" s="10">
        <v>8006</v>
      </c>
      <c r="Z151" s="10">
        <v>4854</v>
      </c>
      <c r="AA151" s="10">
        <v>10162</v>
      </c>
      <c r="AB151" s="10">
        <v>8640</v>
      </c>
      <c r="AC151" s="10">
        <v>12076</v>
      </c>
      <c r="AD151" s="10">
        <v>14334</v>
      </c>
      <c r="AE151" s="10">
        <v>13834</v>
      </c>
      <c r="AF151" s="10">
        <v>7011</v>
      </c>
      <c r="AG151" s="10">
        <v>12399</v>
      </c>
      <c r="AH151" s="10">
        <v>17329</v>
      </c>
      <c r="AI151" s="10">
        <v>12890</v>
      </c>
      <c r="AJ151" s="10">
        <v>14804</v>
      </c>
      <c r="AK151" s="10">
        <v>9850</v>
      </c>
      <c r="AL151" s="10">
        <v>21977</v>
      </c>
      <c r="AM151" s="10">
        <v>8257</v>
      </c>
      <c r="AN151" s="10">
        <v>22140</v>
      </c>
      <c r="AO151" s="10">
        <v>22010</v>
      </c>
      <c r="AP151" s="10">
        <v>13211</v>
      </c>
      <c r="AQ151" s="10">
        <v>13478</v>
      </c>
      <c r="AR151" s="10">
        <v>12394</v>
      </c>
      <c r="AS151" s="10">
        <v>20926</v>
      </c>
      <c r="AT151" s="10">
        <v>2836</v>
      </c>
      <c r="AU151" s="10">
        <v>12013</v>
      </c>
      <c r="AV151" s="10">
        <v>20937</v>
      </c>
      <c r="AW151" s="10">
        <v>4721</v>
      </c>
      <c r="AX151" s="10">
        <v>10688</v>
      </c>
      <c r="AY151" s="10">
        <v>12007</v>
      </c>
      <c r="AZ151" s="10">
        <v>14285</v>
      </c>
      <c r="BA151" s="10">
        <v>12474</v>
      </c>
      <c r="BB151" s="10">
        <v>11712</v>
      </c>
      <c r="BC151" s="10">
        <v>15683</v>
      </c>
      <c r="BD151" s="10">
        <v>14667</v>
      </c>
      <c r="BE151" s="10">
        <v>14330</v>
      </c>
      <c r="BF151" s="10">
        <v>17748</v>
      </c>
      <c r="BG151" s="10">
        <v>15772</v>
      </c>
      <c r="BH151" s="10">
        <v>11686</v>
      </c>
      <c r="BI151" s="10">
        <v>12957</v>
      </c>
      <c r="BJ151" s="10">
        <v>15747</v>
      </c>
      <c r="BK151" s="10">
        <v>24390</v>
      </c>
      <c r="BL151" s="10">
        <v>15704</v>
      </c>
    </row>
    <row r="152" spans="1:64">
      <c r="A152" s="15">
        <v>419655</v>
      </c>
      <c r="B152" s="14">
        <v>803124</v>
      </c>
      <c r="C152" s="14">
        <v>85</v>
      </c>
      <c r="D152" s="2" t="str">
        <f>HYPERLINK("http://128.120.136.21:8080/binbase-compound/bin/show/419655?db=rtx5","419655")</f>
        <v>419655</v>
      </c>
      <c r="E152" s="2" t="s">
        <v>297</v>
      </c>
      <c r="F152" s="2" t="s">
        <v>57</v>
      </c>
      <c r="G152" s="2" t="s">
        <v>57</v>
      </c>
      <c r="H152" s="10">
        <v>12106</v>
      </c>
      <c r="I152" s="10">
        <v>7090</v>
      </c>
      <c r="J152" s="10">
        <v>8763</v>
      </c>
      <c r="K152" s="10">
        <v>15306</v>
      </c>
      <c r="L152" s="10">
        <v>19754</v>
      </c>
      <c r="M152" s="10">
        <v>9355</v>
      </c>
      <c r="N152" s="10">
        <v>28592</v>
      </c>
      <c r="O152" s="10">
        <v>4661</v>
      </c>
      <c r="P152" s="10">
        <v>5228</v>
      </c>
      <c r="Q152" s="10">
        <v>39450</v>
      </c>
      <c r="R152" s="10">
        <v>8306</v>
      </c>
      <c r="S152" s="10">
        <v>89140</v>
      </c>
      <c r="T152" s="10">
        <v>11197</v>
      </c>
      <c r="U152" s="10">
        <v>8118</v>
      </c>
      <c r="V152" s="10">
        <v>7317</v>
      </c>
      <c r="W152" s="10">
        <v>11334</v>
      </c>
      <c r="X152" s="10">
        <v>5621</v>
      </c>
      <c r="Y152" s="10">
        <v>14575</v>
      </c>
      <c r="Z152" s="10">
        <v>4922</v>
      </c>
      <c r="AA152" s="10">
        <v>15322</v>
      </c>
      <c r="AB152" s="10">
        <v>21053</v>
      </c>
      <c r="AC152" s="10">
        <v>7187</v>
      </c>
      <c r="AD152" s="10">
        <v>4071</v>
      </c>
      <c r="AE152" s="10">
        <v>15646</v>
      </c>
      <c r="AF152" s="10">
        <v>4763</v>
      </c>
      <c r="AG152" s="10">
        <v>5751</v>
      </c>
      <c r="AH152" s="10">
        <v>29676</v>
      </c>
      <c r="AI152" s="10">
        <v>9269</v>
      </c>
      <c r="AJ152" s="10">
        <v>24577</v>
      </c>
      <c r="AK152" s="10">
        <v>17898</v>
      </c>
      <c r="AL152" s="10">
        <v>7171</v>
      </c>
      <c r="AM152" s="10">
        <v>6737</v>
      </c>
      <c r="AN152" s="10">
        <v>17729</v>
      </c>
      <c r="AO152" s="10">
        <v>21276</v>
      </c>
      <c r="AP152" s="10">
        <v>33212</v>
      </c>
      <c r="AQ152" s="10">
        <v>81210</v>
      </c>
      <c r="AR152" s="10">
        <v>8669</v>
      </c>
      <c r="AS152" s="10">
        <v>11243</v>
      </c>
      <c r="AT152" s="10">
        <v>11910</v>
      </c>
      <c r="AU152" s="10">
        <v>15400</v>
      </c>
      <c r="AV152" s="10">
        <v>10172</v>
      </c>
      <c r="AW152" s="10">
        <v>9350</v>
      </c>
      <c r="AX152" s="10">
        <v>19158</v>
      </c>
      <c r="AY152" s="10">
        <v>6092</v>
      </c>
      <c r="AZ152" s="10">
        <v>10891</v>
      </c>
      <c r="BA152" s="10">
        <v>8923</v>
      </c>
      <c r="BB152" s="10">
        <v>13272</v>
      </c>
      <c r="BC152" s="10">
        <v>10851</v>
      </c>
      <c r="BD152" s="10">
        <v>6317</v>
      </c>
      <c r="BE152" s="10">
        <v>10099</v>
      </c>
      <c r="BF152" s="10">
        <v>15599</v>
      </c>
      <c r="BG152" s="10">
        <v>15370</v>
      </c>
      <c r="BH152" s="10">
        <v>4622</v>
      </c>
      <c r="BI152" s="10">
        <v>31164</v>
      </c>
      <c r="BJ152" s="10">
        <v>7032</v>
      </c>
      <c r="BK152" s="10">
        <v>22906</v>
      </c>
      <c r="BL152" s="10">
        <v>5954</v>
      </c>
    </row>
    <row r="153" spans="1:64">
      <c r="A153" s="15">
        <v>199786</v>
      </c>
      <c r="B153" s="14">
        <v>637184</v>
      </c>
      <c r="C153" s="14">
        <v>174</v>
      </c>
      <c r="D153" s="2" t="str">
        <f>HYPERLINK("http://128.120.136.21:8080/binbase-compound/bin/show/199786?db=rtx5","199786")</f>
        <v>199786</v>
      </c>
      <c r="E153" s="2" t="s">
        <v>506</v>
      </c>
      <c r="F153" s="2" t="s">
        <v>57</v>
      </c>
      <c r="G153" s="2" t="s">
        <v>57</v>
      </c>
      <c r="H153" s="10">
        <v>25544</v>
      </c>
      <c r="I153" s="10">
        <v>2631</v>
      </c>
      <c r="J153" s="10">
        <v>6287</v>
      </c>
      <c r="K153" s="10">
        <v>20539</v>
      </c>
      <c r="L153" s="10">
        <v>8410</v>
      </c>
      <c r="M153" s="10">
        <v>21312</v>
      </c>
      <c r="N153" s="10">
        <v>9131</v>
      </c>
      <c r="O153" s="10">
        <v>20835</v>
      </c>
      <c r="P153" s="10">
        <v>9080</v>
      </c>
      <c r="Q153" s="10">
        <v>24584</v>
      </c>
      <c r="R153" s="10">
        <v>35470</v>
      </c>
      <c r="S153" s="10">
        <v>35267</v>
      </c>
      <c r="T153" s="10">
        <v>9561</v>
      </c>
      <c r="U153" s="10">
        <v>3635</v>
      </c>
      <c r="V153" s="10">
        <v>17583</v>
      </c>
      <c r="W153" s="10">
        <v>12704</v>
      </c>
      <c r="X153" s="10">
        <v>15676</v>
      </c>
      <c r="Y153" s="10">
        <v>10563</v>
      </c>
      <c r="Z153" s="10">
        <v>19744</v>
      </c>
      <c r="AA153" s="10">
        <v>7546</v>
      </c>
      <c r="AB153" s="10">
        <v>5907</v>
      </c>
      <c r="AC153" s="10">
        <v>12680</v>
      </c>
      <c r="AD153" s="10">
        <v>19430</v>
      </c>
      <c r="AE153" s="10">
        <v>14022</v>
      </c>
      <c r="AF153" s="10">
        <v>9611</v>
      </c>
      <c r="AG153" s="10">
        <v>30839</v>
      </c>
      <c r="AH153" s="10">
        <v>4098</v>
      </c>
      <c r="AI153" s="10">
        <v>5744</v>
      </c>
      <c r="AJ153" s="10">
        <v>12455</v>
      </c>
      <c r="AK153" s="10">
        <v>4944</v>
      </c>
      <c r="AL153" s="10">
        <v>6834</v>
      </c>
      <c r="AM153" s="10">
        <v>6734</v>
      </c>
      <c r="AN153" s="10">
        <v>10133</v>
      </c>
      <c r="AO153" s="10">
        <v>12687</v>
      </c>
      <c r="AP153" s="10">
        <v>8340</v>
      </c>
      <c r="AQ153" s="10">
        <v>3052</v>
      </c>
      <c r="AR153" s="10">
        <v>13846</v>
      </c>
      <c r="AS153" s="10">
        <v>12527</v>
      </c>
      <c r="AT153" s="10">
        <v>5253</v>
      </c>
      <c r="AU153" s="10">
        <v>11637</v>
      </c>
      <c r="AV153" s="10">
        <v>7864</v>
      </c>
      <c r="AW153" s="10">
        <v>6621</v>
      </c>
      <c r="AX153" s="10">
        <v>8725</v>
      </c>
      <c r="AY153" s="10">
        <v>7016</v>
      </c>
      <c r="AZ153" s="10">
        <v>7803</v>
      </c>
      <c r="BA153" s="10">
        <v>18665</v>
      </c>
      <c r="BB153" s="10">
        <v>6446</v>
      </c>
      <c r="BC153" s="10">
        <v>7808</v>
      </c>
      <c r="BD153" s="10">
        <v>24486</v>
      </c>
      <c r="BE153" s="10">
        <v>19415</v>
      </c>
      <c r="BF153" s="10">
        <v>12906</v>
      </c>
      <c r="BG153" s="10">
        <v>6974</v>
      </c>
      <c r="BH153" s="10">
        <v>18618</v>
      </c>
      <c r="BI153" s="10">
        <v>6015</v>
      </c>
      <c r="BJ153" s="10">
        <v>10181</v>
      </c>
      <c r="BK153" s="10">
        <v>24241</v>
      </c>
      <c r="BL153" s="10">
        <v>17976</v>
      </c>
    </row>
    <row r="154" spans="1:64">
      <c r="A154" s="15">
        <v>382318</v>
      </c>
      <c r="B154" s="14">
        <v>271210</v>
      </c>
      <c r="C154" s="14">
        <v>146</v>
      </c>
      <c r="D154" s="2" t="str">
        <f>HYPERLINK("http://128.120.136.21:8080/binbase-compound/bin/show/382318?db=rtx5","382318")</f>
        <v>382318</v>
      </c>
      <c r="E154" s="2" t="s">
        <v>330</v>
      </c>
      <c r="F154" s="2" t="s">
        <v>57</v>
      </c>
      <c r="G154" s="2" t="s">
        <v>57</v>
      </c>
      <c r="H154" s="10">
        <v>6124</v>
      </c>
      <c r="I154" s="10">
        <v>11013</v>
      </c>
      <c r="J154" s="10">
        <v>12843</v>
      </c>
      <c r="K154" s="10">
        <v>8176</v>
      </c>
      <c r="L154" s="10">
        <v>10943</v>
      </c>
      <c r="M154" s="10">
        <v>5920</v>
      </c>
      <c r="N154" s="10">
        <v>14991</v>
      </c>
      <c r="O154" s="10">
        <v>8815</v>
      </c>
      <c r="P154" s="10">
        <v>5521</v>
      </c>
      <c r="Q154" s="10">
        <v>18172</v>
      </c>
      <c r="R154" s="10">
        <v>12628</v>
      </c>
      <c r="S154" s="10">
        <v>48438</v>
      </c>
      <c r="T154" s="10">
        <v>4886</v>
      </c>
      <c r="U154" s="10">
        <v>13206</v>
      </c>
      <c r="V154" s="10">
        <v>12554</v>
      </c>
      <c r="W154" s="10">
        <v>6003</v>
      </c>
      <c r="X154" s="10">
        <v>9249</v>
      </c>
      <c r="Y154" s="10">
        <v>6893</v>
      </c>
      <c r="Z154" s="10">
        <v>6071</v>
      </c>
      <c r="AA154" s="10">
        <v>14829</v>
      </c>
      <c r="AB154" s="10">
        <v>14427</v>
      </c>
      <c r="AC154" s="10">
        <v>5116</v>
      </c>
      <c r="AD154" s="10">
        <v>6204</v>
      </c>
      <c r="AE154" s="10">
        <v>7232</v>
      </c>
      <c r="AF154" s="10">
        <v>8641</v>
      </c>
      <c r="AG154" s="10">
        <v>5461</v>
      </c>
      <c r="AH154" s="10">
        <v>17485</v>
      </c>
      <c r="AI154" s="10">
        <v>14893</v>
      </c>
      <c r="AJ154" s="10">
        <v>10692</v>
      </c>
      <c r="AK154" s="10">
        <v>13223</v>
      </c>
      <c r="AL154" s="10">
        <v>15399</v>
      </c>
      <c r="AM154" s="10">
        <v>7365</v>
      </c>
      <c r="AN154" s="10">
        <v>18550</v>
      </c>
      <c r="AO154" s="10">
        <v>17057</v>
      </c>
      <c r="AP154" s="10">
        <v>13788</v>
      </c>
      <c r="AQ154" s="10">
        <v>45313</v>
      </c>
      <c r="AR154" s="10">
        <v>12586</v>
      </c>
      <c r="AS154" s="10">
        <v>14453</v>
      </c>
      <c r="AT154" s="10">
        <v>9663</v>
      </c>
      <c r="AU154" s="10">
        <v>4776</v>
      </c>
      <c r="AV154" s="10">
        <v>17517</v>
      </c>
      <c r="AW154" s="10">
        <v>12807</v>
      </c>
      <c r="AX154" s="10">
        <v>14103</v>
      </c>
      <c r="AY154" s="10">
        <v>12466</v>
      </c>
      <c r="AZ154" s="10">
        <v>19231</v>
      </c>
      <c r="BA154" s="10">
        <v>9051</v>
      </c>
      <c r="BB154" s="10">
        <v>10775</v>
      </c>
      <c r="BC154" s="10">
        <v>17027</v>
      </c>
      <c r="BD154" s="10">
        <v>10624</v>
      </c>
      <c r="BE154" s="10">
        <v>11615</v>
      </c>
      <c r="BF154" s="10">
        <v>19318</v>
      </c>
      <c r="BG154" s="10">
        <v>23269</v>
      </c>
      <c r="BH154" s="10">
        <v>10424</v>
      </c>
      <c r="BI154" s="10">
        <v>19238</v>
      </c>
      <c r="BJ154" s="10">
        <v>10958</v>
      </c>
      <c r="BK154" s="10">
        <v>14677</v>
      </c>
      <c r="BL154" s="10">
        <v>8068</v>
      </c>
    </row>
    <row r="155" spans="1:64">
      <c r="A155" s="15">
        <v>214152</v>
      </c>
      <c r="B155" s="14">
        <v>573648</v>
      </c>
      <c r="C155" s="14">
        <v>159</v>
      </c>
      <c r="D155" s="2" t="str">
        <f>HYPERLINK("http://128.120.136.21:8080/binbase-compound/bin/show/214152?db=rtx5","214152")</f>
        <v>214152</v>
      </c>
      <c r="E155" s="2" t="s">
        <v>474</v>
      </c>
      <c r="F155" s="2" t="s">
        <v>57</v>
      </c>
      <c r="G155" s="2" t="s">
        <v>57</v>
      </c>
      <c r="H155" s="10">
        <v>13865</v>
      </c>
      <c r="I155" s="10">
        <v>12646</v>
      </c>
      <c r="J155" s="10">
        <v>5927</v>
      </c>
      <c r="K155" s="10">
        <v>18546</v>
      </c>
      <c r="L155" s="10">
        <v>7044</v>
      </c>
      <c r="M155" s="10">
        <v>9273</v>
      </c>
      <c r="N155" s="10">
        <v>26529</v>
      </c>
      <c r="O155" s="10">
        <v>13567</v>
      </c>
      <c r="P155" s="10">
        <v>13790</v>
      </c>
      <c r="Q155" s="10">
        <v>491</v>
      </c>
      <c r="R155" s="10">
        <v>420</v>
      </c>
      <c r="S155" s="10">
        <v>1099</v>
      </c>
      <c r="T155" s="10">
        <v>19210</v>
      </c>
      <c r="U155" s="10">
        <v>5365</v>
      </c>
      <c r="V155" s="10">
        <v>21979</v>
      </c>
      <c r="W155" s="10">
        <v>5002</v>
      </c>
      <c r="X155" s="10">
        <v>3242</v>
      </c>
      <c r="Y155" s="10">
        <v>29779</v>
      </c>
      <c r="Z155" s="10">
        <v>13626</v>
      </c>
      <c r="AA155" s="10">
        <v>3793</v>
      </c>
      <c r="AB155" s="10">
        <v>6140</v>
      </c>
      <c r="AC155" s="10">
        <v>24085</v>
      </c>
      <c r="AD155" s="10">
        <v>4116</v>
      </c>
      <c r="AE155" s="10">
        <v>3431</v>
      </c>
      <c r="AF155" s="10">
        <v>2894</v>
      </c>
      <c r="AG155" s="10">
        <v>3709</v>
      </c>
      <c r="AH155" s="10">
        <v>2149</v>
      </c>
      <c r="AI155" s="10">
        <v>1018</v>
      </c>
      <c r="AJ155" s="10">
        <v>8209</v>
      </c>
      <c r="AK155" s="10">
        <v>1081</v>
      </c>
      <c r="AL155" s="10">
        <v>13393</v>
      </c>
      <c r="AM155" s="10">
        <v>15174</v>
      </c>
      <c r="AN155" s="10">
        <v>1109</v>
      </c>
      <c r="AO155" s="10">
        <v>810</v>
      </c>
      <c r="AP155" s="10">
        <v>3254</v>
      </c>
      <c r="AQ155" s="10">
        <v>807</v>
      </c>
      <c r="AR155" s="10">
        <v>10584</v>
      </c>
      <c r="AS155" s="10">
        <v>5088</v>
      </c>
      <c r="AT155" s="10">
        <v>17226</v>
      </c>
      <c r="AU155" s="10">
        <v>20408</v>
      </c>
      <c r="AV155" s="10">
        <v>11536</v>
      </c>
      <c r="AW155" s="10">
        <v>15587</v>
      </c>
      <c r="AX155" s="10">
        <v>11588</v>
      </c>
      <c r="AY155" s="10">
        <v>10004</v>
      </c>
      <c r="AZ155" s="10">
        <v>8375</v>
      </c>
      <c r="BA155" s="10">
        <v>9514</v>
      </c>
      <c r="BB155" s="10">
        <v>14232</v>
      </c>
      <c r="BC155" s="10">
        <v>9385</v>
      </c>
      <c r="BD155" s="10">
        <v>8077</v>
      </c>
      <c r="BE155" s="10">
        <v>9838</v>
      </c>
      <c r="BF155" s="10">
        <v>1261</v>
      </c>
      <c r="BG155" s="10">
        <v>1113</v>
      </c>
      <c r="BH155" s="10">
        <v>7577</v>
      </c>
      <c r="BI155" s="10">
        <v>1862</v>
      </c>
      <c r="BJ155" s="10">
        <v>8652</v>
      </c>
      <c r="BK155" s="10">
        <v>8909</v>
      </c>
      <c r="BL155" s="10">
        <v>3285</v>
      </c>
    </row>
    <row r="156" spans="1:64">
      <c r="A156" s="15">
        <v>214148</v>
      </c>
      <c r="B156" s="14">
        <v>869617</v>
      </c>
      <c r="C156" s="14">
        <v>156</v>
      </c>
      <c r="D156" s="2" t="str">
        <f>HYPERLINK("http://128.120.136.21:8080/binbase-compound/bin/show/214148?db=rtx5","214148")</f>
        <v>214148</v>
      </c>
      <c r="E156" s="2" t="s">
        <v>476</v>
      </c>
      <c r="F156" s="2" t="s">
        <v>57</v>
      </c>
      <c r="G156" s="2" t="s">
        <v>57</v>
      </c>
      <c r="H156" s="10">
        <v>16059</v>
      </c>
      <c r="I156" s="10">
        <v>16282</v>
      </c>
      <c r="J156" s="10">
        <v>18683</v>
      </c>
      <c r="K156" s="10">
        <v>21123</v>
      </c>
      <c r="L156" s="10">
        <v>19290</v>
      </c>
      <c r="M156" s="10">
        <v>17217</v>
      </c>
      <c r="N156" s="10">
        <v>18656</v>
      </c>
      <c r="O156" s="10">
        <v>24885</v>
      </c>
      <c r="P156" s="10">
        <v>15677</v>
      </c>
      <c r="Q156" s="10">
        <v>642</v>
      </c>
      <c r="R156" s="10">
        <v>1235</v>
      </c>
      <c r="S156" s="10">
        <v>1183</v>
      </c>
      <c r="T156" s="10">
        <v>20624</v>
      </c>
      <c r="U156" s="10">
        <v>12928</v>
      </c>
      <c r="V156" s="10">
        <v>19912</v>
      </c>
      <c r="W156" s="10">
        <v>22576</v>
      </c>
      <c r="X156" s="10">
        <v>20309</v>
      </c>
      <c r="Y156" s="10">
        <v>32520</v>
      </c>
      <c r="Z156" s="10">
        <v>20019</v>
      </c>
      <c r="AA156" s="10">
        <v>15194</v>
      </c>
      <c r="AB156" s="10">
        <v>9486</v>
      </c>
      <c r="AC156" s="10">
        <v>26513</v>
      </c>
      <c r="AD156" s="10">
        <v>28340</v>
      </c>
      <c r="AE156" s="10">
        <v>15863</v>
      </c>
      <c r="AF156" s="10">
        <v>13276</v>
      </c>
      <c r="AG156" s="10">
        <v>13356</v>
      </c>
      <c r="AH156" s="10">
        <v>1120</v>
      </c>
      <c r="AI156" s="10">
        <v>8404</v>
      </c>
      <c r="AJ156" s="10">
        <v>16649</v>
      </c>
      <c r="AK156" s="10">
        <v>12245</v>
      </c>
      <c r="AL156" s="10">
        <v>14775</v>
      </c>
      <c r="AM156" s="10">
        <v>20472</v>
      </c>
      <c r="AN156" s="10">
        <v>8794</v>
      </c>
      <c r="AO156" s="10">
        <v>6692</v>
      </c>
      <c r="AP156" s="10">
        <v>10091</v>
      </c>
      <c r="AQ156" s="10">
        <v>3951</v>
      </c>
      <c r="AR156" s="10">
        <v>18529</v>
      </c>
      <c r="AS156" s="10">
        <v>13695</v>
      </c>
      <c r="AT156" s="10">
        <v>17206</v>
      </c>
      <c r="AU156" s="10">
        <v>7616</v>
      </c>
      <c r="AV156" s="10">
        <v>10364</v>
      </c>
      <c r="AW156" s="10">
        <v>17225</v>
      </c>
      <c r="AX156" s="10">
        <v>9332</v>
      </c>
      <c r="AY156" s="10">
        <v>6767</v>
      </c>
      <c r="AZ156" s="10">
        <v>11758</v>
      </c>
      <c r="BA156" s="10">
        <v>19960</v>
      </c>
      <c r="BB156" s="10">
        <v>23352</v>
      </c>
      <c r="BC156" s="10">
        <v>12091</v>
      </c>
      <c r="BD156" s="10">
        <v>28510</v>
      </c>
      <c r="BE156" s="10">
        <v>20680</v>
      </c>
      <c r="BF156" s="10">
        <v>4868</v>
      </c>
      <c r="BG156" s="10">
        <v>670</v>
      </c>
      <c r="BH156" s="10">
        <v>18784</v>
      </c>
      <c r="BI156" s="10">
        <v>8969</v>
      </c>
      <c r="BJ156" s="10">
        <v>13258</v>
      </c>
      <c r="BK156" s="10">
        <v>11235</v>
      </c>
      <c r="BL156" s="10">
        <v>12023</v>
      </c>
    </row>
    <row r="157" spans="1:64">
      <c r="A157" s="15">
        <v>225863</v>
      </c>
      <c r="B157" s="14">
        <v>750238</v>
      </c>
      <c r="C157" s="14">
        <v>319</v>
      </c>
      <c r="D157" s="2" t="str">
        <f>HYPERLINK("http://128.120.136.21:8080/binbase-compound/bin/show/225863?db=rtx5","225863")</f>
        <v>225863</v>
      </c>
      <c r="E157" s="2" t="s">
        <v>454</v>
      </c>
      <c r="F157" s="2" t="s">
        <v>57</v>
      </c>
      <c r="G157" s="2" t="s">
        <v>57</v>
      </c>
      <c r="H157" s="10">
        <v>2328</v>
      </c>
      <c r="I157" s="10">
        <v>17262</v>
      </c>
      <c r="J157" s="10">
        <v>17318</v>
      </c>
      <c r="K157" s="10">
        <v>7646</v>
      </c>
      <c r="L157" s="10">
        <v>14318</v>
      </c>
      <c r="M157" s="10">
        <v>4435</v>
      </c>
      <c r="N157" s="10">
        <v>17662</v>
      </c>
      <c r="O157" s="10">
        <v>4505</v>
      </c>
      <c r="P157" s="10">
        <v>4238</v>
      </c>
      <c r="Q157" s="10">
        <v>200</v>
      </c>
      <c r="R157" s="10">
        <v>135</v>
      </c>
      <c r="S157" s="10">
        <v>853</v>
      </c>
      <c r="T157" s="10">
        <v>7135</v>
      </c>
      <c r="U157" s="10">
        <v>25545</v>
      </c>
      <c r="V157" s="10">
        <v>16007</v>
      </c>
      <c r="W157" s="10">
        <v>5585</v>
      </c>
      <c r="X157" s="10">
        <v>3580</v>
      </c>
      <c r="Y157" s="10">
        <v>6231</v>
      </c>
      <c r="Z157" s="10">
        <v>8365</v>
      </c>
      <c r="AA157" s="10">
        <v>14388</v>
      </c>
      <c r="AB157" s="10">
        <v>6516</v>
      </c>
      <c r="AC157" s="10">
        <v>5996</v>
      </c>
      <c r="AD157" s="10">
        <v>4355</v>
      </c>
      <c r="AE157" s="10">
        <v>4944</v>
      </c>
      <c r="AF157" s="10">
        <v>4205</v>
      </c>
      <c r="AG157" s="10">
        <v>4187</v>
      </c>
      <c r="AH157" s="10">
        <v>19395</v>
      </c>
      <c r="AI157" s="10">
        <v>13797</v>
      </c>
      <c r="AJ157" s="10">
        <v>7080</v>
      </c>
      <c r="AK157" s="10">
        <v>4996</v>
      </c>
      <c r="AL157" s="10">
        <v>35550</v>
      </c>
      <c r="AM157" s="10">
        <v>9741</v>
      </c>
      <c r="AN157" s="10">
        <v>27657</v>
      </c>
      <c r="AO157" s="10">
        <v>25108</v>
      </c>
      <c r="AP157" s="10">
        <v>6280</v>
      </c>
      <c r="AQ157" s="10">
        <v>6468</v>
      </c>
      <c r="AR157" s="10">
        <v>9431</v>
      </c>
      <c r="AS157" s="10">
        <v>18643</v>
      </c>
      <c r="AT157" s="10">
        <v>11866</v>
      </c>
      <c r="AU157" s="10">
        <v>4132</v>
      </c>
      <c r="AV157" s="10">
        <v>18107</v>
      </c>
      <c r="AW157" s="10">
        <v>7989</v>
      </c>
      <c r="AX157" s="10">
        <v>24133</v>
      </c>
      <c r="AY157" s="10">
        <v>15890</v>
      </c>
      <c r="AZ157" s="10">
        <v>17329</v>
      </c>
      <c r="BA157" s="10">
        <v>15410</v>
      </c>
      <c r="BB157" s="10">
        <v>15378</v>
      </c>
      <c r="BC157" s="10">
        <v>30854</v>
      </c>
      <c r="BD157" s="10">
        <v>5493</v>
      </c>
      <c r="BE157" s="10">
        <v>5349</v>
      </c>
      <c r="BF157" s="10">
        <v>14186</v>
      </c>
      <c r="BG157" s="10">
        <v>18891</v>
      </c>
      <c r="BH157" s="10">
        <v>8025</v>
      </c>
      <c r="BI157" s="10">
        <v>16776</v>
      </c>
      <c r="BJ157" s="10">
        <v>4017</v>
      </c>
      <c r="BK157" s="10">
        <v>3894</v>
      </c>
      <c r="BL157" s="10">
        <v>3358</v>
      </c>
    </row>
    <row r="158" spans="1:64">
      <c r="A158" s="15">
        <v>352812</v>
      </c>
      <c r="B158" s="14">
        <v>743646</v>
      </c>
      <c r="C158" s="14">
        <v>319</v>
      </c>
      <c r="D158" s="2" t="str">
        <f>HYPERLINK("http://128.120.136.21:8080/binbase-compound/bin/show/352812?db=rtx5","352812")</f>
        <v>352812</v>
      </c>
      <c r="E158" s="2" t="s">
        <v>353</v>
      </c>
      <c r="F158" s="2" t="s">
        <v>57</v>
      </c>
      <c r="G158" s="2" t="s">
        <v>57</v>
      </c>
      <c r="H158" s="10">
        <v>2936</v>
      </c>
      <c r="I158" s="10">
        <v>24741</v>
      </c>
      <c r="J158" s="10">
        <v>24840</v>
      </c>
      <c r="K158" s="10">
        <v>9826</v>
      </c>
      <c r="L158" s="10">
        <v>21209</v>
      </c>
      <c r="M158" s="10">
        <v>5291</v>
      </c>
      <c r="N158" s="10">
        <v>23421</v>
      </c>
      <c r="O158" s="10">
        <v>5805</v>
      </c>
      <c r="P158" s="10">
        <v>5892</v>
      </c>
      <c r="Q158" s="10">
        <v>471</v>
      </c>
      <c r="R158" s="10">
        <v>643</v>
      </c>
      <c r="S158" s="10">
        <v>997</v>
      </c>
      <c r="T158" s="10">
        <v>8719</v>
      </c>
      <c r="U158" s="10">
        <v>37428</v>
      </c>
      <c r="V158" s="10">
        <v>20796</v>
      </c>
      <c r="W158" s="10">
        <v>6529</v>
      </c>
      <c r="X158" s="10">
        <v>4640</v>
      </c>
      <c r="Y158" s="10">
        <v>8026</v>
      </c>
      <c r="Z158" s="10">
        <v>10708</v>
      </c>
      <c r="AA158" s="10">
        <v>22308</v>
      </c>
      <c r="AB158" s="10">
        <v>8537</v>
      </c>
      <c r="AC158" s="10">
        <v>7622</v>
      </c>
      <c r="AD158" s="10">
        <v>5682</v>
      </c>
      <c r="AE158" s="10">
        <v>7154</v>
      </c>
      <c r="AF158" s="10">
        <v>5297</v>
      </c>
      <c r="AG158" s="10">
        <v>5276</v>
      </c>
      <c r="AH158" s="10">
        <v>26302</v>
      </c>
      <c r="AI158" s="10">
        <v>20099</v>
      </c>
      <c r="AJ158" s="10">
        <v>9227</v>
      </c>
      <c r="AK158" s="10">
        <v>6338</v>
      </c>
      <c r="AL158" s="10">
        <v>41977</v>
      </c>
      <c r="AM158" s="10">
        <v>12293</v>
      </c>
      <c r="AN158" s="10">
        <v>40004</v>
      </c>
      <c r="AO158" s="10">
        <v>30239</v>
      </c>
      <c r="AP158" s="10">
        <v>7803</v>
      </c>
      <c r="AQ158" s="10">
        <v>8625</v>
      </c>
      <c r="AR158" s="10">
        <v>12943</v>
      </c>
      <c r="AS158" s="10">
        <v>24068</v>
      </c>
      <c r="AT158" s="10">
        <v>15741</v>
      </c>
      <c r="AU158" s="10">
        <v>5494</v>
      </c>
      <c r="AV158" s="10">
        <v>29859</v>
      </c>
      <c r="AW158" s="10">
        <v>11382</v>
      </c>
      <c r="AX158" s="10">
        <v>33609</v>
      </c>
      <c r="AY158" s="10">
        <v>24699</v>
      </c>
      <c r="AZ158" s="10">
        <v>27796</v>
      </c>
      <c r="BA158" s="10">
        <v>17381</v>
      </c>
      <c r="BB158" s="10">
        <v>17562</v>
      </c>
      <c r="BC158" s="10">
        <v>36734</v>
      </c>
      <c r="BD158" s="10">
        <v>6380</v>
      </c>
      <c r="BE158" s="10">
        <v>6319</v>
      </c>
      <c r="BF158" s="10">
        <v>17587</v>
      </c>
      <c r="BG158" s="10">
        <v>24816</v>
      </c>
      <c r="BH158" s="10">
        <v>9633</v>
      </c>
      <c r="BI158" s="10">
        <v>23247</v>
      </c>
      <c r="BJ158" s="10">
        <v>4926</v>
      </c>
      <c r="BK158" s="10">
        <v>5069</v>
      </c>
      <c r="BL158" s="10">
        <v>4353</v>
      </c>
    </row>
    <row r="159" spans="1:64">
      <c r="A159" s="15">
        <v>241049</v>
      </c>
      <c r="B159" s="14">
        <v>906403</v>
      </c>
      <c r="C159" s="14">
        <v>179</v>
      </c>
      <c r="D159" s="2" t="str">
        <f>HYPERLINK("http://128.120.136.21:8080/binbase-compound/bin/show/241049?db=rtx5","241049")</f>
        <v>241049</v>
      </c>
      <c r="E159" s="2" t="s">
        <v>419</v>
      </c>
      <c r="F159" s="2" t="s">
        <v>57</v>
      </c>
      <c r="G159" s="2" t="s">
        <v>57</v>
      </c>
      <c r="H159" s="10">
        <v>14556</v>
      </c>
      <c r="I159" s="10">
        <v>4782</v>
      </c>
      <c r="J159" s="10">
        <v>6317</v>
      </c>
      <c r="K159" s="10">
        <v>9226</v>
      </c>
      <c r="L159" s="10">
        <v>4298</v>
      </c>
      <c r="M159" s="10">
        <v>14222</v>
      </c>
      <c r="N159" s="10">
        <v>6711</v>
      </c>
      <c r="O159" s="10">
        <v>10123</v>
      </c>
      <c r="P159" s="10">
        <v>11122</v>
      </c>
      <c r="Q159" s="10">
        <v>14967</v>
      </c>
      <c r="R159" s="10">
        <v>18654</v>
      </c>
      <c r="S159" s="10">
        <v>6853</v>
      </c>
      <c r="T159" s="10">
        <v>13964</v>
      </c>
      <c r="U159" s="10">
        <v>4852</v>
      </c>
      <c r="V159" s="10">
        <v>7245</v>
      </c>
      <c r="W159" s="10">
        <v>8470</v>
      </c>
      <c r="X159" s="10">
        <v>6861</v>
      </c>
      <c r="Y159" s="10">
        <v>8226</v>
      </c>
      <c r="Z159" s="10">
        <v>14574</v>
      </c>
      <c r="AA159" s="10">
        <v>6630</v>
      </c>
      <c r="AB159" s="10">
        <v>6843</v>
      </c>
      <c r="AC159" s="10">
        <v>8152</v>
      </c>
      <c r="AD159" s="10">
        <v>5457</v>
      </c>
      <c r="AE159" s="10">
        <v>8145</v>
      </c>
      <c r="AF159" s="10">
        <v>8167</v>
      </c>
      <c r="AG159" s="10">
        <v>8060</v>
      </c>
      <c r="AH159" s="10">
        <v>1610</v>
      </c>
      <c r="AI159" s="10">
        <v>7678</v>
      </c>
      <c r="AJ159" s="10">
        <v>11088</v>
      </c>
      <c r="AK159" s="10">
        <v>7553</v>
      </c>
      <c r="AL159" s="10">
        <v>7469</v>
      </c>
      <c r="AM159" s="10">
        <v>8009</v>
      </c>
      <c r="AN159" s="10">
        <v>5767</v>
      </c>
      <c r="AO159" s="10">
        <v>6947</v>
      </c>
      <c r="AP159" s="10">
        <v>9459</v>
      </c>
      <c r="AQ159" s="10">
        <v>4526</v>
      </c>
      <c r="AR159" s="10">
        <v>7322</v>
      </c>
      <c r="AS159" s="10">
        <v>6831</v>
      </c>
      <c r="AT159" s="10">
        <v>7058</v>
      </c>
      <c r="AU159" s="10">
        <v>18000</v>
      </c>
      <c r="AV159" s="10">
        <v>5157</v>
      </c>
      <c r="AW159" s="10">
        <v>7575</v>
      </c>
      <c r="AX159" s="10">
        <v>4407</v>
      </c>
      <c r="AY159" s="10">
        <v>6812</v>
      </c>
      <c r="AZ159" s="10">
        <v>3338</v>
      </c>
      <c r="BA159" s="10">
        <v>8401</v>
      </c>
      <c r="BB159" s="10">
        <v>8417</v>
      </c>
      <c r="BC159" s="10">
        <v>6853</v>
      </c>
      <c r="BD159" s="10">
        <v>10909</v>
      </c>
      <c r="BE159" s="10">
        <v>10739</v>
      </c>
      <c r="BF159" s="10">
        <v>6974</v>
      </c>
      <c r="BG159" s="10">
        <v>3410</v>
      </c>
      <c r="BH159" s="10">
        <v>7117</v>
      </c>
      <c r="BI159" s="10">
        <v>6295</v>
      </c>
      <c r="BJ159" s="10">
        <v>10292</v>
      </c>
      <c r="BK159" s="10">
        <v>15072</v>
      </c>
      <c r="BL159" s="10">
        <v>13390</v>
      </c>
    </row>
    <row r="160" spans="1:64">
      <c r="A160" s="15">
        <v>216428</v>
      </c>
      <c r="B160" s="14">
        <v>505415</v>
      </c>
      <c r="C160" s="14">
        <v>223</v>
      </c>
      <c r="D160" s="2" t="str">
        <f>HYPERLINK("http://128.120.136.21:8080/binbase-compound/bin/show/216428?db=rtx5","216428")</f>
        <v>216428</v>
      </c>
      <c r="E160" s="2" t="s">
        <v>469</v>
      </c>
      <c r="F160" s="2" t="s">
        <v>57</v>
      </c>
      <c r="G160" s="2" t="s">
        <v>57</v>
      </c>
      <c r="H160" s="10">
        <v>7770</v>
      </c>
      <c r="I160" s="10">
        <v>7703</v>
      </c>
      <c r="J160" s="10">
        <v>8509</v>
      </c>
      <c r="K160" s="10">
        <v>7398</v>
      </c>
      <c r="L160" s="10">
        <v>9505</v>
      </c>
      <c r="M160" s="10">
        <v>6224</v>
      </c>
      <c r="N160" s="10">
        <v>13837</v>
      </c>
      <c r="O160" s="10">
        <v>6751</v>
      </c>
      <c r="P160" s="10">
        <v>6451</v>
      </c>
      <c r="Q160" s="10">
        <v>11502</v>
      </c>
      <c r="R160" s="10">
        <v>10961</v>
      </c>
      <c r="S160" s="10">
        <v>36798</v>
      </c>
      <c r="T160" s="10">
        <v>3661</v>
      </c>
      <c r="U160" s="10">
        <v>10539</v>
      </c>
      <c r="V160" s="10">
        <v>10030</v>
      </c>
      <c r="W160" s="10">
        <v>5323</v>
      </c>
      <c r="X160" s="10">
        <v>7548</v>
      </c>
      <c r="Y160" s="10">
        <v>4971</v>
      </c>
      <c r="Z160" s="10">
        <v>5984</v>
      </c>
      <c r="AA160" s="10">
        <v>13589</v>
      </c>
      <c r="AB160" s="10">
        <v>8947</v>
      </c>
      <c r="AC160" s="10">
        <v>3969</v>
      </c>
      <c r="AD160" s="10">
        <v>3857</v>
      </c>
      <c r="AE160" s="10">
        <v>5421</v>
      </c>
      <c r="AF160" s="10">
        <v>7939</v>
      </c>
      <c r="AG160" s="10">
        <v>5445</v>
      </c>
      <c r="AH160" s="10">
        <v>13144</v>
      </c>
      <c r="AI160" s="10">
        <v>6843</v>
      </c>
      <c r="AJ160" s="10">
        <v>11327</v>
      </c>
      <c r="AK160" s="10">
        <v>12412</v>
      </c>
      <c r="AL160" s="10">
        <v>9181</v>
      </c>
      <c r="AM160" s="10">
        <v>4001</v>
      </c>
      <c r="AN160" s="10">
        <v>13530</v>
      </c>
      <c r="AO160" s="10">
        <v>17525</v>
      </c>
      <c r="AP160" s="10">
        <v>7980</v>
      </c>
      <c r="AQ160" s="10">
        <v>29342</v>
      </c>
      <c r="AR160" s="10">
        <v>11822</v>
      </c>
      <c r="AS160" s="10">
        <v>7772</v>
      </c>
      <c r="AT160" s="10">
        <v>7784</v>
      </c>
      <c r="AU160" s="10">
        <v>3634</v>
      </c>
      <c r="AV160" s="10">
        <v>13752</v>
      </c>
      <c r="AW160" s="10">
        <v>8590</v>
      </c>
      <c r="AX160" s="10">
        <v>6861</v>
      </c>
      <c r="AY160" s="10">
        <v>10507</v>
      </c>
      <c r="AZ160" s="10">
        <v>10666</v>
      </c>
      <c r="BA160" s="10">
        <v>9765</v>
      </c>
      <c r="BB160" s="10">
        <v>5616</v>
      </c>
      <c r="BC160" s="10">
        <v>10318</v>
      </c>
      <c r="BD160" s="10">
        <v>8555</v>
      </c>
      <c r="BE160" s="10">
        <v>9325</v>
      </c>
      <c r="BF160" s="10">
        <v>15942</v>
      </c>
      <c r="BG160" s="10">
        <v>14486</v>
      </c>
      <c r="BH160" s="10">
        <v>8198</v>
      </c>
      <c r="BI160" s="10">
        <v>9033</v>
      </c>
      <c r="BJ160" s="10">
        <v>6139</v>
      </c>
      <c r="BK160" s="10">
        <v>11804</v>
      </c>
      <c r="BL160" s="10">
        <v>6916</v>
      </c>
    </row>
    <row r="161" spans="1:64">
      <c r="A161" s="15">
        <v>359513</v>
      </c>
      <c r="B161" s="14">
        <v>678220</v>
      </c>
      <c r="C161" s="14">
        <v>156</v>
      </c>
      <c r="D161" s="2" t="str">
        <f>HYPERLINK("http://128.120.136.21:8080/binbase-compound/bin/show/359513?db=rtx5","359513")</f>
        <v>359513</v>
      </c>
      <c r="E161" s="2" t="s">
        <v>344</v>
      </c>
      <c r="F161" s="2" t="s">
        <v>57</v>
      </c>
      <c r="G161" s="2" t="s">
        <v>57</v>
      </c>
      <c r="H161" s="10">
        <v>12776</v>
      </c>
      <c r="I161" s="10">
        <v>5234</v>
      </c>
      <c r="J161" s="10">
        <v>5135</v>
      </c>
      <c r="K161" s="10">
        <v>8807</v>
      </c>
      <c r="L161" s="10">
        <v>4296</v>
      </c>
      <c r="M161" s="10">
        <v>13457</v>
      </c>
      <c r="N161" s="10">
        <v>5680</v>
      </c>
      <c r="O161" s="10">
        <v>9193</v>
      </c>
      <c r="P161" s="10">
        <v>9743</v>
      </c>
      <c r="Q161" s="10">
        <v>11712</v>
      </c>
      <c r="R161" s="10">
        <v>18347</v>
      </c>
      <c r="S161" s="10">
        <v>10138</v>
      </c>
      <c r="T161" s="10">
        <v>11050</v>
      </c>
      <c r="U161" s="10">
        <v>4393</v>
      </c>
      <c r="V161" s="10">
        <v>8094</v>
      </c>
      <c r="W161" s="10">
        <v>7318</v>
      </c>
      <c r="X161" s="10">
        <v>6548</v>
      </c>
      <c r="Y161" s="10">
        <v>8573</v>
      </c>
      <c r="Z161" s="10">
        <v>12632</v>
      </c>
      <c r="AA161" s="10">
        <v>6006</v>
      </c>
      <c r="AB161" s="10">
        <v>6100</v>
      </c>
      <c r="AC161" s="10">
        <v>6880</v>
      </c>
      <c r="AD161" s="10">
        <v>5574</v>
      </c>
      <c r="AE161" s="10">
        <v>8026</v>
      </c>
      <c r="AF161" s="10">
        <v>6683</v>
      </c>
      <c r="AG161" s="10">
        <v>10673</v>
      </c>
      <c r="AH161" s="10">
        <v>3852</v>
      </c>
      <c r="AI161" s="10">
        <v>7116</v>
      </c>
      <c r="AJ161" s="10">
        <v>10337</v>
      </c>
      <c r="AK161" s="10">
        <v>5620</v>
      </c>
      <c r="AL161" s="10">
        <v>6825</v>
      </c>
      <c r="AM161" s="10">
        <v>572</v>
      </c>
      <c r="AN161" s="10">
        <v>6054</v>
      </c>
      <c r="AO161" s="10">
        <v>7426</v>
      </c>
      <c r="AP161" s="10">
        <v>7413</v>
      </c>
      <c r="AQ161" s="10">
        <v>3104</v>
      </c>
      <c r="AR161" s="10">
        <v>6802</v>
      </c>
      <c r="AS161" s="10">
        <v>7272</v>
      </c>
      <c r="AT161" s="10">
        <v>6251</v>
      </c>
      <c r="AU161" s="10">
        <v>16710</v>
      </c>
      <c r="AV161" s="10">
        <v>3670</v>
      </c>
      <c r="AW161" s="10">
        <v>6388</v>
      </c>
      <c r="AX161" s="10">
        <v>4331</v>
      </c>
      <c r="AY161" s="10">
        <v>6783</v>
      </c>
      <c r="AZ161" s="10">
        <v>3795</v>
      </c>
      <c r="BA161" s="10">
        <v>7597</v>
      </c>
      <c r="BB161" s="10">
        <v>5632</v>
      </c>
      <c r="BC161" s="10">
        <v>5289</v>
      </c>
      <c r="BD161" s="10">
        <v>8908</v>
      </c>
      <c r="BE161" s="10">
        <v>8006</v>
      </c>
      <c r="BF161" s="10">
        <v>5715</v>
      </c>
      <c r="BG161" s="10">
        <v>6024</v>
      </c>
      <c r="BH161" s="10">
        <v>7595</v>
      </c>
      <c r="BI161" s="10">
        <v>5810</v>
      </c>
      <c r="BJ161" s="10">
        <v>10467</v>
      </c>
      <c r="BK161" s="10">
        <v>10399</v>
      </c>
      <c r="BL161" s="10">
        <v>8528</v>
      </c>
    </row>
    <row r="162" spans="1:64">
      <c r="A162" s="15">
        <v>359697</v>
      </c>
      <c r="B162" s="14">
        <v>759397</v>
      </c>
      <c r="C162" s="14">
        <v>156</v>
      </c>
      <c r="D162" s="2" t="str">
        <f>HYPERLINK("http://128.120.136.21:8080/binbase-compound/bin/show/359697?db=rtx5","359697")</f>
        <v>359697</v>
      </c>
      <c r="E162" s="2" t="s">
        <v>342</v>
      </c>
      <c r="F162" s="2" t="s">
        <v>57</v>
      </c>
      <c r="G162" s="2" t="s">
        <v>57</v>
      </c>
      <c r="H162" s="10">
        <v>12922</v>
      </c>
      <c r="I162" s="10">
        <v>4038</v>
      </c>
      <c r="J162" s="10">
        <v>4662</v>
      </c>
      <c r="K162" s="10">
        <v>8541</v>
      </c>
      <c r="L162" s="10">
        <v>4405</v>
      </c>
      <c r="M162" s="10">
        <v>11324</v>
      </c>
      <c r="N162" s="10">
        <v>5374</v>
      </c>
      <c r="O162" s="10">
        <v>8338</v>
      </c>
      <c r="P162" s="10">
        <v>9479</v>
      </c>
      <c r="Q162" s="10">
        <v>10862</v>
      </c>
      <c r="R162" s="10">
        <v>15715</v>
      </c>
      <c r="S162" s="10">
        <v>10054</v>
      </c>
      <c r="T162" s="10">
        <v>9737</v>
      </c>
      <c r="U162" s="10">
        <v>4324</v>
      </c>
      <c r="V162" s="10">
        <v>7248</v>
      </c>
      <c r="W162" s="10">
        <v>6888</v>
      </c>
      <c r="X162" s="10">
        <v>6757</v>
      </c>
      <c r="Y162" s="10">
        <v>8359</v>
      </c>
      <c r="Z162" s="10">
        <v>11316</v>
      </c>
      <c r="AA162" s="10">
        <v>5223</v>
      </c>
      <c r="AB162" s="10">
        <v>5961</v>
      </c>
      <c r="AC162" s="10">
        <v>6428</v>
      </c>
      <c r="AD162" s="10">
        <v>4867</v>
      </c>
      <c r="AE162" s="10">
        <v>7310</v>
      </c>
      <c r="AF162" s="10">
        <v>6457</v>
      </c>
      <c r="AG162" s="10">
        <v>11740</v>
      </c>
      <c r="AH162" s="10">
        <v>3059</v>
      </c>
      <c r="AI162" s="10">
        <v>6056</v>
      </c>
      <c r="AJ162" s="10">
        <v>8830</v>
      </c>
      <c r="AK162" s="10">
        <v>5124</v>
      </c>
      <c r="AL162" s="10">
        <v>6492</v>
      </c>
      <c r="AM162" s="10">
        <v>432</v>
      </c>
      <c r="AN162" s="10">
        <v>5580</v>
      </c>
      <c r="AO162" s="10">
        <v>6222</v>
      </c>
      <c r="AP162" s="10">
        <v>7582</v>
      </c>
      <c r="AQ162" s="10">
        <v>4342</v>
      </c>
      <c r="AR162" s="10">
        <v>6114</v>
      </c>
      <c r="AS162" s="10">
        <v>6641</v>
      </c>
      <c r="AT162" s="10">
        <v>5100</v>
      </c>
      <c r="AU162" s="10">
        <v>14540</v>
      </c>
      <c r="AV162" s="10">
        <v>3372</v>
      </c>
      <c r="AW162" s="10">
        <v>6380</v>
      </c>
      <c r="AX162" s="10">
        <v>4210</v>
      </c>
      <c r="AY162" s="10">
        <v>5532</v>
      </c>
      <c r="AZ162" s="10">
        <v>3882</v>
      </c>
      <c r="BA162" s="10">
        <v>7156</v>
      </c>
      <c r="BB162" s="10">
        <v>5475</v>
      </c>
      <c r="BC162" s="10">
        <v>4978</v>
      </c>
      <c r="BD162" s="10">
        <v>8879</v>
      </c>
      <c r="BE162" s="10">
        <v>8359</v>
      </c>
      <c r="BF162" s="10">
        <v>5584</v>
      </c>
      <c r="BG162" s="10">
        <v>5136</v>
      </c>
      <c r="BH162" s="10">
        <v>6635</v>
      </c>
      <c r="BI162" s="10">
        <v>4656</v>
      </c>
      <c r="BJ162" s="10">
        <v>10384</v>
      </c>
      <c r="BK162" s="10">
        <v>12103</v>
      </c>
      <c r="BL162" s="10">
        <v>8580</v>
      </c>
    </row>
    <row r="163" spans="1:64">
      <c r="A163" s="15">
        <v>446628</v>
      </c>
      <c r="B163" s="14">
        <v>189724</v>
      </c>
      <c r="C163" s="14">
        <v>113</v>
      </c>
      <c r="D163" s="2" t="str">
        <f>HYPERLINK("http://128.120.136.21:8080/binbase-compound/bin/show/446628?db=rtx5","446628")</f>
        <v>446628</v>
      </c>
      <c r="E163" s="2" t="s">
        <v>285</v>
      </c>
      <c r="F163" s="2" t="s">
        <v>57</v>
      </c>
      <c r="G163" s="2" t="s">
        <v>57</v>
      </c>
      <c r="H163" s="10">
        <v>478</v>
      </c>
      <c r="I163" s="10">
        <v>13150</v>
      </c>
      <c r="J163" s="10">
        <v>31304</v>
      </c>
      <c r="K163" s="10">
        <v>528</v>
      </c>
      <c r="L163" s="10">
        <v>25955</v>
      </c>
      <c r="M163" s="10">
        <v>2908</v>
      </c>
      <c r="N163" s="10">
        <v>25301</v>
      </c>
      <c r="O163" s="10">
        <v>828</v>
      </c>
      <c r="P163" s="10">
        <v>6962</v>
      </c>
      <c r="Q163" s="10">
        <v>24392</v>
      </c>
      <c r="R163" s="10">
        <v>5797</v>
      </c>
      <c r="S163" s="10">
        <v>7892</v>
      </c>
      <c r="T163" s="10">
        <v>8231</v>
      </c>
      <c r="U163" s="10">
        <v>18828</v>
      </c>
      <c r="V163" s="10">
        <v>499</v>
      </c>
      <c r="W163" s="10">
        <v>9377</v>
      </c>
      <c r="X163" s="10">
        <v>444</v>
      </c>
      <c r="Y163" s="10">
        <v>643</v>
      </c>
      <c r="Z163" s="10">
        <v>5083</v>
      </c>
      <c r="AA163" s="10">
        <v>3112</v>
      </c>
      <c r="AB163" s="10">
        <v>25253</v>
      </c>
      <c r="AC163" s="10">
        <v>9481</v>
      </c>
      <c r="AD163" s="10">
        <v>466</v>
      </c>
      <c r="AE163" s="10">
        <v>8864</v>
      </c>
      <c r="AF163" s="10">
        <v>11469</v>
      </c>
      <c r="AG163" s="10">
        <v>1350</v>
      </c>
      <c r="AH163" s="10">
        <v>3295</v>
      </c>
      <c r="AI163" s="10">
        <v>24257</v>
      </c>
      <c r="AJ163" s="10">
        <v>20638</v>
      </c>
      <c r="AK163" s="10">
        <v>26107</v>
      </c>
      <c r="AL163" s="10">
        <v>4472</v>
      </c>
      <c r="AM163" s="10">
        <v>13799</v>
      </c>
      <c r="AN163" s="10">
        <v>1089</v>
      </c>
      <c r="AO163" s="10">
        <v>3915</v>
      </c>
      <c r="AP163" s="10">
        <v>29747</v>
      </c>
      <c r="AQ163" s="10">
        <v>131636</v>
      </c>
      <c r="AR163" s="10">
        <v>854</v>
      </c>
      <c r="AS163" s="10">
        <v>1354</v>
      </c>
      <c r="AT163" s="10">
        <v>17111</v>
      </c>
      <c r="AU163" s="10">
        <v>4373</v>
      </c>
      <c r="AV163" s="10">
        <v>26006</v>
      </c>
      <c r="AW163" s="10">
        <v>17922</v>
      </c>
      <c r="AX163" s="10">
        <v>22200</v>
      </c>
      <c r="AY163" s="10">
        <v>27350</v>
      </c>
      <c r="AZ163" s="10">
        <v>2473</v>
      </c>
      <c r="BA163" s="10">
        <v>699</v>
      </c>
      <c r="BB163" s="10">
        <v>17893</v>
      </c>
      <c r="BC163" s="10">
        <v>24592</v>
      </c>
      <c r="BD163" s="10">
        <v>4530</v>
      </c>
      <c r="BE163" s="10">
        <v>16868</v>
      </c>
      <c r="BF163" s="10">
        <v>6710</v>
      </c>
      <c r="BG163" s="10">
        <v>32115</v>
      </c>
      <c r="BH163" s="10">
        <v>4202</v>
      </c>
      <c r="BI163" s="10">
        <v>37772</v>
      </c>
      <c r="BJ163" s="10">
        <v>11560</v>
      </c>
      <c r="BK163" s="10">
        <v>18567</v>
      </c>
      <c r="BL163" s="10">
        <v>10572</v>
      </c>
    </row>
    <row r="164" spans="1:64">
      <c r="A164" s="15">
        <v>279691</v>
      </c>
      <c r="B164" s="14">
        <v>191484</v>
      </c>
      <c r="C164" s="14">
        <v>113</v>
      </c>
      <c r="D164" s="2" t="str">
        <f>HYPERLINK("http://128.120.136.21:8080/binbase-compound/bin/show/279691?db=rtx5","279691")</f>
        <v>279691</v>
      </c>
      <c r="E164" s="2" t="s">
        <v>392</v>
      </c>
      <c r="F164" s="2" t="s">
        <v>57</v>
      </c>
      <c r="G164" s="2" t="s">
        <v>57</v>
      </c>
      <c r="H164" s="10">
        <v>8745</v>
      </c>
      <c r="I164" s="10">
        <v>13208</v>
      </c>
      <c r="J164" s="10">
        <v>32398</v>
      </c>
      <c r="K164" s="10">
        <v>11267</v>
      </c>
      <c r="L164" s="10">
        <v>26789</v>
      </c>
      <c r="M164" s="10">
        <v>8576</v>
      </c>
      <c r="N164" s="10">
        <v>24913</v>
      </c>
      <c r="O164" s="10">
        <v>12559</v>
      </c>
      <c r="P164" s="10">
        <v>7611</v>
      </c>
      <c r="Q164" s="10">
        <v>14781</v>
      </c>
      <c r="R164" s="10">
        <v>11895</v>
      </c>
      <c r="S164" s="10">
        <v>120755</v>
      </c>
      <c r="T164" s="10">
        <v>407</v>
      </c>
      <c r="U164" s="10">
        <v>1806</v>
      </c>
      <c r="V164" s="10">
        <v>12752</v>
      </c>
      <c r="W164" s="10">
        <v>9063</v>
      </c>
      <c r="X164" s="10">
        <v>13234</v>
      </c>
      <c r="Y164" s="10">
        <v>10398</v>
      </c>
      <c r="Z164" s="10">
        <v>6381</v>
      </c>
      <c r="AA164" s="10">
        <v>22741</v>
      </c>
      <c r="AB164" s="10">
        <v>27352</v>
      </c>
      <c r="AC164" s="10">
        <v>9195</v>
      </c>
      <c r="AD164" s="10">
        <v>6026</v>
      </c>
      <c r="AE164" s="10">
        <v>9268</v>
      </c>
      <c r="AF164" s="10">
        <v>12061</v>
      </c>
      <c r="AG164" s="10">
        <v>4169</v>
      </c>
      <c r="AH164" s="10">
        <v>29316</v>
      </c>
      <c r="AI164" s="10">
        <v>25267</v>
      </c>
      <c r="AJ164" s="10">
        <v>20675</v>
      </c>
      <c r="AK164" s="10">
        <v>24964</v>
      </c>
      <c r="AL164" s="10">
        <v>22665</v>
      </c>
      <c r="AM164" s="10">
        <v>14494</v>
      </c>
      <c r="AN164" s="10">
        <v>31148</v>
      </c>
      <c r="AO164" s="10">
        <v>30927</v>
      </c>
      <c r="AP164" s="10">
        <v>30996</v>
      </c>
      <c r="AQ164" s="10">
        <v>136490</v>
      </c>
      <c r="AR164" s="10">
        <v>15871</v>
      </c>
      <c r="AS164" s="10">
        <v>24823</v>
      </c>
      <c r="AT164" s="10">
        <v>4887</v>
      </c>
      <c r="AU164" s="10">
        <v>4663</v>
      </c>
      <c r="AV164" s="10">
        <v>25279</v>
      </c>
      <c r="AW164" s="10">
        <v>18629</v>
      </c>
      <c r="AX164" s="10">
        <v>21485</v>
      </c>
      <c r="AY164" s="10">
        <v>8348</v>
      </c>
      <c r="AZ164" s="10">
        <v>28294</v>
      </c>
      <c r="BA164" s="10">
        <v>16388</v>
      </c>
      <c r="BB164" s="10">
        <v>18990</v>
      </c>
      <c r="BC164" s="10">
        <v>18304</v>
      </c>
      <c r="BD164" s="10">
        <v>13169</v>
      </c>
      <c r="BE164" s="10">
        <v>16454</v>
      </c>
      <c r="BF164" s="10">
        <v>36345</v>
      </c>
      <c r="BG164" s="10">
        <v>32115</v>
      </c>
      <c r="BH164" s="10">
        <v>14202</v>
      </c>
      <c r="BI164" s="10">
        <v>39038</v>
      </c>
      <c r="BJ164" s="10">
        <v>12400</v>
      </c>
      <c r="BK164" s="10">
        <v>17633</v>
      </c>
      <c r="BL164" s="10">
        <v>9919</v>
      </c>
    </row>
    <row r="165" spans="1:64">
      <c r="A165" s="15">
        <v>438114</v>
      </c>
      <c r="B165" s="14">
        <v>526985</v>
      </c>
      <c r="C165" s="14">
        <v>142</v>
      </c>
      <c r="D165" s="2" t="str">
        <f>HYPERLINK("http://128.120.136.21:8080/binbase-compound/bin/show/438114?db=rtx5","438114")</f>
        <v>438114</v>
      </c>
      <c r="E165" s="2" t="s">
        <v>291</v>
      </c>
      <c r="F165" s="2" t="s">
        <v>57</v>
      </c>
      <c r="G165" s="2" t="s">
        <v>57</v>
      </c>
      <c r="H165" s="10">
        <v>13460</v>
      </c>
      <c r="I165" s="10">
        <v>12904</v>
      </c>
      <c r="J165" s="10">
        <v>18755</v>
      </c>
      <c r="K165" s="10">
        <v>7816</v>
      </c>
      <c r="L165" s="10">
        <v>6516</v>
      </c>
      <c r="M165" s="10">
        <v>8668</v>
      </c>
      <c r="N165" s="10">
        <v>8333</v>
      </c>
      <c r="O165" s="10">
        <v>9139</v>
      </c>
      <c r="P165" s="10">
        <v>15227</v>
      </c>
      <c r="Q165" s="10">
        <v>11222</v>
      </c>
      <c r="R165" s="10">
        <v>19612</v>
      </c>
      <c r="S165" s="10">
        <v>7099</v>
      </c>
      <c r="T165" s="10">
        <v>39114</v>
      </c>
      <c r="U165" s="10">
        <v>8236</v>
      </c>
      <c r="V165" s="10">
        <v>3651</v>
      </c>
      <c r="W165" s="10">
        <v>15275</v>
      </c>
      <c r="X165" s="10">
        <v>8400</v>
      </c>
      <c r="Y165" s="10">
        <v>9217</v>
      </c>
      <c r="Z165" s="10">
        <v>21926</v>
      </c>
      <c r="AA165" s="10">
        <v>9791</v>
      </c>
      <c r="AB165" s="10">
        <v>29999</v>
      </c>
      <c r="AC165" s="10">
        <v>7774</v>
      </c>
      <c r="AD165" s="10">
        <v>7463</v>
      </c>
      <c r="AE165" s="10">
        <v>12527</v>
      </c>
      <c r="AF165" s="10">
        <v>15159</v>
      </c>
      <c r="AG165" s="10">
        <v>9276</v>
      </c>
      <c r="AH165" s="10">
        <v>2538</v>
      </c>
      <c r="AI165" s="10">
        <v>19638</v>
      </c>
      <c r="AJ165" s="10">
        <v>14802</v>
      </c>
      <c r="AK165" s="10">
        <v>10815</v>
      </c>
      <c r="AL165" s="10">
        <v>4441</v>
      </c>
      <c r="AM165" s="10">
        <v>4460</v>
      </c>
      <c r="AN165" s="10">
        <v>5338</v>
      </c>
      <c r="AO165" s="10">
        <v>2372</v>
      </c>
      <c r="AP165" s="10">
        <v>23548</v>
      </c>
      <c r="AQ165" s="10">
        <v>6424</v>
      </c>
      <c r="AR165" s="10">
        <v>9419</v>
      </c>
      <c r="AS165" s="10">
        <v>8990</v>
      </c>
      <c r="AT165" s="10">
        <v>13495</v>
      </c>
      <c r="AU165" s="10">
        <v>19191</v>
      </c>
      <c r="AV165" s="10">
        <v>4385</v>
      </c>
      <c r="AW165" s="10">
        <v>24841</v>
      </c>
      <c r="AX165" s="10">
        <v>8470</v>
      </c>
      <c r="AY165" s="10">
        <v>28492</v>
      </c>
      <c r="AZ165" s="10">
        <v>4252</v>
      </c>
      <c r="BA165" s="10">
        <v>5774</v>
      </c>
      <c r="BB165" s="10">
        <v>14600</v>
      </c>
      <c r="BC165" s="10">
        <v>2574</v>
      </c>
      <c r="BD165" s="10">
        <v>8755</v>
      </c>
      <c r="BE165" s="10">
        <v>4815</v>
      </c>
      <c r="BF165" s="10">
        <v>3178</v>
      </c>
      <c r="BG165" s="10">
        <v>1222</v>
      </c>
      <c r="BH165" s="10">
        <v>5903</v>
      </c>
      <c r="BI165" s="10">
        <v>10396</v>
      </c>
      <c r="BJ165" s="10">
        <v>12706</v>
      </c>
      <c r="BK165" s="10">
        <v>6233</v>
      </c>
      <c r="BL165" s="10">
        <v>16834</v>
      </c>
    </row>
    <row r="166" spans="1:64">
      <c r="A166" s="15">
        <v>374786</v>
      </c>
      <c r="B166" s="14">
        <v>678641</v>
      </c>
      <c r="C166" s="14">
        <v>204</v>
      </c>
      <c r="D166" s="2" t="str">
        <f>HYPERLINK("http://128.120.136.21:8080/binbase-compound/bin/show/374786?db=rtx5","374786")</f>
        <v>374786</v>
      </c>
      <c r="E166" s="2" t="s">
        <v>332</v>
      </c>
      <c r="F166" s="2" t="s">
        <v>57</v>
      </c>
      <c r="G166" s="2" t="s">
        <v>57</v>
      </c>
      <c r="H166" s="10">
        <v>1221</v>
      </c>
      <c r="I166" s="10">
        <v>535761</v>
      </c>
      <c r="J166" s="10">
        <v>587</v>
      </c>
      <c r="K166" s="10">
        <v>674</v>
      </c>
      <c r="L166" s="10">
        <v>1544</v>
      </c>
      <c r="M166" s="10">
        <v>931</v>
      </c>
      <c r="N166" s="10">
        <v>1577</v>
      </c>
      <c r="O166" s="10">
        <v>298</v>
      </c>
      <c r="P166" s="10">
        <v>396</v>
      </c>
      <c r="Q166" s="10">
        <v>1682</v>
      </c>
      <c r="R166" s="10">
        <v>2345</v>
      </c>
      <c r="S166" s="10">
        <v>3267</v>
      </c>
      <c r="T166" s="10">
        <v>377</v>
      </c>
      <c r="U166" s="10">
        <v>1726</v>
      </c>
      <c r="V166" s="10">
        <v>657</v>
      </c>
      <c r="W166" s="10">
        <v>522</v>
      </c>
      <c r="X166" s="10">
        <v>1311</v>
      </c>
      <c r="Y166" s="10">
        <v>377</v>
      </c>
      <c r="Z166" s="10">
        <v>503</v>
      </c>
      <c r="AA166" s="10">
        <v>3598</v>
      </c>
      <c r="AB166" s="10">
        <v>942</v>
      </c>
      <c r="AC166" s="10">
        <v>849</v>
      </c>
      <c r="AD166" s="10">
        <v>506</v>
      </c>
      <c r="AE166" s="10">
        <v>709</v>
      </c>
      <c r="AF166" s="10">
        <v>1128</v>
      </c>
      <c r="AG166" s="10">
        <v>551</v>
      </c>
      <c r="AH166" s="10">
        <v>3817</v>
      </c>
      <c r="AI166" s="10">
        <v>1073</v>
      </c>
      <c r="AJ166" s="10">
        <v>1015</v>
      </c>
      <c r="AK166" s="10">
        <v>741</v>
      </c>
      <c r="AL166" s="10">
        <v>950</v>
      </c>
      <c r="AM166" s="10">
        <v>594</v>
      </c>
      <c r="AN166" s="10">
        <v>973</v>
      </c>
      <c r="AO166" s="10">
        <v>1342</v>
      </c>
      <c r="AP166" s="10">
        <v>1406</v>
      </c>
      <c r="AQ166" s="10">
        <v>1590</v>
      </c>
      <c r="AR166" s="10">
        <v>1096</v>
      </c>
      <c r="AS166" s="10">
        <v>860</v>
      </c>
      <c r="AT166" s="10">
        <v>1291</v>
      </c>
      <c r="AU166" s="10">
        <v>572</v>
      </c>
      <c r="AV166" s="10">
        <v>1079</v>
      </c>
      <c r="AW166" s="10">
        <v>1145</v>
      </c>
      <c r="AX166" s="10">
        <v>697</v>
      </c>
      <c r="AY166" s="10">
        <v>555</v>
      </c>
      <c r="AZ166" s="10">
        <v>394</v>
      </c>
      <c r="BA166" s="10">
        <v>765</v>
      </c>
      <c r="BB166" s="10">
        <v>551</v>
      </c>
      <c r="BC166" s="10">
        <v>1078</v>
      </c>
      <c r="BD166" s="10">
        <v>422</v>
      </c>
      <c r="BE166" s="10">
        <v>706</v>
      </c>
      <c r="BF166" s="10">
        <v>1190</v>
      </c>
      <c r="BG166" s="10">
        <v>1013</v>
      </c>
      <c r="BH166" s="10">
        <v>622</v>
      </c>
      <c r="BI166" s="10">
        <v>833</v>
      </c>
      <c r="BJ166" s="10">
        <v>840</v>
      </c>
      <c r="BK166" s="10">
        <v>1226</v>
      </c>
      <c r="BL166" s="10">
        <v>343</v>
      </c>
    </row>
    <row r="167" spans="1:64">
      <c r="A167" s="15">
        <v>207729</v>
      </c>
      <c r="B167" s="14">
        <v>716964</v>
      </c>
      <c r="C167" s="14">
        <v>156</v>
      </c>
      <c r="D167" s="2" t="str">
        <f>HYPERLINK("http://128.120.136.21:8080/binbase-compound/bin/show/207729?db=rtx5","207729")</f>
        <v>207729</v>
      </c>
      <c r="E167" s="2" t="s">
        <v>487</v>
      </c>
      <c r="F167" s="2" t="s">
        <v>57</v>
      </c>
      <c r="G167" s="2" t="s">
        <v>57</v>
      </c>
      <c r="H167" s="10">
        <v>10521</v>
      </c>
      <c r="I167" s="10">
        <v>4156</v>
      </c>
      <c r="J167" s="10">
        <v>3973</v>
      </c>
      <c r="K167" s="10">
        <v>7591</v>
      </c>
      <c r="L167" s="10">
        <v>3815</v>
      </c>
      <c r="M167" s="10">
        <v>11126</v>
      </c>
      <c r="N167" s="10">
        <v>5161</v>
      </c>
      <c r="O167" s="10">
        <v>9326</v>
      </c>
      <c r="P167" s="10">
        <v>8902</v>
      </c>
      <c r="Q167" s="10">
        <v>9076</v>
      </c>
      <c r="R167" s="10">
        <v>14955</v>
      </c>
      <c r="S167" s="10">
        <v>7808</v>
      </c>
      <c r="T167" s="10">
        <v>9706</v>
      </c>
      <c r="U167" s="10">
        <v>3411</v>
      </c>
      <c r="V167" s="10">
        <v>5755</v>
      </c>
      <c r="W167" s="10">
        <v>7044</v>
      </c>
      <c r="X167" s="10">
        <v>6075</v>
      </c>
      <c r="Y167" s="10">
        <v>6820</v>
      </c>
      <c r="Z167" s="10">
        <v>12835</v>
      </c>
      <c r="AA167" s="10">
        <v>5166</v>
      </c>
      <c r="AB167" s="10">
        <v>5099</v>
      </c>
      <c r="AC167" s="10">
        <v>6108</v>
      </c>
      <c r="AD167" s="10">
        <v>4953</v>
      </c>
      <c r="AE167" s="10">
        <v>7806</v>
      </c>
      <c r="AF167" s="10">
        <v>6592</v>
      </c>
      <c r="AG167" s="10">
        <v>10131</v>
      </c>
      <c r="AH167" s="10">
        <v>3177</v>
      </c>
      <c r="AI167" s="10">
        <v>4356</v>
      </c>
      <c r="AJ167" s="10">
        <v>7092</v>
      </c>
      <c r="AK167" s="10">
        <v>5093</v>
      </c>
      <c r="AL167" s="10">
        <v>5332</v>
      </c>
      <c r="AM167" s="10">
        <v>1631</v>
      </c>
      <c r="AN167" s="10">
        <v>4255</v>
      </c>
      <c r="AO167" s="10">
        <v>5474</v>
      </c>
      <c r="AP167" s="10">
        <v>5128</v>
      </c>
      <c r="AQ167" s="10">
        <v>2760</v>
      </c>
      <c r="AR167" s="10">
        <v>6561</v>
      </c>
      <c r="AS167" s="10">
        <v>6233</v>
      </c>
      <c r="AT167" s="10">
        <v>5355</v>
      </c>
      <c r="AU167" s="10">
        <v>16185</v>
      </c>
      <c r="AV167" s="10">
        <v>3436</v>
      </c>
      <c r="AW167" s="10">
        <v>6493</v>
      </c>
      <c r="AX167" s="10">
        <v>3457</v>
      </c>
      <c r="AY167" s="10">
        <v>4318</v>
      </c>
      <c r="AZ167" s="10">
        <v>3246</v>
      </c>
      <c r="BA167" s="10">
        <v>5866</v>
      </c>
      <c r="BB167" s="10">
        <v>4820</v>
      </c>
      <c r="BC167" s="10">
        <v>3818</v>
      </c>
      <c r="BD167" s="10">
        <v>6609</v>
      </c>
      <c r="BE167" s="10">
        <v>7280</v>
      </c>
      <c r="BF167" s="10">
        <v>5164</v>
      </c>
      <c r="BG167" s="10">
        <v>3415</v>
      </c>
      <c r="BH167" s="10">
        <v>4943</v>
      </c>
      <c r="BI167" s="10">
        <v>3504</v>
      </c>
      <c r="BJ167" s="10">
        <v>8852</v>
      </c>
      <c r="BK167" s="10">
        <v>9425</v>
      </c>
      <c r="BL167" s="10">
        <v>11681</v>
      </c>
    </row>
    <row r="168" spans="1:64">
      <c r="A168" s="15">
        <v>352980</v>
      </c>
      <c r="B168" s="14">
        <v>795269</v>
      </c>
      <c r="C168" s="14">
        <v>290</v>
      </c>
      <c r="D168" s="2" t="str">
        <f>HYPERLINK("http://128.120.136.21:8080/binbase-compound/bin/show/352980?db=rtx5","352980")</f>
        <v>352980</v>
      </c>
      <c r="E168" s="2" t="s">
        <v>352</v>
      </c>
      <c r="F168" s="2" t="s">
        <v>57</v>
      </c>
      <c r="G168" s="2" t="s">
        <v>57</v>
      </c>
      <c r="H168" s="10">
        <v>11006</v>
      </c>
      <c r="I168" s="10">
        <v>6487</v>
      </c>
      <c r="J168" s="10">
        <v>7538</v>
      </c>
      <c r="K168" s="10">
        <v>9304</v>
      </c>
      <c r="L168" s="10">
        <v>4448</v>
      </c>
      <c r="M168" s="10">
        <v>3403</v>
      </c>
      <c r="N168" s="10">
        <v>11290</v>
      </c>
      <c r="O168" s="10">
        <v>14686</v>
      </c>
      <c r="P168" s="10">
        <v>8032</v>
      </c>
      <c r="Q168" s="10">
        <v>204</v>
      </c>
      <c r="R168" s="10">
        <v>118</v>
      </c>
      <c r="S168" s="10">
        <v>721</v>
      </c>
      <c r="T168" s="10">
        <v>7920</v>
      </c>
      <c r="U168" s="10">
        <v>5154</v>
      </c>
      <c r="V168" s="10">
        <v>7353</v>
      </c>
      <c r="W168" s="10">
        <v>5069</v>
      </c>
      <c r="X168" s="10">
        <v>5170</v>
      </c>
      <c r="Y168" s="10">
        <v>5689</v>
      </c>
      <c r="Z168" s="10">
        <v>4747</v>
      </c>
      <c r="AA168" s="10">
        <v>4080</v>
      </c>
      <c r="AB168" s="10">
        <v>3785</v>
      </c>
      <c r="AC168" s="10">
        <v>3193</v>
      </c>
      <c r="AD168" s="10">
        <v>2753</v>
      </c>
      <c r="AE168" s="10">
        <v>7269</v>
      </c>
      <c r="AF168" s="10">
        <v>3597</v>
      </c>
      <c r="AG168" s="10">
        <v>4524</v>
      </c>
      <c r="AH168" s="10">
        <v>2753</v>
      </c>
      <c r="AI168" s="10">
        <v>5287</v>
      </c>
      <c r="AJ168" s="10">
        <v>7194</v>
      </c>
      <c r="AK168" s="10">
        <v>8573</v>
      </c>
      <c r="AL168" s="10">
        <v>7274</v>
      </c>
      <c r="AM168" s="10">
        <v>6819</v>
      </c>
      <c r="AN168" s="10">
        <v>5504</v>
      </c>
      <c r="AO168" s="10">
        <v>6639</v>
      </c>
      <c r="AP168" s="10">
        <v>5538</v>
      </c>
      <c r="AQ168" s="10">
        <v>4758</v>
      </c>
      <c r="AR168" s="10">
        <v>7650</v>
      </c>
      <c r="AS168" s="10">
        <v>6122</v>
      </c>
      <c r="AT168" s="10">
        <v>6860</v>
      </c>
      <c r="AU168" s="10">
        <v>4548</v>
      </c>
      <c r="AV168" s="10">
        <v>5478</v>
      </c>
      <c r="AW168" s="10">
        <v>9383</v>
      </c>
      <c r="AX168" s="10">
        <v>4179</v>
      </c>
      <c r="AY168" s="10">
        <v>5642</v>
      </c>
      <c r="AZ168" s="10">
        <v>5711</v>
      </c>
      <c r="BA168" s="10">
        <v>8253</v>
      </c>
      <c r="BB168" s="10">
        <v>6385</v>
      </c>
      <c r="BC168" s="10">
        <v>8016</v>
      </c>
      <c r="BD168" s="10">
        <v>8936</v>
      </c>
      <c r="BE168" s="10">
        <v>6902</v>
      </c>
      <c r="BF168" s="10">
        <v>4778</v>
      </c>
      <c r="BG168" s="10">
        <v>6601</v>
      </c>
      <c r="BH168" s="10">
        <v>8632</v>
      </c>
      <c r="BI168" s="10">
        <v>7654</v>
      </c>
      <c r="BJ168" s="10">
        <v>5316</v>
      </c>
      <c r="BK168" s="10">
        <v>5623</v>
      </c>
      <c r="BL168" s="10">
        <v>6157</v>
      </c>
    </row>
    <row r="169" spans="1:64">
      <c r="A169" s="15">
        <v>408892</v>
      </c>
      <c r="B169" s="14">
        <v>686321</v>
      </c>
      <c r="C169" s="14">
        <v>142</v>
      </c>
      <c r="D169" s="2" t="str">
        <f>HYPERLINK("http://128.120.136.21:8080/binbase-compound/bin/show/408892?db=rtx5","408892")</f>
        <v>408892</v>
      </c>
      <c r="E169" s="2" t="s">
        <v>316</v>
      </c>
      <c r="F169" s="2" t="s">
        <v>57</v>
      </c>
      <c r="G169" s="2" t="s">
        <v>57</v>
      </c>
      <c r="H169" s="10">
        <v>9414</v>
      </c>
      <c r="I169" s="10">
        <v>3653</v>
      </c>
      <c r="J169" s="10">
        <v>6136</v>
      </c>
      <c r="K169" s="10">
        <v>7648</v>
      </c>
      <c r="L169" s="10">
        <v>7072</v>
      </c>
      <c r="M169" s="10">
        <v>8492</v>
      </c>
      <c r="N169" s="10">
        <v>9791</v>
      </c>
      <c r="O169" s="10">
        <v>10070</v>
      </c>
      <c r="P169" s="10">
        <v>14384</v>
      </c>
      <c r="Q169" s="10">
        <v>5328</v>
      </c>
      <c r="R169" s="10">
        <v>7236</v>
      </c>
      <c r="S169" s="10">
        <v>3730</v>
      </c>
      <c r="T169" s="10">
        <v>11362</v>
      </c>
      <c r="U169" s="10">
        <v>6240</v>
      </c>
      <c r="V169" s="10">
        <v>8922</v>
      </c>
      <c r="W169" s="10">
        <v>5287</v>
      </c>
      <c r="X169" s="10">
        <v>6336</v>
      </c>
      <c r="Y169" s="10">
        <v>10151</v>
      </c>
      <c r="Z169" s="10">
        <v>9961</v>
      </c>
      <c r="AA169" s="10">
        <v>3165</v>
      </c>
      <c r="AB169" s="10">
        <v>4296</v>
      </c>
      <c r="AC169" s="10">
        <v>7639</v>
      </c>
      <c r="AD169" s="10">
        <v>4197</v>
      </c>
      <c r="AE169" s="10">
        <v>11074</v>
      </c>
      <c r="AF169" s="10">
        <v>4512</v>
      </c>
      <c r="AG169" s="10">
        <v>8681</v>
      </c>
      <c r="AH169" s="10">
        <v>6050</v>
      </c>
      <c r="AI169" s="10">
        <v>5823</v>
      </c>
      <c r="AJ169" s="10">
        <v>1764</v>
      </c>
      <c r="AK169" s="10">
        <v>6334</v>
      </c>
      <c r="AL169" s="10">
        <v>1648</v>
      </c>
      <c r="AM169" s="10">
        <v>1009</v>
      </c>
      <c r="AN169" s="10">
        <v>1807</v>
      </c>
      <c r="AO169" s="10">
        <v>1450</v>
      </c>
      <c r="AP169" s="10">
        <v>8030</v>
      </c>
      <c r="AQ169" s="10">
        <v>2864</v>
      </c>
      <c r="AR169" s="10">
        <v>4201</v>
      </c>
      <c r="AS169" s="10">
        <v>6526</v>
      </c>
      <c r="AT169" s="10">
        <v>1677</v>
      </c>
      <c r="AU169" s="10">
        <v>12469</v>
      </c>
      <c r="AV169" s="10">
        <v>2567</v>
      </c>
      <c r="AW169" s="10">
        <v>6171</v>
      </c>
      <c r="AX169" s="10">
        <v>6574</v>
      </c>
      <c r="AY169" s="10">
        <v>3330</v>
      </c>
      <c r="AZ169" s="10">
        <v>1717</v>
      </c>
      <c r="BA169" s="10">
        <v>1535</v>
      </c>
      <c r="BB169" s="10">
        <v>1682</v>
      </c>
      <c r="BC169" s="10">
        <v>1407</v>
      </c>
      <c r="BD169" s="10">
        <v>4089</v>
      </c>
      <c r="BE169" s="10">
        <v>726</v>
      </c>
      <c r="BF169" s="10">
        <v>1439</v>
      </c>
      <c r="BG169" s="10">
        <v>1049</v>
      </c>
      <c r="BH169" s="10">
        <v>1196</v>
      </c>
      <c r="BI169" s="10">
        <v>1543</v>
      </c>
      <c r="BJ169" s="10">
        <v>4818</v>
      </c>
      <c r="BK169" s="10">
        <v>8631</v>
      </c>
      <c r="BL169" s="10">
        <v>10305</v>
      </c>
    </row>
    <row r="170" spans="1:64">
      <c r="A170" s="15">
        <v>443451</v>
      </c>
      <c r="B170" s="14">
        <v>208823</v>
      </c>
      <c r="C170" s="14">
        <v>152</v>
      </c>
      <c r="D170" s="2" t="str">
        <f>HYPERLINK("http://128.120.136.21:8080/binbase-compound/bin/show/443451?db=rtx5","443451")</f>
        <v>443451</v>
      </c>
      <c r="E170" s="2" t="s">
        <v>289</v>
      </c>
      <c r="F170" s="2" t="s">
        <v>57</v>
      </c>
      <c r="G170" s="2" t="s">
        <v>57</v>
      </c>
      <c r="H170" s="10">
        <v>4971</v>
      </c>
      <c r="I170" s="10">
        <v>7599</v>
      </c>
      <c r="J170" s="10">
        <v>5557</v>
      </c>
      <c r="K170" s="10">
        <v>8192</v>
      </c>
      <c r="L170" s="10">
        <v>6467</v>
      </c>
      <c r="M170" s="10">
        <v>4474</v>
      </c>
      <c r="N170" s="10">
        <v>8839</v>
      </c>
      <c r="O170" s="10">
        <v>6929</v>
      </c>
      <c r="P170" s="10">
        <v>5138</v>
      </c>
      <c r="Q170" s="10">
        <v>5657</v>
      </c>
      <c r="R170" s="10">
        <v>3251</v>
      </c>
      <c r="S170" s="10">
        <v>14402</v>
      </c>
      <c r="T170" s="10">
        <v>4248</v>
      </c>
      <c r="U170" s="10">
        <v>8576</v>
      </c>
      <c r="V170" s="10">
        <v>12343</v>
      </c>
      <c r="W170" s="10">
        <v>3968</v>
      </c>
      <c r="X170" s="10">
        <v>4994</v>
      </c>
      <c r="Y170" s="10">
        <v>8773</v>
      </c>
      <c r="Z170" s="10">
        <v>4210</v>
      </c>
      <c r="AA170" s="10">
        <v>5782</v>
      </c>
      <c r="AB170" s="10">
        <v>7313</v>
      </c>
      <c r="AC170" s="10">
        <v>6821</v>
      </c>
      <c r="AD170" s="10">
        <v>3460</v>
      </c>
      <c r="AE170" s="10">
        <v>4662</v>
      </c>
      <c r="AF170" s="10">
        <v>5435</v>
      </c>
      <c r="AG170" s="10">
        <v>3210</v>
      </c>
      <c r="AH170" s="10">
        <v>13742</v>
      </c>
      <c r="AI170" s="10">
        <v>6229</v>
      </c>
      <c r="AJ170" s="10">
        <v>5661</v>
      </c>
      <c r="AK170" s="10">
        <v>5634</v>
      </c>
      <c r="AL170" s="10">
        <v>9443</v>
      </c>
      <c r="AM170" s="10">
        <v>3254</v>
      </c>
      <c r="AN170" s="10">
        <v>10517</v>
      </c>
      <c r="AO170" s="10">
        <v>9424</v>
      </c>
      <c r="AP170" s="10">
        <v>4907</v>
      </c>
      <c r="AQ170" s="10">
        <v>14237</v>
      </c>
      <c r="AR170" s="10">
        <v>9011</v>
      </c>
      <c r="AS170" s="10">
        <v>12594</v>
      </c>
      <c r="AT170" s="10">
        <v>8103</v>
      </c>
      <c r="AU170" s="10">
        <v>5162</v>
      </c>
      <c r="AV170" s="10">
        <v>8062</v>
      </c>
      <c r="AW170" s="10">
        <v>7908</v>
      </c>
      <c r="AX170" s="10">
        <v>8349</v>
      </c>
      <c r="AY170" s="10">
        <v>5530</v>
      </c>
      <c r="AZ170" s="10">
        <v>11141</v>
      </c>
      <c r="BA170" s="10">
        <v>9409</v>
      </c>
      <c r="BB170" s="10">
        <v>4466</v>
      </c>
      <c r="BC170" s="10">
        <v>9385</v>
      </c>
      <c r="BD170" s="10">
        <v>4303</v>
      </c>
      <c r="BE170" s="10">
        <v>7322</v>
      </c>
      <c r="BF170" s="10">
        <v>10811</v>
      </c>
      <c r="BG170" s="10">
        <v>12819</v>
      </c>
      <c r="BH170" s="10">
        <v>7473</v>
      </c>
      <c r="BI170" s="10">
        <v>8614</v>
      </c>
      <c r="BJ170" s="10">
        <v>5599</v>
      </c>
      <c r="BK170" s="10">
        <v>6594</v>
      </c>
      <c r="BL170" s="10">
        <v>4702</v>
      </c>
    </row>
    <row r="171" spans="1:64">
      <c r="A171" s="15">
        <v>202687</v>
      </c>
      <c r="B171" s="14">
        <v>782008</v>
      </c>
      <c r="C171" s="14">
        <v>357</v>
      </c>
      <c r="D171" s="2" t="str">
        <f>HYPERLINK("http://128.120.136.21:8080/binbase-compound/bin/show/202687?db=rtx5","202687")</f>
        <v>202687</v>
      </c>
      <c r="E171" s="2" t="s">
        <v>496</v>
      </c>
      <c r="F171" s="2" t="s">
        <v>57</v>
      </c>
      <c r="G171" s="2" t="s">
        <v>57</v>
      </c>
      <c r="H171" s="10">
        <v>11125</v>
      </c>
      <c r="I171" s="10">
        <v>13688</v>
      </c>
      <c r="J171" s="10">
        <v>2828</v>
      </c>
      <c r="K171" s="10">
        <v>290</v>
      </c>
      <c r="L171" s="10">
        <v>2610</v>
      </c>
      <c r="M171" s="10">
        <v>2323</v>
      </c>
      <c r="N171" s="10">
        <v>14039</v>
      </c>
      <c r="O171" s="10">
        <v>9695</v>
      </c>
      <c r="P171" s="10">
        <v>1366</v>
      </c>
      <c r="Q171" s="10">
        <v>9258</v>
      </c>
      <c r="R171" s="10">
        <v>8306</v>
      </c>
      <c r="S171" s="10">
        <v>22618</v>
      </c>
      <c r="T171" s="10">
        <v>8258</v>
      </c>
      <c r="U171" s="10">
        <v>25382</v>
      </c>
      <c r="V171" s="10">
        <v>19070</v>
      </c>
      <c r="W171" s="10">
        <v>5794</v>
      </c>
      <c r="X171" s="10">
        <v>5123</v>
      </c>
      <c r="Y171" s="10">
        <v>4738</v>
      </c>
      <c r="Z171" s="10">
        <v>3596</v>
      </c>
      <c r="AA171" s="10">
        <v>10374</v>
      </c>
      <c r="AB171" s="10">
        <v>7744</v>
      </c>
      <c r="AC171" s="10">
        <v>2316</v>
      </c>
      <c r="AD171" s="10">
        <v>3049</v>
      </c>
      <c r="AE171" s="10">
        <v>3136</v>
      </c>
      <c r="AF171" s="10">
        <v>1121</v>
      </c>
      <c r="AG171" s="10">
        <v>1642</v>
      </c>
      <c r="AH171" s="10">
        <v>3055</v>
      </c>
      <c r="AI171" s="10">
        <v>3983</v>
      </c>
      <c r="AJ171" s="10">
        <v>670</v>
      </c>
      <c r="AK171" s="10">
        <v>7779</v>
      </c>
      <c r="AL171" s="10">
        <v>15265</v>
      </c>
      <c r="AM171" s="10">
        <v>4941</v>
      </c>
      <c r="AN171" s="10">
        <v>6455</v>
      </c>
      <c r="AO171" s="10">
        <v>11547</v>
      </c>
      <c r="AP171" s="10">
        <v>1604</v>
      </c>
      <c r="AQ171" s="10">
        <v>6248</v>
      </c>
      <c r="AR171" s="10">
        <v>5066</v>
      </c>
      <c r="AS171" s="10">
        <v>6443</v>
      </c>
      <c r="AT171" s="10">
        <v>4673</v>
      </c>
      <c r="AU171" s="10">
        <v>390</v>
      </c>
      <c r="AV171" s="10">
        <v>553</v>
      </c>
      <c r="AW171" s="10">
        <v>10406</v>
      </c>
      <c r="AX171" s="10">
        <v>12595</v>
      </c>
      <c r="AY171" s="10">
        <v>1362</v>
      </c>
      <c r="AZ171" s="10">
        <v>2007</v>
      </c>
      <c r="BA171" s="10">
        <v>3227</v>
      </c>
      <c r="BB171" s="10">
        <v>9801</v>
      </c>
      <c r="BC171" s="10">
        <v>17814</v>
      </c>
      <c r="BD171" s="10">
        <v>13886</v>
      </c>
      <c r="BE171" s="10">
        <v>6533</v>
      </c>
      <c r="BF171" s="10">
        <v>13139</v>
      </c>
      <c r="BG171" s="10">
        <v>3586</v>
      </c>
      <c r="BH171" s="10">
        <v>3423</v>
      </c>
      <c r="BI171" s="10">
        <v>7447</v>
      </c>
      <c r="BJ171" s="10">
        <v>2791</v>
      </c>
      <c r="BK171" s="10">
        <v>504</v>
      </c>
      <c r="BL171" s="10">
        <v>972</v>
      </c>
    </row>
    <row r="172" spans="1:64">
      <c r="A172" s="15">
        <v>237731</v>
      </c>
      <c r="B172" s="14">
        <v>517225</v>
      </c>
      <c r="C172" s="14">
        <v>369</v>
      </c>
      <c r="D172" s="2" t="str">
        <f>HYPERLINK("http://128.120.136.21:8080/binbase-compound/bin/show/237731?db=rtx5","237731")</f>
        <v>237731</v>
      </c>
      <c r="E172" s="2" t="s">
        <v>427</v>
      </c>
      <c r="F172" s="2" t="s">
        <v>57</v>
      </c>
      <c r="G172" s="2" t="s">
        <v>57</v>
      </c>
      <c r="H172" s="10">
        <v>1334</v>
      </c>
      <c r="I172" s="10">
        <v>8270</v>
      </c>
      <c r="J172" s="10">
        <v>15159</v>
      </c>
      <c r="K172" s="10">
        <v>3405</v>
      </c>
      <c r="L172" s="10">
        <v>10653</v>
      </c>
      <c r="M172" s="10">
        <v>1661</v>
      </c>
      <c r="N172" s="10">
        <v>12296</v>
      </c>
      <c r="O172" s="10">
        <v>4650</v>
      </c>
      <c r="P172" s="10">
        <v>3005</v>
      </c>
      <c r="Q172" s="10">
        <v>227</v>
      </c>
      <c r="R172" s="10">
        <v>127</v>
      </c>
      <c r="S172" s="10">
        <v>769</v>
      </c>
      <c r="T172" s="10">
        <v>3451</v>
      </c>
      <c r="U172" s="10">
        <v>4861</v>
      </c>
      <c r="V172" s="10">
        <v>5462</v>
      </c>
      <c r="W172" s="10">
        <v>2793</v>
      </c>
      <c r="X172" s="10">
        <v>1615</v>
      </c>
      <c r="Y172" s="10">
        <v>1487</v>
      </c>
      <c r="Z172" s="10">
        <v>6666</v>
      </c>
      <c r="AA172" s="10">
        <v>10039</v>
      </c>
      <c r="AB172" s="10">
        <v>6882</v>
      </c>
      <c r="AC172" s="10">
        <v>413</v>
      </c>
      <c r="AD172" s="10">
        <v>976</v>
      </c>
      <c r="AE172" s="10">
        <v>2250</v>
      </c>
      <c r="AF172" s="10">
        <v>275</v>
      </c>
      <c r="AG172" s="10">
        <v>101</v>
      </c>
      <c r="AH172" s="10">
        <v>3006</v>
      </c>
      <c r="AI172" s="10">
        <v>9580</v>
      </c>
      <c r="AJ172" s="10">
        <v>5572</v>
      </c>
      <c r="AK172" s="10">
        <v>10234</v>
      </c>
      <c r="AL172" s="10">
        <v>13070</v>
      </c>
      <c r="AM172" s="10">
        <v>4408</v>
      </c>
      <c r="AN172" s="10">
        <v>10374</v>
      </c>
      <c r="AO172" s="10">
        <v>9719</v>
      </c>
      <c r="AP172" s="10">
        <v>4700</v>
      </c>
      <c r="AQ172" s="10">
        <v>5341</v>
      </c>
      <c r="AR172" s="10">
        <v>9668</v>
      </c>
      <c r="AS172" s="10">
        <v>10909</v>
      </c>
      <c r="AT172" s="10">
        <v>8024</v>
      </c>
      <c r="AU172" s="10">
        <v>3639</v>
      </c>
      <c r="AV172" s="10">
        <v>15239</v>
      </c>
      <c r="AW172" s="10">
        <v>16659</v>
      </c>
      <c r="AX172" s="10">
        <v>13803</v>
      </c>
      <c r="AY172" s="10">
        <v>15346</v>
      </c>
      <c r="AZ172" s="10">
        <v>17023</v>
      </c>
      <c r="BA172" s="10">
        <v>5480</v>
      </c>
      <c r="BB172" s="10">
        <v>9100</v>
      </c>
      <c r="BC172" s="10">
        <v>13814</v>
      </c>
      <c r="BD172" s="10">
        <v>3015</v>
      </c>
      <c r="BE172" s="10">
        <v>3655</v>
      </c>
      <c r="BF172" s="10">
        <v>9961</v>
      </c>
      <c r="BG172" s="10">
        <v>10514</v>
      </c>
      <c r="BH172" s="10">
        <v>4446</v>
      </c>
      <c r="BI172" s="10">
        <v>9911</v>
      </c>
      <c r="BJ172" s="10">
        <v>3023</v>
      </c>
      <c r="BK172" s="10">
        <v>2208</v>
      </c>
      <c r="BL172" s="10">
        <v>2336</v>
      </c>
    </row>
    <row r="173" spans="1:64">
      <c r="A173" s="15">
        <v>199596</v>
      </c>
      <c r="B173" s="14">
        <v>246426</v>
      </c>
      <c r="C173" s="14">
        <v>85</v>
      </c>
      <c r="D173" s="2" t="str">
        <f>HYPERLINK("http://128.120.136.21:8080/binbase-compound/bin/show/199596?db=rtx5","199596")</f>
        <v>199596</v>
      </c>
      <c r="E173" s="2" t="s">
        <v>508</v>
      </c>
      <c r="F173" s="2" t="s">
        <v>57</v>
      </c>
      <c r="G173" s="2" t="s">
        <v>57</v>
      </c>
      <c r="H173" s="10">
        <v>5984</v>
      </c>
      <c r="I173" s="10">
        <v>10183</v>
      </c>
      <c r="J173" s="10">
        <v>13023</v>
      </c>
      <c r="K173" s="10">
        <v>4703</v>
      </c>
      <c r="L173" s="10">
        <v>6331</v>
      </c>
      <c r="M173" s="10">
        <v>4156</v>
      </c>
      <c r="N173" s="10">
        <v>8661</v>
      </c>
      <c r="O173" s="10">
        <v>7965</v>
      </c>
      <c r="P173" s="10">
        <v>3877</v>
      </c>
      <c r="Q173" s="10">
        <v>12569</v>
      </c>
      <c r="R173" s="10">
        <v>7677</v>
      </c>
      <c r="S173" s="10">
        <v>41015</v>
      </c>
      <c r="T173" s="10">
        <v>4748</v>
      </c>
      <c r="U173" s="10">
        <v>12807</v>
      </c>
      <c r="V173" s="10">
        <v>10695</v>
      </c>
      <c r="W173" s="10">
        <v>3156</v>
      </c>
      <c r="X173" s="10">
        <v>5654</v>
      </c>
      <c r="Y173" s="10">
        <v>7254</v>
      </c>
      <c r="Z173" s="10">
        <v>5439</v>
      </c>
      <c r="AA173" s="10">
        <v>12942</v>
      </c>
      <c r="AB173" s="10">
        <v>13842</v>
      </c>
      <c r="AC173" s="10">
        <v>3521</v>
      </c>
      <c r="AD173" s="10">
        <v>3560</v>
      </c>
      <c r="AE173" s="10">
        <v>3803</v>
      </c>
      <c r="AF173" s="10">
        <v>4961</v>
      </c>
      <c r="AG173" s="10">
        <v>3895</v>
      </c>
      <c r="AH173" s="10">
        <v>11229</v>
      </c>
      <c r="AI173" s="10">
        <v>9495</v>
      </c>
      <c r="AJ173" s="10">
        <v>7091</v>
      </c>
      <c r="AK173" s="10">
        <v>10151</v>
      </c>
      <c r="AL173" s="10">
        <v>13146</v>
      </c>
      <c r="AM173" s="10">
        <v>7029</v>
      </c>
      <c r="AN173" s="10">
        <v>16569</v>
      </c>
      <c r="AO173" s="10">
        <v>9922</v>
      </c>
      <c r="AP173" s="10">
        <v>9166</v>
      </c>
      <c r="AQ173" s="10">
        <v>31946</v>
      </c>
      <c r="AR173" s="10">
        <v>11604</v>
      </c>
      <c r="AS173" s="10">
        <v>13234</v>
      </c>
      <c r="AT173" s="10">
        <v>13634</v>
      </c>
      <c r="AU173" s="10">
        <v>3990</v>
      </c>
      <c r="AV173" s="10">
        <v>16540</v>
      </c>
      <c r="AW173" s="10">
        <v>12084</v>
      </c>
      <c r="AX173" s="10">
        <v>11533</v>
      </c>
      <c r="AY173" s="10">
        <v>11490</v>
      </c>
      <c r="AZ173" s="10">
        <v>16353</v>
      </c>
      <c r="BA173" s="10">
        <v>6346</v>
      </c>
      <c r="BB173" s="10">
        <v>6767</v>
      </c>
      <c r="BC173" s="10">
        <v>10901</v>
      </c>
      <c r="BD173" s="10">
        <v>6411</v>
      </c>
      <c r="BE173" s="10">
        <v>7503</v>
      </c>
      <c r="BF173" s="10">
        <v>10088</v>
      </c>
      <c r="BG173" s="10">
        <v>13713</v>
      </c>
      <c r="BH173" s="10">
        <v>6497</v>
      </c>
      <c r="BI173" s="10">
        <v>10444</v>
      </c>
      <c r="BJ173" s="10">
        <v>9405</v>
      </c>
      <c r="BK173" s="10">
        <v>13028</v>
      </c>
      <c r="BL173" s="10">
        <v>7667</v>
      </c>
    </row>
    <row r="174" spans="1:64">
      <c r="A174" s="15">
        <v>267692</v>
      </c>
      <c r="B174" s="14">
        <v>810107</v>
      </c>
      <c r="C174" s="14">
        <v>156</v>
      </c>
      <c r="D174" s="2" t="str">
        <f>HYPERLINK("http://128.120.136.21:8080/binbase-compound/bin/show/267692?db=rtx5","267692")</f>
        <v>267692</v>
      </c>
      <c r="E174" s="2" t="s">
        <v>410</v>
      </c>
      <c r="F174" s="2" t="s">
        <v>57</v>
      </c>
      <c r="G174" s="2" t="s">
        <v>57</v>
      </c>
      <c r="H174" s="10">
        <v>9753</v>
      </c>
      <c r="I174" s="10">
        <v>5360</v>
      </c>
      <c r="J174" s="10">
        <v>5977</v>
      </c>
      <c r="K174" s="10">
        <v>7094</v>
      </c>
      <c r="L174" s="10">
        <v>4941</v>
      </c>
      <c r="M174" s="10">
        <v>5428</v>
      </c>
      <c r="N174" s="10">
        <v>7228</v>
      </c>
      <c r="O174" s="10">
        <v>5667</v>
      </c>
      <c r="P174" s="10">
        <v>6002</v>
      </c>
      <c r="Q174" s="10">
        <v>4804</v>
      </c>
      <c r="R174" s="10">
        <v>8179</v>
      </c>
      <c r="S174" s="10">
        <v>9039</v>
      </c>
      <c r="T174" s="10">
        <v>5670</v>
      </c>
      <c r="U174" s="10">
        <v>5491</v>
      </c>
      <c r="V174" s="10">
        <v>5328</v>
      </c>
      <c r="W174" s="10">
        <v>4174</v>
      </c>
      <c r="X174" s="10">
        <v>4141</v>
      </c>
      <c r="Y174" s="10">
        <v>5599</v>
      </c>
      <c r="Z174" s="10">
        <v>6966</v>
      </c>
      <c r="AA174" s="10">
        <v>4194</v>
      </c>
      <c r="AB174" s="10">
        <v>5881</v>
      </c>
      <c r="AC174" s="10">
        <v>3989</v>
      </c>
      <c r="AD174" s="10">
        <v>3871</v>
      </c>
      <c r="AE174" s="10">
        <v>4657</v>
      </c>
      <c r="AF174" s="10">
        <v>4171</v>
      </c>
      <c r="AG174" s="10">
        <v>7478</v>
      </c>
      <c r="AH174" s="10">
        <v>4802</v>
      </c>
      <c r="AI174" s="10">
        <v>5259</v>
      </c>
      <c r="AJ174" s="10">
        <v>6666</v>
      </c>
      <c r="AK174" s="10">
        <v>3883</v>
      </c>
      <c r="AL174" s="10">
        <v>5148</v>
      </c>
      <c r="AM174" s="10">
        <v>636</v>
      </c>
      <c r="AN174" s="10">
        <v>6236</v>
      </c>
      <c r="AO174" s="10">
        <v>5543</v>
      </c>
      <c r="AP174" s="10">
        <v>5171</v>
      </c>
      <c r="AQ174" s="10">
        <v>3236</v>
      </c>
      <c r="AR174" s="10">
        <v>4654</v>
      </c>
      <c r="AS174" s="10">
        <v>5965</v>
      </c>
      <c r="AT174" s="10">
        <v>4508</v>
      </c>
      <c r="AU174" s="10">
        <v>8859</v>
      </c>
      <c r="AV174" s="10">
        <v>1847</v>
      </c>
      <c r="AW174" s="10">
        <v>4677</v>
      </c>
      <c r="AX174" s="10">
        <v>4999</v>
      </c>
      <c r="AY174" s="10">
        <v>5451</v>
      </c>
      <c r="AZ174" s="10">
        <v>6158</v>
      </c>
      <c r="BA174" s="10">
        <v>6687</v>
      </c>
      <c r="BB174" s="10">
        <v>5053</v>
      </c>
      <c r="BC174" s="10">
        <v>9328</v>
      </c>
      <c r="BD174" s="10">
        <v>6096</v>
      </c>
      <c r="BE174" s="10">
        <v>8741</v>
      </c>
      <c r="BF174" s="10">
        <v>8301</v>
      </c>
      <c r="BG174" s="10">
        <v>11925</v>
      </c>
      <c r="BH174" s="10">
        <v>6441</v>
      </c>
      <c r="BI174" s="10">
        <v>4408</v>
      </c>
      <c r="BJ174" s="10">
        <v>7283</v>
      </c>
      <c r="BK174" s="10">
        <v>9145</v>
      </c>
      <c r="BL174" s="10">
        <v>7266</v>
      </c>
    </row>
    <row r="175" spans="1:64">
      <c r="A175" s="15">
        <v>207223</v>
      </c>
      <c r="B175" s="14">
        <v>417541</v>
      </c>
      <c r="C175" s="14">
        <v>142</v>
      </c>
      <c r="D175" s="2" t="str">
        <f>HYPERLINK("http://128.120.136.21:8080/binbase-compound/bin/show/207223?db=rtx5","207223")</f>
        <v>207223</v>
      </c>
      <c r="E175" s="2" t="s">
        <v>488</v>
      </c>
      <c r="F175" s="2" t="s">
        <v>57</v>
      </c>
      <c r="G175" s="2" t="s">
        <v>57</v>
      </c>
      <c r="H175" s="10">
        <v>2633</v>
      </c>
      <c r="I175" s="10">
        <v>5464</v>
      </c>
      <c r="J175" s="10">
        <v>6180</v>
      </c>
      <c r="K175" s="10">
        <v>3584</v>
      </c>
      <c r="L175" s="10">
        <v>5440</v>
      </c>
      <c r="M175" s="10">
        <v>3484</v>
      </c>
      <c r="N175" s="10">
        <v>6466</v>
      </c>
      <c r="O175" s="10">
        <v>4314</v>
      </c>
      <c r="P175" s="10">
        <v>3153</v>
      </c>
      <c r="Q175" s="10">
        <v>7596</v>
      </c>
      <c r="R175" s="10">
        <v>6023</v>
      </c>
      <c r="S175" s="10">
        <v>22306</v>
      </c>
      <c r="T175" s="10">
        <v>2594</v>
      </c>
      <c r="U175" s="10">
        <v>5251</v>
      </c>
      <c r="V175" s="10">
        <v>5133</v>
      </c>
      <c r="W175" s="10">
        <v>2959</v>
      </c>
      <c r="X175" s="10">
        <v>4518</v>
      </c>
      <c r="Y175" s="10">
        <v>3625</v>
      </c>
      <c r="Z175" s="10">
        <v>2838</v>
      </c>
      <c r="AA175" s="10">
        <v>6310</v>
      </c>
      <c r="AB175" s="10">
        <v>7110</v>
      </c>
      <c r="AC175" s="10">
        <v>2585</v>
      </c>
      <c r="AD175" s="10">
        <v>3278</v>
      </c>
      <c r="AE175" s="10">
        <v>3880</v>
      </c>
      <c r="AF175" s="10">
        <v>4418</v>
      </c>
      <c r="AG175" s="10">
        <v>3526</v>
      </c>
      <c r="AH175" s="10">
        <v>7158</v>
      </c>
      <c r="AI175" s="10">
        <v>6564</v>
      </c>
      <c r="AJ175" s="10">
        <v>5604</v>
      </c>
      <c r="AK175" s="10">
        <v>6657</v>
      </c>
      <c r="AL175" s="10">
        <v>7511</v>
      </c>
      <c r="AM175" s="10">
        <v>3867</v>
      </c>
      <c r="AN175" s="10">
        <v>8433</v>
      </c>
      <c r="AO175" s="10">
        <v>9429</v>
      </c>
      <c r="AP175" s="10">
        <v>6864</v>
      </c>
      <c r="AQ175" s="10">
        <v>23537</v>
      </c>
      <c r="AR175" s="10">
        <v>6666</v>
      </c>
      <c r="AS175" s="10">
        <v>6871</v>
      </c>
      <c r="AT175" s="10">
        <v>3749</v>
      </c>
      <c r="AU175" s="10">
        <v>2247</v>
      </c>
      <c r="AV175" s="10">
        <v>6260</v>
      </c>
      <c r="AW175" s="10">
        <v>6084</v>
      </c>
      <c r="AX175" s="10">
        <v>5152</v>
      </c>
      <c r="AY175" s="10">
        <v>6441</v>
      </c>
      <c r="AZ175" s="10">
        <v>7050</v>
      </c>
      <c r="BA175" s="10">
        <v>5352</v>
      </c>
      <c r="BB175" s="10">
        <v>5262</v>
      </c>
      <c r="BC175" s="10">
        <v>6225</v>
      </c>
      <c r="BD175" s="10">
        <v>5198</v>
      </c>
      <c r="BE175" s="10">
        <v>5144</v>
      </c>
      <c r="BF175" s="10">
        <v>8895</v>
      </c>
      <c r="BG175" s="10">
        <v>7891</v>
      </c>
      <c r="BH175" s="10">
        <v>4414</v>
      </c>
      <c r="BI175" s="10">
        <v>8601</v>
      </c>
      <c r="BJ175" s="10">
        <v>4757</v>
      </c>
      <c r="BK175" s="10">
        <v>5669</v>
      </c>
      <c r="BL175" s="10">
        <v>3920</v>
      </c>
    </row>
    <row r="176" spans="1:64">
      <c r="A176" s="15">
        <v>228311</v>
      </c>
      <c r="B176" s="14">
        <v>525618</v>
      </c>
      <c r="C176" s="14">
        <v>217</v>
      </c>
      <c r="D176" s="2" t="str">
        <f>HYPERLINK("http://128.120.136.21:8080/binbase-compound/bin/show/228311?db=rtx5","228311")</f>
        <v>228311</v>
      </c>
      <c r="E176" s="2" t="s">
        <v>450</v>
      </c>
      <c r="F176" s="2" t="s">
        <v>57</v>
      </c>
      <c r="G176" s="2" t="s">
        <v>57</v>
      </c>
      <c r="H176" s="10">
        <v>9809</v>
      </c>
      <c r="I176" s="10">
        <v>8417</v>
      </c>
      <c r="J176" s="10">
        <v>13852</v>
      </c>
      <c r="K176" s="10">
        <v>7001</v>
      </c>
      <c r="L176" s="10">
        <v>8291</v>
      </c>
      <c r="M176" s="10">
        <v>7088</v>
      </c>
      <c r="N176" s="10">
        <v>19227</v>
      </c>
      <c r="O176" s="10">
        <v>9842</v>
      </c>
      <c r="P176" s="10">
        <v>9537</v>
      </c>
      <c r="Q176" s="10">
        <v>3852</v>
      </c>
      <c r="R176" s="10">
        <v>6366</v>
      </c>
      <c r="S176" s="10">
        <v>4336</v>
      </c>
      <c r="T176" s="10">
        <v>11313</v>
      </c>
      <c r="U176" s="10">
        <v>9084</v>
      </c>
      <c r="V176" s="10">
        <v>10753</v>
      </c>
      <c r="W176" s="10">
        <v>7813</v>
      </c>
      <c r="X176" s="10">
        <v>3240</v>
      </c>
      <c r="Y176" s="10">
        <v>9387</v>
      </c>
      <c r="Z176" s="10">
        <v>12864</v>
      </c>
      <c r="AA176" s="10">
        <v>13417</v>
      </c>
      <c r="AB176" s="10">
        <v>6977</v>
      </c>
      <c r="AC176" s="10">
        <v>14352</v>
      </c>
      <c r="AD176" s="10">
        <v>6448</v>
      </c>
      <c r="AE176" s="10">
        <v>17849</v>
      </c>
      <c r="AF176" s="10">
        <v>7688</v>
      </c>
      <c r="AG176" s="10">
        <v>7409</v>
      </c>
      <c r="AH176" s="10">
        <v>5659</v>
      </c>
      <c r="AI176" s="10">
        <v>8323</v>
      </c>
      <c r="AJ176" s="10">
        <v>22694</v>
      </c>
      <c r="AK176" s="10">
        <v>11171</v>
      </c>
      <c r="AL176" s="10">
        <v>9822</v>
      </c>
      <c r="AM176" s="10">
        <v>13269</v>
      </c>
      <c r="AN176" s="10">
        <v>4087</v>
      </c>
      <c r="AO176" s="10">
        <v>9644</v>
      </c>
      <c r="AP176" s="10">
        <v>17738</v>
      </c>
      <c r="AQ176" s="10">
        <v>5293</v>
      </c>
      <c r="AR176" s="10">
        <v>7747</v>
      </c>
      <c r="AS176" s="10">
        <v>7257</v>
      </c>
      <c r="AT176" s="10">
        <v>13595</v>
      </c>
      <c r="AU176" s="10">
        <v>10201</v>
      </c>
      <c r="AV176" s="10">
        <v>6286</v>
      </c>
      <c r="AW176" s="10">
        <v>11683</v>
      </c>
      <c r="AX176" s="10">
        <v>8293</v>
      </c>
      <c r="AY176" s="10">
        <v>16933</v>
      </c>
      <c r="AZ176" s="10">
        <v>4888</v>
      </c>
      <c r="BA176" s="10">
        <v>20348</v>
      </c>
      <c r="BB176" s="10">
        <v>15590</v>
      </c>
      <c r="BC176" s="10">
        <v>5724</v>
      </c>
      <c r="BD176" s="10">
        <v>6608</v>
      </c>
      <c r="BE176" s="10">
        <v>13260</v>
      </c>
      <c r="BF176" s="10">
        <v>8128</v>
      </c>
      <c r="BG176" s="10">
        <v>12087</v>
      </c>
      <c r="BH176" s="10">
        <v>9741</v>
      </c>
      <c r="BI176" s="10">
        <v>9753</v>
      </c>
      <c r="BJ176" s="10">
        <v>8086</v>
      </c>
      <c r="BK176" s="10">
        <v>16312</v>
      </c>
      <c r="BL176" s="10">
        <v>12711</v>
      </c>
    </row>
    <row r="177" spans="1:64">
      <c r="A177" s="15">
        <v>241028</v>
      </c>
      <c r="B177" s="14">
        <v>531595</v>
      </c>
      <c r="C177" s="14">
        <v>174</v>
      </c>
      <c r="D177" s="2" t="str">
        <f>HYPERLINK("http://128.120.136.21:8080/binbase-compound/bin/show/241028?db=rtx5","241028")</f>
        <v>241028</v>
      </c>
      <c r="E177" s="2" t="s">
        <v>421</v>
      </c>
      <c r="F177" s="2" t="s">
        <v>57</v>
      </c>
      <c r="G177" s="2" t="s">
        <v>57</v>
      </c>
      <c r="H177" s="10">
        <v>6642</v>
      </c>
      <c r="I177" s="10">
        <v>742</v>
      </c>
      <c r="J177" s="10">
        <v>2950</v>
      </c>
      <c r="K177" s="10">
        <v>2760</v>
      </c>
      <c r="L177" s="10">
        <v>1362</v>
      </c>
      <c r="M177" s="10">
        <v>3274</v>
      </c>
      <c r="N177" s="10">
        <v>1069</v>
      </c>
      <c r="O177" s="10">
        <v>2589</v>
      </c>
      <c r="P177" s="10">
        <v>1399</v>
      </c>
      <c r="Q177" s="10">
        <v>430</v>
      </c>
      <c r="R177" s="10">
        <v>653</v>
      </c>
      <c r="S177" s="10">
        <v>835</v>
      </c>
      <c r="T177" s="10">
        <v>29435</v>
      </c>
      <c r="U177" s="10">
        <v>658</v>
      </c>
      <c r="V177" s="10">
        <v>1615</v>
      </c>
      <c r="W177" s="10">
        <v>3816</v>
      </c>
      <c r="X177" s="10">
        <v>1986</v>
      </c>
      <c r="Y177" s="10">
        <v>2269</v>
      </c>
      <c r="Z177" s="10">
        <v>2000</v>
      </c>
      <c r="AA177" s="10">
        <v>1586</v>
      </c>
      <c r="AB177" s="10">
        <v>5806</v>
      </c>
      <c r="AC177" s="10">
        <v>1059</v>
      </c>
      <c r="AD177" s="10">
        <v>2311</v>
      </c>
      <c r="AE177" s="10">
        <v>1319</v>
      </c>
      <c r="AF177" s="10">
        <v>1938</v>
      </c>
      <c r="AG177" s="10">
        <v>1288</v>
      </c>
      <c r="AH177" s="10">
        <v>1977</v>
      </c>
      <c r="AI177" s="10">
        <v>4095</v>
      </c>
      <c r="AJ177" s="10">
        <v>3333</v>
      </c>
      <c r="AK177" s="10">
        <v>2167</v>
      </c>
      <c r="AL177" s="10">
        <v>1149</v>
      </c>
      <c r="AM177" s="10">
        <v>20473</v>
      </c>
      <c r="AN177" s="10">
        <v>991</v>
      </c>
      <c r="AO177" s="10">
        <v>1280</v>
      </c>
      <c r="AP177" s="10">
        <v>3536</v>
      </c>
      <c r="AQ177" s="10">
        <v>735</v>
      </c>
      <c r="AR177" s="10">
        <v>4126</v>
      </c>
      <c r="AS177" s="10">
        <v>2362</v>
      </c>
      <c r="AT177" s="10">
        <v>2763</v>
      </c>
      <c r="AU177" s="10">
        <v>3745</v>
      </c>
      <c r="AV177" s="10">
        <v>1899</v>
      </c>
      <c r="AW177" s="10">
        <v>3044</v>
      </c>
      <c r="AX177" s="10">
        <v>659</v>
      </c>
      <c r="AY177" s="10">
        <v>2131</v>
      </c>
      <c r="AZ177" s="10">
        <v>2311</v>
      </c>
      <c r="BA177" s="10">
        <v>3189</v>
      </c>
      <c r="BB177" s="10">
        <v>13231</v>
      </c>
      <c r="BC177" s="10">
        <v>1820</v>
      </c>
      <c r="BD177" s="10">
        <v>3192</v>
      </c>
      <c r="BE177" s="10">
        <v>3630</v>
      </c>
      <c r="BF177" s="10">
        <v>1486</v>
      </c>
      <c r="BG177" s="10">
        <v>1368</v>
      </c>
      <c r="BH177" s="10">
        <v>3640</v>
      </c>
      <c r="BI177" s="10">
        <v>1162</v>
      </c>
      <c r="BJ177" s="10">
        <v>3767</v>
      </c>
      <c r="BK177" s="10">
        <v>3169</v>
      </c>
      <c r="BL177" s="10">
        <v>3134</v>
      </c>
    </row>
    <row r="178" spans="1:64">
      <c r="A178" s="15">
        <v>203592</v>
      </c>
      <c r="B178" s="14">
        <v>592345</v>
      </c>
      <c r="C178" s="14">
        <v>85</v>
      </c>
      <c r="D178" s="2" t="str">
        <f>HYPERLINK("http://128.120.136.21:8080/binbase-compound/bin/show/203592?db=rtx5","203592")</f>
        <v>203592</v>
      </c>
      <c r="E178" s="2" t="s">
        <v>495</v>
      </c>
      <c r="F178" s="2" t="s">
        <v>57</v>
      </c>
      <c r="G178" s="2" t="s">
        <v>57</v>
      </c>
      <c r="H178" s="10">
        <v>3983</v>
      </c>
      <c r="I178" s="10">
        <v>5390</v>
      </c>
      <c r="J178" s="10">
        <v>6700</v>
      </c>
      <c r="K178" s="10">
        <v>2746</v>
      </c>
      <c r="L178" s="10">
        <v>3387</v>
      </c>
      <c r="M178" s="10">
        <v>2276</v>
      </c>
      <c r="N178" s="10">
        <v>5557</v>
      </c>
      <c r="O178" s="10">
        <v>3874</v>
      </c>
      <c r="P178" s="10">
        <v>2150</v>
      </c>
      <c r="Q178" s="10">
        <v>5305</v>
      </c>
      <c r="R178" s="10">
        <v>4497</v>
      </c>
      <c r="S178" s="10">
        <v>27285</v>
      </c>
      <c r="T178" s="10">
        <v>2621</v>
      </c>
      <c r="U178" s="10">
        <v>6519</v>
      </c>
      <c r="V178" s="10">
        <v>4928</v>
      </c>
      <c r="W178" s="10">
        <v>2009</v>
      </c>
      <c r="X178" s="10">
        <v>2780</v>
      </c>
      <c r="Y178" s="10">
        <v>5536</v>
      </c>
      <c r="Z178" s="10">
        <v>3698</v>
      </c>
      <c r="AA178" s="10">
        <v>8426</v>
      </c>
      <c r="AB178" s="10">
        <v>6586</v>
      </c>
      <c r="AC178" s="10">
        <v>2759</v>
      </c>
      <c r="AD178" s="10">
        <v>2437</v>
      </c>
      <c r="AE178" s="10">
        <v>2188</v>
      </c>
      <c r="AF178" s="10">
        <v>2165</v>
      </c>
      <c r="AG178" s="10">
        <v>2131</v>
      </c>
      <c r="AH178" s="10">
        <v>5694</v>
      </c>
      <c r="AI178" s="10">
        <v>4124</v>
      </c>
      <c r="AJ178" s="10">
        <v>4760</v>
      </c>
      <c r="AK178" s="10">
        <v>6293</v>
      </c>
      <c r="AL178" s="10">
        <v>6269</v>
      </c>
      <c r="AM178" s="10">
        <v>4120</v>
      </c>
      <c r="AN178" s="10">
        <v>8452</v>
      </c>
      <c r="AO178" s="10">
        <v>5980</v>
      </c>
      <c r="AP178" s="10">
        <v>4055</v>
      </c>
      <c r="AQ178" s="10">
        <v>12883</v>
      </c>
      <c r="AR178" s="10">
        <v>5784</v>
      </c>
      <c r="AS178" s="10">
        <v>5873</v>
      </c>
      <c r="AT178" s="10">
        <v>6420</v>
      </c>
      <c r="AU178" s="10">
        <v>2605</v>
      </c>
      <c r="AV178" s="10">
        <v>8951</v>
      </c>
      <c r="AW178" s="10">
        <v>5507</v>
      </c>
      <c r="AX178" s="10">
        <v>6872</v>
      </c>
      <c r="AY178" s="10">
        <v>5473</v>
      </c>
      <c r="AZ178" s="10">
        <v>6871</v>
      </c>
      <c r="BA178" s="10">
        <v>3608</v>
      </c>
      <c r="BB178" s="10">
        <v>3899</v>
      </c>
      <c r="BC178" s="10">
        <v>6405</v>
      </c>
      <c r="BD178" s="10">
        <v>4469</v>
      </c>
      <c r="BE178" s="10">
        <v>4371</v>
      </c>
      <c r="BF178" s="10">
        <v>4568</v>
      </c>
      <c r="BG178" s="10">
        <v>6606</v>
      </c>
      <c r="BH178" s="10">
        <v>3464</v>
      </c>
      <c r="BI178" s="10">
        <v>5868</v>
      </c>
      <c r="BJ178" s="10">
        <v>5026</v>
      </c>
      <c r="BK178" s="10">
        <v>7186</v>
      </c>
      <c r="BL178" s="10">
        <v>4567</v>
      </c>
    </row>
    <row r="179" spans="1:64">
      <c r="A179" s="15">
        <v>267904</v>
      </c>
      <c r="B179" s="14">
        <v>846150</v>
      </c>
      <c r="C179" s="14">
        <v>156</v>
      </c>
      <c r="D179" s="2" t="str">
        <f>HYPERLINK("http://128.120.136.21:8080/binbase-compound/bin/show/267904?db=rtx5","267904")</f>
        <v>267904</v>
      </c>
      <c r="E179" s="2" t="s">
        <v>408</v>
      </c>
      <c r="F179" s="2" t="s">
        <v>57</v>
      </c>
      <c r="G179" s="2" t="s">
        <v>57</v>
      </c>
      <c r="H179" s="10">
        <v>8613</v>
      </c>
      <c r="I179" s="10">
        <v>2913</v>
      </c>
      <c r="J179" s="10">
        <v>3613</v>
      </c>
      <c r="K179" s="10">
        <v>5534</v>
      </c>
      <c r="L179" s="10">
        <v>3515</v>
      </c>
      <c r="M179" s="10">
        <v>5176</v>
      </c>
      <c r="N179" s="10">
        <v>5340</v>
      </c>
      <c r="O179" s="10">
        <v>4834</v>
      </c>
      <c r="P179" s="10">
        <v>5415</v>
      </c>
      <c r="Q179" s="10">
        <v>5351</v>
      </c>
      <c r="R179" s="10">
        <v>8872</v>
      </c>
      <c r="S179" s="10">
        <v>9736</v>
      </c>
      <c r="T179" s="10">
        <v>4611</v>
      </c>
      <c r="U179" s="10">
        <v>3994</v>
      </c>
      <c r="V179" s="10">
        <v>4096</v>
      </c>
      <c r="W179" s="10">
        <v>3804</v>
      </c>
      <c r="X179" s="10">
        <v>3499</v>
      </c>
      <c r="Y179" s="10">
        <v>4760</v>
      </c>
      <c r="Z179" s="10">
        <v>6776</v>
      </c>
      <c r="AA179" s="10">
        <v>2690</v>
      </c>
      <c r="AB179" s="10">
        <v>5485</v>
      </c>
      <c r="AC179" s="10">
        <v>3316</v>
      </c>
      <c r="AD179" s="10">
        <v>3168</v>
      </c>
      <c r="AE179" s="10">
        <v>3993</v>
      </c>
      <c r="AF179" s="10">
        <v>3373</v>
      </c>
      <c r="AG179" s="10">
        <v>5478</v>
      </c>
      <c r="AH179" s="10">
        <v>3761</v>
      </c>
      <c r="AI179" s="10">
        <v>4082</v>
      </c>
      <c r="AJ179" s="10">
        <v>5260</v>
      </c>
      <c r="AK179" s="10">
        <v>3128</v>
      </c>
      <c r="AL179" s="10">
        <v>4242</v>
      </c>
      <c r="AM179" s="10">
        <v>1130</v>
      </c>
      <c r="AN179" s="10">
        <v>4249</v>
      </c>
      <c r="AO179" s="10">
        <v>3813</v>
      </c>
      <c r="AP179" s="10">
        <v>3513</v>
      </c>
      <c r="AQ179" s="10">
        <v>2401</v>
      </c>
      <c r="AR179" s="10">
        <v>3805</v>
      </c>
      <c r="AS179" s="10">
        <v>5233</v>
      </c>
      <c r="AT179" s="10">
        <v>3252</v>
      </c>
      <c r="AU179" s="10">
        <v>8711</v>
      </c>
      <c r="AV179" s="10">
        <v>2782</v>
      </c>
      <c r="AW179" s="10">
        <v>3157</v>
      </c>
      <c r="AX179" s="10">
        <v>1986</v>
      </c>
      <c r="AY179" s="10">
        <v>3085</v>
      </c>
      <c r="AZ179" s="10">
        <v>2452</v>
      </c>
      <c r="BA179" s="10">
        <v>4541</v>
      </c>
      <c r="BB179" s="10">
        <v>3463</v>
      </c>
      <c r="BC179" s="10">
        <v>5889</v>
      </c>
      <c r="BD179" s="10">
        <v>5959</v>
      </c>
      <c r="BE179" s="10">
        <v>5297</v>
      </c>
      <c r="BF179" s="10">
        <v>3228</v>
      </c>
      <c r="BG179" s="10">
        <v>5617</v>
      </c>
      <c r="BH179" s="10">
        <v>5051</v>
      </c>
      <c r="BI179" s="10">
        <v>2827</v>
      </c>
      <c r="BJ179" s="10">
        <v>6522</v>
      </c>
      <c r="BK179" s="10">
        <v>7550</v>
      </c>
      <c r="BL179" s="10">
        <v>5042</v>
      </c>
    </row>
    <row r="180" spans="1:64">
      <c r="A180" s="15">
        <v>359713</v>
      </c>
      <c r="B180" s="14">
        <v>731359</v>
      </c>
      <c r="C180" s="14">
        <v>156</v>
      </c>
      <c r="D180" s="2" t="str">
        <f>HYPERLINK("http://128.120.136.21:8080/binbase-compound/bin/show/359713?db=rtx5","359713")</f>
        <v>359713</v>
      </c>
      <c r="E180" s="2" t="s">
        <v>341</v>
      </c>
      <c r="F180" s="2" t="s">
        <v>57</v>
      </c>
      <c r="G180" s="2" t="s">
        <v>57</v>
      </c>
      <c r="H180" s="10">
        <v>8748</v>
      </c>
      <c r="I180" s="10">
        <v>2460</v>
      </c>
      <c r="J180" s="10">
        <v>3009</v>
      </c>
      <c r="K180" s="10">
        <v>5787</v>
      </c>
      <c r="L180" s="10">
        <v>2915</v>
      </c>
      <c r="M180" s="10">
        <v>7252</v>
      </c>
      <c r="N180" s="10">
        <v>4025</v>
      </c>
      <c r="O180" s="10">
        <v>6084</v>
      </c>
      <c r="P180" s="10">
        <v>5471</v>
      </c>
      <c r="Q180" s="10">
        <v>5819</v>
      </c>
      <c r="R180" s="10">
        <v>8426</v>
      </c>
      <c r="S180" s="10">
        <v>4985</v>
      </c>
      <c r="T180" s="10">
        <v>5423</v>
      </c>
      <c r="U180" s="10">
        <v>2928</v>
      </c>
      <c r="V180" s="10">
        <v>4676</v>
      </c>
      <c r="W180" s="10">
        <v>4462</v>
      </c>
      <c r="X180" s="10">
        <v>4115</v>
      </c>
      <c r="Y180" s="10">
        <v>5909</v>
      </c>
      <c r="Z180" s="10">
        <v>8688</v>
      </c>
      <c r="AA180" s="10">
        <v>3192</v>
      </c>
      <c r="AB180" s="10">
        <v>3713</v>
      </c>
      <c r="AC180" s="10">
        <v>4781</v>
      </c>
      <c r="AD180" s="10">
        <v>3275</v>
      </c>
      <c r="AE180" s="10">
        <v>4611</v>
      </c>
      <c r="AF180" s="10">
        <v>3838</v>
      </c>
      <c r="AG180" s="10">
        <v>6989</v>
      </c>
      <c r="AH180" s="10">
        <v>1981</v>
      </c>
      <c r="AI180" s="10">
        <v>3470</v>
      </c>
      <c r="AJ180" s="10">
        <v>5299</v>
      </c>
      <c r="AK180" s="10">
        <v>3754</v>
      </c>
      <c r="AL180" s="10">
        <v>3830</v>
      </c>
      <c r="AM180" s="10">
        <v>566</v>
      </c>
      <c r="AN180" s="10">
        <v>3571</v>
      </c>
      <c r="AO180" s="10">
        <v>3515</v>
      </c>
      <c r="AP180" s="10">
        <v>3645</v>
      </c>
      <c r="AQ180" s="10">
        <v>2229</v>
      </c>
      <c r="AR180" s="10">
        <v>4795</v>
      </c>
      <c r="AS180" s="10">
        <v>4695</v>
      </c>
      <c r="AT180" s="10">
        <v>3934</v>
      </c>
      <c r="AU180" s="10">
        <v>10012</v>
      </c>
      <c r="AV180" s="10">
        <v>2479</v>
      </c>
      <c r="AW180" s="10">
        <v>4178</v>
      </c>
      <c r="AX180" s="10">
        <v>3480</v>
      </c>
      <c r="AY180" s="10">
        <v>3759</v>
      </c>
      <c r="AZ180" s="10">
        <v>2126</v>
      </c>
      <c r="BA180" s="10">
        <v>4582</v>
      </c>
      <c r="BB180" s="10">
        <v>2981</v>
      </c>
      <c r="BC180" s="10">
        <v>3347</v>
      </c>
      <c r="BD180" s="10">
        <v>4722</v>
      </c>
      <c r="BE180" s="10">
        <v>4735</v>
      </c>
      <c r="BF180" s="10">
        <v>2831</v>
      </c>
      <c r="BG180" s="10">
        <v>3118</v>
      </c>
      <c r="BH180" s="10">
        <v>4057</v>
      </c>
      <c r="BI180" s="10">
        <v>2895</v>
      </c>
      <c r="BJ180" s="10">
        <v>5539</v>
      </c>
      <c r="BK180" s="10">
        <v>6292</v>
      </c>
      <c r="BL180" s="10">
        <v>6341</v>
      </c>
    </row>
    <row r="181" spans="1:64">
      <c r="A181" s="15">
        <v>305055</v>
      </c>
      <c r="B181" s="14">
        <v>197786</v>
      </c>
      <c r="C181" s="14">
        <v>130</v>
      </c>
      <c r="D181" s="2" t="str">
        <f>HYPERLINK("http://128.120.136.21:8080/binbase-compound/bin/show/305055?db=rtx5","305055")</f>
        <v>305055</v>
      </c>
      <c r="E181" s="2" t="s">
        <v>370</v>
      </c>
      <c r="F181" s="2" t="s">
        <v>57</v>
      </c>
      <c r="G181" s="2" t="s">
        <v>57</v>
      </c>
      <c r="H181" s="10">
        <v>9339</v>
      </c>
      <c r="I181" s="10">
        <v>11149</v>
      </c>
      <c r="J181" s="10">
        <v>3696</v>
      </c>
      <c r="K181" s="10">
        <v>4433</v>
      </c>
      <c r="L181" s="10">
        <v>19187</v>
      </c>
      <c r="M181" s="10">
        <v>8406</v>
      </c>
      <c r="N181" s="10">
        <v>23785</v>
      </c>
      <c r="O181" s="10">
        <v>6597</v>
      </c>
      <c r="P181" s="10">
        <v>3923</v>
      </c>
      <c r="Q181" s="10">
        <v>23012</v>
      </c>
      <c r="R181" s="10">
        <v>18441</v>
      </c>
      <c r="S181" s="10">
        <v>74618</v>
      </c>
      <c r="T181" s="10">
        <v>6298</v>
      </c>
      <c r="U181" s="10">
        <v>3791</v>
      </c>
      <c r="V181" s="10">
        <v>9773</v>
      </c>
      <c r="W181" s="10">
        <v>5230</v>
      </c>
      <c r="X181" s="10">
        <v>6956</v>
      </c>
      <c r="Y181" s="10">
        <v>12002</v>
      </c>
      <c r="Z181" s="10">
        <v>9157</v>
      </c>
      <c r="AA181" s="10">
        <v>15620</v>
      </c>
      <c r="AB181" s="10">
        <v>18035</v>
      </c>
      <c r="AC181" s="10">
        <v>1750</v>
      </c>
      <c r="AD181" s="10">
        <v>2699</v>
      </c>
      <c r="AE181" s="10">
        <v>8192</v>
      </c>
      <c r="AF181" s="10">
        <v>8490</v>
      </c>
      <c r="AG181" s="10">
        <v>7523</v>
      </c>
      <c r="AH181" s="10">
        <v>19739</v>
      </c>
      <c r="AI181" s="10">
        <v>21112</v>
      </c>
      <c r="AJ181" s="10">
        <v>25652</v>
      </c>
      <c r="AK181" s="10">
        <v>41167</v>
      </c>
      <c r="AL181" s="10">
        <v>19580</v>
      </c>
      <c r="AM181" s="10">
        <v>9974</v>
      </c>
      <c r="AN181" s="10">
        <v>17482</v>
      </c>
      <c r="AO181" s="10">
        <v>19901</v>
      </c>
      <c r="AP181" s="10">
        <v>17138</v>
      </c>
      <c r="AQ181" s="10">
        <v>95236</v>
      </c>
      <c r="AR181" s="10">
        <v>5937</v>
      </c>
      <c r="AS181" s="10">
        <v>16468</v>
      </c>
      <c r="AT181" s="10">
        <v>47813</v>
      </c>
      <c r="AU181" s="10">
        <v>1968</v>
      </c>
      <c r="AV181" s="10">
        <v>8216</v>
      </c>
      <c r="AW181" s="10">
        <v>43795</v>
      </c>
      <c r="AX181" s="10">
        <v>11799</v>
      </c>
      <c r="AY181" s="10">
        <v>12583</v>
      </c>
      <c r="AZ181" s="10">
        <v>17132</v>
      </c>
      <c r="BA181" s="10">
        <v>20443</v>
      </c>
      <c r="BB181" s="10">
        <v>3083</v>
      </c>
      <c r="BC181" s="10">
        <v>27401</v>
      </c>
      <c r="BD181" s="10">
        <v>18364</v>
      </c>
      <c r="BE181" s="10">
        <v>11022</v>
      </c>
      <c r="BF181" s="10">
        <v>15526</v>
      </c>
      <c r="BG181" s="10">
        <v>30226</v>
      </c>
      <c r="BH181" s="10">
        <v>18432</v>
      </c>
      <c r="BI181" s="10">
        <v>29296</v>
      </c>
      <c r="BJ181" s="10">
        <v>4760</v>
      </c>
      <c r="BK181" s="10">
        <v>12050</v>
      </c>
      <c r="BL181" s="10">
        <v>5007</v>
      </c>
    </row>
    <row r="182" spans="1:64">
      <c r="A182" s="15">
        <v>212274</v>
      </c>
      <c r="B182" s="14">
        <v>522297</v>
      </c>
      <c r="C182" s="14">
        <v>217</v>
      </c>
      <c r="D182" s="2" t="str">
        <f>HYPERLINK("http://128.120.136.21:8080/binbase-compound/bin/show/212274?db=rtx5","212274")</f>
        <v>212274</v>
      </c>
      <c r="E182" s="2" t="s">
        <v>481</v>
      </c>
      <c r="F182" s="2" t="s">
        <v>57</v>
      </c>
      <c r="G182" s="2" t="s">
        <v>57</v>
      </c>
      <c r="H182" s="10">
        <v>4095</v>
      </c>
      <c r="I182" s="10">
        <v>3268</v>
      </c>
      <c r="J182" s="10">
        <v>5943</v>
      </c>
      <c r="K182" s="10">
        <v>3251</v>
      </c>
      <c r="L182" s="10">
        <v>3399</v>
      </c>
      <c r="M182" s="10">
        <v>3316</v>
      </c>
      <c r="N182" s="10">
        <v>7943</v>
      </c>
      <c r="O182" s="10">
        <v>3987</v>
      </c>
      <c r="P182" s="10">
        <v>3806</v>
      </c>
      <c r="Q182" s="10">
        <v>1740</v>
      </c>
      <c r="R182" s="10">
        <v>2574</v>
      </c>
      <c r="S182" s="10">
        <v>2739</v>
      </c>
      <c r="T182" s="10">
        <v>4744</v>
      </c>
      <c r="U182" s="10">
        <v>4089</v>
      </c>
      <c r="V182" s="10">
        <v>3744</v>
      </c>
      <c r="W182" s="10">
        <v>3697</v>
      </c>
      <c r="X182" s="10">
        <v>1220</v>
      </c>
      <c r="Y182" s="10">
        <v>3465</v>
      </c>
      <c r="Z182" s="10">
        <v>5571</v>
      </c>
      <c r="AA182" s="10">
        <v>5184</v>
      </c>
      <c r="AB182" s="10">
        <v>2880</v>
      </c>
      <c r="AC182" s="10">
        <v>5849</v>
      </c>
      <c r="AD182" s="10">
        <v>2460</v>
      </c>
      <c r="AE182" s="10">
        <v>6760</v>
      </c>
      <c r="AF182" s="10">
        <v>3064</v>
      </c>
      <c r="AG182" s="10">
        <v>2528</v>
      </c>
      <c r="AH182" s="10">
        <v>2155</v>
      </c>
      <c r="AI182" s="10">
        <v>3901</v>
      </c>
      <c r="AJ182" s="10">
        <v>10148</v>
      </c>
      <c r="AK182" s="10">
        <v>5705</v>
      </c>
      <c r="AL182" s="10">
        <v>4186</v>
      </c>
      <c r="AM182" s="10">
        <v>5506</v>
      </c>
      <c r="AN182" s="10">
        <v>1374</v>
      </c>
      <c r="AO182" s="10">
        <v>4559</v>
      </c>
      <c r="AP182" s="10">
        <v>6622</v>
      </c>
      <c r="AQ182" s="10">
        <v>2812</v>
      </c>
      <c r="AR182" s="10">
        <v>3228</v>
      </c>
      <c r="AS182" s="10">
        <v>2838</v>
      </c>
      <c r="AT182" s="10">
        <v>5871</v>
      </c>
      <c r="AU182" s="10">
        <v>3564</v>
      </c>
      <c r="AV182" s="10">
        <v>2449</v>
      </c>
      <c r="AW182" s="10">
        <v>5326</v>
      </c>
      <c r="AX182" s="10">
        <v>4008</v>
      </c>
      <c r="AY182" s="10">
        <v>6677</v>
      </c>
      <c r="AZ182" s="10">
        <v>1881</v>
      </c>
      <c r="BA182" s="10">
        <v>9191</v>
      </c>
      <c r="BB182" s="10">
        <v>6676</v>
      </c>
      <c r="BC182" s="10">
        <v>2319</v>
      </c>
      <c r="BD182" s="10">
        <v>2790</v>
      </c>
      <c r="BE182" s="10">
        <v>5384</v>
      </c>
      <c r="BF182" s="10">
        <v>3425</v>
      </c>
      <c r="BG182" s="10">
        <v>5907</v>
      </c>
      <c r="BH182" s="10">
        <v>4976</v>
      </c>
      <c r="BI182" s="10">
        <v>4357</v>
      </c>
      <c r="BJ182" s="10">
        <v>2879</v>
      </c>
      <c r="BK182" s="10">
        <v>7072</v>
      </c>
      <c r="BL182" s="10">
        <v>4808</v>
      </c>
    </row>
    <row r="183" spans="1:64">
      <c r="A183" s="15">
        <v>428311</v>
      </c>
      <c r="B183" s="14">
        <v>471511</v>
      </c>
      <c r="C183" s="14">
        <v>85</v>
      </c>
      <c r="D183" s="2" t="str">
        <f>HYPERLINK("http://128.120.136.21:8080/binbase-compound/bin/show/428311?db=rtx5","428311")</f>
        <v>428311</v>
      </c>
      <c r="E183" s="2" t="s">
        <v>295</v>
      </c>
      <c r="F183" s="2" t="s">
        <v>57</v>
      </c>
      <c r="G183" s="2" t="s">
        <v>57</v>
      </c>
      <c r="H183" s="10">
        <v>4236</v>
      </c>
      <c r="I183" s="10">
        <v>7174</v>
      </c>
      <c r="J183" s="10">
        <v>7325</v>
      </c>
      <c r="K183" s="10">
        <v>2840</v>
      </c>
      <c r="L183" s="10">
        <v>4326</v>
      </c>
      <c r="M183" s="10">
        <v>2323</v>
      </c>
      <c r="N183" s="10">
        <v>6725</v>
      </c>
      <c r="O183" s="10">
        <v>4870</v>
      </c>
      <c r="P183" s="10">
        <v>2379</v>
      </c>
      <c r="Q183" s="10">
        <v>7131</v>
      </c>
      <c r="R183" s="10">
        <v>5365</v>
      </c>
      <c r="S183" s="10">
        <v>33447</v>
      </c>
      <c r="T183" s="10">
        <v>2424</v>
      </c>
      <c r="U183" s="10">
        <v>8218</v>
      </c>
      <c r="V183" s="10">
        <v>5639</v>
      </c>
      <c r="W183" s="10">
        <v>2065</v>
      </c>
      <c r="X183" s="10">
        <v>2950</v>
      </c>
      <c r="Y183" s="10">
        <v>5492</v>
      </c>
      <c r="Z183" s="10">
        <v>3945</v>
      </c>
      <c r="AA183" s="10">
        <v>9742</v>
      </c>
      <c r="AB183" s="10">
        <v>7660</v>
      </c>
      <c r="AC183" s="10">
        <v>2785</v>
      </c>
      <c r="AD183" s="10">
        <v>2577</v>
      </c>
      <c r="AE183" s="10">
        <v>2875</v>
      </c>
      <c r="AF183" s="10">
        <v>2829</v>
      </c>
      <c r="AG183" s="10">
        <v>2488</v>
      </c>
      <c r="AH183" s="10">
        <v>6642</v>
      </c>
      <c r="AI183" s="10">
        <v>4466</v>
      </c>
      <c r="AJ183" s="10">
        <v>5643</v>
      </c>
      <c r="AK183" s="10">
        <v>7072</v>
      </c>
      <c r="AL183" s="10">
        <v>7175</v>
      </c>
      <c r="AM183" s="10">
        <v>4208</v>
      </c>
      <c r="AN183" s="10">
        <v>11155</v>
      </c>
      <c r="AO183" s="10">
        <v>7581</v>
      </c>
      <c r="AP183" s="10">
        <v>4765</v>
      </c>
      <c r="AQ183" s="10">
        <v>18740</v>
      </c>
      <c r="AR183" s="10">
        <v>5983</v>
      </c>
      <c r="AS183" s="10">
        <v>8496</v>
      </c>
      <c r="AT183" s="10">
        <v>6444</v>
      </c>
      <c r="AU183" s="10">
        <v>2465</v>
      </c>
      <c r="AV183" s="10">
        <v>11047</v>
      </c>
      <c r="AW183" s="10">
        <v>6984</v>
      </c>
      <c r="AX183" s="10">
        <v>8113</v>
      </c>
      <c r="AY183" s="10">
        <v>6401</v>
      </c>
      <c r="AZ183" s="10">
        <v>8853</v>
      </c>
      <c r="BA183" s="10">
        <v>3903</v>
      </c>
      <c r="BB183" s="10">
        <v>4146</v>
      </c>
      <c r="BC183" s="10">
        <v>7009</v>
      </c>
      <c r="BD183" s="10">
        <v>4407</v>
      </c>
      <c r="BE183" s="10">
        <v>5178</v>
      </c>
      <c r="BF183" s="10">
        <v>5985</v>
      </c>
      <c r="BG183" s="10">
        <v>8595</v>
      </c>
      <c r="BH183" s="10">
        <v>3658</v>
      </c>
      <c r="BI183" s="10">
        <v>5463</v>
      </c>
      <c r="BJ183" s="10">
        <v>5237</v>
      </c>
      <c r="BK183" s="10">
        <v>8691</v>
      </c>
      <c r="BL183" s="10">
        <v>4146</v>
      </c>
    </row>
    <row r="184" spans="1:64">
      <c r="A184" s="15">
        <v>214011</v>
      </c>
      <c r="B184" s="14">
        <v>217004</v>
      </c>
      <c r="C184" s="14">
        <v>199</v>
      </c>
      <c r="D184" s="2" t="str">
        <f>HYPERLINK("http://128.120.136.21:8080/binbase-compound/bin/show/214011?db=rtx5","214011")</f>
        <v>214011</v>
      </c>
      <c r="E184" s="2" t="s">
        <v>477</v>
      </c>
      <c r="F184" s="2" t="s">
        <v>57</v>
      </c>
      <c r="G184" s="2" t="s">
        <v>57</v>
      </c>
      <c r="H184" s="10">
        <v>4372</v>
      </c>
      <c r="I184" s="10">
        <v>6622</v>
      </c>
      <c r="J184" s="10">
        <v>6140</v>
      </c>
      <c r="K184" s="10">
        <v>4344</v>
      </c>
      <c r="L184" s="10">
        <v>5314</v>
      </c>
      <c r="M184" s="10">
        <v>5266</v>
      </c>
      <c r="N184" s="10">
        <v>7733</v>
      </c>
      <c r="O184" s="10">
        <v>5281</v>
      </c>
      <c r="P184" s="10">
        <v>4349</v>
      </c>
      <c r="Q184" s="10">
        <v>9320</v>
      </c>
      <c r="R184" s="10">
        <v>5149</v>
      </c>
      <c r="S184" s="10">
        <v>23051</v>
      </c>
      <c r="T184" s="10">
        <v>1935</v>
      </c>
      <c r="U184" s="10">
        <v>2157</v>
      </c>
      <c r="V184" s="10">
        <v>5015</v>
      </c>
      <c r="W184" s="10">
        <v>4294</v>
      </c>
      <c r="X184" s="10">
        <v>4331</v>
      </c>
      <c r="Y184" s="10">
        <v>4811</v>
      </c>
      <c r="Z184" s="10">
        <v>3332</v>
      </c>
      <c r="AA184" s="10">
        <v>8073</v>
      </c>
      <c r="AB184" s="10">
        <v>5430</v>
      </c>
      <c r="AC184" s="10">
        <v>6215</v>
      </c>
      <c r="AD184" s="10">
        <v>3616</v>
      </c>
      <c r="AE184" s="10">
        <v>4950</v>
      </c>
      <c r="AF184" s="10">
        <v>6944</v>
      </c>
      <c r="AG184" s="10">
        <v>2419</v>
      </c>
      <c r="AH184" s="10">
        <v>8638</v>
      </c>
      <c r="AI184" s="10">
        <v>6090</v>
      </c>
      <c r="AJ184" s="10">
        <v>6617</v>
      </c>
      <c r="AK184" s="10">
        <v>9734</v>
      </c>
      <c r="AL184" s="10">
        <v>8851</v>
      </c>
      <c r="AM184" s="10">
        <v>3843</v>
      </c>
      <c r="AN184" s="10">
        <v>9172</v>
      </c>
      <c r="AO184" s="10">
        <v>9265</v>
      </c>
      <c r="AP184" s="10">
        <v>6771</v>
      </c>
      <c r="AQ184" s="10">
        <v>22906</v>
      </c>
      <c r="AR184" s="10">
        <v>6976</v>
      </c>
      <c r="AS184" s="10">
        <v>6797</v>
      </c>
      <c r="AT184" s="10">
        <v>5347</v>
      </c>
      <c r="AU184" s="10">
        <v>1102</v>
      </c>
      <c r="AV184" s="10">
        <v>9708</v>
      </c>
      <c r="AW184" s="10">
        <v>9304</v>
      </c>
      <c r="AX184" s="10">
        <v>7264</v>
      </c>
      <c r="AY184" s="10">
        <v>5471</v>
      </c>
      <c r="AZ184" s="10">
        <v>7011</v>
      </c>
      <c r="BA184" s="10">
        <v>6029</v>
      </c>
      <c r="BB184" s="10">
        <v>5143</v>
      </c>
      <c r="BC184" s="10">
        <v>9877</v>
      </c>
      <c r="BD184" s="10">
        <v>4340</v>
      </c>
      <c r="BE184" s="10">
        <v>8957</v>
      </c>
      <c r="BF184" s="10">
        <v>8477</v>
      </c>
      <c r="BG184" s="10">
        <v>14116</v>
      </c>
      <c r="BH184" s="10">
        <v>5456</v>
      </c>
      <c r="BI184" s="10">
        <v>8795</v>
      </c>
      <c r="BJ184" s="10">
        <v>5241</v>
      </c>
      <c r="BK184" s="10">
        <v>10621</v>
      </c>
      <c r="BL184" s="10">
        <v>3748</v>
      </c>
    </row>
    <row r="185" spans="1:64">
      <c r="A185" s="15">
        <v>222169</v>
      </c>
      <c r="B185" s="14">
        <v>975088</v>
      </c>
      <c r="C185" s="14">
        <v>144</v>
      </c>
      <c r="D185" s="2" t="str">
        <f>HYPERLINK("http://128.120.136.21:8080/binbase-compound/bin/show/222169?db=rtx5","222169")</f>
        <v>222169</v>
      </c>
      <c r="E185" s="2" t="s">
        <v>463</v>
      </c>
      <c r="F185" s="2" t="s">
        <v>57</v>
      </c>
      <c r="G185" s="2" t="s">
        <v>57</v>
      </c>
      <c r="H185" s="10">
        <v>1173</v>
      </c>
      <c r="I185" s="10">
        <v>14261</v>
      </c>
      <c r="J185" s="10">
        <v>681</v>
      </c>
      <c r="K185" s="10">
        <v>9956</v>
      </c>
      <c r="L185" s="10">
        <v>2048</v>
      </c>
      <c r="M185" s="10">
        <v>335</v>
      </c>
      <c r="N185" s="10">
        <v>20308</v>
      </c>
      <c r="O185" s="10">
        <v>1106</v>
      </c>
      <c r="P185" s="10">
        <v>206</v>
      </c>
      <c r="Q185" s="10">
        <v>3240</v>
      </c>
      <c r="R185" s="10">
        <v>688</v>
      </c>
      <c r="S185" s="10">
        <v>3405</v>
      </c>
      <c r="T185" s="10">
        <v>484</v>
      </c>
      <c r="U185" s="10">
        <v>3007</v>
      </c>
      <c r="V185" s="10">
        <v>8091</v>
      </c>
      <c r="W185" s="10">
        <v>4060</v>
      </c>
      <c r="X185" s="10">
        <v>285</v>
      </c>
      <c r="Y185" s="10">
        <v>3511</v>
      </c>
      <c r="Z185" s="10">
        <v>1973</v>
      </c>
      <c r="AA185" s="10">
        <v>2288</v>
      </c>
      <c r="AB185" s="10">
        <v>3654</v>
      </c>
      <c r="AC185" s="10">
        <v>917</v>
      </c>
      <c r="AD185" s="10">
        <v>412</v>
      </c>
      <c r="AE185" s="10">
        <v>5237</v>
      </c>
      <c r="AF185" s="10">
        <v>3750</v>
      </c>
      <c r="AG185" s="10">
        <v>1982</v>
      </c>
      <c r="AH185" s="10">
        <v>493</v>
      </c>
      <c r="AI185" s="10">
        <v>15464</v>
      </c>
      <c r="AJ185" s="10">
        <v>872</v>
      </c>
      <c r="AK185" s="10">
        <v>2251</v>
      </c>
      <c r="AL185" s="10">
        <v>3466</v>
      </c>
      <c r="AM185" s="10">
        <v>470</v>
      </c>
      <c r="AN185" s="10">
        <v>1777</v>
      </c>
      <c r="AO185" s="10">
        <v>880</v>
      </c>
      <c r="AP185" s="10">
        <v>668</v>
      </c>
      <c r="AQ185" s="10">
        <v>3579</v>
      </c>
      <c r="AR185" s="10">
        <v>4465</v>
      </c>
      <c r="AS185" s="10">
        <v>8942</v>
      </c>
      <c r="AT185" s="10">
        <v>2370</v>
      </c>
      <c r="AU185" s="10">
        <v>601</v>
      </c>
      <c r="AV185" s="10">
        <v>2112</v>
      </c>
      <c r="AW185" s="10">
        <v>1803</v>
      </c>
      <c r="AX185" s="10">
        <v>852</v>
      </c>
      <c r="AY185" s="10">
        <v>2147</v>
      </c>
      <c r="AZ185" s="10">
        <v>2238</v>
      </c>
      <c r="BA185" s="10">
        <v>8378</v>
      </c>
      <c r="BB185" s="10">
        <v>293</v>
      </c>
      <c r="BC185" s="10">
        <v>1541</v>
      </c>
      <c r="BD185" s="10">
        <v>2824</v>
      </c>
      <c r="BE185" s="10">
        <v>19074</v>
      </c>
      <c r="BF185" s="10">
        <v>4371</v>
      </c>
      <c r="BG185" s="10">
        <v>19302</v>
      </c>
      <c r="BH185" s="10">
        <v>8442</v>
      </c>
      <c r="BI185" s="10">
        <v>9661</v>
      </c>
      <c r="BJ185" s="10">
        <v>1005</v>
      </c>
      <c r="BK185" s="10">
        <v>3639</v>
      </c>
      <c r="BL185" s="10">
        <v>1428</v>
      </c>
    </row>
    <row r="186" spans="1:64">
      <c r="A186" s="15">
        <v>235449</v>
      </c>
      <c r="B186" s="14">
        <v>949449</v>
      </c>
      <c r="C186" s="14">
        <v>174</v>
      </c>
      <c r="D186" s="2" t="str">
        <f>HYPERLINK("http://128.120.136.21:8080/binbase-compound/bin/show/235449?db=rtx5","235449")</f>
        <v>235449</v>
      </c>
      <c r="E186" s="2" t="s">
        <v>434</v>
      </c>
      <c r="F186" s="2" t="s">
        <v>57</v>
      </c>
      <c r="G186" s="2" t="s">
        <v>57</v>
      </c>
      <c r="H186" s="10">
        <v>8072</v>
      </c>
      <c r="I186" s="10">
        <v>3077</v>
      </c>
      <c r="J186" s="10">
        <v>2883</v>
      </c>
      <c r="K186" s="10">
        <v>5656</v>
      </c>
      <c r="L186" s="10">
        <v>4298</v>
      </c>
      <c r="M186" s="10">
        <v>5191</v>
      </c>
      <c r="N186" s="10">
        <v>4795</v>
      </c>
      <c r="O186" s="10">
        <v>5193</v>
      </c>
      <c r="P186" s="10">
        <v>5549</v>
      </c>
      <c r="Q186" s="10">
        <v>6224</v>
      </c>
      <c r="R186" s="10">
        <v>9334</v>
      </c>
      <c r="S186" s="10">
        <v>3766</v>
      </c>
      <c r="T186" s="10">
        <v>4002</v>
      </c>
      <c r="U186" s="10">
        <v>3879</v>
      </c>
      <c r="V186" s="10">
        <v>4013</v>
      </c>
      <c r="W186" s="10">
        <v>4016</v>
      </c>
      <c r="X186" s="10">
        <v>3958</v>
      </c>
      <c r="Y186" s="10">
        <v>4068</v>
      </c>
      <c r="Z186" s="10">
        <v>6305</v>
      </c>
      <c r="AA186" s="10">
        <v>3484</v>
      </c>
      <c r="AB186" s="10">
        <v>5919</v>
      </c>
      <c r="AC186" s="10">
        <v>2776</v>
      </c>
      <c r="AD186" s="10">
        <v>3220</v>
      </c>
      <c r="AE186" s="10">
        <v>4323</v>
      </c>
      <c r="AF186" s="10">
        <v>3847</v>
      </c>
      <c r="AG186" s="10">
        <v>6767</v>
      </c>
      <c r="AH186" s="10">
        <v>3896</v>
      </c>
      <c r="AI186" s="10">
        <v>4030</v>
      </c>
      <c r="AJ186" s="10">
        <v>5786</v>
      </c>
      <c r="AK186" s="10">
        <v>4920</v>
      </c>
      <c r="AL186" s="10">
        <v>4312</v>
      </c>
      <c r="AM186" s="10">
        <v>881</v>
      </c>
      <c r="AN186" s="10">
        <v>5489</v>
      </c>
      <c r="AO186" s="10">
        <v>5017</v>
      </c>
      <c r="AP186" s="10">
        <v>4072</v>
      </c>
      <c r="AQ186" s="10">
        <v>3072</v>
      </c>
      <c r="AR186" s="10">
        <v>3739</v>
      </c>
      <c r="AS186" s="10">
        <v>5831</v>
      </c>
      <c r="AT186" s="10">
        <v>3458</v>
      </c>
      <c r="AU186" s="10">
        <v>8198</v>
      </c>
      <c r="AV186" s="10">
        <v>4342</v>
      </c>
      <c r="AW186" s="10">
        <v>4491</v>
      </c>
      <c r="AX186" s="10">
        <v>3298</v>
      </c>
      <c r="AY186" s="10">
        <v>3537</v>
      </c>
      <c r="AZ186" s="10">
        <v>3736</v>
      </c>
      <c r="BA186" s="10">
        <v>5151</v>
      </c>
      <c r="BB186" s="10">
        <v>4050</v>
      </c>
      <c r="BC186" s="10">
        <v>8078</v>
      </c>
      <c r="BD186" s="10">
        <v>5590</v>
      </c>
      <c r="BE186" s="10">
        <v>5782</v>
      </c>
      <c r="BF186" s="10">
        <v>8014</v>
      </c>
      <c r="BG186" s="10">
        <v>1381</v>
      </c>
      <c r="BH186" s="10">
        <v>6579</v>
      </c>
      <c r="BI186" s="10">
        <v>4203</v>
      </c>
      <c r="BJ186" s="10">
        <v>7432</v>
      </c>
      <c r="BK186" s="10">
        <v>10737</v>
      </c>
      <c r="BL186" s="10">
        <v>7613</v>
      </c>
    </row>
    <row r="187" spans="1:64">
      <c r="A187" s="15">
        <v>367932</v>
      </c>
      <c r="B187" s="14">
        <v>380080</v>
      </c>
      <c r="C187" s="14">
        <v>170</v>
      </c>
      <c r="D187" s="2" t="str">
        <f>HYPERLINK("http://128.120.136.21:8080/binbase-compound/bin/show/367932?db=rtx5","367932")</f>
        <v>367932</v>
      </c>
      <c r="E187" s="2" t="s">
        <v>336</v>
      </c>
      <c r="F187" s="2" t="s">
        <v>57</v>
      </c>
      <c r="G187" s="2" t="s">
        <v>57</v>
      </c>
      <c r="H187" s="10">
        <v>1520</v>
      </c>
      <c r="I187" s="10">
        <v>4425</v>
      </c>
      <c r="J187" s="10">
        <v>3524</v>
      </c>
      <c r="K187" s="10">
        <v>2151</v>
      </c>
      <c r="L187" s="10">
        <v>4426</v>
      </c>
      <c r="M187" s="10">
        <v>1968</v>
      </c>
      <c r="N187" s="10">
        <v>4396</v>
      </c>
      <c r="O187" s="10">
        <v>2546</v>
      </c>
      <c r="P187" s="10">
        <v>2350</v>
      </c>
      <c r="Q187" s="10">
        <v>7443</v>
      </c>
      <c r="R187" s="10">
        <v>4217</v>
      </c>
      <c r="S187" s="10">
        <v>21471</v>
      </c>
      <c r="T187" s="10">
        <v>1256</v>
      </c>
      <c r="U187" s="10">
        <v>4386</v>
      </c>
      <c r="V187" s="10">
        <v>4258</v>
      </c>
      <c r="W187" s="10">
        <v>1573</v>
      </c>
      <c r="X187" s="10">
        <v>2973</v>
      </c>
      <c r="Y187" s="10">
        <v>2230</v>
      </c>
      <c r="Z187" s="10">
        <v>1474</v>
      </c>
      <c r="AA187" s="10">
        <v>5457</v>
      </c>
      <c r="AB187" s="10">
        <v>3967</v>
      </c>
      <c r="AC187" s="10">
        <v>1745</v>
      </c>
      <c r="AD187" s="10">
        <v>1861</v>
      </c>
      <c r="AE187" s="10">
        <v>2607</v>
      </c>
      <c r="AF187" s="10">
        <v>2705</v>
      </c>
      <c r="AG187" s="10">
        <v>2109</v>
      </c>
      <c r="AH187" s="10">
        <v>8077</v>
      </c>
      <c r="AI187" s="10">
        <v>3934</v>
      </c>
      <c r="AJ187" s="10">
        <v>3500</v>
      </c>
      <c r="AK187" s="10">
        <v>5253</v>
      </c>
      <c r="AL187" s="10">
        <v>5180</v>
      </c>
      <c r="AM187" s="10">
        <v>2043</v>
      </c>
      <c r="AN187" s="10">
        <v>6467</v>
      </c>
      <c r="AO187" s="10">
        <v>5882</v>
      </c>
      <c r="AP187" s="10">
        <v>3946</v>
      </c>
      <c r="AQ187" s="10">
        <v>16834</v>
      </c>
      <c r="AR187" s="10">
        <v>4716</v>
      </c>
      <c r="AS187" s="10">
        <v>4749</v>
      </c>
      <c r="AT187" s="10">
        <v>3144</v>
      </c>
      <c r="AU187" s="10">
        <v>1285</v>
      </c>
      <c r="AV187" s="10">
        <v>6296</v>
      </c>
      <c r="AW187" s="10">
        <v>4318</v>
      </c>
      <c r="AX187" s="10">
        <v>4250</v>
      </c>
      <c r="AY187" s="10">
        <v>3637</v>
      </c>
      <c r="AZ187" s="10">
        <v>7813</v>
      </c>
      <c r="BA187" s="10">
        <v>3665</v>
      </c>
      <c r="BB187" s="10">
        <v>2850</v>
      </c>
      <c r="BC187" s="10">
        <v>5817</v>
      </c>
      <c r="BD187" s="10">
        <v>3052</v>
      </c>
      <c r="BE187" s="10">
        <v>3964</v>
      </c>
      <c r="BF187" s="10">
        <v>6103</v>
      </c>
      <c r="BG187" s="10">
        <v>8164</v>
      </c>
      <c r="BH187" s="10">
        <v>3652</v>
      </c>
      <c r="BI187" s="10">
        <v>5228</v>
      </c>
      <c r="BJ187" s="10">
        <v>4163</v>
      </c>
      <c r="BK187" s="10">
        <v>4706</v>
      </c>
      <c r="BL187" s="10">
        <v>2504</v>
      </c>
    </row>
    <row r="188" spans="1:64">
      <c r="A188" s="15">
        <v>330609</v>
      </c>
      <c r="B188" s="14">
        <v>475526</v>
      </c>
      <c r="C188" s="14">
        <v>217</v>
      </c>
      <c r="D188" s="2" t="str">
        <f>HYPERLINK("http://128.120.136.21:8080/binbase-compound/bin/show/330609?db=rtx5","330609")</f>
        <v>330609</v>
      </c>
      <c r="E188" s="2" t="s">
        <v>358</v>
      </c>
      <c r="F188" s="2" t="s">
        <v>57</v>
      </c>
      <c r="G188" s="2" t="s">
        <v>57</v>
      </c>
      <c r="H188" s="10">
        <v>2820</v>
      </c>
      <c r="I188" s="10">
        <v>2336</v>
      </c>
      <c r="J188" s="10">
        <v>1396</v>
      </c>
      <c r="K188" s="10">
        <v>3428</v>
      </c>
      <c r="L188" s="10">
        <v>1248</v>
      </c>
      <c r="M188" s="10">
        <v>424</v>
      </c>
      <c r="N188" s="10">
        <v>3133</v>
      </c>
      <c r="O188" s="10">
        <v>1000</v>
      </c>
      <c r="P188" s="10">
        <v>2353</v>
      </c>
      <c r="Q188" s="10">
        <v>225</v>
      </c>
      <c r="R188" s="10">
        <v>122</v>
      </c>
      <c r="S188" s="10">
        <v>793</v>
      </c>
      <c r="T188" s="10">
        <v>2239</v>
      </c>
      <c r="U188" s="10">
        <v>6479</v>
      </c>
      <c r="V188" s="10">
        <v>1489</v>
      </c>
      <c r="W188" s="10">
        <v>431</v>
      </c>
      <c r="X188" s="10">
        <v>336</v>
      </c>
      <c r="Y188" s="10">
        <v>195</v>
      </c>
      <c r="Z188" s="10">
        <v>4740</v>
      </c>
      <c r="AA188" s="10">
        <v>2967</v>
      </c>
      <c r="AB188" s="10">
        <v>4604</v>
      </c>
      <c r="AC188" s="10">
        <v>810</v>
      </c>
      <c r="AD188" s="10">
        <v>797</v>
      </c>
      <c r="AE188" s="10">
        <v>1194</v>
      </c>
      <c r="AF188" s="10">
        <v>1972</v>
      </c>
      <c r="AG188" s="10">
        <v>285</v>
      </c>
      <c r="AH188" s="10">
        <v>987</v>
      </c>
      <c r="AI188" s="10">
        <v>8693</v>
      </c>
      <c r="AJ188" s="10">
        <v>4987</v>
      </c>
      <c r="AK188" s="10">
        <v>1892</v>
      </c>
      <c r="AL188" s="10">
        <v>4714</v>
      </c>
      <c r="AM188" s="10">
        <v>4402</v>
      </c>
      <c r="AN188" s="10">
        <v>5603</v>
      </c>
      <c r="AO188" s="10">
        <v>5655</v>
      </c>
      <c r="AP188" s="10">
        <v>4590</v>
      </c>
      <c r="AQ188" s="10">
        <v>4878</v>
      </c>
      <c r="AR188" s="10">
        <v>6237</v>
      </c>
      <c r="AS188" s="10">
        <v>4605</v>
      </c>
      <c r="AT188" s="10">
        <v>7518</v>
      </c>
      <c r="AU188" s="10">
        <v>5425</v>
      </c>
      <c r="AV188" s="10">
        <v>5668</v>
      </c>
      <c r="AW188" s="10">
        <v>1963</v>
      </c>
      <c r="AX188" s="10">
        <v>1661</v>
      </c>
      <c r="AY188" s="10">
        <v>6909</v>
      </c>
      <c r="AZ188" s="10">
        <v>4086</v>
      </c>
      <c r="BA188" s="10">
        <v>5336</v>
      </c>
      <c r="BB188" s="10">
        <v>3883</v>
      </c>
      <c r="BC188" s="10">
        <v>6852</v>
      </c>
      <c r="BD188" s="10">
        <v>2025</v>
      </c>
      <c r="BE188" s="10">
        <v>2651</v>
      </c>
      <c r="BF188" s="10">
        <v>5196</v>
      </c>
      <c r="BG188" s="10">
        <v>10214</v>
      </c>
      <c r="BH188" s="10">
        <v>6165</v>
      </c>
      <c r="BI188" s="10">
        <v>11561</v>
      </c>
      <c r="BJ188" s="10">
        <v>1207</v>
      </c>
      <c r="BK188" s="10">
        <v>1947</v>
      </c>
      <c r="BL188" s="10">
        <v>1447</v>
      </c>
    </row>
    <row r="189" spans="1:64">
      <c r="A189" s="15">
        <v>269294</v>
      </c>
      <c r="B189" s="14">
        <v>766330</v>
      </c>
      <c r="C189" s="14">
        <v>156</v>
      </c>
      <c r="D189" s="2" t="str">
        <f>HYPERLINK("http://128.120.136.21:8080/binbase-compound/bin/show/269294?db=rtx5","269294")</f>
        <v>269294</v>
      </c>
      <c r="E189" s="2" t="s">
        <v>401</v>
      </c>
      <c r="F189" s="2" t="s">
        <v>57</v>
      </c>
      <c r="G189" s="2" t="s">
        <v>57</v>
      </c>
      <c r="H189" s="10">
        <v>4630</v>
      </c>
      <c r="I189" s="10">
        <v>1585</v>
      </c>
      <c r="J189" s="10">
        <v>1882</v>
      </c>
      <c r="K189" s="10">
        <v>3048</v>
      </c>
      <c r="L189" s="10">
        <v>1495</v>
      </c>
      <c r="M189" s="10">
        <v>4489</v>
      </c>
      <c r="N189" s="10">
        <v>1915</v>
      </c>
      <c r="O189" s="10">
        <v>3493</v>
      </c>
      <c r="P189" s="10">
        <v>3685</v>
      </c>
      <c r="Q189" s="10">
        <v>5228</v>
      </c>
      <c r="R189" s="10">
        <v>6816</v>
      </c>
      <c r="S189" s="10">
        <v>4048</v>
      </c>
      <c r="T189" s="10">
        <v>4236</v>
      </c>
      <c r="U189" s="10">
        <v>1705</v>
      </c>
      <c r="V189" s="10">
        <v>2962</v>
      </c>
      <c r="W189" s="10">
        <v>2719</v>
      </c>
      <c r="X189" s="10">
        <v>2570</v>
      </c>
      <c r="Y189" s="10">
        <v>3036</v>
      </c>
      <c r="Z189" s="10">
        <v>4563</v>
      </c>
      <c r="AA189" s="10">
        <v>1932</v>
      </c>
      <c r="AB189" s="10">
        <v>2222</v>
      </c>
      <c r="AC189" s="10">
        <v>2436</v>
      </c>
      <c r="AD189" s="10">
        <v>1835</v>
      </c>
      <c r="AE189" s="10">
        <v>2845</v>
      </c>
      <c r="AF189" s="10">
        <v>2364</v>
      </c>
      <c r="AG189" s="10">
        <v>4241</v>
      </c>
      <c r="AH189" s="10">
        <v>1004</v>
      </c>
      <c r="AI189" s="10">
        <v>2350</v>
      </c>
      <c r="AJ189" s="10">
        <v>3463</v>
      </c>
      <c r="AK189" s="10">
        <v>2201</v>
      </c>
      <c r="AL189" s="10">
        <v>2486</v>
      </c>
      <c r="AM189" s="10">
        <v>358</v>
      </c>
      <c r="AN189" s="10">
        <v>2185</v>
      </c>
      <c r="AO189" s="10">
        <v>2034</v>
      </c>
      <c r="AP189" s="10">
        <v>2829</v>
      </c>
      <c r="AQ189" s="10">
        <v>1846</v>
      </c>
      <c r="AR189" s="10">
        <v>2499</v>
      </c>
      <c r="AS189" s="10">
        <v>2304</v>
      </c>
      <c r="AT189" s="10">
        <v>2174</v>
      </c>
      <c r="AU189" s="10">
        <v>5794</v>
      </c>
      <c r="AV189" s="10">
        <v>1419</v>
      </c>
      <c r="AW189" s="10">
        <v>2473</v>
      </c>
      <c r="AX189" s="10">
        <v>1592</v>
      </c>
      <c r="AY189" s="10">
        <v>2160</v>
      </c>
      <c r="AZ189" s="10">
        <v>1363</v>
      </c>
      <c r="BA189" s="10">
        <v>2726</v>
      </c>
      <c r="BB189" s="10">
        <v>2662</v>
      </c>
      <c r="BC189" s="10">
        <v>2220</v>
      </c>
      <c r="BD189" s="10">
        <v>3341</v>
      </c>
      <c r="BE189" s="10">
        <v>3603</v>
      </c>
      <c r="BF189" s="10">
        <v>2001</v>
      </c>
      <c r="BG189" s="10">
        <v>1988</v>
      </c>
      <c r="BH189" s="10">
        <v>2684</v>
      </c>
      <c r="BI189" s="10">
        <v>1940</v>
      </c>
      <c r="BJ189" s="10">
        <v>4144</v>
      </c>
      <c r="BK189" s="10">
        <v>4660</v>
      </c>
      <c r="BL189" s="10">
        <v>4074</v>
      </c>
    </row>
    <row r="190" spans="1:64">
      <c r="A190" s="15">
        <v>201042</v>
      </c>
      <c r="B190" s="14">
        <v>298036</v>
      </c>
      <c r="C190" s="14">
        <v>132</v>
      </c>
      <c r="D190" s="2" t="str">
        <f>HYPERLINK("http://128.120.136.21:8080/binbase-compound/bin/show/201042?db=rtx5","201042")</f>
        <v>201042</v>
      </c>
      <c r="E190" s="2" t="s">
        <v>499</v>
      </c>
      <c r="F190" s="2" t="s">
        <v>57</v>
      </c>
      <c r="G190" s="2" t="s">
        <v>57</v>
      </c>
      <c r="H190" s="10">
        <v>1827</v>
      </c>
      <c r="I190" s="10">
        <v>2905</v>
      </c>
      <c r="J190" s="10">
        <v>3861</v>
      </c>
      <c r="K190" s="10">
        <v>3013</v>
      </c>
      <c r="L190" s="10">
        <v>2707</v>
      </c>
      <c r="M190" s="10">
        <v>1990</v>
      </c>
      <c r="N190" s="10">
        <v>3185</v>
      </c>
      <c r="O190" s="10">
        <v>2557</v>
      </c>
      <c r="P190" s="10">
        <v>1937</v>
      </c>
      <c r="Q190" s="10">
        <v>4543</v>
      </c>
      <c r="R190" s="10">
        <v>5008</v>
      </c>
      <c r="S190" s="10">
        <v>9189</v>
      </c>
      <c r="T190" s="10">
        <v>1871</v>
      </c>
      <c r="U190" s="10">
        <v>4007</v>
      </c>
      <c r="V190" s="10">
        <v>4572</v>
      </c>
      <c r="W190" s="10">
        <v>1931</v>
      </c>
      <c r="X190" s="10">
        <v>2998</v>
      </c>
      <c r="Y190" s="10">
        <v>3286</v>
      </c>
      <c r="Z190" s="10">
        <v>1832</v>
      </c>
      <c r="AA190" s="10">
        <v>3919</v>
      </c>
      <c r="AB190" s="10">
        <v>4735</v>
      </c>
      <c r="AC190" s="10">
        <v>2810</v>
      </c>
      <c r="AD190" s="10">
        <v>1909</v>
      </c>
      <c r="AE190" s="10">
        <v>2034</v>
      </c>
      <c r="AF190" s="10">
        <v>2245</v>
      </c>
      <c r="AG190" s="10">
        <v>1947</v>
      </c>
      <c r="AH190" s="10">
        <v>3148</v>
      </c>
      <c r="AI190" s="10">
        <v>9732</v>
      </c>
      <c r="AJ190" s="10">
        <v>3524</v>
      </c>
      <c r="AK190" s="10">
        <v>4813</v>
      </c>
      <c r="AL190" s="10">
        <v>3782</v>
      </c>
      <c r="AM190" s="10">
        <v>2199</v>
      </c>
      <c r="AN190" s="10">
        <v>6608</v>
      </c>
      <c r="AO190" s="10">
        <v>5199</v>
      </c>
      <c r="AP190" s="10">
        <v>3711</v>
      </c>
      <c r="AQ190" s="10">
        <v>12883</v>
      </c>
      <c r="AR190" s="10">
        <v>3547</v>
      </c>
      <c r="AS190" s="10">
        <v>5293</v>
      </c>
      <c r="AT190" s="10">
        <v>3100</v>
      </c>
      <c r="AU190" s="10">
        <v>2280</v>
      </c>
      <c r="AV190" s="10">
        <v>4184</v>
      </c>
      <c r="AW190" s="10">
        <v>3081</v>
      </c>
      <c r="AX190" s="10">
        <v>3687</v>
      </c>
      <c r="AY190" s="10">
        <v>4390</v>
      </c>
      <c r="AZ190" s="10">
        <v>6117</v>
      </c>
      <c r="BA190" s="10">
        <v>3847</v>
      </c>
      <c r="BB190" s="10">
        <v>3447</v>
      </c>
      <c r="BC190" s="10">
        <v>7408</v>
      </c>
      <c r="BD190" s="10">
        <v>2657</v>
      </c>
      <c r="BE190" s="10">
        <v>3368</v>
      </c>
      <c r="BF190" s="10">
        <v>7171</v>
      </c>
      <c r="BG190" s="10">
        <v>9319</v>
      </c>
      <c r="BH190" s="10">
        <v>3570</v>
      </c>
      <c r="BI190" s="10">
        <v>7301</v>
      </c>
      <c r="BJ190" s="10">
        <v>3175</v>
      </c>
      <c r="BK190" s="10">
        <v>3276</v>
      </c>
      <c r="BL190" s="10">
        <v>4808</v>
      </c>
    </row>
    <row r="191" spans="1:64">
      <c r="A191" s="15">
        <v>408849</v>
      </c>
      <c r="B191" s="14">
        <v>659067</v>
      </c>
      <c r="C191" s="14">
        <v>142</v>
      </c>
      <c r="D191" s="2" t="str">
        <f>HYPERLINK("http://128.120.136.21:8080/binbase-compound/bin/show/408849?db=rtx5","408849")</f>
        <v>408849</v>
      </c>
      <c r="E191" s="2" t="s">
        <v>320</v>
      </c>
      <c r="F191" s="2" t="s">
        <v>57</v>
      </c>
      <c r="G191" s="2" t="s">
        <v>57</v>
      </c>
      <c r="H191" s="10">
        <v>4050</v>
      </c>
      <c r="I191" s="10">
        <v>1727</v>
      </c>
      <c r="J191" s="10">
        <v>4287</v>
      </c>
      <c r="K191" s="10">
        <v>3052</v>
      </c>
      <c r="L191" s="10">
        <v>4682</v>
      </c>
      <c r="M191" s="10">
        <v>3980</v>
      </c>
      <c r="N191" s="10">
        <v>6087</v>
      </c>
      <c r="O191" s="10">
        <v>4410</v>
      </c>
      <c r="P191" s="10">
        <v>5616</v>
      </c>
      <c r="Q191" s="10">
        <v>5553</v>
      </c>
      <c r="R191" s="10">
        <v>4920</v>
      </c>
      <c r="S191" s="10">
        <v>4444</v>
      </c>
      <c r="T191" s="10">
        <v>4486</v>
      </c>
      <c r="U191" s="10">
        <v>4098</v>
      </c>
      <c r="V191" s="10">
        <v>5388</v>
      </c>
      <c r="W191" s="10">
        <v>2453</v>
      </c>
      <c r="X191" s="10">
        <v>3473</v>
      </c>
      <c r="Y191" s="10">
        <v>4407</v>
      </c>
      <c r="Z191" s="10">
        <v>3724</v>
      </c>
      <c r="AA191" s="10">
        <v>2032</v>
      </c>
      <c r="AB191" s="10">
        <v>1812</v>
      </c>
      <c r="AC191" s="10">
        <v>3277</v>
      </c>
      <c r="AD191" s="10">
        <v>1985</v>
      </c>
      <c r="AE191" s="10">
        <v>5826</v>
      </c>
      <c r="AF191" s="10">
        <v>1992</v>
      </c>
      <c r="AG191" s="10">
        <v>4033</v>
      </c>
      <c r="AH191" s="10">
        <v>4908</v>
      </c>
      <c r="AI191" s="10">
        <v>3334</v>
      </c>
      <c r="AJ191" s="10">
        <v>803</v>
      </c>
      <c r="AK191" s="10">
        <v>2215</v>
      </c>
      <c r="AL191" s="10">
        <v>814</v>
      </c>
      <c r="AM191" s="10">
        <v>479</v>
      </c>
      <c r="AN191" s="10">
        <v>1167</v>
      </c>
      <c r="AO191" s="10">
        <v>735</v>
      </c>
      <c r="AP191" s="10">
        <v>3610</v>
      </c>
      <c r="AQ191" s="10">
        <v>2277</v>
      </c>
      <c r="AR191" s="10">
        <v>1628</v>
      </c>
      <c r="AS191" s="10">
        <v>3609</v>
      </c>
      <c r="AT191" s="10">
        <v>630</v>
      </c>
      <c r="AU191" s="10">
        <v>4395</v>
      </c>
      <c r="AV191" s="10">
        <v>1183</v>
      </c>
      <c r="AW191" s="10">
        <v>2057</v>
      </c>
      <c r="AX191" s="10">
        <v>4525</v>
      </c>
      <c r="AY191" s="10">
        <v>1501</v>
      </c>
      <c r="AZ191" s="10">
        <v>1045</v>
      </c>
      <c r="BA191" s="10">
        <v>988</v>
      </c>
      <c r="BB191" s="10">
        <v>769</v>
      </c>
      <c r="BC191" s="10">
        <v>921</v>
      </c>
      <c r="BD191" s="10">
        <v>1092</v>
      </c>
      <c r="BE191" s="10">
        <v>417</v>
      </c>
      <c r="BF191" s="10">
        <v>706</v>
      </c>
      <c r="BG191" s="10">
        <v>794</v>
      </c>
      <c r="BH191" s="10">
        <v>713</v>
      </c>
      <c r="BI191" s="10">
        <v>1170</v>
      </c>
      <c r="BJ191" s="10">
        <v>2187</v>
      </c>
      <c r="BK191" s="10">
        <v>3987</v>
      </c>
      <c r="BL191" s="10">
        <v>4337</v>
      </c>
    </row>
    <row r="192" spans="1:64">
      <c r="A192" s="15">
        <v>238384</v>
      </c>
      <c r="B192" s="14">
        <v>687003</v>
      </c>
      <c r="C192" s="14">
        <v>156</v>
      </c>
      <c r="D192" s="2" t="str">
        <f>HYPERLINK("http://128.120.136.21:8080/binbase-compound/bin/show/238384?db=rtx5","238384")</f>
        <v>238384</v>
      </c>
      <c r="E192" s="2" t="s">
        <v>425</v>
      </c>
      <c r="F192" s="2" t="s">
        <v>57</v>
      </c>
      <c r="G192" s="2" t="s">
        <v>57</v>
      </c>
      <c r="H192" s="10">
        <v>4633</v>
      </c>
      <c r="I192" s="10">
        <v>2950</v>
      </c>
      <c r="J192" s="10">
        <v>3103</v>
      </c>
      <c r="K192" s="10">
        <v>2694</v>
      </c>
      <c r="L192" s="10">
        <v>2182</v>
      </c>
      <c r="M192" s="10">
        <v>5526</v>
      </c>
      <c r="N192" s="10">
        <v>3109</v>
      </c>
      <c r="O192" s="10">
        <v>4580</v>
      </c>
      <c r="P192" s="10">
        <v>5089</v>
      </c>
      <c r="Q192" s="10">
        <v>6157</v>
      </c>
      <c r="R192" s="10">
        <v>8606</v>
      </c>
      <c r="S192" s="10">
        <v>5075</v>
      </c>
      <c r="T192" s="10">
        <v>7644</v>
      </c>
      <c r="U192" s="10">
        <v>2492</v>
      </c>
      <c r="V192" s="10">
        <v>3707</v>
      </c>
      <c r="W192" s="10">
        <v>3706</v>
      </c>
      <c r="X192" s="10">
        <v>3283</v>
      </c>
      <c r="Y192" s="10">
        <v>3396</v>
      </c>
      <c r="Z192" s="10">
        <v>6375</v>
      </c>
      <c r="AA192" s="10">
        <v>2290</v>
      </c>
      <c r="AB192" s="10">
        <v>3154</v>
      </c>
      <c r="AC192" s="10">
        <v>3457</v>
      </c>
      <c r="AD192" s="10">
        <v>2431</v>
      </c>
      <c r="AE192" s="10">
        <v>4407</v>
      </c>
      <c r="AF192" s="10">
        <v>3448</v>
      </c>
      <c r="AG192" s="10">
        <v>3995</v>
      </c>
      <c r="AH192" s="10">
        <v>1677</v>
      </c>
      <c r="AI192" s="10">
        <v>3595</v>
      </c>
      <c r="AJ192" s="10">
        <v>4866</v>
      </c>
      <c r="AK192" s="10">
        <v>3451</v>
      </c>
      <c r="AL192" s="10">
        <v>4056</v>
      </c>
      <c r="AM192" s="10">
        <v>458</v>
      </c>
      <c r="AN192" s="10">
        <v>2721</v>
      </c>
      <c r="AO192" s="10">
        <v>3527</v>
      </c>
      <c r="AP192" s="10">
        <v>4906</v>
      </c>
      <c r="AQ192" s="10">
        <v>2681</v>
      </c>
      <c r="AR192" s="10">
        <v>3424</v>
      </c>
      <c r="AS192" s="10">
        <v>2769</v>
      </c>
      <c r="AT192" s="10">
        <v>3209</v>
      </c>
      <c r="AU192" s="10">
        <v>7238</v>
      </c>
      <c r="AV192" s="10">
        <v>2195</v>
      </c>
      <c r="AW192" s="10">
        <v>3436</v>
      </c>
      <c r="AX192" s="10">
        <v>1644</v>
      </c>
      <c r="AY192" s="10">
        <v>4080</v>
      </c>
      <c r="AZ192" s="10">
        <v>2082</v>
      </c>
      <c r="BA192" s="10">
        <v>3550</v>
      </c>
      <c r="BB192" s="10">
        <v>3439</v>
      </c>
      <c r="BC192" s="10">
        <v>2372</v>
      </c>
      <c r="BD192" s="10">
        <v>4004</v>
      </c>
      <c r="BE192" s="10">
        <v>4067</v>
      </c>
      <c r="BF192" s="10">
        <v>3502</v>
      </c>
      <c r="BG192" s="10">
        <v>2683</v>
      </c>
      <c r="BH192" s="10">
        <v>3281</v>
      </c>
      <c r="BI192" s="10">
        <v>3212</v>
      </c>
      <c r="BJ192" s="10">
        <v>5023</v>
      </c>
      <c r="BK192" s="10">
        <v>4720</v>
      </c>
      <c r="BL192" s="10">
        <v>6374</v>
      </c>
    </row>
    <row r="193" spans="1:64">
      <c r="A193" s="15">
        <v>216860</v>
      </c>
      <c r="B193" s="14">
        <v>600185</v>
      </c>
      <c r="C193" s="14">
        <v>292</v>
      </c>
      <c r="D193" s="2" t="str">
        <f>HYPERLINK("http://128.120.136.21:8080/binbase-compound/bin/show/216860?db=rtx5","216860")</f>
        <v>216860</v>
      </c>
      <c r="E193" s="2" t="s">
        <v>468</v>
      </c>
      <c r="F193" s="2" t="s">
        <v>57</v>
      </c>
      <c r="G193" s="2" t="s">
        <v>57</v>
      </c>
      <c r="H193" s="10">
        <v>2157</v>
      </c>
      <c r="I193" s="10">
        <v>9190</v>
      </c>
      <c r="J193" s="10">
        <v>11680</v>
      </c>
      <c r="K193" s="10">
        <v>3608</v>
      </c>
      <c r="L193" s="10">
        <v>6375</v>
      </c>
      <c r="M193" s="10">
        <v>2438</v>
      </c>
      <c r="N193" s="10">
        <v>10177</v>
      </c>
      <c r="O193" s="10">
        <v>5554</v>
      </c>
      <c r="P193" s="10">
        <v>3937</v>
      </c>
      <c r="Q193" s="10">
        <v>588</v>
      </c>
      <c r="R193" s="10">
        <v>662</v>
      </c>
      <c r="S193" s="10">
        <v>943</v>
      </c>
      <c r="T193" s="10">
        <v>3598</v>
      </c>
      <c r="U193" s="10">
        <v>7177</v>
      </c>
      <c r="V193" s="10">
        <v>11297</v>
      </c>
      <c r="W193" s="10">
        <v>2717</v>
      </c>
      <c r="X193" s="10">
        <v>2696</v>
      </c>
      <c r="Y193" s="10">
        <v>9728</v>
      </c>
      <c r="Z193" s="10">
        <v>2322</v>
      </c>
      <c r="AA193" s="10">
        <v>2485</v>
      </c>
      <c r="AB193" s="10">
        <v>1384</v>
      </c>
      <c r="AC193" s="10">
        <v>4169</v>
      </c>
      <c r="AD193" s="10">
        <v>1592</v>
      </c>
      <c r="AE193" s="10">
        <v>4455</v>
      </c>
      <c r="AF193" s="10">
        <v>1068</v>
      </c>
      <c r="AG193" s="10">
        <v>1896</v>
      </c>
      <c r="AH193" s="10">
        <v>13556</v>
      </c>
      <c r="AI193" s="10">
        <v>1946</v>
      </c>
      <c r="AJ193" s="10">
        <v>2583</v>
      </c>
      <c r="AK193" s="10">
        <v>1761</v>
      </c>
      <c r="AL193" s="10">
        <v>4303</v>
      </c>
      <c r="AM193" s="10">
        <v>2081</v>
      </c>
      <c r="AN193" s="10">
        <v>3136</v>
      </c>
      <c r="AO193" s="10">
        <v>4321</v>
      </c>
      <c r="AP193" s="10">
        <v>1453</v>
      </c>
      <c r="AQ193" s="10">
        <v>2033</v>
      </c>
      <c r="AR193" s="10">
        <v>1803</v>
      </c>
      <c r="AS193" s="10">
        <v>2076</v>
      </c>
      <c r="AT193" s="10">
        <v>2933</v>
      </c>
      <c r="AU193" s="10">
        <v>2296</v>
      </c>
      <c r="AV193" s="10">
        <v>33911</v>
      </c>
      <c r="AW193" s="10">
        <v>2838</v>
      </c>
      <c r="AX193" s="10">
        <v>4383</v>
      </c>
      <c r="AY193" s="10">
        <v>4130</v>
      </c>
      <c r="AZ193" s="10">
        <v>4298</v>
      </c>
      <c r="BA193" s="10">
        <v>3166</v>
      </c>
      <c r="BB193" s="10">
        <v>2508</v>
      </c>
      <c r="BC193" s="10">
        <v>4120</v>
      </c>
      <c r="BD193" s="10">
        <v>1903</v>
      </c>
      <c r="BE193" s="10">
        <v>2866</v>
      </c>
      <c r="BF193" s="10">
        <v>3929</v>
      </c>
      <c r="BG193" s="10">
        <v>3242</v>
      </c>
      <c r="BH193" s="10">
        <v>1885</v>
      </c>
      <c r="BI193" s="10">
        <v>3794</v>
      </c>
      <c r="BJ193" s="10">
        <v>1959</v>
      </c>
      <c r="BK193" s="10">
        <v>1709</v>
      </c>
      <c r="BL193" s="10">
        <v>1971</v>
      </c>
    </row>
    <row r="194" spans="1:64">
      <c r="A194" s="15">
        <v>284389</v>
      </c>
      <c r="B194" s="14">
        <v>535751</v>
      </c>
      <c r="C194" s="14">
        <v>217</v>
      </c>
      <c r="D194" s="2" t="str">
        <f>HYPERLINK("http://128.120.136.21:8080/binbase-compound/bin/show/284389?db=rtx5","284389")</f>
        <v>284389</v>
      </c>
      <c r="E194" s="2" t="s">
        <v>390</v>
      </c>
      <c r="F194" s="2" t="s">
        <v>57</v>
      </c>
      <c r="G194" s="2" t="s">
        <v>57</v>
      </c>
      <c r="H194" s="10">
        <v>5726</v>
      </c>
      <c r="I194" s="10">
        <v>4120</v>
      </c>
      <c r="J194" s="10">
        <v>3529</v>
      </c>
      <c r="K194" s="10">
        <v>4488</v>
      </c>
      <c r="L194" s="10">
        <v>4589</v>
      </c>
      <c r="M194" s="10">
        <v>3515</v>
      </c>
      <c r="N194" s="10">
        <v>12085</v>
      </c>
      <c r="O194" s="10">
        <v>5753</v>
      </c>
      <c r="P194" s="10">
        <v>4404</v>
      </c>
      <c r="Q194" s="10">
        <v>464</v>
      </c>
      <c r="R194" s="10">
        <v>367</v>
      </c>
      <c r="S194" s="10">
        <v>859</v>
      </c>
      <c r="T194" s="10">
        <v>5770</v>
      </c>
      <c r="U194" s="10">
        <v>7315</v>
      </c>
      <c r="V194" s="10">
        <v>4624</v>
      </c>
      <c r="W194" s="10">
        <v>7124</v>
      </c>
      <c r="X194" s="10">
        <v>3867</v>
      </c>
      <c r="Y194" s="10">
        <v>10196</v>
      </c>
      <c r="Z194" s="10">
        <v>5307</v>
      </c>
      <c r="AA194" s="10">
        <v>15337</v>
      </c>
      <c r="AB194" s="10">
        <v>5756</v>
      </c>
      <c r="AC194" s="10">
        <v>12466</v>
      </c>
      <c r="AD194" s="10">
        <v>9138</v>
      </c>
      <c r="AE194" s="10">
        <v>11441</v>
      </c>
      <c r="AF194" s="10">
        <v>6767</v>
      </c>
      <c r="AG194" s="10">
        <v>4989</v>
      </c>
      <c r="AH194" s="10">
        <v>2026</v>
      </c>
      <c r="AI194" s="10">
        <v>2596</v>
      </c>
      <c r="AJ194" s="10">
        <v>3906</v>
      </c>
      <c r="AK194" s="10">
        <v>2249</v>
      </c>
      <c r="AL194" s="10">
        <v>1594</v>
      </c>
      <c r="AM194" s="10">
        <v>3588</v>
      </c>
      <c r="AN194" s="10">
        <v>1014</v>
      </c>
      <c r="AO194" s="10">
        <v>1203</v>
      </c>
      <c r="AP194" s="10">
        <v>2924</v>
      </c>
      <c r="AQ194" s="10">
        <v>1686</v>
      </c>
      <c r="AR194" s="10">
        <v>8264</v>
      </c>
      <c r="AS194" s="10">
        <v>3665</v>
      </c>
      <c r="AT194" s="10">
        <v>9874</v>
      </c>
      <c r="AU194" s="10">
        <v>30</v>
      </c>
      <c r="AV194" s="10">
        <v>4664</v>
      </c>
      <c r="AW194" s="10">
        <v>4325</v>
      </c>
      <c r="AX194" s="10">
        <v>5073</v>
      </c>
      <c r="AY194" s="10">
        <v>6552</v>
      </c>
      <c r="AZ194" s="10">
        <v>3095</v>
      </c>
      <c r="BA194" s="10">
        <v>3324</v>
      </c>
      <c r="BB194" s="10">
        <v>2925</v>
      </c>
      <c r="BC194" s="10">
        <v>208</v>
      </c>
      <c r="BD194" s="10">
        <v>2012</v>
      </c>
      <c r="BE194" s="10">
        <v>129</v>
      </c>
      <c r="BF194" s="10">
        <v>1188</v>
      </c>
      <c r="BG194" s="10">
        <v>2410</v>
      </c>
      <c r="BH194" s="10">
        <v>1452</v>
      </c>
      <c r="BI194" s="10">
        <v>1773</v>
      </c>
      <c r="BJ194" s="10">
        <v>951</v>
      </c>
      <c r="BK194" s="10">
        <v>4289</v>
      </c>
      <c r="BL194" s="10">
        <v>4017</v>
      </c>
    </row>
    <row r="195" spans="1:64">
      <c r="A195" s="15">
        <v>214151</v>
      </c>
      <c r="B195" s="14">
        <v>841748</v>
      </c>
      <c r="C195" s="14">
        <v>142</v>
      </c>
      <c r="D195" s="2" t="str">
        <f>HYPERLINK("http://128.120.136.21:8080/binbase-compound/bin/show/214151?db=rtx5","214151")</f>
        <v>214151</v>
      </c>
      <c r="E195" s="2" t="s">
        <v>475</v>
      </c>
      <c r="F195" s="2" t="s">
        <v>57</v>
      </c>
      <c r="G195" s="2" t="s">
        <v>57</v>
      </c>
      <c r="H195" s="10">
        <v>5127</v>
      </c>
      <c r="I195" s="10">
        <v>4453</v>
      </c>
      <c r="J195" s="10">
        <v>3827</v>
      </c>
      <c r="K195" s="10">
        <v>6945</v>
      </c>
      <c r="L195" s="10">
        <v>5217</v>
      </c>
      <c r="M195" s="10">
        <v>4954</v>
      </c>
      <c r="N195" s="10">
        <v>4459</v>
      </c>
      <c r="O195" s="10">
        <v>5798</v>
      </c>
      <c r="P195" s="10">
        <v>5922</v>
      </c>
      <c r="Q195" s="10">
        <v>387</v>
      </c>
      <c r="R195" s="10">
        <v>245</v>
      </c>
      <c r="S195" s="10">
        <v>1351</v>
      </c>
      <c r="T195" s="10">
        <v>2922</v>
      </c>
      <c r="U195" s="10">
        <v>3203</v>
      </c>
      <c r="V195" s="10">
        <v>5350</v>
      </c>
      <c r="W195" s="10">
        <v>4587</v>
      </c>
      <c r="X195" s="10">
        <v>4055</v>
      </c>
      <c r="Y195" s="10">
        <v>5372</v>
      </c>
      <c r="Z195" s="10">
        <v>4021</v>
      </c>
      <c r="AA195" s="10">
        <v>2929</v>
      </c>
      <c r="AB195" s="10">
        <v>2912</v>
      </c>
      <c r="AC195" s="10">
        <v>4119</v>
      </c>
      <c r="AD195" s="10">
        <v>5322</v>
      </c>
      <c r="AE195" s="10">
        <v>4258</v>
      </c>
      <c r="AF195" s="10">
        <v>2531</v>
      </c>
      <c r="AG195" s="10">
        <v>3167</v>
      </c>
      <c r="AH195" s="10">
        <v>10422</v>
      </c>
      <c r="AI195" s="10">
        <v>2526</v>
      </c>
      <c r="AJ195" s="10">
        <v>2626</v>
      </c>
      <c r="AK195" s="10">
        <v>2519</v>
      </c>
      <c r="AL195" s="10">
        <v>3174</v>
      </c>
      <c r="AM195" s="10">
        <v>7140</v>
      </c>
      <c r="AN195" s="10">
        <v>2315</v>
      </c>
      <c r="AO195" s="10">
        <v>1922</v>
      </c>
      <c r="AP195" s="10">
        <v>2216</v>
      </c>
      <c r="AQ195" s="10">
        <v>1338</v>
      </c>
      <c r="AR195" s="10">
        <v>3905</v>
      </c>
      <c r="AS195" s="10">
        <v>3776</v>
      </c>
      <c r="AT195" s="10">
        <v>3786</v>
      </c>
      <c r="AU195" s="10">
        <v>2958</v>
      </c>
      <c r="AV195" s="10">
        <v>2711</v>
      </c>
      <c r="AW195" s="10">
        <v>4644</v>
      </c>
      <c r="AX195" s="10">
        <v>1850</v>
      </c>
      <c r="AY195" s="10">
        <v>1439</v>
      </c>
      <c r="AZ195" s="10">
        <v>3299</v>
      </c>
      <c r="BA195" s="10">
        <v>5738</v>
      </c>
      <c r="BB195" s="10">
        <v>5197</v>
      </c>
      <c r="BC195" s="10">
        <v>5821</v>
      </c>
      <c r="BD195" s="10">
        <v>6635</v>
      </c>
      <c r="BE195" s="10">
        <v>6101</v>
      </c>
      <c r="BF195" s="10">
        <v>1433</v>
      </c>
      <c r="BG195" s="10">
        <v>4688</v>
      </c>
      <c r="BH195" s="10">
        <v>6711</v>
      </c>
      <c r="BI195" s="10">
        <v>1792</v>
      </c>
      <c r="BJ195" s="10">
        <v>6690</v>
      </c>
      <c r="BK195" s="10">
        <v>4451</v>
      </c>
      <c r="BL195" s="10">
        <v>2501</v>
      </c>
    </row>
    <row r="196" spans="1:64">
      <c r="A196" s="15">
        <v>228422</v>
      </c>
      <c r="B196" s="14">
        <v>861639</v>
      </c>
      <c r="C196" s="14">
        <v>129</v>
      </c>
      <c r="D196" s="2" t="str">
        <f>HYPERLINK("http://128.120.136.21:8080/binbase-compound/bin/show/228422?db=rtx5","228422")</f>
        <v>228422</v>
      </c>
      <c r="E196" s="2" t="s">
        <v>449</v>
      </c>
      <c r="F196" s="2" t="s">
        <v>57</v>
      </c>
      <c r="G196" s="2" t="s">
        <v>57</v>
      </c>
      <c r="H196" s="10">
        <v>2720</v>
      </c>
      <c r="I196" s="10">
        <v>8694</v>
      </c>
      <c r="J196" s="10">
        <v>1684</v>
      </c>
      <c r="K196" s="10">
        <v>2579</v>
      </c>
      <c r="L196" s="10">
        <v>2247</v>
      </c>
      <c r="M196" s="10">
        <v>2018</v>
      </c>
      <c r="N196" s="10">
        <v>1899</v>
      </c>
      <c r="O196" s="10">
        <v>1568</v>
      </c>
      <c r="P196" s="10">
        <v>4042</v>
      </c>
      <c r="Q196" s="10">
        <v>453</v>
      </c>
      <c r="R196" s="10">
        <v>336</v>
      </c>
      <c r="S196" s="10">
        <v>1189</v>
      </c>
      <c r="T196" s="10">
        <v>1549</v>
      </c>
      <c r="U196" s="10">
        <v>8061</v>
      </c>
      <c r="V196" s="10">
        <v>3803</v>
      </c>
      <c r="W196" s="10">
        <v>2247</v>
      </c>
      <c r="X196" s="10">
        <v>1689</v>
      </c>
      <c r="Y196" s="10">
        <v>1624</v>
      </c>
      <c r="Z196" s="10">
        <v>1476</v>
      </c>
      <c r="AA196" s="10">
        <v>2627</v>
      </c>
      <c r="AB196" s="10">
        <v>2380</v>
      </c>
      <c r="AC196" s="10">
        <v>2103</v>
      </c>
      <c r="AD196" s="10">
        <v>1624</v>
      </c>
      <c r="AE196" s="10">
        <v>5148</v>
      </c>
      <c r="AF196" s="10">
        <v>3470</v>
      </c>
      <c r="AG196" s="10">
        <v>2249</v>
      </c>
      <c r="AH196" s="10">
        <v>571</v>
      </c>
      <c r="AI196" s="10">
        <v>7809</v>
      </c>
      <c r="AJ196" s="10">
        <v>1950</v>
      </c>
      <c r="AK196" s="10">
        <v>2701</v>
      </c>
      <c r="AL196" s="10">
        <v>3097</v>
      </c>
      <c r="AM196" s="10">
        <v>409</v>
      </c>
      <c r="AN196" s="10">
        <v>6222</v>
      </c>
      <c r="AO196" s="10">
        <v>7945</v>
      </c>
      <c r="AP196" s="10">
        <v>2047</v>
      </c>
      <c r="AQ196" s="10">
        <v>9232</v>
      </c>
      <c r="AR196" s="10">
        <v>2781</v>
      </c>
      <c r="AS196" s="10">
        <v>4051</v>
      </c>
      <c r="AT196" s="10">
        <v>2712</v>
      </c>
      <c r="AU196" s="10">
        <v>2082</v>
      </c>
      <c r="AV196" s="10">
        <v>5331</v>
      </c>
      <c r="AW196" s="10">
        <v>770</v>
      </c>
      <c r="AX196" s="10">
        <v>1824</v>
      </c>
      <c r="AY196" s="10">
        <v>2129</v>
      </c>
      <c r="AZ196" s="10">
        <v>4466</v>
      </c>
      <c r="BA196" s="10">
        <v>1687</v>
      </c>
      <c r="BB196" s="10">
        <v>1108</v>
      </c>
      <c r="BC196" s="10">
        <v>1848</v>
      </c>
      <c r="BD196" s="10">
        <v>3055</v>
      </c>
      <c r="BE196" s="10">
        <v>2650</v>
      </c>
      <c r="BF196" s="10">
        <v>5308</v>
      </c>
      <c r="BG196" s="10">
        <v>721</v>
      </c>
      <c r="BH196" s="10">
        <v>5647</v>
      </c>
      <c r="BI196" s="10">
        <v>10093</v>
      </c>
      <c r="BJ196" s="10">
        <v>3674</v>
      </c>
      <c r="BK196" s="10">
        <v>3403</v>
      </c>
      <c r="BL196" s="10">
        <v>1356</v>
      </c>
    </row>
    <row r="197" spans="1:64">
      <c r="A197" s="15">
        <v>369728</v>
      </c>
      <c r="B197" s="14">
        <v>600172</v>
      </c>
      <c r="C197" s="14">
        <v>299</v>
      </c>
      <c r="D197" s="2" t="str">
        <f>HYPERLINK("http://128.120.136.21:8080/binbase-compound/bin/show/369728?db=rtx5","369728")</f>
        <v>369728</v>
      </c>
      <c r="E197" s="2" t="s">
        <v>333</v>
      </c>
      <c r="F197" s="2" t="s">
        <v>57</v>
      </c>
      <c r="G197" s="2" t="s">
        <v>57</v>
      </c>
      <c r="H197" s="10">
        <v>1160</v>
      </c>
      <c r="I197" s="10">
        <v>7039</v>
      </c>
      <c r="J197" s="10">
        <v>9430</v>
      </c>
      <c r="K197" s="10">
        <v>2422</v>
      </c>
      <c r="L197" s="10">
        <v>6875</v>
      </c>
      <c r="M197" s="10">
        <v>1128</v>
      </c>
      <c r="N197" s="10">
        <v>8496</v>
      </c>
      <c r="O197" s="10">
        <v>2925</v>
      </c>
      <c r="P197" s="10">
        <v>1965</v>
      </c>
      <c r="Q197" s="10">
        <v>280</v>
      </c>
      <c r="R197" s="10">
        <v>175</v>
      </c>
      <c r="S197" s="10">
        <v>937</v>
      </c>
      <c r="T197" s="10">
        <v>2207</v>
      </c>
      <c r="U197" s="10">
        <v>2550</v>
      </c>
      <c r="V197" s="10">
        <v>3854</v>
      </c>
      <c r="W197" s="10">
        <v>2372</v>
      </c>
      <c r="X197" s="10">
        <v>1097</v>
      </c>
      <c r="Y197" s="10">
        <v>1819</v>
      </c>
      <c r="Z197" s="10">
        <v>3112</v>
      </c>
      <c r="AA197" s="10">
        <v>6003</v>
      </c>
      <c r="AB197" s="10">
        <v>4687</v>
      </c>
      <c r="AC197" s="10">
        <v>638</v>
      </c>
      <c r="AD197" s="10">
        <v>829</v>
      </c>
      <c r="AE197" s="10">
        <v>2183</v>
      </c>
      <c r="AF197" s="10">
        <v>504</v>
      </c>
      <c r="AG197" s="10">
        <v>246</v>
      </c>
      <c r="AH197" s="10">
        <v>1855</v>
      </c>
      <c r="AI197" s="10">
        <v>4609</v>
      </c>
      <c r="AJ197" s="10">
        <v>3195</v>
      </c>
      <c r="AK197" s="10">
        <v>4595</v>
      </c>
      <c r="AL197" s="10">
        <v>7142</v>
      </c>
      <c r="AM197" s="10">
        <v>3136</v>
      </c>
      <c r="AN197" s="10">
        <v>5390</v>
      </c>
      <c r="AO197" s="10">
        <v>4928</v>
      </c>
      <c r="AP197" s="10">
        <v>2684</v>
      </c>
      <c r="AQ197" s="10">
        <v>2345</v>
      </c>
      <c r="AR197" s="10">
        <v>6170</v>
      </c>
      <c r="AS197" s="10">
        <v>5101</v>
      </c>
      <c r="AT197" s="10">
        <v>5946</v>
      </c>
      <c r="AU197" s="10">
        <v>2165</v>
      </c>
      <c r="AV197" s="10">
        <v>8064</v>
      </c>
      <c r="AW197" s="10">
        <v>9915</v>
      </c>
      <c r="AX197" s="10">
        <v>10308</v>
      </c>
      <c r="AY197" s="10">
        <v>7791</v>
      </c>
      <c r="AZ197" s="10">
        <v>9167</v>
      </c>
      <c r="BA197" s="10">
        <v>3197</v>
      </c>
      <c r="BB197" s="10">
        <v>5405</v>
      </c>
      <c r="BC197" s="10">
        <v>6252</v>
      </c>
      <c r="BD197" s="10">
        <v>2222</v>
      </c>
      <c r="BE197" s="10">
        <v>2435</v>
      </c>
      <c r="BF197" s="10">
        <v>5181</v>
      </c>
      <c r="BG197" s="10">
        <v>5594</v>
      </c>
      <c r="BH197" s="10">
        <v>2117</v>
      </c>
      <c r="BI197" s="10">
        <v>5187</v>
      </c>
      <c r="BJ197" s="10">
        <v>1738</v>
      </c>
      <c r="BK197" s="10">
        <v>1474</v>
      </c>
      <c r="BL197" s="10">
        <v>1610</v>
      </c>
    </row>
    <row r="198" spans="1:64">
      <c r="A198" s="15">
        <v>214158</v>
      </c>
      <c r="B198" s="14">
        <v>728124</v>
      </c>
      <c r="C198" s="14">
        <v>103</v>
      </c>
      <c r="D198" s="2" t="str">
        <f>HYPERLINK("http://128.120.136.21:8080/binbase-compound/bin/show/214158?db=rtx5","214158")</f>
        <v>214158</v>
      </c>
      <c r="E198" s="2" t="s">
        <v>473</v>
      </c>
      <c r="F198" s="2" t="s">
        <v>57</v>
      </c>
      <c r="G198" s="2" t="s">
        <v>57</v>
      </c>
      <c r="H198" s="10">
        <v>3428</v>
      </c>
      <c r="I198" s="10">
        <v>5506</v>
      </c>
      <c r="J198" s="10">
        <v>3868</v>
      </c>
      <c r="K198" s="10">
        <v>7304</v>
      </c>
      <c r="L198" s="10">
        <v>4034</v>
      </c>
      <c r="M198" s="10">
        <v>2497</v>
      </c>
      <c r="N198" s="10">
        <v>5680</v>
      </c>
      <c r="O198" s="10">
        <v>7663</v>
      </c>
      <c r="P198" s="10">
        <v>3461</v>
      </c>
      <c r="Q198" s="10">
        <v>2286</v>
      </c>
      <c r="R198" s="10">
        <v>2634</v>
      </c>
      <c r="S198" s="10">
        <v>2739</v>
      </c>
      <c r="T198" s="10">
        <v>3798</v>
      </c>
      <c r="U198" s="10">
        <v>5714</v>
      </c>
      <c r="V198" s="10">
        <v>3072</v>
      </c>
      <c r="W198" s="10">
        <v>3942</v>
      </c>
      <c r="X198" s="10">
        <v>2723</v>
      </c>
      <c r="Y198" s="10">
        <v>7286</v>
      </c>
      <c r="Z198" s="10">
        <v>1960</v>
      </c>
      <c r="AA198" s="10">
        <v>3598</v>
      </c>
      <c r="AB198" s="10">
        <v>1492</v>
      </c>
      <c r="AC198" s="10">
        <v>6050</v>
      </c>
      <c r="AD198" s="10">
        <v>4793</v>
      </c>
      <c r="AE198" s="10">
        <v>3197</v>
      </c>
      <c r="AF198" s="10">
        <v>1854</v>
      </c>
      <c r="AG198" s="10">
        <v>3230</v>
      </c>
      <c r="AH198" s="10">
        <v>4649</v>
      </c>
      <c r="AI198" s="10">
        <v>1705</v>
      </c>
      <c r="AJ198" s="10">
        <v>2545</v>
      </c>
      <c r="AK198" s="10">
        <v>2152</v>
      </c>
      <c r="AL198" s="10">
        <v>3420</v>
      </c>
      <c r="AM198" s="10">
        <v>1773</v>
      </c>
      <c r="AN198" s="10">
        <v>2576</v>
      </c>
      <c r="AO198" s="10">
        <v>2771</v>
      </c>
      <c r="AP198" s="10">
        <v>1688</v>
      </c>
      <c r="AQ198" s="10">
        <v>2133</v>
      </c>
      <c r="AR198" s="10">
        <v>2274</v>
      </c>
      <c r="AS198" s="10">
        <v>2315</v>
      </c>
      <c r="AT198" s="10">
        <v>2756</v>
      </c>
      <c r="AU198" s="10">
        <v>1805</v>
      </c>
      <c r="AV198" s="10">
        <v>2328</v>
      </c>
      <c r="AW198" s="10">
        <v>2156</v>
      </c>
      <c r="AX198" s="10">
        <v>2434</v>
      </c>
      <c r="AY198" s="10">
        <v>2950</v>
      </c>
      <c r="AZ198" s="10">
        <v>2571</v>
      </c>
      <c r="BA198" s="10">
        <v>2317</v>
      </c>
      <c r="BB198" s="10">
        <v>2109</v>
      </c>
      <c r="BC198" s="10">
        <v>3386</v>
      </c>
      <c r="BD198" s="10">
        <v>2303</v>
      </c>
      <c r="BE198" s="10">
        <v>2477</v>
      </c>
      <c r="BF198" s="10">
        <v>1977</v>
      </c>
      <c r="BG198" s="10">
        <v>3029</v>
      </c>
      <c r="BH198" s="10">
        <v>2634</v>
      </c>
      <c r="BI198" s="10">
        <v>1880</v>
      </c>
      <c r="BJ198" s="10">
        <v>2374</v>
      </c>
      <c r="BK198" s="10">
        <v>2844</v>
      </c>
      <c r="BL198" s="10">
        <v>2149</v>
      </c>
    </row>
    <row r="199" spans="1:64">
      <c r="A199" s="15">
        <v>411342</v>
      </c>
      <c r="B199" s="14">
        <v>904396</v>
      </c>
      <c r="C199" s="14">
        <v>129</v>
      </c>
      <c r="D199" s="2" t="str">
        <f>HYPERLINK("http://128.120.136.21:8080/binbase-compound/bin/show/411342?db=rtx5","411342")</f>
        <v>411342</v>
      </c>
      <c r="E199" s="2" t="s">
        <v>303</v>
      </c>
      <c r="F199" s="2" t="s">
        <v>57</v>
      </c>
      <c r="G199" s="2" t="s">
        <v>57</v>
      </c>
      <c r="H199" s="10">
        <v>1135</v>
      </c>
      <c r="I199" s="10">
        <v>10487</v>
      </c>
      <c r="J199" s="10">
        <v>3180</v>
      </c>
      <c r="K199" s="10">
        <v>2419</v>
      </c>
      <c r="L199" s="10">
        <v>3859</v>
      </c>
      <c r="M199" s="10">
        <v>1765</v>
      </c>
      <c r="N199" s="10">
        <v>2494</v>
      </c>
      <c r="O199" s="10">
        <v>1740</v>
      </c>
      <c r="P199" s="10">
        <v>2689</v>
      </c>
      <c r="Q199" s="10">
        <v>525</v>
      </c>
      <c r="R199" s="10">
        <v>423</v>
      </c>
      <c r="S199" s="10">
        <v>1730</v>
      </c>
      <c r="T199" s="10">
        <v>1019</v>
      </c>
      <c r="U199" s="10">
        <v>6427</v>
      </c>
      <c r="V199" s="10">
        <v>3207</v>
      </c>
      <c r="W199" s="10">
        <v>1893</v>
      </c>
      <c r="X199" s="10">
        <v>1242</v>
      </c>
      <c r="Y199" s="10">
        <v>1001</v>
      </c>
      <c r="Z199" s="10">
        <v>966</v>
      </c>
      <c r="AA199" s="10">
        <v>2017</v>
      </c>
      <c r="AB199" s="10">
        <v>1172</v>
      </c>
      <c r="AC199" s="10">
        <v>812</v>
      </c>
      <c r="AD199" s="10">
        <v>860</v>
      </c>
      <c r="AE199" s="10">
        <v>3240</v>
      </c>
      <c r="AF199" s="10">
        <v>2863</v>
      </c>
      <c r="AG199" s="10">
        <v>1166</v>
      </c>
      <c r="AH199" s="10">
        <v>724</v>
      </c>
      <c r="AI199" s="10">
        <v>3706</v>
      </c>
      <c r="AJ199" s="10">
        <v>1995</v>
      </c>
      <c r="AK199" s="10">
        <v>1569</v>
      </c>
      <c r="AL199" s="10">
        <v>2049</v>
      </c>
      <c r="AM199" s="10">
        <v>394</v>
      </c>
      <c r="AN199" s="10">
        <v>3768</v>
      </c>
      <c r="AO199" s="10">
        <v>3438</v>
      </c>
      <c r="AP199" s="10">
        <v>1505</v>
      </c>
      <c r="AQ199" s="10">
        <v>5313</v>
      </c>
      <c r="AR199" s="10">
        <v>1700</v>
      </c>
      <c r="AS199" s="10">
        <v>2575</v>
      </c>
      <c r="AT199" s="10">
        <v>1963</v>
      </c>
      <c r="AU199" s="10">
        <v>1348</v>
      </c>
      <c r="AV199" s="10">
        <v>2565</v>
      </c>
      <c r="AW199" s="10">
        <v>1471</v>
      </c>
      <c r="AX199" s="10">
        <v>2566</v>
      </c>
      <c r="AY199" s="10">
        <v>1329</v>
      </c>
      <c r="AZ199" s="10">
        <v>5318</v>
      </c>
      <c r="BA199" s="10">
        <v>2116</v>
      </c>
      <c r="BB199" s="10">
        <v>1235</v>
      </c>
      <c r="BC199" s="10">
        <v>1836</v>
      </c>
      <c r="BD199" s="10">
        <v>1961</v>
      </c>
      <c r="BE199" s="10">
        <v>1616</v>
      </c>
      <c r="BF199" s="10">
        <v>3997</v>
      </c>
      <c r="BG199" s="10">
        <v>635</v>
      </c>
      <c r="BH199" s="10">
        <v>1997</v>
      </c>
      <c r="BI199" s="10">
        <v>4301</v>
      </c>
      <c r="BJ199" s="10">
        <v>3220</v>
      </c>
      <c r="BK199" s="10">
        <v>2338</v>
      </c>
      <c r="BL199" s="10">
        <v>1794</v>
      </c>
    </row>
    <row r="200" spans="1:64">
      <c r="A200" s="15">
        <v>268313</v>
      </c>
      <c r="B200" s="14">
        <v>315878</v>
      </c>
      <c r="C200" s="14">
        <v>212</v>
      </c>
      <c r="D200" s="2" t="str">
        <f>HYPERLINK("http://128.120.136.21:8080/binbase-compound/bin/show/268313?db=rtx5","268313")</f>
        <v>268313</v>
      </c>
      <c r="E200" s="2" t="s">
        <v>407</v>
      </c>
      <c r="F200" s="2" t="s">
        <v>57</v>
      </c>
      <c r="G200" s="2" t="s">
        <v>57</v>
      </c>
      <c r="H200" s="10">
        <v>1122</v>
      </c>
      <c r="I200" s="10">
        <v>1891</v>
      </c>
      <c r="J200" s="10">
        <v>2412</v>
      </c>
      <c r="K200" s="10">
        <v>1400</v>
      </c>
      <c r="L200" s="10">
        <v>1956</v>
      </c>
      <c r="M200" s="10">
        <v>1182</v>
      </c>
      <c r="N200" s="10">
        <v>2534</v>
      </c>
      <c r="O200" s="10">
        <v>1518</v>
      </c>
      <c r="P200" s="10">
        <v>1159</v>
      </c>
      <c r="Q200" s="10">
        <v>3057</v>
      </c>
      <c r="R200" s="10">
        <v>2484</v>
      </c>
      <c r="S200" s="10">
        <v>10378</v>
      </c>
      <c r="T200" s="10">
        <v>854</v>
      </c>
      <c r="U200" s="10">
        <v>2318</v>
      </c>
      <c r="V200" s="10">
        <v>1946</v>
      </c>
      <c r="W200" s="10">
        <v>1082</v>
      </c>
      <c r="X200" s="10">
        <v>1751</v>
      </c>
      <c r="Y200" s="10">
        <v>1409</v>
      </c>
      <c r="Z200" s="10">
        <v>1070</v>
      </c>
      <c r="AA200" s="10">
        <v>2522</v>
      </c>
      <c r="AB200" s="10">
        <v>2460</v>
      </c>
      <c r="AC200" s="10">
        <v>1102</v>
      </c>
      <c r="AD200" s="10">
        <v>1200</v>
      </c>
      <c r="AE200" s="10">
        <v>1366</v>
      </c>
      <c r="AF200" s="10">
        <v>1500</v>
      </c>
      <c r="AG200" s="10">
        <v>1364</v>
      </c>
      <c r="AH200" s="10">
        <v>3426</v>
      </c>
      <c r="AI200" s="10">
        <v>2522</v>
      </c>
      <c r="AJ200" s="10">
        <v>2155</v>
      </c>
      <c r="AK200" s="10">
        <v>2662</v>
      </c>
      <c r="AL200" s="10">
        <v>2709</v>
      </c>
      <c r="AM200" s="10">
        <v>1499</v>
      </c>
      <c r="AN200" s="10">
        <v>3191</v>
      </c>
      <c r="AO200" s="10">
        <v>3269</v>
      </c>
      <c r="AP200" s="10">
        <v>2265</v>
      </c>
      <c r="AQ200" s="10">
        <v>8421</v>
      </c>
      <c r="AR200" s="10">
        <v>2278</v>
      </c>
      <c r="AS200" s="10">
        <v>2572</v>
      </c>
      <c r="AT200" s="10">
        <v>1818</v>
      </c>
      <c r="AU200" s="10">
        <v>742</v>
      </c>
      <c r="AV200" s="10">
        <v>2724</v>
      </c>
      <c r="AW200" s="10">
        <v>2141</v>
      </c>
      <c r="AX200" s="10">
        <v>2203</v>
      </c>
      <c r="AY200" s="10">
        <v>2046</v>
      </c>
      <c r="AZ200" s="10">
        <v>3030</v>
      </c>
      <c r="BA200" s="10">
        <v>2048</v>
      </c>
      <c r="BB200" s="10">
        <v>1905</v>
      </c>
      <c r="BC200" s="10">
        <v>2832</v>
      </c>
      <c r="BD200" s="10">
        <v>2049</v>
      </c>
      <c r="BE200" s="10">
        <v>1969</v>
      </c>
      <c r="BF200" s="10">
        <v>3588</v>
      </c>
      <c r="BG200" s="10">
        <v>3951</v>
      </c>
      <c r="BH200" s="10">
        <v>1895</v>
      </c>
      <c r="BI200" s="10">
        <v>3317</v>
      </c>
      <c r="BJ200" s="10">
        <v>1822</v>
      </c>
      <c r="BK200" s="10">
        <v>2414</v>
      </c>
      <c r="BL200" s="10">
        <v>1442</v>
      </c>
    </row>
    <row r="201" spans="1:64">
      <c r="A201" s="15">
        <v>204448</v>
      </c>
      <c r="B201" s="14">
        <v>680705</v>
      </c>
      <c r="C201" s="14">
        <v>85</v>
      </c>
      <c r="D201" s="2" t="str">
        <f>HYPERLINK("http://128.120.136.21:8080/binbase-compound/bin/show/204448?db=rtx5","204448")</f>
        <v>204448</v>
      </c>
      <c r="E201" s="2" t="s">
        <v>491</v>
      </c>
      <c r="F201" s="2" t="s">
        <v>57</v>
      </c>
      <c r="G201" s="2" t="s">
        <v>57</v>
      </c>
      <c r="H201" s="10">
        <v>1793</v>
      </c>
      <c r="I201" s="10">
        <v>3395</v>
      </c>
      <c r="J201" s="10">
        <v>2882</v>
      </c>
      <c r="K201" s="10">
        <v>923</v>
      </c>
      <c r="L201" s="10">
        <v>1197</v>
      </c>
      <c r="M201" s="10">
        <v>1002</v>
      </c>
      <c r="N201" s="10">
        <v>2907</v>
      </c>
      <c r="O201" s="10">
        <v>1770</v>
      </c>
      <c r="P201" s="10">
        <v>1006</v>
      </c>
      <c r="Q201" s="10">
        <v>3931</v>
      </c>
      <c r="R201" s="10">
        <v>2894</v>
      </c>
      <c r="S201" s="10">
        <v>13273</v>
      </c>
      <c r="T201" s="10">
        <v>1170</v>
      </c>
      <c r="U201" s="10">
        <v>2694</v>
      </c>
      <c r="V201" s="10">
        <v>2547</v>
      </c>
      <c r="W201" s="10">
        <v>949</v>
      </c>
      <c r="X201" s="10">
        <v>1037</v>
      </c>
      <c r="Y201" s="10">
        <v>2157</v>
      </c>
      <c r="Z201" s="10">
        <v>1561</v>
      </c>
      <c r="AA201" s="10">
        <v>3844</v>
      </c>
      <c r="AB201" s="10">
        <v>3280</v>
      </c>
      <c r="AC201" s="10">
        <v>1051</v>
      </c>
      <c r="AD201" s="10">
        <v>1111</v>
      </c>
      <c r="AE201" s="10">
        <v>980</v>
      </c>
      <c r="AF201" s="10">
        <v>1512</v>
      </c>
      <c r="AG201" s="10">
        <v>961</v>
      </c>
      <c r="AH201" s="10">
        <v>2865</v>
      </c>
      <c r="AI201" s="10">
        <v>1249</v>
      </c>
      <c r="AJ201" s="10">
        <v>2395</v>
      </c>
      <c r="AK201" s="10">
        <v>2411</v>
      </c>
      <c r="AL201" s="10">
        <v>2551</v>
      </c>
      <c r="AM201" s="10">
        <v>1518</v>
      </c>
      <c r="AN201" s="10">
        <v>3205</v>
      </c>
      <c r="AO201" s="10">
        <v>2376</v>
      </c>
      <c r="AP201" s="10">
        <v>2278</v>
      </c>
      <c r="AQ201" s="10">
        <v>10542</v>
      </c>
      <c r="AR201" s="10">
        <v>2439</v>
      </c>
      <c r="AS201" s="10">
        <v>2425</v>
      </c>
      <c r="AT201" s="10">
        <v>2904</v>
      </c>
      <c r="AU201" s="10">
        <v>1056</v>
      </c>
      <c r="AV201" s="10">
        <v>4310</v>
      </c>
      <c r="AW201" s="10">
        <v>3001</v>
      </c>
      <c r="AX201" s="10">
        <v>2893</v>
      </c>
      <c r="AY201" s="10">
        <v>2749</v>
      </c>
      <c r="AZ201" s="10">
        <v>3173</v>
      </c>
      <c r="BA201" s="10">
        <v>1345</v>
      </c>
      <c r="BB201" s="10">
        <v>1823</v>
      </c>
      <c r="BC201" s="10">
        <v>2899</v>
      </c>
      <c r="BD201" s="10">
        <v>1963</v>
      </c>
      <c r="BE201" s="10">
        <v>1895</v>
      </c>
      <c r="BF201" s="10">
        <v>1664</v>
      </c>
      <c r="BG201" s="10">
        <v>3464</v>
      </c>
      <c r="BH201" s="10">
        <v>1439</v>
      </c>
      <c r="BI201" s="10">
        <v>3498</v>
      </c>
      <c r="BJ201" s="10">
        <v>2340</v>
      </c>
      <c r="BK201" s="10">
        <v>3562</v>
      </c>
      <c r="BL201" s="10">
        <v>1901</v>
      </c>
    </row>
    <row r="202" spans="1:64">
      <c r="A202" s="15">
        <v>241668</v>
      </c>
      <c r="B202" s="14">
        <v>890409</v>
      </c>
      <c r="C202" s="14">
        <v>179</v>
      </c>
      <c r="D202" s="2" t="str">
        <f>HYPERLINK("http://128.120.136.21:8080/binbase-compound/bin/show/241668?db=rtx5","241668")</f>
        <v>241668</v>
      </c>
      <c r="E202" s="2" t="s">
        <v>412</v>
      </c>
      <c r="F202" s="2" t="s">
        <v>57</v>
      </c>
      <c r="G202" s="2" t="s">
        <v>57</v>
      </c>
      <c r="H202" s="10">
        <v>3429</v>
      </c>
      <c r="I202" s="10">
        <v>980</v>
      </c>
      <c r="J202" s="10">
        <v>1712</v>
      </c>
      <c r="K202" s="10">
        <v>2686</v>
      </c>
      <c r="L202" s="10">
        <v>1128</v>
      </c>
      <c r="M202" s="10">
        <v>3690</v>
      </c>
      <c r="N202" s="10">
        <v>2370</v>
      </c>
      <c r="O202" s="10">
        <v>2716</v>
      </c>
      <c r="P202" s="10">
        <v>2763</v>
      </c>
      <c r="Q202" s="10">
        <v>3752</v>
      </c>
      <c r="R202" s="10">
        <v>4790</v>
      </c>
      <c r="S202" s="10">
        <v>3916</v>
      </c>
      <c r="T202" s="10">
        <v>3782</v>
      </c>
      <c r="U202" s="10">
        <v>1321</v>
      </c>
      <c r="V202" s="10">
        <v>1881</v>
      </c>
      <c r="W202" s="10">
        <v>1928</v>
      </c>
      <c r="X202" s="10">
        <v>1416</v>
      </c>
      <c r="Y202" s="10">
        <v>2049</v>
      </c>
      <c r="Z202" s="10">
        <v>3525</v>
      </c>
      <c r="AA202" s="10">
        <v>1516</v>
      </c>
      <c r="AB202" s="10">
        <v>1848</v>
      </c>
      <c r="AC202" s="10">
        <v>2036</v>
      </c>
      <c r="AD202" s="10">
        <v>1302</v>
      </c>
      <c r="AE202" s="10">
        <v>1971</v>
      </c>
      <c r="AF202" s="10">
        <v>2077</v>
      </c>
      <c r="AG202" s="10">
        <v>1611</v>
      </c>
      <c r="AH202" s="10">
        <v>795</v>
      </c>
      <c r="AI202" s="10">
        <v>2235</v>
      </c>
      <c r="AJ202" s="10">
        <v>3178</v>
      </c>
      <c r="AK202" s="10">
        <v>2383</v>
      </c>
      <c r="AL202" s="10">
        <v>2604</v>
      </c>
      <c r="AM202" s="10">
        <v>2225</v>
      </c>
      <c r="AN202" s="10">
        <v>1414</v>
      </c>
      <c r="AO202" s="10">
        <v>1848</v>
      </c>
      <c r="AP202" s="10">
        <v>2626</v>
      </c>
      <c r="AQ202" s="10">
        <v>1854</v>
      </c>
      <c r="AR202" s="10">
        <v>1595</v>
      </c>
      <c r="AS202" s="10">
        <v>2005</v>
      </c>
      <c r="AT202" s="10">
        <v>1936</v>
      </c>
      <c r="AU202" s="10">
        <v>4739</v>
      </c>
      <c r="AV202" s="10">
        <v>1414</v>
      </c>
      <c r="AW202" s="10">
        <v>1681</v>
      </c>
      <c r="AX202" s="10">
        <v>1308</v>
      </c>
      <c r="AY202" s="10">
        <v>2006</v>
      </c>
      <c r="AZ202" s="10">
        <v>1044</v>
      </c>
      <c r="BA202" s="10">
        <v>2250</v>
      </c>
      <c r="BB202" s="10">
        <v>2061</v>
      </c>
      <c r="BC202" s="10">
        <v>1939</v>
      </c>
      <c r="BD202" s="10">
        <v>2796</v>
      </c>
      <c r="BE202" s="10">
        <v>2614</v>
      </c>
      <c r="BF202" s="10">
        <v>1540</v>
      </c>
      <c r="BG202" s="10">
        <v>1378</v>
      </c>
      <c r="BH202" s="10">
        <v>2060</v>
      </c>
      <c r="BI202" s="10">
        <v>2015</v>
      </c>
      <c r="BJ202" s="10">
        <v>3263</v>
      </c>
      <c r="BK202" s="10">
        <v>4626</v>
      </c>
      <c r="BL202" s="10">
        <v>3563</v>
      </c>
    </row>
    <row r="203" spans="1:64">
      <c r="A203" s="15">
        <v>409593</v>
      </c>
      <c r="B203" s="14">
        <v>872752</v>
      </c>
      <c r="C203" s="14">
        <v>156</v>
      </c>
      <c r="D203" s="2" t="str">
        <f>HYPERLINK("http://128.120.136.21:8080/binbase-compound/bin/show/409593?db=rtx5","409593")</f>
        <v>409593</v>
      </c>
      <c r="E203" s="2" t="s">
        <v>309</v>
      </c>
      <c r="F203" s="2" t="s">
        <v>57</v>
      </c>
      <c r="G203" s="2" t="s">
        <v>57</v>
      </c>
      <c r="H203" s="10">
        <v>9761</v>
      </c>
      <c r="I203" s="10">
        <v>3168</v>
      </c>
      <c r="J203" s="10">
        <v>2190</v>
      </c>
      <c r="K203" s="10">
        <v>8264</v>
      </c>
      <c r="L203" s="10">
        <v>4005</v>
      </c>
      <c r="M203" s="10">
        <v>4405</v>
      </c>
      <c r="N203" s="10">
        <v>4685</v>
      </c>
      <c r="O203" s="10">
        <v>5238</v>
      </c>
      <c r="P203" s="10">
        <v>4524</v>
      </c>
      <c r="Q203" s="10">
        <v>733</v>
      </c>
      <c r="R203" s="10">
        <v>1111</v>
      </c>
      <c r="S203" s="10">
        <v>1405</v>
      </c>
      <c r="T203" s="10">
        <v>1742</v>
      </c>
      <c r="U203" s="10">
        <v>3063</v>
      </c>
      <c r="V203" s="10">
        <v>3555</v>
      </c>
      <c r="W203" s="10">
        <v>5520</v>
      </c>
      <c r="X203" s="10">
        <v>4625</v>
      </c>
      <c r="Y203" s="10">
        <v>6699</v>
      </c>
      <c r="Z203" s="10">
        <v>4573</v>
      </c>
      <c r="AA203" s="10">
        <v>1809</v>
      </c>
      <c r="AB203" s="10">
        <v>2162</v>
      </c>
      <c r="AC203" s="10">
        <v>3577</v>
      </c>
      <c r="AD203" s="10">
        <v>4317</v>
      </c>
      <c r="AE203" s="10">
        <v>2363</v>
      </c>
      <c r="AF203" s="10">
        <v>2524</v>
      </c>
      <c r="AG203" s="10">
        <v>4346</v>
      </c>
      <c r="AH203" s="10">
        <v>6856</v>
      </c>
      <c r="AI203" s="10">
        <v>1486</v>
      </c>
      <c r="AJ203" s="10">
        <v>3065</v>
      </c>
      <c r="AK203" s="10">
        <v>1720</v>
      </c>
      <c r="AL203" s="10">
        <v>2396</v>
      </c>
      <c r="AM203" s="10">
        <v>1966</v>
      </c>
      <c r="AN203" s="10">
        <v>2333</v>
      </c>
      <c r="AO203" s="10">
        <v>1846</v>
      </c>
      <c r="AP203" s="10">
        <v>1401</v>
      </c>
      <c r="AQ203" s="10">
        <v>1418</v>
      </c>
      <c r="AR203" s="10">
        <v>3780</v>
      </c>
      <c r="AS203" s="10">
        <v>3635</v>
      </c>
      <c r="AT203" s="10">
        <v>3481</v>
      </c>
      <c r="AU203" s="10">
        <v>4482</v>
      </c>
      <c r="AV203" s="10">
        <v>2777</v>
      </c>
      <c r="AW203" s="10">
        <v>4776</v>
      </c>
      <c r="AX203" s="10">
        <v>1816</v>
      </c>
      <c r="AY203" s="10">
        <v>998</v>
      </c>
      <c r="AZ203" s="10">
        <v>3703</v>
      </c>
      <c r="BA203" s="10">
        <v>4149</v>
      </c>
      <c r="BB203" s="10">
        <v>2994</v>
      </c>
      <c r="BC203" s="10">
        <v>5057</v>
      </c>
      <c r="BD203" s="10">
        <v>2877</v>
      </c>
      <c r="BE203" s="10">
        <v>4401</v>
      </c>
      <c r="BF203" s="10">
        <v>1512</v>
      </c>
      <c r="BG203" s="10">
        <v>3234</v>
      </c>
      <c r="BH203" s="10">
        <v>5350</v>
      </c>
      <c r="BI203" s="10">
        <v>1023</v>
      </c>
      <c r="BJ203" s="10">
        <v>6051</v>
      </c>
      <c r="BK203" s="10">
        <v>7161</v>
      </c>
      <c r="BL203" s="10">
        <v>3218</v>
      </c>
    </row>
    <row r="204" spans="1:64">
      <c r="A204" s="15">
        <v>409349</v>
      </c>
      <c r="B204" s="14">
        <v>762401</v>
      </c>
      <c r="C204" s="14">
        <v>98</v>
      </c>
      <c r="D204" s="2" t="str">
        <f>HYPERLINK("http://128.120.136.21:8080/binbase-compound/bin/show/409349?db=rtx5","409349")</f>
        <v>409349</v>
      </c>
      <c r="E204" s="2" t="s">
        <v>311</v>
      </c>
      <c r="F204" s="2" t="s">
        <v>57</v>
      </c>
      <c r="G204" s="2" t="s">
        <v>57</v>
      </c>
      <c r="H204" s="10">
        <v>2886</v>
      </c>
      <c r="I204" s="10">
        <v>2013</v>
      </c>
      <c r="J204" s="10">
        <v>2815</v>
      </c>
      <c r="K204" s="10">
        <v>3227</v>
      </c>
      <c r="L204" s="10">
        <v>3780</v>
      </c>
      <c r="M204" s="10">
        <v>2140</v>
      </c>
      <c r="N204" s="10">
        <v>6506</v>
      </c>
      <c r="O204" s="10">
        <v>2062</v>
      </c>
      <c r="P204" s="10">
        <v>1318</v>
      </c>
      <c r="Q204" s="10">
        <v>7413</v>
      </c>
      <c r="R204" s="10">
        <v>2080</v>
      </c>
      <c r="S204" s="10">
        <v>17561</v>
      </c>
      <c r="T204" s="10">
        <v>2153</v>
      </c>
      <c r="U204" s="10">
        <v>2418</v>
      </c>
      <c r="V204" s="10">
        <v>1961</v>
      </c>
      <c r="W204" s="10">
        <v>2543</v>
      </c>
      <c r="X204" s="10">
        <v>1412</v>
      </c>
      <c r="Y204" s="10">
        <v>3717</v>
      </c>
      <c r="Z204" s="10">
        <v>1923</v>
      </c>
      <c r="AA204" s="10">
        <v>3530</v>
      </c>
      <c r="AB204" s="10">
        <v>5326</v>
      </c>
      <c r="AC204" s="10">
        <v>1873</v>
      </c>
      <c r="AD204" s="10">
        <v>1232</v>
      </c>
      <c r="AE204" s="10">
        <v>3101</v>
      </c>
      <c r="AF204" s="10">
        <v>1605</v>
      </c>
      <c r="AG204" s="10">
        <v>1295</v>
      </c>
      <c r="AH204" s="10">
        <v>5554</v>
      </c>
      <c r="AI204" s="10">
        <v>2510</v>
      </c>
      <c r="AJ204" s="10">
        <v>4934</v>
      </c>
      <c r="AK204" s="10">
        <v>4199</v>
      </c>
      <c r="AL204" s="10">
        <v>2272</v>
      </c>
      <c r="AM204" s="10">
        <v>1601</v>
      </c>
      <c r="AN204" s="10">
        <v>4441</v>
      </c>
      <c r="AO204" s="10">
        <v>4286</v>
      </c>
      <c r="AP204" s="10">
        <v>6521</v>
      </c>
      <c r="AQ204" s="10">
        <v>16738</v>
      </c>
      <c r="AR204" s="10">
        <v>2142</v>
      </c>
      <c r="AS204" s="10">
        <v>2490</v>
      </c>
      <c r="AT204" s="10">
        <v>2851</v>
      </c>
      <c r="AU204" s="10">
        <v>2847</v>
      </c>
      <c r="AV204" s="10">
        <v>2908</v>
      </c>
      <c r="AW204" s="10">
        <v>2352</v>
      </c>
      <c r="AX204" s="10">
        <v>5304</v>
      </c>
      <c r="AY204" s="10">
        <v>1806</v>
      </c>
      <c r="AZ204" s="10">
        <v>2825</v>
      </c>
      <c r="BA204" s="10">
        <v>2283</v>
      </c>
      <c r="BB204" s="10">
        <v>2961</v>
      </c>
      <c r="BC204" s="10">
        <v>3181</v>
      </c>
      <c r="BD204" s="10">
        <v>1369</v>
      </c>
      <c r="BE204" s="10">
        <v>2655</v>
      </c>
      <c r="BF204" s="10">
        <v>3551</v>
      </c>
      <c r="BG204" s="10">
        <v>2369</v>
      </c>
      <c r="BH204" s="10">
        <v>1279</v>
      </c>
      <c r="BI204" s="10">
        <v>6560</v>
      </c>
      <c r="BJ204" s="10">
        <v>2229</v>
      </c>
      <c r="BK204" s="10">
        <v>5182</v>
      </c>
      <c r="BL204" s="10">
        <v>1487</v>
      </c>
    </row>
    <row r="205" spans="1:64">
      <c r="A205" s="15">
        <v>359483</v>
      </c>
      <c r="B205" s="14">
        <v>720102</v>
      </c>
      <c r="C205" s="14">
        <v>116</v>
      </c>
      <c r="D205" s="2" t="str">
        <f>HYPERLINK("http://128.120.136.21:8080/binbase-compound/bin/show/359483?db=rtx5","359483")</f>
        <v>359483</v>
      </c>
      <c r="E205" s="2" t="s">
        <v>346</v>
      </c>
      <c r="F205" s="2" t="s">
        <v>57</v>
      </c>
      <c r="G205" s="2" t="s">
        <v>57</v>
      </c>
      <c r="H205" s="10">
        <v>2085</v>
      </c>
      <c r="I205" s="10">
        <v>8131</v>
      </c>
      <c r="J205" s="10">
        <v>7591</v>
      </c>
      <c r="K205" s="10">
        <v>2824</v>
      </c>
      <c r="L205" s="10">
        <v>6924</v>
      </c>
      <c r="M205" s="10">
        <v>1167</v>
      </c>
      <c r="N205" s="10">
        <v>7797</v>
      </c>
      <c r="O205" s="10">
        <v>2554</v>
      </c>
      <c r="P205" s="10">
        <v>2947</v>
      </c>
      <c r="Q205" s="10">
        <v>2270</v>
      </c>
      <c r="R205" s="10">
        <v>2063</v>
      </c>
      <c r="S205" s="10">
        <v>3387</v>
      </c>
      <c r="T205" s="10">
        <v>2130</v>
      </c>
      <c r="U205" s="10">
        <v>8854</v>
      </c>
      <c r="V205" s="10">
        <v>5434</v>
      </c>
      <c r="W205" s="10">
        <v>1826</v>
      </c>
      <c r="X205" s="10">
        <v>2295</v>
      </c>
      <c r="Y205" s="10">
        <v>4466</v>
      </c>
      <c r="Z205" s="10">
        <v>2231</v>
      </c>
      <c r="AA205" s="10">
        <v>3453</v>
      </c>
      <c r="AB205" s="10">
        <v>1957</v>
      </c>
      <c r="AC205" s="10">
        <v>2746</v>
      </c>
      <c r="AD205" s="10">
        <v>2673</v>
      </c>
      <c r="AE205" s="10">
        <v>4717</v>
      </c>
      <c r="AF205" s="10">
        <v>1378</v>
      </c>
      <c r="AG205" s="10">
        <v>2007</v>
      </c>
      <c r="AH205" s="10">
        <v>7439</v>
      </c>
      <c r="AI205" s="10">
        <v>4205</v>
      </c>
      <c r="AJ205" s="10">
        <v>1785</v>
      </c>
      <c r="AK205" s="10">
        <v>2890</v>
      </c>
      <c r="AL205" s="10">
        <v>1807</v>
      </c>
      <c r="AM205" s="10">
        <v>1533</v>
      </c>
      <c r="AN205" s="10">
        <v>1979</v>
      </c>
      <c r="AO205" s="10">
        <v>1767</v>
      </c>
      <c r="AP205" s="10">
        <v>1916</v>
      </c>
      <c r="AQ205" s="10">
        <v>2621</v>
      </c>
      <c r="AR205" s="10">
        <v>2342</v>
      </c>
      <c r="AS205" s="10">
        <v>3971</v>
      </c>
      <c r="AT205" s="10">
        <v>1593</v>
      </c>
      <c r="AU205" s="10">
        <v>1833</v>
      </c>
      <c r="AV205" s="10">
        <v>5070</v>
      </c>
      <c r="AW205" s="10">
        <v>2469</v>
      </c>
      <c r="AX205" s="10">
        <v>4067</v>
      </c>
      <c r="AY205" s="10">
        <v>3591</v>
      </c>
      <c r="AZ205" s="10">
        <v>4064</v>
      </c>
      <c r="BA205" s="10">
        <v>1487</v>
      </c>
      <c r="BB205" s="10">
        <v>1459</v>
      </c>
      <c r="BC205" s="10">
        <v>1714</v>
      </c>
      <c r="BD205" s="10">
        <v>2053</v>
      </c>
      <c r="BE205" s="10">
        <v>1054</v>
      </c>
      <c r="BF205" s="10">
        <v>1647</v>
      </c>
      <c r="BG205" s="10">
        <v>2156</v>
      </c>
      <c r="BH205" s="10">
        <v>1346</v>
      </c>
      <c r="BI205" s="10">
        <v>2134</v>
      </c>
      <c r="BJ205" s="10">
        <v>2320</v>
      </c>
      <c r="BK205" s="10">
        <v>1952</v>
      </c>
      <c r="BL205" s="10">
        <v>1623</v>
      </c>
    </row>
    <row r="206" spans="1:64">
      <c r="A206" s="15">
        <v>211972</v>
      </c>
      <c r="B206" s="14">
        <v>473115</v>
      </c>
      <c r="C206" s="14">
        <v>98</v>
      </c>
      <c r="D206" s="2" t="str">
        <f>HYPERLINK("http://128.120.136.21:8080/binbase-compound/bin/show/211972?db=rtx5","211972")</f>
        <v>211972</v>
      </c>
      <c r="E206" s="2" t="s">
        <v>484</v>
      </c>
      <c r="F206" s="2" t="s">
        <v>57</v>
      </c>
      <c r="G206" s="2" t="s">
        <v>57</v>
      </c>
      <c r="H206" s="10">
        <v>1323</v>
      </c>
      <c r="I206" s="10">
        <v>945</v>
      </c>
      <c r="J206" s="10">
        <v>2486</v>
      </c>
      <c r="K206" s="10">
        <v>1898</v>
      </c>
      <c r="L206" s="10">
        <v>1386</v>
      </c>
      <c r="M206" s="10">
        <v>1398</v>
      </c>
      <c r="N206" s="10">
        <v>2281</v>
      </c>
      <c r="O206" s="10">
        <v>1846</v>
      </c>
      <c r="P206" s="10">
        <v>1221</v>
      </c>
      <c r="Q206" s="10">
        <v>3352</v>
      </c>
      <c r="R206" s="10">
        <v>1966</v>
      </c>
      <c r="S206" s="10">
        <v>6084</v>
      </c>
      <c r="T206" s="10">
        <v>1421</v>
      </c>
      <c r="U206" s="10">
        <v>2455</v>
      </c>
      <c r="V206" s="10">
        <v>1835</v>
      </c>
      <c r="W206" s="10">
        <v>1274</v>
      </c>
      <c r="X206" s="10">
        <v>2028</v>
      </c>
      <c r="Y206" s="10">
        <v>1596</v>
      </c>
      <c r="Z206" s="10">
        <v>1541</v>
      </c>
      <c r="AA206" s="10">
        <v>2891</v>
      </c>
      <c r="AB206" s="10">
        <v>2529</v>
      </c>
      <c r="AC206" s="10">
        <v>1696</v>
      </c>
      <c r="AD206" s="10">
        <v>1417</v>
      </c>
      <c r="AE206" s="10">
        <v>1647</v>
      </c>
      <c r="AF206" s="10">
        <v>1587</v>
      </c>
      <c r="AG206" s="10">
        <v>813</v>
      </c>
      <c r="AH206" s="10">
        <v>3086</v>
      </c>
      <c r="AI206" s="10">
        <v>4308</v>
      </c>
      <c r="AJ206" s="10">
        <v>1559</v>
      </c>
      <c r="AK206" s="10">
        <v>3527</v>
      </c>
      <c r="AL206" s="10">
        <v>3396</v>
      </c>
      <c r="AM206" s="10">
        <v>739</v>
      </c>
      <c r="AN206" s="10">
        <v>3207</v>
      </c>
      <c r="AO206" s="10">
        <v>1988</v>
      </c>
      <c r="AP206" s="10">
        <v>4502</v>
      </c>
      <c r="AQ206" s="10">
        <v>11453</v>
      </c>
      <c r="AR206" s="10">
        <v>2768</v>
      </c>
      <c r="AS206" s="10">
        <v>4665</v>
      </c>
      <c r="AT206" s="10">
        <v>2055</v>
      </c>
      <c r="AU206" s="10">
        <v>939</v>
      </c>
      <c r="AV206" s="10">
        <v>2042</v>
      </c>
      <c r="AW206" s="10">
        <v>2702</v>
      </c>
      <c r="AX206" s="10">
        <v>1686</v>
      </c>
      <c r="AY206" s="10">
        <v>4697</v>
      </c>
      <c r="AZ206" s="10">
        <v>1295</v>
      </c>
      <c r="BA206" s="10">
        <v>1319</v>
      </c>
      <c r="BB206" s="10">
        <v>1190</v>
      </c>
      <c r="BC206" s="10">
        <v>1475</v>
      </c>
      <c r="BD206" s="10">
        <v>1174</v>
      </c>
      <c r="BE206" s="10">
        <v>1259</v>
      </c>
      <c r="BF206" s="10">
        <v>2552</v>
      </c>
      <c r="BG206" s="10">
        <v>1592</v>
      </c>
      <c r="BH206" s="10">
        <v>1897</v>
      </c>
      <c r="BI206" s="10">
        <v>2879</v>
      </c>
      <c r="BJ206" s="10">
        <v>833</v>
      </c>
      <c r="BK206" s="10">
        <v>1782</v>
      </c>
      <c r="BL206" s="10">
        <v>1328</v>
      </c>
    </row>
    <row r="207" spans="1:64">
      <c r="A207" s="15">
        <v>215345</v>
      </c>
      <c r="B207" s="14">
        <v>182812</v>
      </c>
      <c r="C207" s="14">
        <v>126</v>
      </c>
      <c r="D207" s="2" t="str">
        <f>HYPERLINK("http://128.120.136.21:8080/binbase-compound/bin/show/215345?db=rtx5","215345")</f>
        <v>215345</v>
      </c>
      <c r="E207" s="2" t="s">
        <v>471</v>
      </c>
      <c r="F207" s="2" t="s">
        <v>57</v>
      </c>
      <c r="G207" s="2" t="s">
        <v>57</v>
      </c>
      <c r="H207" s="10">
        <v>5918</v>
      </c>
      <c r="I207" s="10">
        <v>3282</v>
      </c>
      <c r="J207" s="10">
        <v>2932</v>
      </c>
      <c r="K207" s="10">
        <v>5022</v>
      </c>
      <c r="L207" s="10">
        <v>1716</v>
      </c>
      <c r="M207" s="10">
        <v>2939</v>
      </c>
      <c r="N207" s="10">
        <v>5539</v>
      </c>
      <c r="O207" s="10">
        <v>4311</v>
      </c>
      <c r="P207" s="10">
        <v>4409</v>
      </c>
      <c r="Q207" s="10">
        <v>23001</v>
      </c>
      <c r="R207" s="10">
        <v>10528</v>
      </c>
      <c r="S207" s="10">
        <v>23111</v>
      </c>
      <c r="T207" s="10">
        <v>1074</v>
      </c>
      <c r="U207" s="10">
        <v>4319</v>
      </c>
      <c r="V207" s="10">
        <v>6921</v>
      </c>
      <c r="W207" s="10">
        <v>2846</v>
      </c>
      <c r="X207" s="10">
        <v>3863</v>
      </c>
      <c r="Y207" s="10">
        <v>7061</v>
      </c>
      <c r="Z207" s="10">
        <v>4254</v>
      </c>
      <c r="AA207" s="10">
        <v>7132</v>
      </c>
      <c r="AB207" s="10">
        <v>2064</v>
      </c>
      <c r="AC207" s="10">
        <v>4327</v>
      </c>
      <c r="AD207" s="10">
        <v>904</v>
      </c>
      <c r="AE207" s="10">
        <v>4957</v>
      </c>
      <c r="AF207" s="10">
        <v>1969</v>
      </c>
      <c r="AG207" s="10">
        <v>3822</v>
      </c>
      <c r="AH207" s="10">
        <v>3527</v>
      </c>
      <c r="AI207" s="10">
        <v>13264</v>
      </c>
      <c r="AJ207" s="10">
        <v>12571</v>
      </c>
      <c r="AK207" s="10">
        <v>23990</v>
      </c>
      <c r="AL207" s="10">
        <v>6898</v>
      </c>
      <c r="AM207" s="10">
        <v>8603</v>
      </c>
      <c r="AN207" s="10">
        <v>6718</v>
      </c>
      <c r="AO207" s="10">
        <v>6098</v>
      </c>
      <c r="AP207" s="10">
        <v>6618</v>
      </c>
      <c r="AQ207" s="10">
        <v>14285</v>
      </c>
      <c r="AR207" s="10">
        <v>1647</v>
      </c>
      <c r="AS207" s="10">
        <v>9883</v>
      </c>
      <c r="AT207" s="10">
        <v>14614</v>
      </c>
      <c r="AU207" s="10">
        <v>1879</v>
      </c>
      <c r="AV207" s="10">
        <v>11613</v>
      </c>
      <c r="AW207" s="10">
        <v>13463</v>
      </c>
      <c r="AX207" s="10">
        <v>2567</v>
      </c>
      <c r="AY207" s="10">
        <v>3073</v>
      </c>
      <c r="AZ207" s="10">
        <v>2616</v>
      </c>
      <c r="BA207" s="10">
        <v>7400</v>
      </c>
      <c r="BB207" s="10">
        <v>7776</v>
      </c>
      <c r="BC207" s="10">
        <v>6388</v>
      </c>
      <c r="BD207" s="10">
        <v>10732</v>
      </c>
      <c r="BE207" s="10">
        <v>9735</v>
      </c>
      <c r="BF207" s="10">
        <v>3504</v>
      </c>
      <c r="BG207" s="10">
        <v>5639</v>
      </c>
      <c r="BH207" s="10">
        <v>8985</v>
      </c>
      <c r="BI207" s="10">
        <v>4415</v>
      </c>
      <c r="BJ207" s="10">
        <v>4817</v>
      </c>
      <c r="BK207" s="10">
        <v>15580</v>
      </c>
      <c r="BL207" s="10">
        <v>3141</v>
      </c>
    </row>
    <row r="208" spans="1:64">
      <c r="A208" s="15">
        <v>237154</v>
      </c>
      <c r="B208" s="14">
        <v>945017</v>
      </c>
      <c r="C208" s="14">
        <v>203</v>
      </c>
      <c r="D208" s="2" t="str">
        <f>HYPERLINK("http://128.120.136.21:8080/binbase-compound/bin/show/237154?db=rtx5","237154")</f>
        <v>237154</v>
      </c>
      <c r="E208" s="2" t="s">
        <v>429</v>
      </c>
      <c r="F208" s="2" t="s">
        <v>57</v>
      </c>
      <c r="G208" s="2" t="s">
        <v>57</v>
      </c>
      <c r="H208" s="10">
        <v>295</v>
      </c>
      <c r="I208" s="10">
        <v>12057</v>
      </c>
      <c r="J208" s="10">
        <v>906</v>
      </c>
      <c r="K208" s="10">
        <v>1445</v>
      </c>
      <c r="L208" s="10">
        <v>251</v>
      </c>
      <c r="M208" s="10">
        <v>378</v>
      </c>
      <c r="N208" s="10">
        <v>1851</v>
      </c>
      <c r="O208" s="10">
        <v>440</v>
      </c>
      <c r="P208" s="10">
        <v>152</v>
      </c>
      <c r="Q208" s="10">
        <v>5382</v>
      </c>
      <c r="R208" s="10">
        <v>6734</v>
      </c>
      <c r="S208" s="10">
        <v>5165</v>
      </c>
      <c r="T208" s="10">
        <v>3590</v>
      </c>
      <c r="U208" s="10">
        <v>313</v>
      </c>
      <c r="V208" s="10">
        <v>4914</v>
      </c>
      <c r="W208" s="10">
        <v>2296</v>
      </c>
      <c r="X208" s="10">
        <v>223</v>
      </c>
      <c r="Y208" s="10">
        <v>1378</v>
      </c>
      <c r="Z208" s="10">
        <v>862</v>
      </c>
      <c r="AA208" s="10">
        <v>754</v>
      </c>
      <c r="AB208" s="10">
        <v>216</v>
      </c>
      <c r="AC208" s="10">
        <v>1571</v>
      </c>
      <c r="AD208" s="10">
        <v>167</v>
      </c>
      <c r="AE208" s="10">
        <v>3676</v>
      </c>
      <c r="AF208" s="10">
        <v>2304</v>
      </c>
      <c r="AG208" s="10">
        <v>157</v>
      </c>
      <c r="AH208" s="10">
        <v>310</v>
      </c>
      <c r="AI208" s="10">
        <v>24605</v>
      </c>
      <c r="AJ208" s="10">
        <v>452</v>
      </c>
      <c r="AK208" s="10">
        <v>287</v>
      </c>
      <c r="AL208" s="10">
        <v>594</v>
      </c>
      <c r="AM208" s="10">
        <v>689</v>
      </c>
      <c r="AN208" s="10">
        <v>293</v>
      </c>
      <c r="AO208" s="10">
        <v>290</v>
      </c>
      <c r="AP208" s="10">
        <v>1922</v>
      </c>
      <c r="AQ208" s="10">
        <v>1003</v>
      </c>
      <c r="AR208" s="10">
        <v>1243</v>
      </c>
      <c r="AS208" s="10">
        <v>427</v>
      </c>
      <c r="AT208" s="10">
        <v>1084</v>
      </c>
      <c r="AU208" s="10">
        <v>676</v>
      </c>
      <c r="AV208" s="10">
        <v>282</v>
      </c>
      <c r="AW208" s="10">
        <v>405</v>
      </c>
      <c r="AX208" s="10">
        <v>193</v>
      </c>
      <c r="AY208" s="10">
        <v>3856</v>
      </c>
      <c r="AZ208" s="10">
        <v>323</v>
      </c>
      <c r="BA208" s="10">
        <v>1315</v>
      </c>
      <c r="BB208" s="10">
        <v>627</v>
      </c>
      <c r="BC208" s="10">
        <v>267</v>
      </c>
      <c r="BD208" s="10">
        <v>827</v>
      </c>
      <c r="BE208" s="10">
        <v>5113</v>
      </c>
      <c r="BF208" s="10">
        <v>425</v>
      </c>
      <c r="BG208" s="10">
        <v>291</v>
      </c>
      <c r="BH208" s="10">
        <v>286</v>
      </c>
      <c r="BI208" s="10">
        <v>10670</v>
      </c>
      <c r="BJ208" s="10">
        <v>199</v>
      </c>
      <c r="BK208" s="10">
        <v>245</v>
      </c>
      <c r="BL208" s="10">
        <v>581</v>
      </c>
    </row>
    <row r="209" spans="1:64">
      <c r="A209" s="15">
        <v>445110</v>
      </c>
      <c r="B209" s="14">
        <v>595979</v>
      </c>
      <c r="C209" s="14">
        <v>174</v>
      </c>
      <c r="D209" s="2" t="str">
        <f>HYPERLINK("http://128.120.136.21:8080/binbase-compound/bin/show/445110?db=rtx5","445110")</f>
        <v>445110</v>
      </c>
      <c r="E209" s="2" t="s">
        <v>288</v>
      </c>
      <c r="F209" s="2" t="s">
        <v>57</v>
      </c>
      <c r="G209" s="2" t="s">
        <v>57</v>
      </c>
      <c r="H209" s="10">
        <v>545</v>
      </c>
      <c r="I209" s="10">
        <v>4173</v>
      </c>
      <c r="J209" s="10">
        <v>3094</v>
      </c>
      <c r="K209" s="10">
        <v>2266</v>
      </c>
      <c r="L209" s="10">
        <v>4683</v>
      </c>
      <c r="M209" s="10">
        <v>1181</v>
      </c>
      <c r="N209" s="10">
        <v>3217</v>
      </c>
      <c r="O209" s="10">
        <v>1295</v>
      </c>
      <c r="P209" s="10">
        <v>1624</v>
      </c>
      <c r="Q209" s="10">
        <v>4086</v>
      </c>
      <c r="R209" s="10">
        <v>4726</v>
      </c>
      <c r="S209" s="10">
        <v>2721</v>
      </c>
      <c r="T209" s="10">
        <v>1633</v>
      </c>
      <c r="U209" s="10">
        <v>3442</v>
      </c>
      <c r="V209" s="10">
        <v>4481</v>
      </c>
      <c r="W209" s="10">
        <v>1034</v>
      </c>
      <c r="X209" s="10">
        <v>1434</v>
      </c>
      <c r="Y209" s="10">
        <v>1445</v>
      </c>
      <c r="Z209" s="10">
        <v>3936</v>
      </c>
      <c r="AA209" s="10">
        <v>3951</v>
      </c>
      <c r="AB209" s="10">
        <v>2738</v>
      </c>
      <c r="AC209" s="10">
        <v>1237</v>
      </c>
      <c r="AD209" s="10">
        <v>1867</v>
      </c>
      <c r="AE209" s="10">
        <v>1281</v>
      </c>
      <c r="AF209" s="10">
        <v>776</v>
      </c>
      <c r="AG209" s="10">
        <v>1902</v>
      </c>
      <c r="AH209" s="10">
        <v>4198</v>
      </c>
      <c r="AI209" s="10">
        <v>2216</v>
      </c>
      <c r="AJ209" s="10">
        <v>3668</v>
      </c>
      <c r="AK209" s="10">
        <v>6021</v>
      </c>
      <c r="AL209" s="10">
        <v>7110</v>
      </c>
      <c r="AM209" s="10">
        <v>4064</v>
      </c>
      <c r="AN209" s="10">
        <v>5953</v>
      </c>
      <c r="AO209" s="10">
        <v>7829</v>
      </c>
      <c r="AP209" s="10">
        <v>1422</v>
      </c>
      <c r="AQ209" s="10">
        <v>3591</v>
      </c>
      <c r="AR209" s="10">
        <v>4440</v>
      </c>
      <c r="AS209" s="10">
        <v>3254</v>
      </c>
      <c r="AT209" s="10">
        <v>111</v>
      </c>
      <c r="AU209" s="10">
        <v>2345</v>
      </c>
      <c r="AV209" s="10">
        <v>4549</v>
      </c>
      <c r="AW209" s="10">
        <v>3665</v>
      </c>
      <c r="AX209" s="10">
        <v>1643</v>
      </c>
      <c r="AY209" s="10">
        <v>2761</v>
      </c>
      <c r="AZ209" s="10">
        <v>2651</v>
      </c>
      <c r="BA209" s="10">
        <v>5130</v>
      </c>
      <c r="BB209" s="10">
        <v>3974</v>
      </c>
      <c r="BC209" s="10">
        <v>4951</v>
      </c>
      <c r="BD209" s="10">
        <v>3713</v>
      </c>
      <c r="BE209" s="10">
        <v>2818</v>
      </c>
      <c r="BF209" s="10">
        <v>4197</v>
      </c>
      <c r="BG209" s="10">
        <v>4164</v>
      </c>
      <c r="BH209" s="10">
        <v>3870</v>
      </c>
      <c r="BI209" s="10">
        <v>6047</v>
      </c>
      <c r="BJ209" s="10">
        <v>2112</v>
      </c>
      <c r="BK209" s="10">
        <v>2054</v>
      </c>
      <c r="BL209" s="10">
        <v>2784</v>
      </c>
    </row>
    <row r="210" spans="1:64">
      <c r="A210" s="15">
        <v>267742</v>
      </c>
      <c r="B210" s="14">
        <v>658726</v>
      </c>
      <c r="C210" s="14">
        <v>203</v>
      </c>
      <c r="D210" s="2" t="str">
        <f>HYPERLINK("http://128.120.136.21:8080/binbase-compound/bin/show/267742?db=rtx5","267742")</f>
        <v>267742</v>
      </c>
      <c r="E210" s="2" t="s">
        <v>409</v>
      </c>
      <c r="F210" s="2" t="s">
        <v>57</v>
      </c>
      <c r="G210" s="2" t="s">
        <v>57</v>
      </c>
      <c r="H210" s="10">
        <v>2275</v>
      </c>
      <c r="I210" s="10">
        <v>4273</v>
      </c>
      <c r="J210" s="10">
        <v>5602</v>
      </c>
      <c r="K210" s="10">
        <v>1471</v>
      </c>
      <c r="L210" s="10">
        <v>4191</v>
      </c>
      <c r="M210" s="10">
        <v>709</v>
      </c>
      <c r="N210" s="10">
        <v>5081</v>
      </c>
      <c r="O210" s="10">
        <v>1211</v>
      </c>
      <c r="P210" s="10">
        <v>1597</v>
      </c>
      <c r="Q210" s="10">
        <v>365</v>
      </c>
      <c r="R210" s="10">
        <v>424</v>
      </c>
      <c r="S210" s="10">
        <v>1015</v>
      </c>
      <c r="T210" s="10">
        <v>2091</v>
      </c>
      <c r="U210" s="10">
        <v>3882</v>
      </c>
      <c r="V210" s="10">
        <v>1886</v>
      </c>
      <c r="W210" s="10">
        <v>2320</v>
      </c>
      <c r="X210" s="10">
        <v>1990</v>
      </c>
      <c r="Y210" s="10">
        <v>3654</v>
      </c>
      <c r="Z210" s="10">
        <v>813</v>
      </c>
      <c r="AA210" s="10">
        <v>4174</v>
      </c>
      <c r="AB210" s="10">
        <v>1277</v>
      </c>
      <c r="AC210" s="10">
        <v>4257</v>
      </c>
      <c r="AD210" s="10">
        <v>2862</v>
      </c>
      <c r="AE210" s="10">
        <v>5228</v>
      </c>
      <c r="AF210" s="10">
        <v>1883</v>
      </c>
      <c r="AG210" s="10">
        <v>2926</v>
      </c>
      <c r="AH210" s="10">
        <v>3333</v>
      </c>
      <c r="AI210" s="10">
        <v>2596</v>
      </c>
      <c r="AJ210" s="10">
        <v>1979</v>
      </c>
      <c r="AK210" s="10">
        <v>2416</v>
      </c>
      <c r="AL210" s="10">
        <v>2756</v>
      </c>
      <c r="AM210" s="10">
        <v>2329</v>
      </c>
      <c r="AN210" s="10">
        <v>2001</v>
      </c>
      <c r="AO210" s="10">
        <v>1042</v>
      </c>
      <c r="AP210" s="10">
        <v>2202</v>
      </c>
      <c r="AQ210" s="10">
        <v>1870</v>
      </c>
      <c r="AR210" s="10">
        <v>1774</v>
      </c>
      <c r="AS210" s="10">
        <v>1907</v>
      </c>
      <c r="AT210" s="10">
        <v>2854</v>
      </c>
      <c r="AU210" s="10">
        <v>308</v>
      </c>
      <c r="AV210" s="10">
        <v>3451</v>
      </c>
      <c r="AW210" s="10">
        <v>2229</v>
      </c>
      <c r="AX210" s="10">
        <v>3875</v>
      </c>
      <c r="AY210" s="10">
        <v>2392</v>
      </c>
      <c r="AZ210" s="10">
        <v>2855</v>
      </c>
      <c r="BA210" s="10">
        <v>818</v>
      </c>
      <c r="BB210" s="10">
        <v>2274</v>
      </c>
      <c r="BC210" s="10">
        <v>1148</v>
      </c>
      <c r="BD210" s="10">
        <v>1725</v>
      </c>
      <c r="BE210" s="10">
        <v>1946</v>
      </c>
      <c r="BF210" s="10">
        <v>1405</v>
      </c>
      <c r="BG210" s="10">
        <v>1345</v>
      </c>
      <c r="BH210" s="10">
        <v>1685</v>
      </c>
      <c r="BI210" s="10">
        <v>2015</v>
      </c>
      <c r="BJ210" s="10">
        <v>718</v>
      </c>
      <c r="BK210" s="10">
        <v>1968</v>
      </c>
      <c r="BL210" s="10">
        <v>659</v>
      </c>
    </row>
    <row r="211" spans="1:64">
      <c r="A211" s="15">
        <v>233298</v>
      </c>
      <c r="B211" s="14">
        <v>900281</v>
      </c>
      <c r="C211" s="14">
        <v>332</v>
      </c>
      <c r="D211" s="2" t="str">
        <f>HYPERLINK("http://128.120.136.21:8080/binbase-compound/bin/show/233298?db=rtx5","233298")</f>
        <v>233298</v>
      </c>
      <c r="E211" s="2" t="s">
        <v>439</v>
      </c>
      <c r="F211" s="2" t="s">
        <v>57</v>
      </c>
      <c r="G211" s="2" t="s">
        <v>57</v>
      </c>
      <c r="H211" s="10">
        <v>3159</v>
      </c>
      <c r="I211" s="10">
        <v>1797</v>
      </c>
      <c r="J211" s="10">
        <v>2650</v>
      </c>
      <c r="K211" s="10">
        <v>3581</v>
      </c>
      <c r="L211" s="10">
        <v>1623</v>
      </c>
      <c r="M211" s="10">
        <v>2035</v>
      </c>
      <c r="N211" s="10">
        <v>2548</v>
      </c>
      <c r="O211" s="10">
        <v>3434</v>
      </c>
      <c r="P211" s="10">
        <v>1901</v>
      </c>
      <c r="Q211" s="10">
        <v>166</v>
      </c>
      <c r="R211" s="10">
        <v>158</v>
      </c>
      <c r="S211" s="10">
        <v>811</v>
      </c>
      <c r="T211" s="10">
        <v>3069</v>
      </c>
      <c r="U211" s="10">
        <v>1163</v>
      </c>
      <c r="V211" s="10">
        <v>1620</v>
      </c>
      <c r="W211" s="10">
        <v>3914</v>
      </c>
      <c r="X211" s="10">
        <v>2133</v>
      </c>
      <c r="Y211" s="10">
        <v>4162</v>
      </c>
      <c r="Z211" s="10">
        <v>1224</v>
      </c>
      <c r="AA211" s="10">
        <v>952</v>
      </c>
      <c r="AB211" s="10">
        <v>711</v>
      </c>
      <c r="AC211" s="10">
        <v>2625</v>
      </c>
      <c r="AD211" s="10">
        <v>2255</v>
      </c>
      <c r="AE211" s="10">
        <v>1203</v>
      </c>
      <c r="AF211" s="10">
        <v>1828</v>
      </c>
      <c r="AG211" s="10">
        <v>1570</v>
      </c>
      <c r="AH211" s="10">
        <v>261</v>
      </c>
      <c r="AI211" s="10">
        <v>984</v>
      </c>
      <c r="AJ211" s="10">
        <v>2568</v>
      </c>
      <c r="AK211" s="10">
        <v>802</v>
      </c>
      <c r="AL211" s="10">
        <v>889</v>
      </c>
      <c r="AM211" s="10">
        <v>1456</v>
      </c>
      <c r="AN211" s="10">
        <v>941</v>
      </c>
      <c r="AO211" s="10">
        <v>899</v>
      </c>
      <c r="AP211" s="10">
        <v>2430</v>
      </c>
      <c r="AQ211" s="10">
        <v>811</v>
      </c>
      <c r="AR211" s="10">
        <v>1698</v>
      </c>
      <c r="AS211" s="10">
        <v>1267</v>
      </c>
      <c r="AT211" s="10">
        <v>2064</v>
      </c>
      <c r="AU211" s="10">
        <v>1600</v>
      </c>
      <c r="AV211" s="10">
        <v>1172</v>
      </c>
      <c r="AW211" s="10">
        <v>2432</v>
      </c>
      <c r="AX211" s="10">
        <v>1160</v>
      </c>
      <c r="AY211" s="10">
        <v>1531</v>
      </c>
      <c r="AZ211" s="10">
        <v>1518</v>
      </c>
      <c r="BA211" s="10">
        <v>1487</v>
      </c>
      <c r="BB211" s="10">
        <v>3228</v>
      </c>
      <c r="BC211" s="10">
        <v>795</v>
      </c>
      <c r="BD211" s="10">
        <v>1407</v>
      </c>
      <c r="BE211" s="10">
        <v>1969</v>
      </c>
      <c r="BF211" s="10">
        <v>886</v>
      </c>
      <c r="BG211" s="10">
        <v>170</v>
      </c>
      <c r="BH211" s="10">
        <v>1326</v>
      </c>
      <c r="BI211" s="10">
        <v>800</v>
      </c>
      <c r="BJ211" s="10">
        <v>1244</v>
      </c>
      <c r="BK211" s="10">
        <v>1973</v>
      </c>
      <c r="BL211" s="10">
        <v>1912</v>
      </c>
    </row>
    <row r="212" spans="1:64">
      <c r="A212" s="15">
        <v>411331</v>
      </c>
      <c r="B212" s="14">
        <v>908010</v>
      </c>
      <c r="C212" s="14">
        <v>142</v>
      </c>
      <c r="D212" s="2" t="str">
        <f>HYPERLINK("http://128.120.136.21:8080/binbase-compound/bin/show/411331?db=rtx5","411331")</f>
        <v>411331</v>
      </c>
      <c r="E212" s="2" t="s">
        <v>304</v>
      </c>
      <c r="F212" s="2" t="s">
        <v>57</v>
      </c>
      <c r="G212" s="2" t="s">
        <v>57</v>
      </c>
      <c r="H212" s="10">
        <v>1897</v>
      </c>
      <c r="I212" s="10">
        <v>2279</v>
      </c>
      <c r="J212" s="10">
        <v>3262</v>
      </c>
      <c r="K212" s="10">
        <v>1644</v>
      </c>
      <c r="L212" s="10">
        <v>4417</v>
      </c>
      <c r="M212" s="10">
        <v>1717</v>
      </c>
      <c r="N212" s="10">
        <v>4872</v>
      </c>
      <c r="O212" s="10">
        <v>2776</v>
      </c>
      <c r="P212" s="10">
        <v>2684</v>
      </c>
      <c r="Q212" s="10">
        <v>1466</v>
      </c>
      <c r="R212" s="10">
        <v>1578</v>
      </c>
      <c r="S212" s="10">
        <v>925</v>
      </c>
      <c r="T212" s="10">
        <v>2319</v>
      </c>
      <c r="U212" s="10">
        <v>4582</v>
      </c>
      <c r="V212" s="10">
        <v>3470</v>
      </c>
      <c r="W212" s="10">
        <v>1694</v>
      </c>
      <c r="X212" s="10">
        <v>2051</v>
      </c>
      <c r="Y212" s="10">
        <v>3113</v>
      </c>
      <c r="Z212" s="10">
        <v>2094</v>
      </c>
      <c r="AA212" s="10">
        <v>1552</v>
      </c>
      <c r="AB212" s="10">
        <v>1048</v>
      </c>
      <c r="AC212" s="10">
        <v>2338</v>
      </c>
      <c r="AD212" s="10">
        <v>1836</v>
      </c>
      <c r="AE212" s="10">
        <v>2676</v>
      </c>
      <c r="AF212" s="10">
        <v>1615</v>
      </c>
      <c r="AG212" s="10">
        <v>1918</v>
      </c>
      <c r="AH212" s="10">
        <v>865</v>
      </c>
      <c r="AI212" s="10">
        <v>2267</v>
      </c>
      <c r="AJ212" s="10">
        <v>1406</v>
      </c>
      <c r="AK212" s="10">
        <v>2618</v>
      </c>
      <c r="AL212" s="10">
        <v>1122</v>
      </c>
      <c r="AM212" s="10">
        <v>461</v>
      </c>
      <c r="AN212" s="10">
        <v>1291</v>
      </c>
      <c r="AO212" s="10">
        <v>1069</v>
      </c>
      <c r="AP212" s="10">
        <v>2201</v>
      </c>
      <c r="AQ212" s="10">
        <v>1842</v>
      </c>
      <c r="AR212" s="10">
        <v>704</v>
      </c>
      <c r="AS212" s="10">
        <v>1407</v>
      </c>
      <c r="AT212" s="10">
        <v>549</v>
      </c>
      <c r="AU212" s="10">
        <v>1830</v>
      </c>
      <c r="AV212" s="10">
        <v>1157</v>
      </c>
      <c r="AW212" s="10">
        <v>1432</v>
      </c>
      <c r="AX212" s="10">
        <v>2395</v>
      </c>
      <c r="AY212" s="10">
        <v>1215</v>
      </c>
      <c r="AZ212" s="10">
        <v>1752</v>
      </c>
      <c r="BA212" s="10">
        <v>598</v>
      </c>
      <c r="BB212" s="10">
        <v>99</v>
      </c>
      <c r="BC212" s="10">
        <v>878</v>
      </c>
      <c r="BD212" s="10">
        <v>2093</v>
      </c>
      <c r="BE212" s="10">
        <v>1121</v>
      </c>
      <c r="BF212" s="10">
        <v>1285</v>
      </c>
      <c r="BG212" s="10">
        <v>381</v>
      </c>
      <c r="BH212" s="10">
        <v>886</v>
      </c>
      <c r="BI212" s="10">
        <v>798</v>
      </c>
      <c r="BJ212" s="10">
        <v>2067</v>
      </c>
      <c r="BK212" s="10">
        <v>3095</v>
      </c>
      <c r="BL212" s="10">
        <v>5323</v>
      </c>
    </row>
    <row r="213" spans="1:64">
      <c r="A213" s="15">
        <v>300920</v>
      </c>
      <c r="B213" s="14">
        <v>350852</v>
      </c>
      <c r="C213" s="14">
        <v>188</v>
      </c>
      <c r="D213" s="2" t="str">
        <f>HYPERLINK("http://128.120.136.21:8080/binbase-compound/bin/show/300920?db=rtx5","300920")</f>
        <v>300920</v>
      </c>
      <c r="E213" s="2" t="s">
        <v>375</v>
      </c>
      <c r="F213" s="2" t="s">
        <v>57</v>
      </c>
      <c r="G213" s="2" t="s">
        <v>57</v>
      </c>
      <c r="H213" s="10">
        <v>1362</v>
      </c>
      <c r="I213" s="10">
        <v>2248</v>
      </c>
      <c r="J213" s="10">
        <v>2629</v>
      </c>
      <c r="K213" s="10">
        <v>1815</v>
      </c>
      <c r="L213" s="10">
        <v>2376</v>
      </c>
      <c r="M213" s="10">
        <v>1437</v>
      </c>
      <c r="N213" s="10">
        <v>2816</v>
      </c>
      <c r="O213" s="10">
        <v>1980</v>
      </c>
      <c r="P213" s="10">
        <v>1511</v>
      </c>
      <c r="Q213" s="10">
        <v>4443</v>
      </c>
      <c r="R213" s="10">
        <v>2291</v>
      </c>
      <c r="S213" s="10">
        <v>9447</v>
      </c>
      <c r="T213" s="10">
        <v>1256</v>
      </c>
      <c r="U213" s="10">
        <v>2684</v>
      </c>
      <c r="V213" s="10">
        <v>2279</v>
      </c>
      <c r="W213" s="10">
        <v>1412</v>
      </c>
      <c r="X213" s="10">
        <v>1931</v>
      </c>
      <c r="Y213" s="10">
        <v>1738</v>
      </c>
      <c r="Z213" s="10">
        <v>1217</v>
      </c>
      <c r="AA213" s="10">
        <v>2961</v>
      </c>
      <c r="AB213" s="10">
        <v>2878</v>
      </c>
      <c r="AC213" s="10">
        <v>1452</v>
      </c>
      <c r="AD213" s="10">
        <v>1552</v>
      </c>
      <c r="AE213" s="10">
        <v>1664</v>
      </c>
      <c r="AF213" s="10">
        <v>2256</v>
      </c>
      <c r="AG213" s="10">
        <v>1563</v>
      </c>
      <c r="AH213" s="10">
        <v>3869</v>
      </c>
      <c r="AI213" s="10">
        <v>3157</v>
      </c>
      <c r="AJ213" s="10">
        <v>2572</v>
      </c>
      <c r="AK213" s="10">
        <v>3147</v>
      </c>
      <c r="AL213" s="10">
        <v>3174</v>
      </c>
      <c r="AM213" s="10">
        <v>1853</v>
      </c>
      <c r="AN213" s="10">
        <v>4138</v>
      </c>
      <c r="AO213" s="10">
        <v>4203</v>
      </c>
      <c r="AP213" s="10">
        <v>2979</v>
      </c>
      <c r="AQ213" s="10">
        <v>9599</v>
      </c>
      <c r="AR213" s="10">
        <v>3235</v>
      </c>
      <c r="AS213" s="10">
        <v>3088</v>
      </c>
      <c r="AT213" s="10">
        <v>2366</v>
      </c>
      <c r="AU213" s="10">
        <v>1047</v>
      </c>
      <c r="AV213" s="10">
        <v>3365</v>
      </c>
      <c r="AW213" s="10">
        <v>3063</v>
      </c>
      <c r="AX213" s="10">
        <v>2426</v>
      </c>
      <c r="AY213" s="10">
        <v>2495</v>
      </c>
      <c r="AZ213" s="10">
        <v>3550</v>
      </c>
      <c r="BA213" s="10">
        <v>2649</v>
      </c>
      <c r="BB213" s="10">
        <v>2411</v>
      </c>
      <c r="BC213" s="10">
        <v>3239</v>
      </c>
      <c r="BD213" s="10">
        <v>2284</v>
      </c>
      <c r="BE213" s="10">
        <v>2816</v>
      </c>
      <c r="BF213" s="10">
        <v>3967</v>
      </c>
      <c r="BG213" s="10">
        <v>4416</v>
      </c>
      <c r="BH213" s="10">
        <v>2477</v>
      </c>
      <c r="BI213" s="10">
        <v>3524</v>
      </c>
      <c r="BJ213" s="10">
        <v>2247</v>
      </c>
      <c r="BK213" s="10">
        <v>3479</v>
      </c>
      <c r="BL213" s="10">
        <v>1837</v>
      </c>
    </row>
    <row r="214" spans="1:64">
      <c r="A214" s="15">
        <v>200547</v>
      </c>
      <c r="B214" s="14">
        <v>726539</v>
      </c>
      <c r="C214" s="14">
        <v>204</v>
      </c>
      <c r="D214" s="2" t="str">
        <f>HYPERLINK("http://128.120.136.21:8080/binbase-compound/bin/show/200547?db=rtx5","200547")</f>
        <v>200547</v>
      </c>
      <c r="E214" s="2" t="s">
        <v>501</v>
      </c>
      <c r="F214" s="2" t="s">
        <v>57</v>
      </c>
      <c r="G214" s="2" t="s">
        <v>57</v>
      </c>
      <c r="H214" s="10">
        <v>1892</v>
      </c>
      <c r="I214" s="10">
        <v>5050</v>
      </c>
      <c r="J214" s="10">
        <v>4201</v>
      </c>
      <c r="K214" s="10">
        <v>1499</v>
      </c>
      <c r="L214" s="10">
        <v>3840</v>
      </c>
      <c r="M214" s="10">
        <v>893</v>
      </c>
      <c r="N214" s="10">
        <v>6321</v>
      </c>
      <c r="O214" s="10">
        <v>1152</v>
      </c>
      <c r="P214" s="10">
        <v>1215</v>
      </c>
      <c r="Q214" s="10">
        <v>676</v>
      </c>
      <c r="R214" s="10">
        <v>756</v>
      </c>
      <c r="S214" s="10">
        <v>1700</v>
      </c>
      <c r="T214" s="10">
        <v>2145</v>
      </c>
      <c r="U214" s="10">
        <v>7713</v>
      </c>
      <c r="V214" s="10">
        <v>3594</v>
      </c>
      <c r="W214" s="10">
        <v>1353</v>
      </c>
      <c r="X214" s="10">
        <v>867</v>
      </c>
      <c r="Y214" s="10">
        <v>2132</v>
      </c>
      <c r="Z214" s="10">
        <v>3440</v>
      </c>
      <c r="AA214" s="10">
        <v>8642</v>
      </c>
      <c r="AB214" s="10">
        <v>2892</v>
      </c>
      <c r="AC214" s="10">
        <v>2169</v>
      </c>
      <c r="AD214" s="10">
        <v>1047</v>
      </c>
      <c r="AE214" s="10">
        <v>2580</v>
      </c>
      <c r="AF214" s="10">
        <v>1029</v>
      </c>
      <c r="AG214" s="10">
        <v>1251</v>
      </c>
      <c r="AH214" s="10">
        <v>3612</v>
      </c>
      <c r="AI214" s="10">
        <v>2886</v>
      </c>
      <c r="AJ214" s="10">
        <v>2915</v>
      </c>
      <c r="AK214" s="10">
        <v>1598</v>
      </c>
      <c r="AL214" s="10">
        <v>7443</v>
      </c>
      <c r="AM214" s="10">
        <v>3384</v>
      </c>
      <c r="AN214" s="10">
        <v>3731</v>
      </c>
      <c r="AO214" s="10">
        <v>5553</v>
      </c>
      <c r="AP214" s="10">
        <v>2147</v>
      </c>
      <c r="AQ214" s="10">
        <v>1886</v>
      </c>
      <c r="AR214" s="10">
        <v>3386</v>
      </c>
      <c r="AS214" s="10">
        <v>5064</v>
      </c>
      <c r="AT214" s="10">
        <v>7191</v>
      </c>
      <c r="AU214" s="10">
        <v>1732</v>
      </c>
      <c r="AV214" s="10">
        <v>4731</v>
      </c>
      <c r="AW214" s="10">
        <v>2418</v>
      </c>
      <c r="AX214" s="10">
        <v>5498</v>
      </c>
      <c r="AY214" s="10">
        <v>6089</v>
      </c>
      <c r="AZ214" s="10">
        <v>3674</v>
      </c>
      <c r="BA214" s="10">
        <v>6628</v>
      </c>
      <c r="BB214" s="10">
        <v>5380</v>
      </c>
      <c r="BC214" s="10">
        <v>7427</v>
      </c>
      <c r="BD214" s="10">
        <v>1124</v>
      </c>
      <c r="BE214" s="10">
        <v>1875</v>
      </c>
      <c r="BF214" s="10">
        <v>2972</v>
      </c>
      <c r="BG214" s="10">
        <v>7785</v>
      </c>
      <c r="BH214" s="10">
        <v>2046</v>
      </c>
      <c r="BI214" s="10">
        <v>5565</v>
      </c>
      <c r="BJ214" s="10">
        <v>1426</v>
      </c>
      <c r="BK214" s="10">
        <v>1432</v>
      </c>
      <c r="BL214" s="10">
        <v>1115</v>
      </c>
    </row>
    <row r="215" spans="1:64">
      <c r="A215" s="15">
        <v>356957</v>
      </c>
      <c r="B215" s="14">
        <v>692437</v>
      </c>
      <c r="C215" s="14">
        <v>229</v>
      </c>
      <c r="D215" s="2" t="str">
        <f>HYPERLINK("http://128.120.136.21:8080/binbase-compound/bin/show/356957?db=rtx5","356957")</f>
        <v>356957</v>
      </c>
      <c r="E215" s="2" t="s">
        <v>349</v>
      </c>
      <c r="F215" s="2" t="s">
        <v>57</v>
      </c>
      <c r="G215" s="2" t="s">
        <v>57</v>
      </c>
      <c r="H215" s="10">
        <v>3456</v>
      </c>
      <c r="I215" s="10">
        <v>3480</v>
      </c>
      <c r="J215" s="10">
        <v>3791</v>
      </c>
      <c r="K215" s="10">
        <v>2566</v>
      </c>
      <c r="L215" s="10">
        <v>3162</v>
      </c>
      <c r="M215" s="10">
        <v>2033</v>
      </c>
      <c r="N215" s="10">
        <v>5449</v>
      </c>
      <c r="O215" s="10">
        <v>2027</v>
      </c>
      <c r="P215" s="10">
        <v>1630</v>
      </c>
      <c r="Q215" s="10">
        <v>5191</v>
      </c>
      <c r="R215" s="10">
        <v>2871</v>
      </c>
      <c r="S215" s="10">
        <v>22000</v>
      </c>
      <c r="T215" s="10">
        <v>2241</v>
      </c>
      <c r="U215" s="10">
        <v>3505</v>
      </c>
      <c r="V215" s="10">
        <v>2912</v>
      </c>
      <c r="W215" s="10">
        <v>2013</v>
      </c>
      <c r="X215" s="10">
        <v>1872</v>
      </c>
      <c r="Y215" s="10">
        <v>3511</v>
      </c>
      <c r="Z215" s="10">
        <v>2161</v>
      </c>
      <c r="AA215" s="10">
        <v>4635</v>
      </c>
      <c r="AB215" s="10">
        <v>5779</v>
      </c>
      <c r="AC215" s="10">
        <v>1413</v>
      </c>
      <c r="AD215" s="10">
        <v>1538</v>
      </c>
      <c r="AE215" s="10">
        <v>2728</v>
      </c>
      <c r="AF215" s="10">
        <v>2078</v>
      </c>
      <c r="AG215" s="10">
        <v>1791</v>
      </c>
      <c r="AH215" s="10">
        <v>5458</v>
      </c>
      <c r="AI215" s="10">
        <v>3701</v>
      </c>
      <c r="AJ215" s="10">
        <v>4300</v>
      </c>
      <c r="AK215" s="10">
        <v>4604</v>
      </c>
      <c r="AL215" s="10">
        <v>3441</v>
      </c>
      <c r="AM215" s="10">
        <v>2644</v>
      </c>
      <c r="AN215" s="10">
        <v>5599</v>
      </c>
      <c r="AO215" s="10">
        <v>4741</v>
      </c>
      <c r="AP215" s="10">
        <v>5096</v>
      </c>
      <c r="AQ215" s="10">
        <v>15464</v>
      </c>
      <c r="AR215" s="10">
        <v>3844</v>
      </c>
      <c r="AS215" s="10">
        <v>4132</v>
      </c>
      <c r="AT215" s="10">
        <v>3909</v>
      </c>
      <c r="AU215" s="10">
        <v>2294</v>
      </c>
      <c r="AV215" s="10">
        <v>4297</v>
      </c>
      <c r="AW215" s="10">
        <v>3955</v>
      </c>
      <c r="AX215" s="10">
        <v>5217</v>
      </c>
      <c r="AY215" s="10">
        <v>3507</v>
      </c>
      <c r="AZ215" s="10">
        <v>4704</v>
      </c>
      <c r="BA215" s="10">
        <v>2641</v>
      </c>
      <c r="BB215" s="10">
        <v>3475</v>
      </c>
      <c r="BC215" s="10">
        <v>3759</v>
      </c>
      <c r="BD215" s="10">
        <v>2099</v>
      </c>
      <c r="BE215" s="10">
        <v>3200</v>
      </c>
      <c r="BF215" s="10">
        <v>4169</v>
      </c>
      <c r="BG215" s="10">
        <v>4539</v>
      </c>
      <c r="BH215" s="10">
        <v>1864</v>
      </c>
      <c r="BI215" s="10">
        <v>5708</v>
      </c>
      <c r="BJ215" s="10">
        <v>3346</v>
      </c>
      <c r="BK215" s="10">
        <v>5022</v>
      </c>
      <c r="BL215" s="10">
        <v>2511</v>
      </c>
    </row>
    <row r="216" spans="1:64">
      <c r="A216" s="15">
        <v>222115</v>
      </c>
      <c r="B216" s="14">
        <v>249620</v>
      </c>
      <c r="C216" s="14">
        <v>85</v>
      </c>
      <c r="D216" s="2" t="str">
        <f>HYPERLINK("http://128.120.136.21:8080/binbase-compound/bin/show/222115?db=rtx5","222115")</f>
        <v>222115</v>
      </c>
      <c r="E216" s="2" t="s">
        <v>464</v>
      </c>
      <c r="F216" s="2" t="s">
        <v>57</v>
      </c>
      <c r="G216" s="2" t="s">
        <v>57</v>
      </c>
      <c r="H216" s="10">
        <v>6321</v>
      </c>
      <c r="I216" s="10">
        <v>10560</v>
      </c>
      <c r="J216" s="10">
        <v>12436</v>
      </c>
      <c r="K216" s="10">
        <v>5057</v>
      </c>
      <c r="L216" s="10">
        <v>6912</v>
      </c>
      <c r="M216" s="10">
        <v>3437</v>
      </c>
      <c r="N216" s="10">
        <v>9453</v>
      </c>
      <c r="O216" s="10">
        <v>8246</v>
      </c>
      <c r="P216" s="10">
        <v>3424</v>
      </c>
      <c r="Q216" s="10">
        <v>11088</v>
      </c>
      <c r="R216" s="10">
        <v>8047</v>
      </c>
      <c r="S216" s="10">
        <v>47885</v>
      </c>
      <c r="T216" s="10">
        <v>4967</v>
      </c>
      <c r="U216" s="10">
        <v>9173</v>
      </c>
      <c r="V216" s="10">
        <v>10991</v>
      </c>
      <c r="W216" s="10">
        <v>3725</v>
      </c>
      <c r="X216" s="10">
        <v>5654</v>
      </c>
      <c r="Y216" s="10">
        <v>7596</v>
      </c>
      <c r="Z216" s="10">
        <v>5904</v>
      </c>
      <c r="AA216" s="10">
        <v>13692</v>
      </c>
      <c r="AB216" s="10">
        <v>13842</v>
      </c>
      <c r="AC216" s="10">
        <v>3827</v>
      </c>
      <c r="AD216" s="10">
        <v>951</v>
      </c>
      <c r="AE216" s="10">
        <v>4085</v>
      </c>
      <c r="AF216" s="10">
        <v>5301</v>
      </c>
      <c r="AG216" s="10">
        <v>3895</v>
      </c>
      <c r="AH216" s="10">
        <v>12095</v>
      </c>
      <c r="AI216" s="10">
        <v>8902</v>
      </c>
      <c r="AJ216" s="10">
        <v>7533</v>
      </c>
      <c r="AK216" s="10">
        <v>8712</v>
      </c>
      <c r="AL216" s="10">
        <v>14183</v>
      </c>
      <c r="AM216" s="10">
        <v>7826</v>
      </c>
      <c r="AN216" s="10">
        <v>18299</v>
      </c>
      <c r="AO216" s="10">
        <v>11193</v>
      </c>
      <c r="AP216" s="10">
        <v>8133</v>
      </c>
      <c r="AQ216" s="10">
        <v>31946</v>
      </c>
      <c r="AR216" s="10">
        <v>12349</v>
      </c>
      <c r="AS216" s="10">
        <v>14552</v>
      </c>
      <c r="AT216" s="10">
        <v>12547</v>
      </c>
      <c r="AU216" s="10">
        <v>3990</v>
      </c>
      <c r="AV216" s="10">
        <v>17110</v>
      </c>
      <c r="AW216" s="10">
        <v>11552</v>
      </c>
      <c r="AX216" s="10">
        <v>12637</v>
      </c>
      <c r="AY216" s="10">
        <v>11876</v>
      </c>
      <c r="AZ216" s="10">
        <v>16353</v>
      </c>
      <c r="BA216" s="10">
        <v>1835</v>
      </c>
      <c r="BB216" s="10">
        <v>7419</v>
      </c>
      <c r="BC216" s="10">
        <v>11409</v>
      </c>
      <c r="BD216" s="10">
        <v>6411</v>
      </c>
      <c r="BE216" s="10">
        <v>8538</v>
      </c>
      <c r="BF216" s="10">
        <v>10920</v>
      </c>
      <c r="BG216" s="10">
        <v>14346</v>
      </c>
      <c r="BH216" s="10">
        <v>6497</v>
      </c>
      <c r="BI216" s="10">
        <v>11991</v>
      </c>
      <c r="BJ216" s="10">
        <v>9405</v>
      </c>
      <c r="BK216" s="10">
        <v>14119</v>
      </c>
      <c r="BL216" s="10">
        <v>7921</v>
      </c>
    </row>
    <row r="217" spans="1:64">
      <c r="A217" s="15">
        <v>312139</v>
      </c>
      <c r="B217" s="14">
        <v>742841</v>
      </c>
      <c r="C217" s="14">
        <v>156</v>
      </c>
      <c r="D217" s="2" t="str">
        <f>HYPERLINK("http://128.120.136.21:8080/binbase-compound/bin/show/312139?db=rtx5","312139")</f>
        <v>312139</v>
      </c>
      <c r="E217" s="2" t="s">
        <v>363</v>
      </c>
      <c r="F217" s="2" t="s">
        <v>57</v>
      </c>
      <c r="G217" s="2" t="s">
        <v>57</v>
      </c>
      <c r="H217" s="10">
        <v>2460</v>
      </c>
      <c r="I217" s="10">
        <v>1429</v>
      </c>
      <c r="J217" s="10">
        <v>1013</v>
      </c>
      <c r="K217" s="10">
        <v>1776</v>
      </c>
      <c r="L217" s="10">
        <v>1062</v>
      </c>
      <c r="M217" s="10">
        <v>2063</v>
      </c>
      <c r="N217" s="10">
        <v>1393</v>
      </c>
      <c r="O217" s="10">
        <v>1723</v>
      </c>
      <c r="P217" s="10">
        <v>1936</v>
      </c>
      <c r="Q217" s="10">
        <v>1518</v>
      </c>
      <c r="R217" s="10">
        <v>2910</v>
      </c>
      <c r="S217" s="10">
        <v>2613</v>
      </c>
      <c r="T217" s="10">
        <v>1916</v>
      </c>
      <c r="U217" s="10">
        <v>997</v>
      </c>
      <c r="V217" s="10">
        <v>1284</v>
      </c>
      <c r="W217" s="10">
        <v>1500</v>
      </c>
      <c r="X217" s="10">
        <v>1282</v>
      </c>
      <c r="Y217" s="10">
        <v>1484</v>
      </c>
      <c r="Z217" s="10">
        <v>2317</v>
      </c>
      <c r="AA217" s="10">
        <v>916</v>
      </c>
      <c r="AB217" s="10">
        <v>1094</v>
      </c>
      <c r="AC217" s="10">
        <v>1410</v>
      </c>
      <c r="AD217" s="10">
        <v>1040</v>
      </c>
      <c r="AE217" s="10">
        <v>1571</v>
      </c>
      <c r="AF217" s="10">
        <v>1464</v>
      </c>
      <c r="AG217" s="10">
        <v>2156</v>
      </c>
      <c r="AH217" s="10">
        <v>776</v>
      </c>
      <c r="AI217" s="10">
        <v>861</v>
      </c>
      <c r="AJ217" s="10">
        <v>1630</v>
      </c>
      <c r="AK217" s="10">
        <v>843</v>
      </c>
      <c r="AL217" s="10">
        <v>1364</v>
      </c>
      <c r="AM217" s="10">
        <v>469</v>
      </c>
      <c r="AN217" s="10">
        <v>1352</v>
      </c>
      <c r="AO217" s="10">
        <v>1495</v>
      </c>
      <c r="AP217" s="10">
        <v>928</v>
      </c>
      <c r="AQ217" s="10">
        <v>951</v>
      </c>
      <c r="AR217" s="10">
        <v>1162</v>
      </c>
      <c r="AS217" s="10">
        <v>1117</v>
      </c>
      <c r="AT217" s="10">
        <v>971</v>
      </c>
      <c r="AU217" s="10">
        <v>2919</v>
      </c>
      <c r="AV217" s="10">
        <v>969</v>
      </c>
      <c r="AW217" s="10">
        <v>976</v>
      </c>
      <c r="AX217" s="10">
        <v>1038</v>
      </c>
      <c r="AY217" s="10">
        <v>687</v>
      </c>
      <c r="AZ217" s="10">
        <v>833</v>
      </c>
      <c r="BA217" s="10">
        <v>1217</v>
      </c>
      <c r="BB217" s="10">
        <v>830</v>
      </c>
      <c r="BC217" s="10">
        <v>1115</v>
      </c>
      <c r="BD217" s="10">
        <v>1460</v>
      </c>
      <c r="BE217" s="10">
        <v>1510</v>
      </c>
      <c r="BF217" s="10">
        <v>1025</v>
      </c>
      <c r="BG217" s="10">
        <v>945</v>
      </c>
      <c r="BH217" s="10">
        <v>1053</v>
      </c>
      <c r="BI217" s="10">
        <v>951</v>
      </c>
      <c r="BJ217" s="10">
        <v>1916</v>
      </c>
      <c r="BK217" s="10">
        <v>2062</v>
      </c>
      <c r="BL217" s="10">
        <v>2390</v>
      </c>
    </row>
    <row r="218" spans="1:64">
      <c r="A218" s="15">
        <v>408855</v>
      </c>
      <c r="B218" s="14">
        <v>833642</v>
      </c>
      <c r="C218" s="14">
        <v>156</v>
      </c>
      <c r="D218" s="2" t="str">
        <f>HYPERLINK("http://128.120.136.21:8080/binbase-compound/bin/show/408855?db=rtx5","408855")</f>
        <v>408855</v>
      </c>
      <c r="E218" s="2" t="s">
        <v>319</v>
      </c>
      <c r="F218" s="2" t="s">
        <v>57</v>
      </c>
      <c r="G218" s="2" t="s">
        <v>57</v>
      </c>
      <c r="H218" s="10">
        <v>2768</v>
      </c>
      <c r="I218" s="10">
        <v>629</v>
      </c>
      <c r="J218" s="10">
        <v>990</v>
      </c>
      <c r="K218" s="10">
        <v>1781</v>
      </c>
      <c r="L218" s="10">
        <v>987</v>
      </c>
      <c r="M218" s="10">
        <v>1763</v>
      </c>
      <c r="N218" s="10">
        <v>1431</v>
      </c>
      <c r="O218" s="10">
        <v>1326</v>
      </c>
      <c r="P218" s="10">
        <v>1662</v>
      </c>
      <c r="Q218" s="10">
        <v>1425</v>
      </c>
      <c r="R218" s="10">
        <v>2275</v>
      </c>
      <c r="S218" s="10">
        <v>3700</v>
      </c>
      <c r="T218" s="10">
        <v>1528</v>
      </c>
      <c r="U218" s="10">
        <v>1128</v>
      </c>
      <c r="V218" s="10">
        <v>1085</v>
      </c>
      <c r="W218" s="10">
        <v>1207</v>
      </c>
      <c r="X218" s="10">
        <v>1295</v>
      </c>
      <c r="Y218" s="10">
        <v>1621</v>
      </c>
      <c r="Z218" s="10">
        <v>1972</v>
      </c>
      <c r="AA218" s="10">
        <v>1143</v>
      </c>
      <c r="AB218" s="10">
        <v>1434</v>
      </c>
      <c r="AC218" s="10">
        <v>994</v>
      </c>
      <c r="AD218" s="10">
        <v>928</v>
      </c>
      <c r="AE218" s="10">
        <v>1047</v>
      </c>
      <c r="AF218" s="10">
        <v>967</v>
      </c>
      <c r="AG218" s="10">
        <v>2431</v>
      </c>
      <c r="AH218" s="10">
        <v>1201</v>
      </c>
      <c r="AI218" s="10">
        <v>917</v>
      </c>
      <c r="AJ218" s="10">
        <v>1328</v>
      </c>
      <c r="AK218" s="10">
        <v>1357</v>
      </c>
      <c r="AL218" s="10">
        <v>1163</v>
      </c>
      <c r="AM218" s="10">
        <v>667</v>
      </c>
      <c r="AN218" s="10">
        <v>1526</v>
      </c>
      <c r="AO218" s="10">
        <v>1063</v>
      </c>
      <c r="AP218" s="10">
        <v>1420</v>
      </c>
      <c r="AQ218" s="10">
        <v>1506</v>
      </c>
      <c r="AR218" s="10">
        <v>934</v>
      </c>
      <c r="AS218" s="10">
        <v>1424</v>
      </c>
      <c r="AT218" s="10">
        <v>888</v>
      </c>
      <c r="AU218" s="10">
        <v>2556</v>
      </c>
      <c r="AV218" s="10">
        <v>642</v>
      </c>
      <c r="AW218" s="10">
        <v>1076</v>
      </c>
      <c r="AX218" s="10">
        <v>904</v>
      </c>
      <c r="AY218" s="10">
        <v>1135</v>
      </c>
      <c r="AZ218" s="10">
        <v>1008</v>
      </c>
      <c r="BA218" s="10">
        <v>1396</v>
      </c>
      <c r="BB218" s="10">
        <v>921</v>
      </c>
      <c r="BC218" s="10">
        <v>1292</v>
      </c>
      <c r="BD218" s="10">
        <v>1759</v>
      </c>
      <c r="BE218" s="10">
        <v>1871</v>
      </c>
      <c r="BF218" s="10">
        <v>1272</v>
      </c>
      <c r="BG218" s="10">
        <v>1614</v>
      </c>
      <c r="BH218" s="10">
        <v>1538</v>
      </c>
      <c r="BI218" s="10">
        <v>629</v>
      </c>
      <c r="BJ218" s="10">
        <v>1718</v>
      </c>
      <c r="BK218" s="10">
        <v>2467</v>
      </c>
      <c r="BL218" s="10">
        <v>1474</v>
      </c>
    </row>
    <row r="219" spans="1:64">
      <c r="A219" s="15">
        <v>411381</v>
      </c>
      <c r="B219" s="14">
        <v>615841</v>
      </c>
      <c r="C219" s="14">
        <v>293</v>
      </c>
      <c r="D219" s="2" t="str">
        <f>HYPERLINK("http://128.120.136.21:8080/binbase-compound/bin/show/411381?db=rtx5","411381")</f>
        <v>411381</v>
      </c>
      <c r="E219" s="2" t="s">
        <v>301</v>
      </c>
      <c r="F219" s="2" t="s">
        <v>57</v>
      </c>
      <c r="G219" s="2" t="s">
        <v>57</v>
      </c>
      <c r="H219" s="10">
        <v>1561</v>
      </c>
      <c r="I219" s="10">
        <v>745</v>
      </c>
      <c r="J219" s="10">
        <v>1671</v>
      </c>
      <c r="K219" s="10">
        <v>1132</v>
      </c>
      <c r="L219" s="10">
        <v>812</v>
      </c>
      <c r="M219" s="10">
        <v>1153</v>
      </c>
      <c r="N219" s="10">
        <v>1624</v>
      </c>
      <c r="O219" s="10">
        <v>2037</v>
      </c>
      <c r="P219" s="10">
        <v>1024</v>
      </c>
      <c r="Q219" s="10">
        <v>152</v>
      </c>
      <c r="R219" s="10">
        <v>122</v>
      </c>
      <c r="S219" s="10">
        <v>577</v>
      </c>
      <c r="T219" s="10">
        <v>1760</v>
      </c>
      <c r="U219" s="10">
        <v>1324</v>
      </c>
      <c r="V219" s="10">
        <v>1607</v>
      </c>
      <c r="W219" s="10">
        <v>583</v>
      </c>
      <c r="X219" s="10">
        <v>499</v>
      </c>
      <c r="Y219" s="10">
        <v>557</v>
      </c>
      <c r="Z219" s="10">
        <v>1476</v>
      </c>
      <c r="AA219" s="10">
        <v>969</v>
      </c>
      <c r="AB219" s="10">
        <v>1467</v>
      </c>
      <c r="AC219" s="10">
        <v>870</v>
      </c>
      <c r="AD219" s="10">
        <v>698</v>
      </c>
      <c r="AE219" s="10">
        <v>1122</v>
      </c>
      <c r="AF219" s="10">
        <v>757</v>
      </c>
      <c r="AG219" s="10">
        <v>485</v>
      </c>
      <c r="AH219" s="10">
        <v>898</v>
      </c>
      <c r="AI219" s="10">
        <v>2678</v>
      </c>
      <c r="AJ219" s="10">
        <v>2016</v>
      </c>
      <c r="AK219" s="10">
        <v>1739</v>
      </c>
      <c r="AL219" s="10">
        <v>1441</v>
      </c>
      <c r="AM219" s="10">
        <v>2217</v>
      </c>
      <c r="AN219" s="10">
        <v>2096</v>
      </c>
      <c r="AO219" s="10">
        <v>1384</v>
      </c>
      <c r="AP219" s="10">
        <v>2412</v>
      </c>
      <c r="AQ219" s="10">
        <v>1446</v>
      </c>
      <c r="AR219" s="10">
        <v>2009</v>
      </c>
      <c r="AS219" s="10">
        <v>1047</v>
      </c>
      <c r="AT219" s="10">
        <v>1858</v>
      </c>
      <c r="AU219" s="10">
        <v>1008</v>
      </c>
      <c r="AV219" s="10">
        <v>1748</v>
      </c>
      <c r="AW219" s="10">
        <v>1753</v>
      </c>
      <c r="AX219" s="10">
        <v>944</v>
      </c>
      <c r="AY219" s="10">
        <v>1841</v>
      </c>
      <c r="AZ219" s="10">
        <v>1032</v>
      </c>
      <c r="BA219" s="10">
        <v>1170</v>
      </c>
      <c r="BB219" s="10">
        <v>3409</v>
      </c>
      <c r="BC219" s="10">
        <v>906</v>
      </c>
      <c r="BD219" s="10">
        <v>1326</v>
      </c>
      <c r="BE219" s="10">
        <v>863</v>
      </c>
      <c r="BF219" s="10">
        <v>1705</v>
      </c>
      <c r="BG219" s="10">
        <v>1265</v>
      </c>
      <c r="BH219" s="10">
        <v>1084</v>
      </c>
      <c r="BI219" s="10">
        <v>2115</v>
      </c>
      <c r="BJ219" s="10">
        <v>860</v>
      </c>
      <c r="BK219" s="10">
        <v>883</v>
      </c>
      <c r="BL219" s="10">
        <v>1283</v>
      </c>
    </row>
    <row r="220" spans="1:64">
      <c r="A220" s="15">
        <v>409131</v>
      </c>
      <c r="B220" s="14">
        <v>735592</v>
      </c>
      <c r="C220" s="14">
        <v>156</v>
      </c>
      <c r="D220" s="2" t="str">
        <f>HYPERLINK("http://128.120.136.21:8080/binbase-compound/bin/show/409131?db=rtx5","409131")</f>
        <v>409131</v>
      </c>
      <c r="E220" s="2" t="s">
        <v>314</v>
      </c>
      <c r="F220" s="2" t="s">
        <v>57</v>
      </c>
      <c r="G220" s="2" t="s">
        <v>57</v>
      </c>
      <c r="H220" s="10">
        <v>898</v>
      </c>
      <c r="I220" s="10">
        <v>1039</v>
      </c>
      <c r="J220" s="10">
        <v>1479</v>
      </c>
      <c r="K220" s="10">
        <v>911</v>
      </c>
      <c r="L220" s="10">
        <v>1001</v>
      </c>
      <c r="M220" s="10">
        <v>1581</v>
      </c>
      <c r="N220" s="10">
        <v>1441</v>
      </c>
      <c r="O220" s="10">
        <v>1236</v>
      </c>
      <c r="P220" s="10">
        <v>1583</v>
      </c>
      <c r="Q220" s="10">
        <v>2101</v>
      </c>
      <c r="R220" s="10">
        <v>2529</v>
      </c>
      <c r="S220" s="10">
        <v>3015</v>
      </c>
      <c r="T220" s="10">
        <v>2881</v>
      </c>
      <c r="U220" s="10">
        <v>1215</v>
      </c>
      <c r="V220" s="10">
        <v>1394</v>
      </c>
      <c r="W220" s="10">
        <v>892</v>
      </c>
      <c r="X220" s="10">
        <v>884</v>
      </c>
      <c r="Y220" s="10">
        <v>1039</v>
      </c>
      <c r="Z220" s="10">
        <v>1365</v>
      </c>
      <c r="AA220" s="10">
        <v>811</v>
      </c>
      <c r="AB220" s="10">
        <v>1189</v>
      </c>
      <c r="AC220" s="10">
        <v>1017</v>
      </c>
      <c r="AD220" s="10">
        <v>639</v>
      </c>
      <c r="AE220" s="10">
        <v>1507</v>
      </c>
      <c r="AF220" s="10">
        <v>1050</v>
      </c>
      <c r="AG220" s="10">
        <v>633</v>
      </c>
      <c r="AH220" s="10">
        <v>991</v>
      </c>
      <c r="AI220" s="10">
        <v>1840</v>
      </c>
      <c r="AJ220" s="10">
        <v>1312</v>
      </c>
      <c r="AK220" s="10">
        <v>1469</v>
      </c>
      <c r="AL220" s="10">
        <v>2006</v>
      </c>
      <c r="AM220" s="10">
        <v>356</v>
      </c>
      <c r="AN220" s="10">
        <v>1052</v>
      </c>
      <c r="AO220" s="10">
        <v>1253</v>
      </c>
      <c r="AP220" s="10">
        <v>1589</v>
      </c>
      <c r="AQ220" s="10">
        <v>1514</v>
      </c>
      <c r="AR220" s="10">
        <v>1292</v>
      </c>
      <c r="AS220" s="10">
        <v>1042</v>
      </c>
      <c r="AT220" s="10">
        <v>1136</v>
      </c>
      <c r="AU220" s="10">
        <v>2177</v>
      </c>
      <c r="AV220" s="10">
        <v>685</v>
      </c>
      <c r="AW220" s="10">
        <v>1222</v>
      </c>
      <c r="AX220" s="10">
        <v>959</v>
      </c>
      <c r="AY220" s="10">
        <v>1519</v>
      </c>
      <c r="AZ220" s="10">
        <v>620</v>
      </c>
      <c r="BA220" s="10">
        <v>1552</v>
      </c>
      <c r="BB220" s="10">
        <v>1620</v>
      </c>
      <c r="BC220" s="10">
        <v>1200</v>
      </c>
      <c r="BD220" s="10">
        <v>1483</v>
      </c>
      <c r="BE220" s="10">
        <v>1202</v>
      </c>
      <c r="BF220" s="10">
        <v>1323</v>
      </c>
      <c r="BG220" s="10">
        <v>1102</v>
      </c>
      <c r="BH220" s="10">
        <v>1091</v>
      </c>
      <c r="BI220" s="10">
        <v>1821</v>
      </c>
      <c r="BJ220" s="10">
        <v>1424</v>
      </c>
      <c r="BK220" s="10">
        <v>1608</v>
      </c>
      <c r="BL220" s="10">
        <v>944</v>
      </c>
    </row>
    <row r="221" spans="1:64">
      <c r="A221" s="15">
        <v>199615</v>
      </c>
      <c r="B221" s="14">
        <v>223938</v>
      </c>
      <c r="C221" s="14">
        <v>85</v>
      </c>
      <c r="D221" s="2" t="str">
        <f>HYPERLINK("http://128.120.136.21:8080/binbase-compound/bin/show/199615?db=rtx5","199615")</f>
        <v>199615</v>
      </c>
      <c r="E221" s="2" t="s">
        <v>507</v>
      </c>
      <c r="F221" s="2" t="s">
        <v>57</v>
      </c>
      <c r="G221" s="2" t="s">
        <v>57</v>
      </c>
      <c r="H221" s="10">
        <v>1717</v>
      </c>
      <c r="I221" s="10">
        <v>3929</v>
      </c>
      <c r="J221" s="10">
        <v>4797</v>
      </c>
      <c r="K221" s="10">
        <v>2646</v>
      </c>
      <c r="L221" s="10">
        <v>1604</v>
      </c>
      <c r="M221" s="10">
        <v>1073</v>
      </c>
      <c r="N221" s="10">
        <v>2560</v>
      </c>
      <c r="O221" s="10">
        <v>2456</v>
      </c>
      <c r="P221" s="10">
        <v>1328</v>
      </c>
      <c r="Q221" s="10">
        <v>3037</v>
      </c>
      <c r="R221" s="10">
        <v>2141</v>
      </c>
      <c r="S221" s="10">
        <v>28937</v>
      </c>
      <c r="T221" s="10">
        <v>1599</v>
      </c>
      <c r="U221" s="10">
        <v>4288</v>
      </c>
      <c r="V221" s="10">
        <v>3464</v>
      </c>
      <c r="W221" s="10">
        <v>977</v>
      </c>
      <c r="X221" s="10">
        <v>4916</v>
      </c>
      <c r="Y221" s="10">
        <v>7160</v>
      </c>
      <c r="Z221" s="10">
        <v>2229</v>
      </c>
      <c r="AA221" s="10">
        <v>4162</v>
      </c>
      <c r="AB221" s="10">
        <v>4214</v>
      </c>
      <c r="AC221" s="10">
        <v>1460</v>
      </c>
      <c r="AD221" s="10">
        <v>920</v>
      </c>
      <c r="AE221" s="10">
        <v>1017</v>
      </c>
      <c r="AF221" s="10">
        <v>1891</v>
      </c>
      <c r="AG221" s="10">
        <v>916</v>
      </c>
      <c r="AH221" s="10">
        <v>2463</v>
      </c>
      <c r="AI221" s="10">
        <v>2104</v>
      </c>
      <c r="AJ221" s="10">
        <v>2281</v>
      </c>
      <c r="AK221" s="10">
        <v>3873</v>
      </c>
      <c r="AL221" s="10">
        <v>3330</v>
      </c>
      <c r="AM221" s="10">
        <v>2752</v>
      </c>
      <c r="AN221" s="10">
        <v>4957</v>
      </c>
      <c r="AO221" s="10">
        <v>3973</v>
      </c>
      <c r="AP221" s="10">
        <v>3608</v>
      </c>
      <c r="AQ221" s="10">
        <v>12068</v>
      </c>
      <c r="AR221" s="10">
        <v>3209</v>
      </c>
      <c r="AS221" s="10">
        <v>3724</v>
      </c>
      <c r="AT221" s="10">
        <v>4834</v>
      </c>
      <c r="AU221" s="10">
        <v>490</v>
      </c>
      <c r="AV221" s="10">
        <v>6377</v>
      </c>
      <c r="AW221" s="10">
        <v>4309</v>
      </c>
      <c r="AX221" s="10">
        <v>3341</v>
      </c>
      <c r="AY221" s="10">
        <v>3483</v>
      </c>
      <c r="AZ221" s="10">
        <v>4103</v>
      </c>
      <c r="BA221" s="10">
        <v>1693</v>
      </c>
      <c r="BB221" s="10">
        <v>2665</v>
      </c>
      <c r="BC221" s="10">
        <v>2741</v>
      </c>
      <c r="BD221" s="10">
        <v>2401</v>
      </c>
      <c r="BE221" s="10">
        <v>2082</v>
      </c>
      <c r="BF221" s="10">
        <v>6695</v>
      </c>
      <c r="BG221" s="10">
        <v>5543</v>
      </c>
      <c r="BH221" s="10">
        <v>1568</v>
      </c>
      <c r="BI221" s="10">
        <v>4964</v>
      </c>
      <c r="BJ221" s="10">
        <v>3150</v>
      </c>
      <c r="BK221" s="10">
        <v>3936</v>
      </c>
      <c r="BL221" s="10">
        <v>2813</v>
      </c>
    </row>
    <row r="222" spans="1:64">
      <c r="A222" s="15">
        <v>202066</v>
      </c>
      <c r="B222" s="14">
        <v>335899</v>
      </c>
      <c r="C222" s="14">
        <v>100</v>
      </c>
      <c r="D222" s="2" t="str">
        <f>HYPERLINK("http://128.120.136.21:8080/binbase-compound/bin/show/202066?db=rtx5","202066")</f>
        <v>202066</v>
      </c>
      <c r="E222" s="2" t="s">
        <v>497</v>
      </c>
      <c r="F222" s="2" t="s">
        <v>57</v>
      </c>
      <c r="G222" s="2" t="s">
        <v>57</v>
      </c>
      <c r="H222" s="10">
        <v>2808</v>
      </c>
      <c r="I222" s="10">
        <v>6362</v>
      </c>
      <c r="J222" s="10">
        <v>3168</v>
      </c>
      <c r="K222" s="10">
        <v>5329</v>
      </c>
      <c r="L222" s="10">
        <v>5261</v>
      </c>
      <c r="M222" s="10">
        <v>2145</v>
      </c>
      <c r="N222" s="10">
        <v>6403</v>
      </c>
      <c r="O222" s="10">
        <v>6522</v>
      </c>
      <c r="P222" s="10">
        <v>3889</v>
      </c>
      <c r="Q222" s="10">
        <v>1795</v>
      </c>
      <c r="R222" s="10">
        <v>1806</v>
      </c>
      <c r="S222" s="10">
        <v>6264</v>
      </c>
      <c r="T222" s="10">
        <v>1970</v>
      </c>
      <c r="U222" s="10">
        <v>7680</v>
      </c>
      <c r="V222" s="10">
        <v>4797</v>
      </c>
      <c r="W222" s="10">
        <v>3761</v>
      </c>
      <c r="X222" s="10">
        <v>3602</v>
      </c>
      <c r="Y222" s="10">
        <v>5117</v>
      </c>
      <c r="Z222" s="10">
        <v>3556</v>
      </c>
      <c r="AA222" s="10">
        <v>5071</v>
      </c>
      <c r="AB222" s="10">
        <v>4797</v>
      </c>
      <c r="AC222" s="10">
        <v>5124</v>
      </c>
      <c r="AD222" s="10">
        <v>2381</v>
      </c>
      <c r="AE222" s="10">
        <v>4005</v>
      </c>
      <c r="AF222" s="10">
        <v>5248</v>
      </c>
      <c r="AG222" s="10">
        <v>3559</v>
      </c>
      <c r="AH222" s="10">
        <v>7365</v>
      </c>
      <c r="AI222" s="10">
        <v>4793</v>
      </c>
      <c r="AJ222" s="10">
        <v>6570</v>
      </c>
      <c r="AK222" s="10">
        <v>7252</v>
      </c>
      <c r="AL222" s="10">
        <v>10539</v>
      </c>
      <c r="AM222" s="10">
        <v>4400</v>
      </c>
      <c r="AN222" s="10">
        <v>9012</v>
      </c>
      <c r="AO222" s="10">
        <v>9416</v>
      </c>
      <c r="AP222" s="10">
        <v>2828</v>
      </c>
      <c r="AQ222" s="10">
        <v>4614</v>
      </c>
      <c r="AR222" s="10">
        <v>6854</v>
      </c>
      <c r="AS222" s="10">
        <v>5473</v>
      </c>
      <c r="AT222" s="10">
        <v>9689</v>
      </c>
      <c r="AU222" s="10">
        <v>3055</v>
      </c>
      <c r="AV222" s="10">
        <v>6630</v>
      </c>
      <c r="AW222" s="10">
        <v>7079</v>
      </c>
      <c r="AX222" s="10">
        <v>5988</v>
      </c>
      <c r="AY222" s="10">
        <v>4124</v>
      </c>
      <c r="AZ222" s="10">
        <v>4635</v>
      </c>
      <c r="BA222" s="10">
        <v>12621</v>
      </c>
      <c r="BB222" s="10">
        <v>6944</v>
      </c>
      <c r="BC222" s="10">
        <v>9685</v>
      </c>
      <c r="BD222" s="10">
        <v>8127</v>
      </c>
      <c r="BE222" s="10">
        <v>13621</v>
      </c>
      <c r="BF222" s="10">
        <v>9462</v>
      </c>
      <c r="BG222" s="10">
        <v>11254</v>
      </c>
      <c r="BH222" s="10">
        <v>9407</v>
      </c>
      <c r="BI222" s="10">
        <v>7156</v>
      </c>
      <c r="BJ222" s="10">
        <v>3888</v>
      </c>
      <c r="BK222" s="10">
        <v>7901</v>
      </c>
      <c r="BL222" s="10">
        <v>8358</v>
      </c>
    </row>
    <row r="223" spans="1:64">
      <c r="A223" s="15">
        <v>362005</v>
      </c>
      <c r="B223" s="14">
        <v>525136</v>
      </c>
      <c r="C223" s="14">
        <v>156</v>
      </c>
      <c r="D223" s="2" t="str">
        <f>HYPERLINK("http://128.120.136.21:8080/binbase-compound/bin/show/362005?db=rtx5","362005")</f>
        <v>362005</v>
      </c>
      <c r="E223" s="2" t="s">
        <v>340</v>
      </c>
      <c r="F223" s="2" t="s">
        <v>57</v>
      </c>
      <c r="G223" s="2" t="s">
        <v>57</v>
      </c>
      <c r="H223" s="10">
        <v>1976</v>
      </c>
      <c r="I223" s="10">
        <v>2214</v>
      </c>
      <c r="J223" s="10">
        <v>1596</v>
      </c>
      <c r="K223" s="10">
        <v>1500</v>
      </c>
      <c r="L223" s="10">
        <v>1528</v>
      </c>
      <c r="M223" s="10">
        <v>2936</v>
      </c>
      <c r="N223" s="10">
        <v>1901</v>
      </c>
      <c r="O223" s="10">
        <v>2867</v>
      </c>
      <c r="P223" s="10">
        <v>2306</v>
      </c>
      <c r="Q223" s="10">
        <v>2605</v>
      </c>
      <c r="R223" s="10">
        <v>4327</v>
      </c>
      <c r="S223" s="10">
        <v>2907</v>
      </c>
      <c r="T223" s="10">
        <v>2985</v>
      </c>
      <c r="U223" s="10">
        <v>1855</v>
      </c>
      <c r="V223" s="10">
        <v>3419</v>
      </c>
      <c r="W223" s="10">
        <v>2606</v>
      </c>
      <c r="X223" s="10">
        <v>2040</v>
      </c>
      <c r="Y223" s="10">
        <v>1380</v>
      </c>
      <c r="Z223" s="10">
        <v>3416</v>
      </c>
      <c r="AA223" s="10">
        <v>1462</v>
      </c>
      <c r="AB223" s="10">
        <v>1656</v>
      </c>
      <c r="AC223" s="10">
        <v>1481</v>
      </c>
      <c r="AD223" s="10">
        <v>1626</v>
      </c>
      <c r="AE223" s="10">
        <v>2438</v>
      </c>
      <c r="AF223" s="10">
        <v>2079</v>
      </c>
      <c r="AG223" s="10">
        <v>2290</v>
      </c>
      <c r="AH223" s="10">
        <v>1227</v>
      </c>
      <c r="AI223" s="10">
        <v>1797</v>
      </c>
      <c r="AJ223" s="10">
        <v>2654</v>
      </c>
      <c r="AK223" s="10">
        <v>2518</v>
      </c>
      <c r="AL223" s="10">
        <v>2604</v>
      </c>
      <c r="AM223" s="10">
        <v>1323</v>
      </c>
      <c r="AN223" s="10">
        <v>1734</v>
      </c>
      <c r="AO223" s="10">
        <v>4016</v>
      </c>
      <c r="AP223" s="10">
        <v>2145</v>
      </c>
      <c r="AQ223" s="10">
        <v>2237</v>
      </c>
      <c r="AR223" s="10">
        <v>2968</v>
      </c>
      <c r="AS223" s="10">
        <v>1158</v>
      </c>
      <c r="AT223" s="10">
        <v>1969</v>
      </c>
      <c r="AU223" s="10">
        <v>3308</v>
      </c>
      <c r="AV223" s="10">
        <v>1703</v>
      </c>
      <c r="AW223" s="10">
        <v>2006</v>
      </c>
      <c r="AX223" s="10">
        <v>1052</v>
      </c>
      <c r="AY223" s="10">
        <v>1825</v>
      </c>
      <c r="AZ223" s="10">
        <v>1569</v>
      </c>
      <c r="BA223" s="10">
        <v>2617</v>
      </c>
      <c r="BB223" s="10">
        <v>1860</v>
      </c>
      <c r="BC223" s="10">
        <v>1747</v>
      </c>
      <c r="BD223" s="10">
        <v>2010</v>
      </c>
      <c r="BE223" s="10">
        <v>2306</v>
      </c>
      <c r="BF223" s="10">
        <v>3178</v>
      </c>
      <c r="BG223" s="10">
        <v>1972</v>
      </c>
      <c r="BH223" s="10">
        <v>1985</v>
      </c>
      <c r="BI223" s="10">
        <v>1942</v>
      </c>
      <c r="BJ223" s="10">
        <v>2632</v>
      </c>
      <c r="BK223" s="10">
        <v>2343</v>
      </c>
      <c r="BL223" s="10">
        <v>4253</v>
      </c>
    </row>
    <row r="224" spans="1:64">
      <c r="A224" s="15">
        <v>237745</v>
      </c>
      <c r="B224" s="14">
        <v>597530</v>
      </c>
      <c r="C224" s="14">
        <v>299</v>
      </c>
      <c r="D224" s="2" t="str">
        <f>HYPERLINK("http://128.120.136.21:8080/binbase-compound/bin/show/237745?db=rtx5","237745")</f>
        <v>237745</v>
      </c>
      <c r="E224" s="2" t="s">
        <v>426</v>
      </c>
      <c r="F224" s="2" t="s">
        <v>57</v>
      </c>
      <c r="G224" s="2" t="s">
        <v>57</v>
      </c>
      <c r="H224" s="10">
        <v>954</v>
      </c>
      <c r="I224" s="10">
        <v>6783</v>
      </c>
      <c r="J224" s="10">
        <v>9559</v>
      </c>
      <c r="K224" s="10">
        <v>2001</v>
      </c>
      <c r="L224" s="10">
        <v>7336</v>
      </c>
      <c r="M224" s="10">
        <v>873</v>
      </c>
      <c r="N224" s="10">
        <v>8773</v>
      </c>
      <c r="O224" s="10">
        <v>3094</v>
      </c>
      <c r="P224" s="10">
        <v>2096</v>
      </c>
      <c r="Q224" s="10">
        <v>280</v>
      </c>
      <c r="R224" s="10">
        <v>175</v>
      </c>
      <c r="S224" s="10">
        <v>883</v>
      </c>
      <c r="T224" s="10">
        <v>2307</v>
      </c>
      <c r="U224" s="10">
        <v>2944</v>
      </c>
      <c r="V224" s="10">
        <v>3400</v>
      </c>
      <c r="W224" s="10">
        <v>2245</v>
      </c>
      <c r="X224" s="10">
        <v>1438</v>
      </c>
      <c r="Y224" s="10">
        <v>1678</v>
      </c>
      <c r="Z224" s="10">
        <v>3589</v>
      </c>
      <c r="AA224" s="10">
        <v>5676</v>
      </c>
      <c r="AB224" s="10">
        <v>4820</v>
      </c>
      <c r="AC224" s="10">
        <v>408</v>
      </c>
      <c r="AD224" s="10">
        <v>613</v>
      </c>
      <c r="AE224" s="10">
        <v>2320</v>
      </c>
      <c r="AF224" s="10">
        <v>670</v>
      </c>
      <c r="AG224" s="10">
        <v>246</v>
      </c>
      <c r="AH224" s="10">
        <v>1855</v>
      </c>
      <c r="AI224" s="10">
        <v>4685</v>
      </c>
      <c r="AJ224" s="10">
        <v>2977</v>
      </c>
      <c r="AK224" s="10">
        <v>4838</v>
      </c>
      <c r="AL224" s="10">
        <v>5747</v>
      </c>
      <c r="AM224" s="10">
        <v>3136</v>
      </c>
      <c r="AN224" s="10">
        <v>5060</v>
      </c>
      <c r="AO224" s="10">
        <v>4571</v>
      </c>
      <c r="AP224" s="10">
        <v>2848</v>
      </c>
      <c r="AQ224" s="10">
        <v>2896</v>
      </c>
      <c r="AR224" s="10">
        <v>5994</v>
      </c>
      <c r="AS224" s="10">
        <v>5323</v>
      </c>
      <c r="AT224" s="10">
        <v>6265</v>
      </c>
      <c r="AU224" s="10">
        <v>1952</v>
      </c>
      <c r="AV224" s="10">
        <v>7930</v>
      </c>
      <c r="AW224" s="10">
        <v>10151</v>
      </c>
      <c r="AX224" s="10">
        <v>10631</v>
      </c>
      <c r="AY224" s="10">
        <v>8108</v>
      </c>
      <c r="AZ224" s="10">
        <v>9037</v>
      </c>
      <c r="BA224" s="10">
        <v>3325</v>
      </c>
      <c r="BB224" s="10">
        <v>6079</v>
      </c>
      <c r="BC224" s="10">
        <v>6633</v>
      </c>
      <c r="BD224" s="10">
        <v>1550</v>
      </c>
      <c r="BE224" s="10">
        <v>2725</v>
      </c>
      <c r="BF224" s="10">
        <v>4626</v>
      </c>
      <c r="BG224" s="10">
        <v>4864</v>
      </c>
      <c r="BH224" s="10">
        <v>2301</v>
      </c>
      <c r="BI224" s="10">
        <v>5520</v>
      </c>
      <c r="BJ224" s="10">
        <v>1972</v>
      </c>
      <c r="BK224" s="10">
        <v>1819</v>
      </c>
      <c r="BL224" s="10">
        <v>1696</v>
      </c>
    </row>
    <row r="225" spans="1:64">
      <c r="A225" s="15">
        <v>445906</v>
      </c>
      <c r="B225" s="14">
        <v>290888</v>
      </c>
      <c r="C225" s="14">
        <v>145</v>
      </c>
      <c r="D225" s="2" t="str">
        <f>HYPERLINK("http://128.120.136.21:8080/binbase-compound/bin/show/445906?db=rtx5","445906")</f>
        <v>445906</v>
      </c>
      <c r="E225" s="2" t="s">
        <v>287</v>
      </c>
      <c r="F225" s="2" t="s">
        <v>57</v>
      </c>
      <c r="G225" s="2" t="s">
        <v>57</v>
      </c>
      <c r="H225" s="10">
        <v>675</v>
      </c>
      <c r="I225" s="10">
        <v>3207</v>
      </c>
      <c r="J225" s="10">
        <v>1268</v>
      </c>
      <c r="K225" s="10">
        <v>674</v>
      </c>
      <c r="L225" s="10">
        <v>1239</v>
      </c>
      <c r="M225" s="10">
        <v>1344</v>
      </c>
      <c r="N225" s="10">
        <v>1580</v>
      </c>
      <c r="O225" s="10">
        <v>815</v>
      </c>
      <c r="P225" s="10">
        <v>1205</v>
      </c>
      <c r="Q225" s="10">
        <v>5483</v>
      </c>
      <c r="R225" s="10">
        <v>4840</v>
      </c>
      <c r="S225" s="10">
        <v>2324</v>
      </c>
      <c r="T225" s="10">
        <v>2511</v>
      </c>
      <c r="U225" s="10">
        <v>1635</v>
      </c>
      <c r="V225" s="10">
        <v>881</v>
      </c>
      <c r="W225" s="10">
        <v>830</v>
      </c>
      <c r="X225" s="10">
        <v>949</v>
      </c>
      <c r="Y225" s="10">
        <v>1469</v>
      </c>
      <c r="Z225" s="10">
        <v>3903</v>
      </c>
      <c r="AA225" s="10">
        <v>3100</v>
      </c>
      <c r="AB225" s="10">
        <v>1919</v>
      </c>
      <c r="AC225" s="10">
        <v>1156</v>
      </c>
      <c r="AD225" s="10">
        <v>677</v>
      </c>
      <c r="AE225" s="10">
        <v>843</v>
      </c>
      <c r="AF225" s="10">
        <v>3136</v>
      </c>
      <c r="AG225" s="10">
        <v>1537</v>
      </c>
      <c r="AH225" s="10">
        <v>1116</v>
      </c>
      <c r="AI225" s="10">
        <v>2199</v>
      </c>
      <c r="AJ225" s="10">
        <v>1710</v>
      </c>
      <c r="AK225" s="10">
        <v>2666</v>
      </c>
      <c r="AL225" s="10">
        <v>1615</v>
      </c>
      <c r="AM225" s="10">
        <v>2491</v>
      </c>
      <c r="AN225" s="10">
        <v>1501</v>
      </c>
      <c r="AO225" s="10">
        <v>2053</v>
      </c>
      <c r="AP225" s="10">
        <v>2274</v>
      </c>
      <c r="AQ225" s="10">
        <v>4183</v>
      </c>
      <c r="AR225" s="10">
        <v>2426</v>
      </c>
      <c r="AS225" s="10">
        <v>1300</v>
      </c>
      <c r="AT225" s="10">
        <v>9006</v>
      </c>
      <c r="AU225" s="10">
        <v>1600</v>
      </c>
      <c r="AV225" s="10">
        <v>1888</v>
      </c>
      <c r="AW225" s="10">
        <v>7116</v>
      </c>
      <c r="AX225" s="10">
        <v>1417</v>
      </c>
      <c r="AY225" s="10">
        <v>1230</v>
      </c>
      <c r="AZ225" s="10">
        <v>1485</v>
      </c>
      <c r="BA225" s="10">
        <v>1518</v>
      </c>
      <c r="BB225" s="10">
        <v>2581</v>
      </c>
      <c r="BC225" s="10">
        <v>3420</v>
      </c>
      <c r="BD225" s="10">
        <v>1238</v>
      </c>
      <c r="BE225" s="10">
        <v>1287</v>
      </c>
      <c r="BF225" s="10">
        <v>1786</v>
      </c>
      <c r="BG225" s="10">
        <v>2370</v>
      </c>
      <c r="BH225" s="10">
        <v>1381</v>
      </c>
      <c r="BI225" s="10">
        <v>1894</v>
      </c>
      <c r="BJ225" s="10">
        <v>1317</v>
      </c>
      <c r="BK225" s="10">
        <v>2775</v>
      </c>
      <c r="BL225" s="10">
        <v>1154</v>
      </c>
    </row>
    <row r="226" spans="1:64">
      <c r="A226" s="15">
        <v>208481</v>
      </c>
      <c r="B226" s="14">
        <v>389884</v>
      </c>
      <c r="C226" s="14">
        <v>85</v>
      </c>
      <c r="D226" s="2" t="str">
        <f>HYPERLINK("http://128.120.136.21:8080/binbase-compound/bin/show/208481?db=rtx5","208481")</f>
        <v>208481</v>
      </c>
      <c r="E226" s="2" t="s">
        <v>486</v>
      </c>
      <c r="F226" s="2" t="s">
        <v>57</v>
      </c>
      <c r="G226" s="2" t="s">
        <v>57</v>
      </c>
      <c r="H226" s="10">
        <v>2292</v>
      </c>
      <c r="I226" s="10">
        <v>2579</v>
      </c>
      <c r="J226" s="10">
        <v>3141</v>
      </c>
      <c r="K226" s="10">
        <v>1851</v>
      </c>
      <c r="L226" s="10">
        <v>2317</v>
      </c>
      <c r="M226" s="10">
        <v>1560</v>
      </c>
      <c r="N226" s="10">
        <v>3584</v>
      </c>
      <c r="O226" s="10">
        <v>3003</v>
      </c>
      <c r="P226" s="10">
        <v>1816</v>
      </c>
      <c r="Q226" s="10">
        <v>3193</v>
      </c>
      <c r="R226" s="10">
        <v>1826</v>
      </c>
      <c r="S226" s="10">
        <v>11201</v>
      </c>
      <c r="T226" s="10">
        <v>1332</v>
      </c>
      <c r="U226" s="10">
        <v>3365</v>
      </c>
      <c r="V226" s="10">
        <v>2824</v>
      </c>
      <c r="W226" s="10">
        <v>1507</v>
      </c>
      <c r="X226" s="10">
        <v>2177</v>
      </c>
      <c r="Y226" s="10">
        <v>2529</v>
      </c>
      <c r="Z226" s="10">
        <v>1981</v>
      </c>
      <c r="AA226" s="10">
        <v>4249</v>
      </c>
      <c r="AB226" s="10">
        <v>4018</v>
      </c>
      <c r="AC226" s="10">
        <v>1677</v>
      </c>
      <c r="AD226" s="10">
        <v>1518</v>
      </c>
      <c r="AE226" s="10">
        <v>1707</v>
      </c>
      <c r="AF226" s="10">
        <v>1771</v>
      </c>
      <c r="AG226" s="10">
        <v>1240</v>
      </c>
      <c r="AH226" s="10">
        <v>4202</v>
      </c>
      <c r="AI226" s="10">
        <v>2674</v>
      </c>
      <c r="AJ226" s="10">
        <v>1729</v>
      </c>
      <c r="AK226" s="10">
        <v>4039</v>
      </c>
      <c r="AL226" s="10">
        <v>3563</v>
      </c>
      <c r="AM226" s="10">
        <v>2214</v>
      </c>
      <c r="AN226" s="10">
        <v>4755</v>
      </c>
      <c r="AO226" s="10">
        <v>2863</v>
      </c>
      <c r="AP226" s="10">
        <v>2769</v>
      </c>
      <c r="AQ226" s="10">
        <v>7658</v>
      </c>
      <c r="AR226" s="10">
        <v>3030</v>
      </c>
      <c r="AS226" s="10">
        <v>4008</v>
      </c>
      <c r="AT226" s="10">
        <v>3070</v>
      </c>
      <c r="AU226" s="10">
        <v>1572</v>
      </c>
      <c r="AV226" s="10">
        <v>4146</v>
      </c>
      <c r="AW226" s="10">
        <v>4324</v>
      </c>
      <c r="AX226" s="10">
        <v>3812</v>
      </c>
      <c r="AY226" s="10">
        <v>2739</v>
      </c>
      <c r="AZ226" s="10">
        <v>3666</v>
      </c>
      <c r="BA226" s="10">
        <v>1918</v>
      </c>
      <c r="BB226" s="10">
        <v>2483</v>
      </c>
      <c r="BC226" s="10">
        <v>4193</v>
      </c>
      <c r="BD226" s="10">
        <v>1916</v>
      </c>
      <c r="BE226" s="10">
        <v>2039</v>
      </c>
      <c r="BF226" s="10">
        <v>2541</v>
      </c>
      <c r="BG226" s="10">
        <v>3712</v>
      </c>
      <c r="BH226" s="10">
        <v>2261</v>
      </c>
      <c r="BI226" s="10">
        <v>3215</v>
      </c>
      <c r="BJ226" s="10">
        <v>2229</v>
      </c>
      <c r="BK226" s="10">
        <v>3555</v>
      </c>
      <c r="BL226" s="10">
        <v>2499</v>
      </c>
    </row>
    <row r="227" spans="1:64">
      <c r="A227" s="15">
        <v>356985</v>
      </c>
      <c r="B227" s="14">
        <v>542812</v>
      </c>
      <c r="C227" s="14">
        <v>102</v>
      </c>
      <c r="D227" s="2" t="str">
        <f>HYPERLINK("http://128.120.136.21:8080/binbase-compound/bin/show/356985?db=rtx5","356985")</f>
        <v>356985</v>
      </c>
      <c r="E227" s="2" t="s">
        <v>348</v>
      </c>
      <c r="F227" s="2" t="s">
        <v>57</v>
      </c>
      <c r="G227" s="2" t="s">
        <v>57</v>
      </c>
      <c r="H227" s="10">
        <v>3456</v>
      </c>
      <c r="I227" s="10">
        <v>7120</v>
      </c>
      <c r="J227" s="10">
        <v>7478</v>
      </c>
      <c r="K227" s="10">
        <v>7394</v>
      </c>
      <c r="L227" s="10">
        <v>2562</v>
      </c>
      <c r="M227" s="10">
        <v>2027</v>
      </c>
      <c r="N227" s="10">
        <v>4097</v>
      </c>
      <c r="O227" s="10">
        <v>10284</v>
      </c>
      <c r="P227" s="10">
        <v>3961</v>
      </c>
      <c r="Q227" s="10">
        <v>4463</v>
      </c>
      <c r="R227" s="10">
        <v>6046</v>
      </c>
      <c r="S227" s="10">
        <v>4961</v>
      </c>
      <c r="T227" s="10">
        <v>3958</v>
      </c>
      <c r="U227" s="10">
        <v>6225</v>
      </c>
      <c r="V227" s="10">
        <v>13931</v>
      </c>
      <c r="W227" s="10">
        <v>3275</v>
      </c>
      <c r="X227" s="10">
        <v>3184</v>
      </c>
      <c r="Y227" s="10">
        <v>3030</v>
      </c>
      <c r="Z227" s="10">
        <v>3659</v>
      </c>
      <c r="AA227" s="10">
        <v>4867</v>
      </c>
      <c r="AB227" s="10">
        <v>12439</v>
      </c>
      <c r="AC227" s="10">
        <v>1796</v>
      </c>
      <c r="AD227" s="10">
        <v>1921</v>
      </c>
      <c r="AE227" s="10">
        <v>4098</v>
      </c>
      <c r="AF227" s="10">
        <v>4995</v>
      </c>
      <c r="AG227" s="10">
        <v>12296</v>
      </c>
      <c r="AH227" s="10">
        <v>1886</v>
      </c>
      <c r="AI227" s="10">
        <v>6954</v>
      </c>
      <c r="AJ227" s="10">
        <v>6153</v>
      </c>
      <c r="AK227" s="10">
        <v>5289</v>
      </c>
      <c r="AL227" s="10">
        <v>3478</v>
      </c>
      <c r="AM227" s="10">
        <v>4027</v>
      </c>
      <c r="AN227" s="10">
        <v>3490</v>
      </c>
      <c r="AO227" s="10">
        <v>2921</v>
      </c>
      <c r="AP227" s="10">
        <v>6033</v>
      </c>
      <c r="AQ227" s="10">
        <v>14249</v>
      </c>
      <c r="AR227" s="10">
        <v>6627</v>
      </c>
      <c r="AS227" s="10">
        <v>2857</v>
      </c>
      <c r="AT227" s="10">
        <v>5546</v>
      </c>
      <c r="AU227" s="10">
        <v>2834</v>
      </c>
      <c r="AV227" s="10">
        <v>3172</v>
      </c>
      <c r="AW227" s="10">
        <v>7048</v>
      </c>
      <c r="AX227" s="10">
        <v>3370</v>
      </c>
      <c r="AY227" s="10">
        <v>6085</v>
      </c>
      <c r="AZ227" s="10">
        <v>3007</v>
      </c>
      <c r="BA227" s="10">
        <v>2626</v>
      </c>
      <c r="BB227" s="10">
        <v>4559</v>
      </c>
      <c r="BC227" s="10">
        <v>2416</v>
      </c>
      <c r="BD227" s="10">
        <v>3890</v>
      </c>
      <c r="BE227" s="10">
        <v>2211</v>
      </c>
      <c r="BF227" s="10">
        <v>2651</v>
      </c>
      <c r="BG227" s="10">
        <v>11157</v>
      </c>
      <c r="BH227" s="10">
        <v>8149</v>
      </c>
      <c r="BI227" s="10">
        <v>9496</v>
      </c>
      <c r="BJ227" s="10">
        <v>5600</v>
      </c>
      <c r="BK227" s="10">
        <v>3302</v>
      </c>
      <c r="BL227" s="10">
        <v>4556</v>
      </c>
    </row>
    <row r="228" spans="1:64">
      <c r="A228" s="15">
        <v>201862</v>
      </c>
      <c r="B228" s="14">
        <v>1134655</v>
      </c>
      <c r="C228" s="14">
        <v>441</v>
      </c>
      <c r="D228" s="2" t="str">
        <f>HYPERLINK("http://128.120.136.21:8080/binbase-compound/bin/show/201862?db=rtx5","201862")</f>
        <v>201862</v>
      </c>
      <c r="E228" s="2" t="s">
        <v>498</v>
      </c>
      <c r="F228" s="2" t="s">
        <v>57</v>
      </c>
      <c r="G228" s="2" t="s">
        <v>57</v>
      </c>
      <c r="H228" s="10">
        <v>977</v>
      </c>
      <c r="I228" s="10">
        <v>1558</v>
      </c>
      <c r="J228" s="10">
        <v>1486</v>
      </c>
      <c r="K228" s="10">
        <v>513</v>
      </c>
      <c r="L228" s="10">
        <v>1209</v>
      </c>
      <c r="M228" s="10">
        <v>679</v>
      </c>
      <c r="N228" s="10">
        <v>1827</v>
      </c>
      <c r="O228" s="10">
        <v>878</v>
      </c>
      <c r="P228" s="10">
        <v>581</v>
      </c>
      <c r="Q228" s="10">
        <v>2111</v>
      </c>
      <c r="R228" s="10">
        <v>1363</v>
      </c>
      <c r="S228" s="10">
        <v>10240</v>
      </c>
      <c r="T228" s="10">
        <v>684</v>
      </c>
      <c r="U228" s="10">
        <v>1408</v>
      </c>
      <c r="V228" s="10">
        <v>1098</v>
      </c>
      <c r="W228" s="10">
        <v>756</v>
      </c>
      <c r="X228" s="10">
        <v>876</v>
      </c>
      <c r="Y228" s="10">
        <v>816</v>
      </c>
      <c r="Z228" s="10">
        <v>1084</v>
      </c>
      <c r="AA228" s="10">
        <v>1837</v>
      </c>
      <c r="AB228" s="10">
        <v>1626</v>
      </c>
      <c r="AC228" s="10">
        <v>319</v>
      </c>
      <c r="AD228" s="10">
        <v>487</v>
      </c>
      <c r="AE228" s="10">
        <v>417</v>
      </c>
      <c r="AF228" s="10">
        <v>758</v>
      </c>
      <c r="AG228" s="10">
        <v>598</v>
      </c>
      <c r="AH228" s="10">
        <v>1523</v>
      </c>
      <c r="AI228" s="10">
        <v>1583</v>
      </c>
      <c r="AJ228" s="10">
        <v>1130</v>
      </c>
      <c r="AK228" s="10">
        <v>2754</v>
      </c>
      <c r="AL228" s="10">
        <v>2665</v>
      </c>
      <c r="AM228" s="10">
        <v>1048</v>
      </c>
      <c r="AN228" s="10">
        <v>2881</v>
      </c>
      <c r="AO228" s="10">
        <v>2523</v>
      </c>
      <c r="AP228" s="10">
        <v>885</v>
      </c>
      <c r="AQ228" s="10">
        <v>5085</v>
      </c>
      <c r="AR228" s="10">
        <v>1366</v>
      </c>
      <c r="AS228" s="10">
        <v>2307</v>
      </c>
      <c r="AT228" s="10">
        <v>584</v>
      </c>
      <c r="AU228" s="10">
        <v>516</v>
      </c>
      <c r="AV228" s="10">
        <v>1878</v>
      </c>
      <c r="AW228" s="10">
        <v>995</v>
      </c>
      <c r="AX228" s="10">
        <v>774</v>
      </c>
      <c r="AY228" s="10">
        <v>1640</v>
      </c>
      <c r="AZ228" s="10">
        <v>1302</v>
      </c>
      <c r="BA228" s="10">
        <v>843</v>
      </c>
      <c r="BB228" s="10">
        <v>931</v>
      </c>
      <c r="BC228" s="10">
        <v>1050</v>
      </c>
      <c r="BD228" s="10">
        <v>1475</v>
      </c>
      <c r="BE228" s="10">
        <v>1243</v>
      </c>
      <c r="BF228" s="10">
        <v>1643</v>
      </c>
      <c r="BG228" s="10">
        <v>1097</v>
      </c>
      <c r="BH228" s="10">
        <v>890</v>
      </c>
      <c r="BI228" s="10">
        <v>1278</v>
      </c>
      <c r="BJ228" s="10">
        <v>1116</v>
      </c>
      <c r="BK228" s="10">
        <v>2097</v>
      </c>
      <c r="BL228" s="10">
        <v>1461</v>
      </c>
    </row>
    <row r="229" spans="1:64">
      <c r="A229" s="15">
        <v>268399</v>
      </c>
      <c r="B229" s="14">
        <v>330456</v>
      </c>
      <c r="C229" s="14">
        <v>229</v>
      </c>
      <c r="D229" s="2" t="str">
        <f>HYPERLINK("http://128.120.136.21:8080/binbase-compound/bin/show/268399?db=rtx5","268399")</f>
        <v>268399</v>
      </c>
      <c r="E229" s="2" t="s">
        <v>406</v>
      </c>
      <c r="F229" s="2" t="s">
        <v>57</v>
      </c>
      <c r="G229" s="2" t="s">
        <v>57</v>
      </c>
      <c r="H229" s="10">
        <v>1557</v>
      </c>
      <c r="I229" s="10">
        <v>608</v>
      </c>
      <c r="J229" s="10">
        <v>843</v>
      </c>
      <c r="K229" s="10">
        <v>1160</v>
      </c>
      <c r="L229" s="10">
        <v>738</v>
      </c>
      <c r="M229" s="10">
        <v>1574</v>
      </c>
      <c r="N229" s="10">
        <v>811</v>
      </c>
      <c r="O229" s="10">
        <v>1395</v>
      </c>
      <c r="P229" s="10">
        <v>837</v>
      </c>
      <c r="Q229" s="10">
        <v>2047</v>
      </c>
      <c r="R229" s="10">
        <v>1283</v>
      </c>
      <c r="S229" s="10">
        <v>1417</v>
      </c>
      <c r="T229" s="10">
        <v>1052</v>
      </c>
      <c r="U229" s="10">
        <v>826</v>
      </c>
      <c r="V229" s="10">
        <v>815</v>
      </c>
      <c r="W229" s="10">
        <v>982</v>
      </c>
      <c r="X229" s="10">
        <v>743</v>
      </c>
      <c r="Y229" s="10">
        <v>996</v>
      </c>
      <c r="Z229" s="10">
        <v>1222</v>
      </c>
      <c r="AA229" s="10">
        <v>851</v>
      </c>
      <c r="AB229" s="10">
        <v>1439</v>
      </c>
      <c r="AC229" s="10">
        <v>1012</v>
      </c>
      <c r="AD229" s="10">
        <v>880</v>
      </c>
      <c r="AE229" s="10">
        <v>989</v>
      </c>
      <c r="AF229" s="10">
        <v>1843</v>
      </c>
      <c r="AG229" s="10">
        <v>558</v>
      </c>
      <c r="AH229" s="10">
        <v>613</v>
      </c>
      <c r="AI229" s="10">
        <v>1307</v>
      </c>
      <c r="AJ229" s="10">
        <v>1347</v>
      </c>
      <c r="AK229" s="10">
        <v>1387</v>
      </c>
      <c r="AL229" s="10">
        <v>921</v>
      </c>
      <c r="AM229" s="10">
        <v>1126</v>
      </c>
      <c r="AN229" s="10">
        <v>781</v>
      </c>
      <c r="AO229" s="10">
        <v>1056</v>
      </c>
      <c r="AP229" s="10">
        <v>1341</v>
      </c>
      <c r="AQ229" s="10">
        <v>1290</v>
      </c>
      <c r="AR229" s="10">
        <v>2295</v>
      </c>
      <c r="AS229" s="10">
        <v>882</v>
      </c>
      <c r="AT229" s="10">
        <v>1761</v>
      </c>
      <c r="AU229" s="10">
        <v>1070</v>
      </c>
      <c r="AV229" s="10">
        <v>969</v>
      </c>
      <c r="AW229" s="10">
        <v>1730</v>
      </c>
      <c r="AX229" s="10">
        <v>604</v>
      </c>
      <c r="AY229" s="10">
        <v>876</v>
      </c>
      <c r="AZ229" s="10">
        <v>644</v>
      </c>
      <c r="BA229" s="10">
        <v>1738</v>
      </c>
      <c r="BB229" s="10">
        <v>1645</v>
      </c>
      <c r="BC229" s="10">
        <v>1419</v>
      </c>
      <c r="BD229" s="10">
        <v>1412</v>
      </c>
      <c r="BE229" s="10">
        <v>2097</v>
      </c>
      <c r="BF229" s="10">
        <v>1383</v>
      </c>
      <c r="BG229" s="10">
        <v>1300</v>
      </c>
      <c r="BH229" s="10">
        <v>1701</v>
      </c>
      <c r="BI229" s="10">
        <v>1709</v>
      </c>
      <c r="BJ229" s="10">
        <v>900</v>
      </c>
      <c r="BK229" s="10">
        <v>2362</v>
      </c>
      <c r="BL229" s="10">
        <v>1484</v>
      </c>
    </row>
    <row r="230" spans="1:64">
      <c r="A230" s="15">
        <v>222065</v>
      </c>
      <c r="B230" s="14">
        <v>659546</v>
      </c>
      <c r="C230" s="14">
        <v>269</v>
      </c>
      <c r="D230" s="2" t="str">
        <f>HYPERLINK("http://128.120.136.21:8080/binbase-compound/bin/show/222065?db=rtx5","222065")</f>
        <v>222065</v>
      </c>
      <c r="E230" s="2" t="s">
        <v>465</v>
      </c>
      <c r="F230" s="2" t="s">
        <v>57</v>
      </c>
      <c r="G230" s="2" t="s">
        <v>57</v>
      </c>
      <c r="H230" s="10">
        <v>1207</v>
      </c>
      <c r="I230" s="10">
        <v>2168</v>
      </c>
      <c r="J230" s="10">
        <v>663</v>
      </c>
      <c r="K230" s="10">
        <v>149</v>
      </c>
      <c r="L230" s="10">
        <v>645</v>
      </c>
      <c r="M230" s="10">
        <v>617</v>
      </c>
      <c r="N230" s="10">
        <v>2853</v>
      </c>
      <c r="O230" s="10">
        <v>2071</v>
      </c>
      <c r="P230" s="10">
        <v>294</v>
      </c>
      <c r="Q230" s="10">
        <v>1618</v>
      </c>
      <c r="R230" s="10">
        <v>1542</v>
      </c>
      <c r="S230" s="10">
        <v>5610</v>
      </c>
      <c r="T230" s="10">
        <v>1812</v>
      </c>
      <c r="U230" s="10">
        <v>4579</v>
      </c>
      <c r="V230" s="10">
        <v>4214</v>
      </c>
      <c r="W230" s="10">
        <v>948</v>
      </c>
      <c r="X230" s="10">
        <v>1085</v>
      </c>
      <c r="Y230" s="10">
        <v>1048</v>
      </c>
      <c r="Z230" s="10">
        <v>499</v>
      </c>
      <c r="AA230" s="10">
        <v>2025</v>
      </c>
      <c r="AB230" s="10">
        <v>1561</v>
      </c>
      <c r="AC230" s="10">
        <v>537</v>
      </c>
      <c r="AD230" s="10">
        <v>543</v>
      </c>
      <c r="AE230" s="10">
        <v>701</v>
      </c>
      <c r="AF230" s="10">
        <v>346</v>
      </c>
      <c r="AG230" s="10">
        <v>313</v>
      </c>
      <c r="AH230" s="10">
        <v>811</v>
      </c>
      <c r="AI230" s="10">
        <v>285</v>
      </c>
      <c r="AJ230" s="10">
        <v>301</v>
      </c>
      <c r="AK230" s="10">
        <v>1744</v>
      </c>
      <c r="AL230" s="10">
        <v>3286</v>
      </c>
      <c r="AM230" s="10">
        <v>1159</v>
      </c>
      <c r="AN230" s="10">
        <v>761</v>
      </c>
      <c r="AO230" s="10">
        <v>2187</v>
      </c>
      <c r="AP230" s="10">
        <v>446</v>
      </c>
      <c r="AQ230" s="10">
        <v>1534</v>
      </c>
      <c r="AR230" s="10">
        <v>853</v>
      </c>
      <c r="AS230" s="10">
        <v>683</v>
      </c>
      <c r="AT230" s="10">
        <v>689</v>
      </c>
      <c r="AU230" s="10">
        <v>128</v>
      </c>
      <c r="AV230" s="10">
        <v>194</v>
      </c>
      <c r="AW230" s="10">
        <v>1321</v>
      </c>
      <c r="AX230" s="10">
        <v>2413</v>
      </c>
      <c r="AY230" s="10">
        <v>220</v>
      </c>
      <c r="AZ230" s="10">
        <v>287</v>
      </c>
      <c r="BA230" s="10">
        <v>880</v>
      </c>
      <c r="BB230" s="10">
        <v>2374</v>
      </c>
      <c r="BC230" s="10">
        <v>4249</v>
      </c>
      <c r="BD230" s="10">
        <v>3092</v>
      </c>
      <c r="BE230" s="10">
        <v>1370</v>
      </c>
      <c r="BF230" s="10">
        <v>2835</v>
      </c>
      <c r="BG230" s="10">
        <v>1056</v>
      </c>
      <c r="BH230" s="10">
        <v>732</v>
      </c>
      <c r="BI230" s="10">
        <v>1400</v>
      </c>
      <c r="BJ230" s="10">
        <v>587</v>
      </c>
      <c r="BK230" s="10">
        <v>203</v>
      </c>
      <c r="BL230" s="10">
        <v>348</v>
      </c>
    </row>
    <row r="231" spans="1:64">
      <c r="A231" s="15">
        <v>271416</v>
      </c>
      <c r="B231" s="14">
        <v>593932</v>
      </c>
      <c r="C231" s="14">
        <v>197</v>
      </c>
      <c r="D231" s="2" t="str">
        <f>HYPERLINK("http://128.120.136.21:8080/binbase-compound/bin/show/271416?db=rtx5","271416")</f>
        <v>271416</v>
      </c>
      <c r="E231" s="2" t="s">
        <v>398</v>
      </c>
      <c r="F231" s="2" t="s">
        <v>57</v>
      </c>
      <c r="G231" s="2" t="s">
        <v>57</v>
      </c>
      <c r="H231" s="10">
        <v>1113</v>
      </c>
      <c r="I231" s="10">
        <v>1889</v>
      </c>
      <c r="J231" s="10">
        <v>1368</v>
      </c>
      <c r="K231" s="10">
        <v>1794</v>
      </c>
      <c r="L231" s="10">
        <v>2626</v>
      </c>
      <c r="M231" s="10">
        <v>962</v>
      </c>
      <c r="N231" s="10">
        <v>2223</v>
      </c>
      <c r="O231" s="10">
        <v>956</v>
      </c>
      <c r="P231" s="10">
        <v>1016</v>
      </c>
      <c r="Q231" s="10">
        <v>3544</v>
      </c>
      <c r="R231" s="10">
        <v>2536</v>
      </c>
      <c r="S231" s="10">
        <v>6156</v>
      </c>
      <c r="T231" s="10">
        <v>1009</v>
      </c>
      <c r="U231" s="10">
        <v>2301</v>
      </c>
      <c r="V231" s="10">
        <v>1443</v>
      </c>
      <c r="W231" s="10">
        <v>874</v>
      </c>
      <c r="X231" s="10">
        <v>1294</v>
      </c>
      <c r="Y231" s="10">
        <v>930</v>
      </c>
      <c r="Z231" s="10">
        <v>1713</v>
      </c>
      <c r="AA231" s="10">
        <v>1670</v>
      </c>
      <c r="AB231" s="10">
        <v>1247</v>
      </c>
      <c r="AC231" s="10">
        <v>1256</v>
      </c>
      <c r="AD231" s="10">
        <v>907</v>
      </c>
      <c r="AE231" s="10">
        <v>1720</v>
      </c>
      <c r="AF231" s="10">
        <v>2206</v>
      </c>
      <c r="AG231" s="10">
        <v>833</v>
      </c>
      <c r="AH231" s="10">
        <v>2490</v>
      </c>
      <c r="AI231" s="10">
        <v>3197</v>
      </c>
      <c r="AJ231" s="10">
        <v>2206</v>
      </c>
      <c r="AK231" s="10">
        <v>3544</v>
      </c>
      <c r="AL231" s="10">
        <v>1659</v>
      </c>
      <c r="AM231" s="10">
        <v>844</v>
      </c>
      <c r="AN231" s="10">
        <v>2179</v>
      </c>
      <c r="AO231" s="10">
        <v>2537</v>
      </c>
      <c r="AP231" s="10">
        <v>2773</v>
      </c>
      <c r="AQ231" s="10">
        <v>6871</v>
      </c>
      <c r="AR231" s="10">
        <v>1540</v>
      </c>
      <c r="AS231" s="10">
        <v>1898</v>
      </c>
      <c r="AT231" s="10">
        <v>1211</v>
      </c>
      <c r="AU231" s="10">
        <v>628</v>
      </c>
      <c r="AV231" s="10">
        <v>2826</v>
      </c>
      <c r="AW231" s="10">
        <v>1383</v>
      </c>
      <c r="AX231" s="10">
        <v>1185</v>
      </c>
      <c r="AY231" s="10">
        <v>1781</v>
      </c>
      <c r="AZ231" s="10">
        <v>3032</v>
      </c>
      <c r="BA231" s="10">
        <v>2965</v>
      </c>
      <c r="BB231" s="10">
        <v>1085</v>
      </c>
      <c r="BC231" s="10">
        <v>2337</v>
      </c>
      <c r="BD231" s="10">
        <v>2219</v>
      </c>
      <c r="BE231" s="10">
        <v>2230</v>
      </c>
      <c r="BF231" s="10">
        <v>2848</v>
      </c>
      <c r="BG231" s="10">
        <v>3211</v>
      </c>
      <c r="BH231" s="10">
        <v>1787</v>
      </c>
      <c r="BI231" s="10">
        <v>2915</v>
      </c>
      <c r="BJ231" s="10">
        <v>1373</v>
      </c>
      <c r="BK231" s="10">
        <v>1683</v>
      </c>
      <c r="BL231" s="10">
        <v>1070</v>
      </c>
    </row>
    <row r="232" spans="1:64">
      <c r="A232" s="15">
        <v>300129</v>
      </c>
      <c r="B232" s="14">
        <v>371476</v>
      </c>
      <c r="C232" s="14">
        <v>85</v>
      </c>
      <c r="D232" s="2" t="str">
        <f>HYPERLINK("http://128.120.136.21:8080/binbase-compound/bin/show/300129?db=rtx5","300129")</f>
        <v>300129</v>
      </c>
      <c r="E232" s="2" t="s">
        <v>377</v>
      </c>
      <c r="F232" s="2" t="s">
        <v>57</v>
      </c>
      <c r="G232" s="2" t="s">
        <v>57</v>
      </c>
      <c r="H232" s="10">
        <v>2146</v>
      </c>
      <c r="I232" s="10">
        <v>3394</v>
      </c>
      <c r="J232" s="10">
        <v>2761</v>
      </c>
      <c r="K232" s="10">
        <v>1822</v>
      </c>
      <c r="L232" s="10">
        <v>2170</v>
      </c>
      <c r="M232" s="10">
        <v>1402</v>
      </c>
      <c r="N232" s="10">
        <v>2170</v>
      </c>
      <c r="O232" s="10">
        <v>2032</v>
      </c>
      <c r="P232" s="10">
        <v>1476</v>
      </c>
      <c r="Q232" s="10">
        <v>4209</v>
      </c>
      <c r="R232" s="10">
        <v>3043</v>
      </c>
      <c r="S232" s="10">
        <v>10727</v>
      </c>
      <c r="T232" s="10">
        <v>1161</v>
      </c>
      <c r="U232" s="10">
        <v>3726</v>
      </c>
      <c r="V232" s="10">
        <v>2726</v>
      </c>
      <c r="W232" s="10">
        <v>1092</v>
      </c>
      <c r="X232" s="10">
        <v>2067</v>
      </c>
      <c r="Y232" s="10">
        <v>2519</v>
      </c>
      <c r="Z232" s="10">
        <v>1923</v>
      </c>
      <c r="AA232" s="10">
        <v>3881</v>
      </c>
      <c r="AB232" s="10">
        <v>2825</v>
      </c>
      <c r="AC232" s="10">
        <v>2817</v>
      </c>
      <c r="AD232" s="10">
        <v>1433</v>
      </c>
      <c r="AE232" s="10">
        <v>2759</v>
      </c>
      <c r="AF232" s="10">
        <v>2030</v>
      </c>
      <c r="AG232" s="10">
        <v>2811</v>
      </c>
      <c r="AH232" s="10">
        <v>3941</v>
      </c>
      <c r="AI232" s="10">
        <v>2043</v>
      </c>
      <c r="AJ232" s="10">
        <v>2705</v>
      </c>
      <c r="AK232" s="10">
        <v>3223</v>
      </c>
      <c r="AL232" s="10">
        <v>3338</v>
      </c>
      <c r="AM232" s="10">
        <v>2225</v>
      </c>
      <c r="AN232" s="10">
        <v>4674</v>
      </c>
      <c r="AO232" s="10">
        <v>3967</v>
      </c>
      <c r="AP232" s="10">
        <v>1950</v>
      </c>
      <c r="AQ232" s="10">
        <v>5940</v>
      </c>
      <c r="AR232" s="10">
        <v>2496</v>
      </c>
      <c r="AS232" s="10">
        <v>2997</v>
      </c>
      <c r="AT232" s="10">
        <v>3427</v>
      </c>
      <c r="AU232" s="10">
        <v>1441</v>
      </c>
      <c r="AV232" s="10">
        <v>4030</v>
      </c>
      <c r="AW232" s="10">
        <v>3774</v>
      </c>
      <c r="AX232" s="10">
        <v>3741</v>
      </c>
      <c r="AY232" s="10">
        <v>2661</v>
      </c>
      <c r="AZ232" s="10">
        <v>3625</v>
      </c>
      <c r="BA232" s="10">
        <v>2194</v>
      </c>
      <c r="BB232" s="10">
        <v>1609</v>
      </c>
      <c r="BC232" s="10">
        <v>3805</v>
      </c>
      <c r="BD232" s="10">
        <v>2138</v>
      </c>
      <c r="BE232" s="10">
        <v>2162</v>
      </c>
      <c r="BF232" s="10">
        <v>3433</v>
      </c>
      <c r="BG232" s="10">
        <v>4189</v>
      </c>
      <c r="BH232" s="10">
        <v>2460</v>
      </c>
      <c r="BI232" s="10">
        <v>2190</v>
      </c>
      <c r="BJ232" s="10">
        <v>2879</v>
      </c>
      <c r="BK232" s="10">
        <v>3654</v>
      </c>
      <c r="BL232" s="10">
        <v>2065</v>
      </c>
    </row>
    <row r="233" spans="1:64">
      <c r="A233" s="15">
        <v>415114</v>
      </c>
      <c r="B233" s="14">
        <v>249956</v>
      </c>
      <c r="C233" s="14">
        <v>89</v>
      </c>
      <c r="D233" s="2" t="str">
        <f>HYPERLINK("http://128.120.136.21:8080/binbase-compound/bin/show/415114?db=rtx5","415114")</f>
        <v>415114</v>
      </c>
      <c r="E233" s="2" t="s">
        <v>299</v>
      </c>
      <c r="F233" s="2" t="s">
        <v>57</v>
      </c>
      <c r="G233" s="2" t="s">
        <v>57</v>
      </c>
      <c r="H233" s="10">
        <v>803</v>
      </c>
      <c r="I233" s="10">
        <v>2265</v>
      </c>
      <c r="J233" s="10">
        <v>2118</v>
      </c>
      <c r="K233" s="10">
        <v>1121</v>
      </c>
      <c r="L233" s="10">
        <v>1776</v>
      </c>
      <c r="M233" s="10">
        <v>1451</v>
      </c>
      <c r="N233" s="10">
        <v>2803</v>
      </c>
      <c r="O233" s="10">
        <v>820</v>
      </c>
      <c r="P233" s="10">
        <v>1566</v>
      </c>
      <c r="Q233" s="10">
        <v>3001</v>
      </c>
      <c r="R233" s="10">
        <v>1018</v>
      </c>
      <c r="S233" s="10">
        <v>5243</v>
      </c>
      <c r="T233" s="10">
        <v>1504</v>
      </c>
      <c r="U233" s="10">
        <v>1401</v>
      </c>
      <c r="V233" s="10">
        <v>1588</v>
      </c>
      <c r="W233" s="10">
        <v>1155</v>
      </c>
      <c r="X233" s="10">
        <v>844</v>
      </c>
      <c r="Y233" s="10">
        <v>1638</v>
      </c>
      <c r="Z233" s="10">
        <v>1578</v>
      </c>
      <c r="AA233" s="10">
        <v>1427</v>
      </c>
      <c r="AB233" s="10">
        <v>1897</v>
      </c>
      <c r="AC233" s="10">
        <v>1458</v>
      </c>
      <c r="AD233" s="10">
        <v>1020</v>
      </c>
      <c r="AE233" s="10">
        <v>1140</v>
      </c>
      <c r="AF233" s="10">
        <v>1954</v>
      </c>
      <c r="AG233" s="10">
        <v>1829</v>
      </c>
      <c r="AH233" s="10">
        <v>2691</v>
      </c>
      <c r="AI233" s="10">
        <v>1032</v>
      </c>
      <c r="AJ233" s="10">
        <v>1725</v>
      </c>
      <c r="AK233" s="10">
        <v>1324</v>
      </c>
      <c r="AL233" s="10">
        <v>2510</v>
      </c>
      <c r="AM233" s="10">
        <v>1514</v>
      </c>
      <c r="AN233" s="10">
        <v>1764</v>
      </c>
      <c r="AO233" s="10">
        <v>2111</v>
      </c>
      <c r="AP233" s="10">
        <v>1686</v>
      </c>
      <c r="AQ233" s="10">
        <v>5173</v>
      </c>
      <c r="AR233" s="10">
        <v>534</v>
      </c>
      <c r="AS233" s="10">
        <v>2857</v>
      </c>
      <c r="AT233" s="10">
        <v>3279</v>
      </c>
      <c r="AU233" s="10">
        <v>1426</v>
      </c>
      <c r="AV233" s="10">
        <v>1209</v>
      </c>
      <c r="AW233" s="10">
        <v>3003</v>
      </c>
      <c r="AX233" s="10">
        <v>2597</v>
      </c>
      <c r="AY233" s="10">
        <v>1958</v>
      </c>
      <c r="AZ233" s="10">
        <v>1329</v>
      </c>
      <c r="BA233" s="10">
        <v>1398</v>
      </c>
      <c r="BB233" s="10">
        <v>2241</v>
      </c>
      <c r="BC233" s="10">
        <v>2832</v>
      </c>
      <c r="BD233" s="10">
        <v>1288</v>
      </c>
      <c r="BE233" s="10">
        <v>356</v>
      </c>
      <c r="BF233" s="10">
        <v>2938</v>
      </c>
      <c r="BG233" s="10">
        <v>3332</v>
      </c>
      <c r="BH233" s="10">
        <v>1560</v>
      </c>
      <c r="BI233" s="10">
        <v>1318</v>
      </c>
      <c r="BJ233" s="10">
        <v>2013</v>
      </c>
      <c r="BK233" s="10">
        <v>1945</v>
      </c>
      <c r="BL233" s="10">
        <v>1290</v>
      </c>
    </row>
    <row r="234" spans="1:64">
      <c r="A234" s="15">
        <v>408756</v>
      </c>
      <c r="B234" s="14">
        <v>691686</v>
      </c>
      <c r="C234" s="14">
        <v>353</v>
      </c>
      <c r="D234" s="2" t="str">
        <f>HYPERLINK("http://128.120.136.21:8080/binbase-compound/bin/show/408756?db=rtx5","408756")</f>
        <v>408756</v>
      </c>
      <c r="E234" s="2" t="s">
        <v>323</v>
      </c>
      <c r="F234" s="2" t="s">
        <v>57</v>
      </c>
      <c r="G234" s="2" t="s">
        <v>57</v>
      </c>
      <c r="H234" s="10">
        <v>557</v>
      </c>
      <c r="I234" s="10">
        <v>895</v>
      </c>
      <c r="J234" s="10">
        <v>617</v>
      </c>
      <c r="K234" s="10">
        <v>828</v>
      </c>
      <c r="L234" s="10">
        <v>796</v>
      </c>
      <c r="M234" s="10">
        <v>248</v>
      </c>
      <c r="N234" s="10">
        <v>1031</v>
      </c>
      <c r="O234" s="10">
        <v>648</v>
      </c>
      <c r="P234" s="10">
        <v>599</v>
      </c>
      <c r="Q234" s="10">
        <v>162</v>
      </c>
      <c r="R234" s="10">
        <v>110</v>
      </c>
      <c r="S234" s="10">
        <v>739</v>
      </c>
      <c r="T234" s="10">
        <v>798</v>
      </c>
      <c r="U234" s="10">
        <v>799</v>
      </c>
      <c r="V234" s="10">
        <v>582</v>
      </c>
      <c r="W234" s="10">
        <v>356</v>
      </c>
      <c r="X234" s="10">
        <v>297</v>
      </c>
      <c r="Y234" s="10">
        <v>779</v>
      </c>
      <c r="Z234" s="10">
        <v>859</v>
      </c>
      <c r="AA234" s="10">
        <v>715</v>
      </c>
      <c r="AB234" s="10">
        <v>634</v>
      </c>
      <c r="AC234" s="10">
        <v>334</v>
      </c>
      <c r="AD234" s="10">
        <v>311</v>
      </c>
      <c r="AE234" s="10">
        <v>408</v>
      </c>
      <c r="AF234" s="10">
        <v>343</v>
      </c>
      <c r="AG234" s="10">
        <v>313</v>
      </c>
      <c r="AH234" s="10">
        <v>944</v>
      </c>
      <c r="AI234" s="10">
        <v>2229</v>
      </c>
      <c r="AJ234" s="10">
        <v>1184</v>
      </c>
      <c r="AK234" s="10">
        <v>1020</v>
      </c>
      <c r="AL234" s="10">
        <v>1425</v>
      </c>
      <c r="AM234" s="10">
        <v>951</v>
      </c>
      <c r="AN234" s="10">
        <v>1481</v>
      </c>
      <c r="AO234" s="10">
        <v>1872</v>
      </c>
      <c r="AP234" s="10">
        <v>1489</v>
      </c>
      <c r="AQ234" s="10">
        <v>1067</v>
      </c>
      <c r="AR234" s="10">
        <v>1310</v>
      </c>
      <c r="AS234" s="10">
        <v>885</v>
      </c>
      <c r="AT234" s="10">
        <v>1314</v>
      </c>
      <c r="AU234" s="10">
        <v>1134</v>
      </c>
      <c r="AV234" s="10">
        <v>2149</v>
      </c>
      <c r="AW234" s="10">
        <v>1130</v>
      </c>
      <c r="AX234" s="10">
        <v>889</v>
      </c>
      <c r="AY234" s="10">
        <v>2232</v>
      </c>
      <c r="AZ234" s="10">
        <v>1355</v>
      </c>
      <c r="BA234" s="10">
        <v>1041</v>
      </c>
      <c r="BB234" s="10">
        <v>2740</v>
      </c>
      <c r="BC234" s="10">
        <v>4289</v>
      </c>
      <c r="BD234" s="10">
        <v>1810</v>
      </c>
      <c r="BE234" s="10">
        <v>1207</v>
      </c>
      <c r="BF234" s="10">
        <v>1490</v>
      </c>
      <c r="BG234" s="10">
        <v>3231</v>
      </c>
      <c r="BH234" s="10">
        <v>2987</v>
      </c>
      <c r="BI234" s="10">
        <v>3242</v>
      </c>
      <c r="BJ234" s="10">
        <v>1104</v>
      </c>
      <c r="BK234" s="10">
        <v>868</v>
      </c>
      <c r="BL234" s="10">
        <v>838</v>
      </c>
    </row>
    <row r="235" spans="1:64">
      <c r="A235" s="15">
        <v>231796</v>
      </c>
      <c r="B235" s="14">
        <v>632366</v>
      </c>
      <c r="C235" s="14">
        <v>245</v>
      </c>
      <c r="D235" s="2" t="str">
        <f>HYPERLINK("http://128.120.136.21:8080/binbase-compound/bin/show/231796?db=rtx5","231796")</f>
        <v>231796</v>
      </c>
      <c r="E235" s="2" t="s">
        <v>444</v>
      </c>
      <c r="F235" s="2" t="s">
        <v>57</v>
      </c>
      <c r="G235" s="2" t="s">
        <v>57</v>
      </c>
      <c r="H235" s="10">
        <v>5350</v>
      </c>
      <c r="I235" s="10">
        <v>1792</v>
      </c>
      <c r="J235" s="10">
        <v>3494</v>
      </c>
      <c r="K235" s="10">
        <v>3335</v>
      </c>
      <c r="L235" s="10">
        <v>2287</v>
      </c>
      <c r="M235" s="10">
        <v>4507</v>
      </c>
      <c r="N235" s="10">
        <v>3448</v>
      </c>
      <c r="O235" s="10">
        <v>3883</v>
      </c>
      <c r="P235" s="10">
        <v>2974</v>
      </c>
      <c r="Q235" s="10">
        <v>3510</v>
      </c>
      <c r="R235" s="10">
        <v>4489</v>
      </c>
      <c r="S235" s="10">
        <v>3700</v>
      </c>
      <c r="T235" s="10">
        <v>4734</v>
      </c>
      <c r="U235" s="10">
        <v>2226</v>
      </c>
      <c r="V235" s="10">
        <v>3425</v>
      </c>
      <c r="W235" s="10">
        <v>2430</v>
      </c>
      <c r="X235" s="10">
        <v>2495</v>
      </c>
      <c r="Y235" s="10">
        <v>3138</v>
      </c>
      <c r="Z235" s="10">
        <v>4970</v>
      </c>
      <c r="AA235" s="10">
        <v>3292</v>
      </c>
      <c r="AB235" s="10">
        <v>2905</v>
      </c>
      <c r="AC235" s="10">
        <v>3126</v>
      </c>
      <c r="AD235" s="10">
        <v>1934</v>
      </c>
      <c r="AE235" s="10">
        <v>3878</v>
      </c>
      <c r="AF235" s="10">
        <v>2341</v>
      </c>
      <c r="AG235" s="10">
        <v>4176</v>
      </c>
      <c r="AH235" s="10">
        <v>2933</v>
      </c>
      <c r="AI235" s="10">
        <v>3010</v>
      </c>
      <c r="AJ235" s="10">
        <v>5161</v>
      </c>
      <c r="AK235" s="10">
        <v>3883</v>
      </c>
      <c r="AL235" s="10">
        <v>2650</v>
      </c>
      <c r="AM235" s="10">
        <v>4414</v>
      </c>
      <c r="AN235" s="10">
        <v>2369</v>
      </c>
      <c r="AO235" s="10">
        <v>2653</v>
      </c>
      <c r="AP235" s="10">
        <v>4386</v>
      </c>
      <c r="AQ235" s="10">
        <v>2481</v>
      </c>
      <c r="AR235" s="10">
        <v>2848</v>
      </c>
      <c r="AS235" s="10">
        <v>2997</v>
      </c>
      <c r="AT235" s="10">
        <v>2927</v>
      </c>
      <c r="AU235" s="10">
        <v>5550</v>
      </c>
      <c r="AV235" s="10">
        <v>3261</v>
      </c>
      <c r="AW235" s="10">
        <v>3397</v>
      </c>
      <c r="AX235" s="10">
        <v>4665</v>
      </c>
      <c r="AY235" s="10">
        <v>3211</v>
      </c>
      <c r="AZ235" s="10">
        <v>3780</v>
      </c>
      <c r="BA235" s="10">
        <v>3617</v>
      </c>
      <c r="BB235" s="10">
        <v>3527</v>
      </c>
      <c r="BC235" s="10">
        <v>3362</v>
      </c>
      <c r="BD235" s="10">
        <v>4042</v>
      </c>
      <c r="BE235" s="10">
        <v>4006</v>
      </c>
      <c r="BF235" s="10">
        <v>2237</v>
      </c>
      <c r="BG235" s="10">
        <v>1665</v>
      </c>
      <c r="BH235" s="10">
        <v>3892</v>
      </c>
      <c r="BI235" s="10">
        <v>2765</v>
      </c>
      <c r="BJ235" s="10">
        <v>4789</v>
      </c>
      <c r="BK235" s="10">
        <v>6325</v>
      </c>
      <c r="BL235" s="10">
        <v>5968</v>
      </c>
    </row>
    <row r="236" spans="1:64">
      <c r="A236" s="15">
        <v>408836</v>
      </c>
      <c r="B236" s="14">
        <v>796000</v>
      </c>
      <c r="C236" s="14">
        <v>142</v>
      </c>
      <c r="D236" s="2" t="str">
        <f>HYPERLINK("http://128.120.136.21:8080/binbase-compound/bin/show/408836?db=rtx5","408836")</f>
        <v>408836</v>
      </c>
      <c r="E236" s="2" t="s">
        <v>321</v>
      </c>
      <c r="F236" s="2" t="s">
        <v>57</v>
      </c>
      <c r="G236" s="2" t="s">
        <v>57</v>
      </c>
      <c r="H236" s="10">
        <v>3084</v>
      </c>
      <c r="I236" s="10">
        <v>3332</v>
      </c>
      <c r="J236" s="10">
        <v>2659</v>
      </c>
      <c r="K236" s="10">
        <v>3043</v>
      </c>
      <c r="L236" s="10">
        <v>3804</v>
      </c>
      <c r="M236" s="10">
        <v>2638</v>
      </c>
      <c r="N236" s="10">
        <v>5765</v>
      </c>
      <c r="O236" s="10">
        <v>3960</v>
      </c>
      <c r="P236" s="10">
        <v>4131</v>
      </c>
      <c r="Q236" s="10">
        <v>1495</v>
      </c>
      <c r="R236" s="10">
        <v>1335</v>
      </c>
      <c r="S236" s="10">
        <v>2168</v>
      </c>
      <c r="T236" s="10">
        <v>3401</v>
      </c>
      <c r="U236" s="10">
        <v>4463</v>
      </c>
      <c r="V236" s="10">
        <v>4760</v>
      </c>
      <c r="W236" s="10">
        <v>2354</v>
      </c>
      <c r="X236" s="10">
        <v>2701</v>
      </c>
      <c r="Y236" s="10">
        <v>3772</v>
      </c>
      <c r="Z236" s="10">
        <v>8365</v>
      </c>
      <c r="AA236" s="10">
        <v>2111</v>
      </c>
      <c r="AB236" s="10">
        <v>1101</v>
      </c>
      <c r="AC236" s="10">
        <v>2751</v>
      </c>
      <c r="AD236" s="10">
        <v>2031</v>
      </c>
      <c r="AE236" s="10">
        <v>3965</v>
      </c>
      <c r="AF236" s="10">
        <v>1589</v>
      </c>
      <c r="AG236" s="10">
        <v>2453</v>
      </c>
      <c r="AH236" s="10">
        <v>2681</v>
      </c>
      <c r="AI236" s="10">
        <v>3703</v>
      </c>
      <c r="AJ236" s="10">
        <v>2773</v>
      </c>
      <c r="AK236" s="10">
        <v>2868</v>
      </c>
      <c r="AL236" s="10">
        <v>3114</v>
      </c>
      <c r="AM236" s="10">
        <v>850</v>
      </c>
      <c r="AN236" s="10">
        <v>2157</v>
      </c>
      <c r="AO236" s="10">
        <v>1286</v>
      </c>
      <c r="AP236" s="10">
        <v>2402</v>
      </c>
      <c r="AQ236" s="10">
        <v>2413</v>
      </c>
      <c r="AR236" s="10">
        <v>1536</v>
      </c>
      <c r="AS236" s="10">
        <v>2052</v>
      </c>
      <c r="AT236" s="10">
        <v>1234</v>
      </c>
      <c r="AU236" s="10">
        <v>2861</v>
      </c>
      <c r="AV236" s="10">
        <v>2482</v>
      </c>
      <c r="AW236" s="10">
        <v>1631</v>
      </c>
      <c r="AX236" s="10">
        <v>3398</v>
      </c>
      <c r="AY236" s="10">
        <v>3106</v>
      </c>
      <c r="AZ236" s="10">
        <v>2449</v>
      </c>
      <c r="BA236" s="10">
        <v>1639</v>
      </c>
      <c r="BB236" s="10">
        <v>1659</v>
      </c>
      <c r="BC236" s="10">
        <v>1577</v>
      </c>
      <c r="BD236" s="10">
        <v>3350</v>
      </c>
      <c r="BE236" s="10">
        <v>814</v>
      </c>
      <c r="BF236" s="10">
        <v>1317</v>
      </c>
      <c r="BG236" s="10">
        <v>1353</v>
      </c>
      <c r="BH236" s="10">
        <v>2127</v>
      </c>
      <c r="BI236" s="10">
        <v>1212</v>
      </c>
      <c r="BJ236" s="10">
        <v>2458</v>
      </c>
      <c r="BK236" s="10">
        <v>2538</v>
      </c>
      <c r="BL236" s="10">
        <v>3223</v>
      </c>
    </row>
    <row r="237" spans="1:64">
      <c r="A237" s="15">
        <v>294511</v>
      </c>
      <c r="B237" s="14">
        <v>832273</v>
      </c>
      <c r="C237" s="14">
        <v>264</v>
      </c>
      <c r="D237" s="2" t="str">
        <f>HYPERLINK("http://128.120.136.21:8080/binbase-compound/bin/show/294511?db=rtx5","294511")</f>
        <v>294511</v>
      </c>
      <c r="E237" s="2" t="s">
        <v>384</v>
      </c>
      <c r="F237" s="2" t="s">
        <v>57</v>
      </c>
      <c r="G237" s="2" t="s">
        <v>57</v>
      </c>
      <c r="H237" s="10">
        <v>828</v>
      </c>
      <c r="I237" s="10">
        <v>212</v>
      </c>
      <c r="J237" s="10">
        <v>258</v>
      </c>
      <c r="K237" s="10">
        <v>1526</v>
      </c>
      <c r="L237" s="10">
        <v>1899</v>
      </c>
      <c r="M237" s="10">
        <v>717</v>
      </c>
      <c r="N237" s="10">
        <v>2988</v>
      </c>
      <c r="O237" s="10">
        <v>249</v>
      </c>
      <c r="P237" s="10">
        <v>195</v>
      </c>
      <c r="Q237" s="10">
        <v>4002</v>
      </c>
      <c r="R237" s="10">
        <v>253</v>
      </c>
      <c r="S237" s="10">
        <v>6595</v>
      </c>
      <c r="T237" s="10">
        <v>1213</v>
      </c>
      <c r="U237" s="10">
        <v>277</v>
      </c>
      <c r="V237" s="10">
        <v>220</v>
      </c>
      <c r="W237" s="10">
        <v>1074</v>
      </c>
      <c r="X237" s="10">
        <v>114</v>
      </c>
      <c r="Y237" s="10">
        <v>836</v>
      </c>
      <c r="Z237" s="10">
        <v>250</v>
      </c>
      <c r="AA237" s="10">
        <v>753</v>
      </c>
      <c r="AB237" s="10">
        <v>1128</v>
      </c>
      <c r="AC237" s="10">
        <v>556</v>
      </c>
      <c r="AD237" s="10">
        <v>137</v>
      </c>
      <c r="AE237" s="10">
        <v>1484</v>
      </c>
      <c r="AF237" s="10">
        <v>121</v>
      </c>
      <c r="AG237" s="10">
        <v>253</v>
      </c>
      <c r="AH237" s="10">
        <v>2118</v>
      </c>
      <c r="AI237" s="10">
        <v>345</v>
      </c>
      <c r="AJ237" s="10">
        <v>2520</v>
      </c>
      <c r="AK237" s="10">
        <v>960</v>
      </c>
      <c r="AL237" s="10">
        <v>117</v>
      </c>
      <c r="AM237" s="10">
        <v>203</v>
      </c>
      <c r="AN237" s="10">
        <v>518</v>
      </c>
      <c r="AO237" s="10">
        <v>940</v>
      </c>
      <c r="AP237" s="10">
        <v>3835</v>
      </c>
      <c r="AQ237" s="10">
        <v>7187</v>
      </c>
      <c r="AR237" s="10">
        <v>165</v>
      </c>
      <c r="AS237" s="10">
        <v>394</v>
      </c>
      <c r="AT237" s="10">
        <v>515</v>
      </c>
      <c r="AU237" s="10">
        <v>1371</v>
      </c>
      <c r="AV237" s="10">
        <v>227</v>
      </c>
      <c r="AW237" s="10">
        <v>328</v>
      </c>
      <c r="AX237" s="10">
        <v>1168</v>
      </c>
      <c r="AY237" s="10">
        <v>124</v>
      </c>
      <c r="AZ237" s="10">
        <v>260</v>
      </c>
      <c r="BA237" s="10">
        <v>287</v>
      </c>
      <c r="BB237" s="10">
        <v>699</v>
      </c>
      <c r="BC237" s="10">
        <v>537</v>
      </c>
      <c r="BD237" s="10">
        <v>232</v>
      </c>
      <c r="BE237" s="10">
        <v>397</v>
      </c>
      <c r="BF237" s="10">
        <v>652</v>
      </c>
      <c r="BG237" s="10">
        <v>492</v>
      </c>
      <c r="BH237" s="10">
        <v>110</v>
      </c>
      <c r="BI237" s="10">
        <v>3079</v>
      </c>
      <c r="BJ237" s="10">
        <v>216</v>
      </c>
      <c r="BK237" s="10">
        <v>1984</v>
      </c>
      <c r="BL237" s="10">
        <v>154</v>
      </c>
    </row>
    <row r="238" spans="1:64">
      <c r="A238" s="15">
        <v>234649</v>
      </c>
      <c r="B238" s="14">
        <v>1053709</v>
      </c>
      <c r="C238" s="14">
        <v>169</v>
      </c>
      <c r="D238" s="2" t="str">
        <f>HYPERLINK("http://128.120.136.21:8080/binbase-compound/bin/show/234649?db=rtx5","234649")</f>
        <v>234649</v>
      </c>
      <c r="E238" s="2" t="s">
        <v>437</v>
      </c>
      <c r="F238" s="2" t="s">
        <v>57</v>
      </c>
      <c r="G238" s="2" t="s">
        <v>57</v>
      </c>
      <c r="H238" s="10">
        <v>3202</v>
      </c>
      <c r="I238" s="10">
        <v>495</v>
      </c>
      <c r="J238" s="10">
        <v>172</v>
      </c>
      <c r="K238" s="10">
        <v>2737</v>
      </c>
      <c r="L238" s="10">
        <v>879</v>
      </c>
      <c r="M238" s="10">
        <v>1588</v>
      </c>
      <c r="N238" s="10">
        <v>1749</v>
      </c>
      <c r="O238" s="10">
        <v>2007</v>
      </c>
      <c r="P238" s="10">
        <v>1668</v>
      </c>
      <c r="Q238" s="10">
        <v>240</v>
      </c>
      <c r="R238" s="10">
        <v>195</v>
      </c>
      <c r="S238" s="10">
        <v>907</v>
      </c>
      <c r="T238" s="10">
        <v>2325</v>
      </c>
      <c r="U238" s="10">
        <v>722</v>
      </c>
      <c r="V238" s="10">
        <v>1007</v>
      </c>
      <c r="W238" s="10">
        <v>3871</v>
      </c>
      <c r="X238" s="10">
        <v>2922</v>
      </c>
      <c r="Y238" s="10">
        <v>3652</v>
      </c>
      <c r="Z238" s="10">
        <v>1027</v>
      </c>
      <c r="AA238" s="10">
        <v>831</v>
      </c>
      <c r="AB238" s="10">
        <v>627</v>
      </c>
      <c r="AC238" s="10">
        <v>3964</v>
      </c>
      <c r="AD238" s="10">
        <v>3237</v>
      </c>
      <c r="AE238" s="10">
        <v>2054</v>
      </c>
      <c r="AF238" s="10">
        <v>2827</v>
      </c>
      <c r="AG238" s="10">
        <v>1975</v>
      </c>
      <c r="AH238" s="10">
        <v>408</v>
      </c>
      <c r="AI238" s="10">
        <v>187</v>
      </c>
      <c r="AJ238" s="10">
        <v>611</v>
      </c>
      <c r="AK238" s="10">
        <v>3082</v>
      </c>
      <c r="AL238" s="10">
        <v>782</v>
      </c>
      <c r="AM238" s="10">
        <v>156</v>
      </c>
      <c r="AN238" s="10">
        <v>473</v>
      </c>
      <c r="AO238" s="10">
        <v>474</v>
      </c>
      <c r="AP238" s="10">
        <v>228</v>
      </c>
      <c r="AQ238" s="10">
        <v>519</v>
      </c>
      <c r="AR238" s="10">
        <v>2016</v>
      </c>
      <c r="AS238" s="10">
        <v>855</v>
      </c>
      <c r="AT238" s="10">
        <v>1295</v>
      </c>
      <c r="AU238" s="10">
        <v>792</v>
      </c>
      <c r="AV238" s="10">
        <v>554</v>
      </c>
      <c r="AW238" s="10">
        <v>1665</v>
      </c>
      <c r="AX238" s="10">
        <v>906</v>
      </c>
      <c r="AY238" s="10">
        <v>585</v>
      </c>
      <c r="AZ238" s="10">
        <v>539</v>
      </c>
      <c r="BA238" s="10">
        <v>411</v>
      </c>
      <c r="BB238" s="10">
        <v>203</v>
      </c>
      <c r="BC238" s="10">
        <v>349</v>
      </c>
      <c r="BD238" s="10">
        <v>1139</v>
      </c>
      <c r="BE238" s="10">
        <v>924</v>
      </c>
      <c r="BF238" s="10">
        <v>521</v>
      </c>
      <c r="BG238" s="10">
        <v>470</v>
      </c>
      <c r="BH238" s="10">
        <v>436</v>
      </c>
      <c r="BI238" s="10">
        <v>217</v>
      </c>
      <c r="BJ238" s="10">
        <v>679</v>
      </c>
      <c r="BK238" s="10">
        <v>1919</v>
      </c>
      <c r="BL238" s="10">
        <v>1370</v>
      </c>
    </row>
    <row r="239" spans="1:64">
      <c r="A239" s="15">
        <v>231657</v>
      </c>
      <c r="B239" s="14">
        <v>286430</v>
      </c>
      <c r="C239" s="14">
        <v>187</v>
      </c>
      <c r="D239" s="2" t="str">
        <f>HYPERLINK("http://128.120.136.21:8080/binbase-compound/bin/show/231657?db=rtx5","231657")</f>
        <v>231657</v>
      </c>
      <c r="E239" s="2" t="s">
        <v>445</v>
      </c>
      <c r="F239" s="2" t="s">
        <v>57</v>
      </c>
      <c r="G239" s="2" t="s">
        <v>57</v>
      </c>
      <c r="H239" s="10">
        <v>787</v>
      </c>
      <c r="I239" s="10">
        <v>1365</v>
      </c>
      <c r="J239" s="10">
        <v>1124</v>
      </c>
      <c r="K239" s="10">
        <v>680</v>
      </c>
      <c r="L239" s="10">
        <v>1216</v>
      </c>
      <c r="M239" s="10">
        <v>1114</v>
      </c>
      <c r="N239" s="10">
        <v>2258</v>
      </c>
      <c r="O239" s="10">
        <v>1423</v>
      </c>
      <c r="P239" s="10">
        <v>901</v>
      </c>
      <c r="Q239" s="10">
        <v>2046</v>
      </c>
      <c r="R239" s="10">
        <v>1086</v>
      </c>
      <c r="S239" s="10">
        <v>6258</v>
      </c>
      <c r="T239" s="10">
        <v>439</v>
      </c>
      <c r="U239" s="10">
        <v>1869</v>
      </c>
      <c r="V239" s="10">
        <v>1815</v>
      </c>
      <c r="W239" s="10">
        <v>755</v>
      </c>
      <c r="X239" s="10">
        <v>1216</v>
      </c>
      <c r="Y239" s="10">
        <v>1188</v>
      </c>
      <c r="Z239" s="10">
        <v>694</v>
      </c>
      <c r="AA239" s="10">
        <v>1392</v>
      </c>
      <c r="AB239" s="10">
        <v>1648</v>
      </c>
      <c r="AC239" s="10">
        <v>785</v>
      </c>
      <c r="AD239" s="10">
        <v>664</v>
      </c>
      <c r="AE239" s="10">
        <v>987</v>
      </c>
      <c r="AF239" s="10">
        <v>1608</v>
      </c>
      <c r="AG239" s="10">
        <v>1190</v>
      </c>
      <c r="AH239" s="10">
        <v>2300</v>
      </c>
      <c r="AI239" s="10">
        <v>1583</v>
      </c>
      <c r="AJ239" s="10">
        <v>1597</v>
      </c>
      <c r="AK239" s="10">
        <v>1574</v>
      </c>
      <c r="AL239" s="10">
        <v>1527</v>
      </c>
      <c r="AM239" s="10">
        <v>1110</v>
      </c>
      <c r="AN239" s="10">
        <v>1981</v>
      </c>
      <c r="AO239" s="10">
        <v>1916</v>
      </c>
      <c r="AP239" s="10">
        <v>1491</v>
      </c>
      <c r="AQ239" s="10">
        <v>4462</v>
      </c>
      <c r="AR239" s="10">
        <v>1477</v>
      </c>
      <c r="AS239" s="10">
        <v>418</v>
      </c>
      <c r="AT239" s="10">
        <v>1343</v>
      </c>
      <c r="AU239" s="10">
        <v>709</v>
      </c>
      <c r="AV239" s="10">
        <v>1980</v>
      </c>
      <c r="AW239" s="10">
        <v>1618</v>
      </c>
      <c r="AX239" s="10">
        <v>2826</v>
      </c>
      <c r="AY239" s="10">
        <v>1543</v>
      </c>
      <c r="AZ239" s="10">
        <v>2452</v>
      </c>
      <c r="BA239" s="10">
        <v>1505</v>
      </c>
      <c r="BB239" s="10">
        <v>1197</v>
      </c>
      <c r="BC239" s="10">
        <v>2632</v>
      </c>
      <c r="BD239" s="10">
        <v>911</v>
      </c>
      <c r="BE239" s="10">
        <v>1349</v>
      </c>
      <c r="BF239" s="10">
        <v>2528</v>
      </c>
      <c r="BG239" s="10">
        <v>5204</v>
      </c>
      <c r="BH239" s="10">
        <v>1664</v>
      </c>
      <c r="BI239" s="10">
        <v>1150</v>
      </c>
      <c r="BJ239" s="10">
        <v>1578</v>
      </c>
      <c r="BK239" s="10">
        <v>2044</v>
      </c>
      <c r="BL239" s="10">
        <v>834</v>
      </c>
    </row>
    <row r="240" spans="1:64">
      <c r="A240" s="15">
        <v>241059</v>
      </c>
      <c r="B240" s="14">
        <v>702583</v>
      </c>
      <c r="C240" s="14">
        <v>142</v>
      </c>
      <c r="D240" s="2" t="str">
        <f>HYPERLINK("http://128.120.136.21:8080/binbase-compound/bin/show/241059?db=rtx5","241059")</f>
        <v>241059</v>
      </c>
      <c r="E240" s="2" t="s">
        <v>418</v>
      </c>
      <c r="F240" s="2" t="s">
        <v>57</v>
      </c>
      <c r="G240" s="2" t="s">
        <v>57</v>
      </c>
      <c r="H240" s="10">
        <v>2321</v>
      </c>
      <c r="I240" s="10">
        <v>2333</v>
      </c>
      <c r="J240" s="10">
        <v>2526</v>
      </c>
      <c r="K240" s="10">
        <v>2217</v>
      </c>
      <c r="L240" s="10">
        <v>3724</v>
      </c>
      <c r="M240" s="10">
        <v>1230</v>
      </c>
      <c r="N240" s="10">
        <v>5066</v>
      </c>
      <c r="O240" s="10">
        <v>2522</v>
      </c>
      <c r="P240" s="10">
        <v>2844</v>
      </c>
      <c r="Q240" s="10">
        <v>1725</v>
      </c>
      <c r="R240" s="10">
        <v>1806</v>
      </c>
      <c r="S240" s="10">
        <v>1850</v>
      </c>
      <c r="T240" s="10">
        <v>2186</v>
      </c>
      <c r="U240" s="10">
        <v>5177</v>
      </c>
      <c r="V240" s="10">
        <v>3957</v>
      </c>
      <c r="W240" s="10">
        <v>1082</v>
      </c>
      <c r="X240" s="10">
        <v>1380</v>
      </c>
      <c r="Y240" s="10">
        <v>2403</v>
      </c>
      <c r="Z240" s="10">
        <v>2087</v>
      </c>
      <c r="AA240" s="10">
        <v>1735</v>
      </c>
      <c r="AB240" s="10">
        <v>893</v>
      </c>
      <c r="AC240" s="10">
        <v>2745</v>
      </c>
      <c r="AD240" s="10">
        <v>1326</v>
      </c>
      <c r="AE240" s="10">
        <v>2604</v>
      </c>
      <c r="AF240" s="10">
        <v>1298</v>
      </c>
      <c r="AG240" s="10">
        <v>1438</v>
      </c>
      <c r="AH240" s="10">
        <v>3337</v>
      </c>
      <c r="AI240" s="10">
        <v>2205</v>
      </c>
      <c r="AJ240" s="10">
        <v>1002</v>
      </c>
      <c r="AK240" s="10">
        <v>2494</v>
      </c>
      <c r="AL240" s="10">
        <v>1498</v>
      </c>
      <c r="AM240" s="10">
        <v>666</v>
      </c>
      <c r="AN240" s="10">
        <v>1578</v>
      </c>
      <c r="AO240" s="10">
        <v>1307</v>
      </c>
      <c r="AP240" s="10">
        <v>2065</v>
      </c>
      <c r="AQ240" s="10">
        <v>1506</v>
      </c>
      <c r="AR240" s="10">
        <v>973</v>
      </c>
      <c r="AS240" s="10">
        <v>1485</v>
      </c>
      <c r="AT240" s="10">
        <v>746</v>
      </c>
      <c r="AU240" s="10">
        <v>1461</v>
      </c>
      <c r="AV240" s="10">
        <v>1585</v>
      </c>
      <c r="AW240" s="10">
        <v>1323</v>
      </c>
      <c r="AX240" s="10">
        <v>3418</v>
      </c>
      <c r="AY240" s="10">
        <v>1692</v>
      </c>
      <c r="AZ240" s="10">
        <v>1958</v>
      </c>
      <c r="BA240" s="10">
        <v>803</v>
      </c>
      <c r="BB240" s="10">
        <v>732</v>
      </c>
      <c r="BC240" s="10">
        <v>1337</v>
      </c>
      <c r="BD240" s="10">
        <v>1357</v>
      </c>
      <c r="BE240" s="10">
        <v>440</v>
      </c>
      <c r="BF240" s="10">
        <v>1147</v>
      </c>
      <c r="BG240" s="10">
        <v>1514</v>
      </c>
      <c r="BH240" s="10">
        <v>585</v>
      </c>
      <c r="BI240" s="10">
        <v>1310</v>
      </c>
      <c r="BJ240" s="10">
        <v>1086</v>
      </c>
      <c r="BK240" s="10">
        <v>2041</v>
      </c>
      <c r="BL240" s="10">
        <v>2573</v>
      </c>
    </row>
    <row r="241" spans="1:64">
      <c r="A241" s="15">
        <v>409521</v>
      </c>
      <c r="B241" s="14">
        <v>722520</v>
      </c>
      <c r="C241" s="14">
        <v>114</v>
      </c>
      <c r="D241" s="2" t="str">
        <f>HYPERLINK("http://128.120.136.21:8080/binbase-compound/bin/show/409521?db=rtx5","409521")</f>
        <v>409521</v>
      </c>
      <c r="E241" s="2" t="s">
        <v>310</v>
      </c>
      <c r="F241" s="2" t="s">
        <v>57</v>
      </c>
      <c r="G241" s="2" t="s">
        <v>57</v>
      </c>
      <c r="H241" s="10">
        <v>488</v>
      </c>
      <c r="I241" s="10">
        <v>1759</v>
      </c>
      <c r="J241" s="10">
        <v>1037</v>
      </c>
      <c r="K241" s="10">
        <v>804</v>
      </c>
      <c r="L241" s="10">
        <v>1138</v>
      </c>
      <c r="M241" s="10">
        <v>437</v>
      </c>
      <c r="N241" s="10">
        <v>1952</v>
      </c>
      <c r="O241" s="10">
        <v>897</v>
      </c>
      <c r="P241" s="10">
        <v>543</v>
      </c>
      <c r="Q241" s="10">
        <v>281</v>
      </c>
      <c r="R241" s="10">
        <v>199</v>
      </c>
      <c r="S241" s="10">
        <v>895</v>
      </c>
      <c r="T241" s="10">
        <v>529</v>
      </c>
      <c r="U241" s="10">
        <v>1814</v>
      </c>
      <c r="V241" s="10">
        <v>1100</v>
      </c>
      <c r="W241" s="10">
        <v>370</v>
      </c>
      <c r="X241" s="10">
        <v>515</v>
      </c>
      <c r="Y241" s="10">
        <v>367</v>
      </c>
      <c r="Z241" s="10">
        <v>590</v>
      </c>
      <c r="AA241" s="10">
        <v>924</v>
      </c>
      <c r="AB241" s="10">
        <v>896</v>
      </c>
      <c r="AC241" s="10">
        <v>449</v>
      </c>
      <c r="AD241" s="10">
        <v>478</v>
      </c>
      <c r="AE241" s="10">
        <v>746</v>
      </c>
      <c r="AF241" s="10">
        <v>423</v>
      </c>
      <c r="AG241" s="10">
        <v>313</v>
      </c>
      <c r="AH241" s="10">
        <v>1043</v>
      </c>
      <c r="AI241" s="10">
        <v>1581</v>
      </c>
      <c r="AJ241" s="10">
        <v>2019</v>
      </c>
      <c r="AK241" s="10">
        <v>1649</v>
      </c>
      <c r="AL241" s="10">
        <v>2758</v>
      </c>
      <c r="AM241" s="10">
        <v>1207</v>
      </c>
      <c r="AN241" s="10">
        <v>2835</v>
      </c>
      <c r="AO241" s="10">
        <v>2674</v>
      </c>
      <c r="AP241" s="10">
        <v>1147</v>
      </c>
      <c r="AQ241" s="10">
        <v>1650</v>
      </c>
      <c r="AR241" s="10">
        <v>797</v>
      </c>
      <c r="AS241" s="10">
        <v>1319</v>
      </c>
      <c r="AT241" s="10">
        <v>981</v>
      </c>
      <c r="AU241" s="10">
        <v>671</v>
      </c>
      <c r="AV241" s="10">
        <v>1971</v>
      </c>
      <c r="AW241" s="10">
        <v>921</v>
      </c>
      <c r="AX241" s="10">
        <v>1106</v>
      </c>
      <c r="AY241" s="10">
        <v>1408</v>
      </c>
      <c r="AZ241" s="10">
        <v>1122</v>
      </c>
      <c r="BA241" s="10">
        <v>1706</v>
      </c>
      <c r="BB241" s="10">
        <v>1406</v>
      </c>
      <c r="BC241" s="10">
        <v>2453</v>
      </c>
      <c r="BD241" s="10">
        <v>1057</v>
      </c>
      <c r="BE241" s="10">
        <v>1058</v>
      </c>
      <c r="BF241" s="10">
        <v>1949</v>
      </c>
      <c r="BG241" s="10">
        <v>2756</v>
      </c>
      <c r="BH241" s="10">
        <v>1716</v>
      </c>
      <c r="BI241" s="10">
        <v>2291</v>
      </c>
      <c r="BJ241" s="10">
        <v>1489</v>
      </c>
      <c r="BK241" s="10">
        <v>830</v>
      </c>
      <c r="BL241" s="10">
        <v>820</v>
      </c>
    </row>
    <row r="242" spans="1:64">
      <c r="A242" s="15">
        <v>235327</v>
      </c>
      <c r="B242" s="14">
        <v>476936</v>
      </c>
      <c r="C242" s="14">
        <v>155</v>
      </c>
      <c r="D242" s="2" t="str">
        <f>HYPERLINK("http://128.120.136.21:8080/binbase-compound/bin/show/235327?db=rtx5","235327")</f>
        <v>235327</v>
      </c>
      <c r="E242" s="2" t="s">
        <v>435</v>
      </c>
      <c r="F242" s="2" t="s">
        <v>57</v>
      </c>
      <c r="G242" s="2" t="s">
        <v>57</v>
      </c>
      <c r="H242" s="10">
        <v>1273</v>
      </c>
      <c r="I242" s="10">
        <v>1099</v>
      </c>
      <c r="J242" s="10">
        <v>2508</v>
      </c>
      <c r="K242" s="10">
        <v>893</v>
      </c>
      <c r="L242" s="10">
        <v>684</v>
      </c>
      <c r="M242" s="10">
        <v>761</v>
      </c>
      <c r="N242" s="10">
        <v>1426</v>
      </c>
      <c r="O242" s="10">
        <v>829</v>
      </c>
      <c r="P242" s="10">
        <v>971</v>
      </c>
      <c r="Q242" s="10">
        <v>1735</v>
      </c>
      <c r="R242" s="10">
        <v>321</v>
      </c>
      <c r="S242" s="10">
        <v>9243</v>
      </c>
      <c r="T242" s="10">
        <v>1367</v>
      </c>
      <c r="U242" s="10">
        <v>745</v>
      </c>
      <c r="V242" s="10">
        <v>1986</v>
      </c>
      <c r="W242" s="10">
        <v>599</v>
      </c>
      <c r="X242" s="10">
        <v>716</v>
      </c>
      <c r="Y242" s="10">
        <v>633</v>
      </c>
      <c r="Z242" s="10">
        <v>395</v>
      </c>
      <c r="AA242" s="10">
        <v>1186</v>
      </c>
      <c r="AB242" s="10">
        <v>1481</v>
      </c>
      <c r="AC242" s="10">
        <v>595</v>
      </c>
      <c r="AD242" s="10">
        <v>2437</v>
      </c>
      <c r="AE242" s="10">
        <v>345</v>
      </c>
      <c r="AF242" s="10">
        <v>2278</v>
      </c>
      <c r="AG242" s="10">
        <v>524</v>
      </c>
      <c r="AH242" s="10">
        <v>7783</v>
      </c>
      <c r="AI242" s="10">
        <v>2074</v>
      </c>
      <c r="AJ242" s="10">
        <v>1500</v>
      </c>
      <c r="AK242" s="10">
        <v>1671</v>
      </c>
      <c r="AL242" s="10">
        <v>2104</v>
      </c>
      <c r="AM242" s="10">
        <v>1167</v>
      </c>
      <c r="AN242" s="10">
        <v>739</v>
      </c>
      <c r="AO242" s="10">
        <v>2125</v>
      </c>
      <c r="AP242" s="10">
        <v>2399</v>
      </c>
      <c r="AQ242" s="10">
        <v>5729</v>
      </c>
      <c r="AR242" s="10">
        <v>4317</v>
      </c>
      <c r="AS242" s="10">
        <v>6871</v>
      </c>
      <c r="AT242" s="10">
        <v>1215</v>
      </c>
      <c r="AU242" s="10">
        <v>560</v>
      </c>
      <c r="AV242" s="10">
        <v>835</v>
      </c>
      <c r="AW242" s="10">
        <v>743</v>
      </c>
      <c r="AX242" s="10">
        <v>1177</v>
      </c>
      <c r="AY242" s="10">
        <v>563</v>
      </c>
      <c r="AZ242" s="10">
        <v>1360</v>
      </c>
      <c r="BA242" s="10">
        <v>1354</v>
      </c>
      <c r="BB242" s="10">
        <v>1160</v>
      </c>
      <c r="BC242" s="10">
        <v>2279</v>
      </c>
      <c r="BD242" s="10">
        <v>2182</v>
      </c>
      <c r="BE242" s="10">
        <v>776</v>
      </c>
      <c r="BF242" s="10">
        <v>2153</v>
      </c>
      <c r="BG242" s="10">
        <v>3218</v>
      </c>
      <c r="BH242" s="10">
        <v>4428</v>
      </c>
      <c r="BI242" s="10">
        <v>1980</v>
      </c>
      <c r="BJ242" s="10">
        <v>450</v>
      </c>
      <c r="BK242" s="10">
        <v>1184</v>
      </c>
      <c r="BL242" s="10">
        <v>470</v>
      </c>
    </row>
    <row r="243" spans="1:64">
      <c r="A243" s="15">
        <v>219520</v>
      </c>
      <c r="B243" s="14">
        <v>867313</v>
      </c>
      <c r="C243" s="14">
        <v>144</v>
      </c>
      <c r="D243" s="2" t="str">
        <f>HYPERLINK("http://128.120.136.21:8080/binbase-compound/bin/show/219520?db=rtx5","219520")</f>
        <v>219520</v>
      </c>
      <c r="E243" s="2" t="s">
        <v>466</v>
      </c>
      <c r="F243" s="2" t="s">
        <v>57</v>
      </c>
      <c r="G243" s="2" t="s">
        <v>57</v>
      </c>
      <c r="H243" s="10">
        <v>671</v>
      </c>
      <c r="I243" s="10">
        <v>1574</v>
      </c>
      <c r="J243" s="10">
        <v>3287</v>
      </c>
      <c r="K243" s="10">
        <v>617</v>
      </c>
      <c r="L243" s="10">
        <v>3731</v>
      </c>
      <c r="M243" s="10">
        <v>802</v>
      </c>
      <c r="N243" s="10">
        <v>3470</v>
      </c>
      <c r="O243" s="10">
        <v>1167</v>
      </c>
      <c r="P243" s="10">
        <v>1009</v>
      </c>
      <c r="Q243" s="10">
        <v>4019</v>
      </c>
      <c r="R243" s="10">
        <v>6544</v>
      </c>
      <c r="S243" s="10">
        <v>2384</v>
      </c>
      <c r="T243" s="10">
        <v>296</v>
      </c>
      <c r="U243" s="10">
        <v>3348</v>
      </c>
      <c r="V243" s="10">
        <v>2291</v>
      </c>
      <c r="W243" s="10">
        <v>410</v>
      </c>
      <c r="X243" s="10">
        <v>907</v>
      </c>
      <c r="Y243" s="10">
        <v>1188</v>
      </c>
      <c r="Z243" s="10">
        <v>810</v>
      </c>
      <c r="AA243" s="10">
        <v>914</v>
      </c>
      <c r="AB243" s="10">
        <v>921</v>
      </c>
      <c r="AC243" s="10">
        <v>1210</v>
      </c>
      <c r="AD243" s="10">
        <v>1290</v>
      </c>
      <c r="AE243" s="10">
        <v>728</v>
      </c>
      <c r="AF243" s="10">
        <v>743</v>
      </c>
      <c r="AG243" s="10">
        <v>1137</v>
      </c>
      <c r="AH243" s="10">
        <v>820</v>
      </c>
      <c r="AI243" s="10">
        <v>1064</v>
      </c>
      <c r="AJ243" s="10">
        <v>786</v>
      </c>
      <c r="AK243" s="10">
        <v>2232</v>
      </c>
      <c r="AL243" s="10">
        <v>948</v>
      </c>
      <c r="AM243" s="10">
        <v>750</v>
      </c>
      <c r="AN243" s="10">
        <v>1289</v>
      </c>
      <c r="AO243" s="10">
        <v>994</v>
      </c>
      <c r="AP243" s="10">
        <v>874</v>
      </c>
      <c r="AQ243" s="10">
        <v>1406</v>
      </c>
      <c r="AR243" s="10">
        <v>569</v>
      </c>
      <c r="AS243" s="10">
        <v>1092</v>
      </c>
      <c r="AT243" s="10">
        <v>671</v>
      </c>
      <c r="AU243" s="10">
        <v>338</v>
      </c>
      <c r="AV243" s="10">
        <v>1266</v>
      </c>
      <c r="AW243" s="10">
        <v>787</v>
      </c>
      <c r="AX243" s="10">
        <v>860</v>
      </c>
      <c r="AY243" s="10">
        <v>715</v>
      </c>
      <c r="AZ243" s="10">
        <v>1006</v>
      </c>
      <c r="BA243" s="10">
        <v>1096</v>
      </c>
      <c r="BB243" s="10">
        <v>965</v>
      </c>
      <c r="BC243" s="10">
        <v>1223</v>
      </c>
      <c r="BD243" s="10">
        <v>1208</v>
      </c>
      <c r="BE243" s="10">
        <v>926</v>
      </c>
      <c r="BF243" s="10">
        <v>1190</v>
      </c>
      <c r="BG243" s="10">
        <v>379</v>
      </c>
      <c r="BH243" s="10">
        <v>767</v>
      </c>
      <c r="BI243" s="10">
        <v>1006</v>
      </c>
      <c r="BJ243" s="10">
        <v>965</v>
      </c>
      <c r="BK243" s="10">
        <v>2732</v>
      </c>
      <c r="BL243" s="10">
        <v>2159</v>
      </c>
    </row>
    <row r="244" spans="1:64">
      <c r="A244" s="15">
        <v>359567</v>
      </c>
      <c r="B244" s="14">
        <v>876296</v>
      </c>
      <c r="C244" s="14">
        <v>156</v>
      </c>
      <c r="D244" s="2" t="str">
        <f>HYPERLINK("http://128.120.136.21:8080/binbase-compound/bin/show/359567?db=rtx5","359567")</f>
        <v>359567</v>
      </c>
      <c r="E244" s="2" t="s">
        <v>343</v>
      </c>
      <c r="F244" s="2" t="s">
        <v>57</v>
      </c>
      <c r="G244" s="2" t="s">
        <v>57</v>
      </c>
      <c r="H244" s="10">
        <v>2043</v>
      </c>
      <c r="I244" s="10">
        <v>730</v>
      </c>
      <c r="J244" s="10">
        <v>723</v>
      </c>
      <c r="K244" s="10">
        <v>1284</v>
      </c>
      <c r="L244" s="10">
        <v>879</v>
      </c>
      <c r="M244" s="10">
        <v>1505</v>
      </c>
      <c r="N244" s="10">
        <v>1459</v>
      </c>
      <c r="O244" s="10">
        <v>1208</v>
      </c>
      <c r="P244" s="10">
        <v>1248</v>
      </c>
      <c r="Q244" s="10">
        <v>1000</v>
      </c>
      <c r="R244" s="10">
        <v>1826</v>
      </c>
      <c r="S244" s="10">
        <v>2661</v>
      </c>
      <c r="T244" s="10">
        <v>1174</v>
      </c>
      <c r="U244" s="10">
        <v>821</v>
      </c>
      <c r="V244" s="10">
        <v>1087</v>
      </c>
      <c r="W244" s="10">
        <v>881</v>
      </c>
      <c r="X244" s="10">
        <v>729</v>
      </c>
      <c r="Y244" s="10">
        <v>1627</v>
      </c>
      <c r="Z244" s="10">
        <v>1644</v>
      </c>
      <c r="AA244" s="10">
        <v>796</v>
      </c>
      <c r="AB244" s="10">
        <v>1182</v>
      </c>
      <c r="AC244" s="10">
        <v>1185</v>
      </c>
      <c r="AD244" s="10">
        <v>800</v>
      </c>
      <c r="AE244" s="10">
        <v>839</v>
      </c>
      <c r="AF244" s="10">
        <v>734</v>
      </c>
      <c r="AG244" s="10">
        <v>1385</v>
      </c>
      <c r="AH244" s="10">
        <v>762</v>
      </c>
      <c r="AI244" s="10">
        <v>864</v>
      </c>
      <c r="AJ244" s="10">
        <v>1020</v>
      </c>
      <c r="AK244" s="10">
        <v>1078</v>
      </c>
      <c r="AL244" s="10">
        <v>723</v>
      </c>
      <c r="AM244" s="10">
        <v>262</v>
      </c>
      <c r="AN244" s="10">
        <v>852</v>
      </c>
      <c r="AO244" s="10">
        <v>1052</v>
      </c>
      <c r="AP244" s="10">
        <v>986</v>
      </c>
      <c r="AQ244" s="10">
        <v>1023</v>
      </c>
      <c r="AR244" s="10">
        <v>670</v>
      </c>
      <c r="AS244" s="10">
        <v>1234</v>
      </c>
      <c r="AT244" s="10">
        <v>751</v>
      </c>
      <c r="AU244" s="10">
        <v>2200</v>
      </c>
      <c r="AV244" s="10">
        <v>589</v>
      </c>
      <c r="AW244" s="10">
        <v>976</v>
      </c>
      <c r="AX244" s="10">
        <v>694</v>
      </c>
      <c r="AY244" s="10">
        <v>833</v>
      </c>
      <c r="AZ244" s="10">
        <v>676</v>
      </c>
      <c r="BA244" s="10">
        <v>909</v>
      </c>
      <c r="BB244" s="10">
        <v>881</v>
      </c>
      <c r="BC244" s="10">
        <v>1094</v>
      </c>
      <c r="BD244" s="10">
        <v>1116</v>
      </c>
      <c r="BE244" s="10">
        <v>1498</v>
      </c>
      <c r="BF244" s="10">
        <v>899</v>
      </c>
      <c r="BG244" s="10">
        <v>1360</v>
      </c>
      <c r="BH244" s="10">
        <v>1043</v>
      </c>
      <c r="BI244" s="10">
        <v>728</v>
      </c>
      <c r="BJ244" s="10">
        <v>1088</v>
      </c>
      <c r="BK244" s="10">
        <v>1979</v>
      </c>
      <c r="BL244" s="10">
        <v>1373</v>
      </c>
    </row>
    <row r="245" spans="1:64">
      <c r="A245" s="15">
        <v>272849</v>
      </c>
      <c r="B245" s="14">
        <v>221925</v>
      </c>
      <c r="C245" s="14">
        <v>115</v>
      </c>
      <c r="D245" s="2" t="str">
        <f>HYPERLINK("http://128.120.136.21:8080/binbase-compound/bin/show/272849?db=rtx5","272849")</f>
        <v>272849</v>
      </c>
      <c r="E245" s="2" t="s">
        <v>396</v>
      </c>
      <c r="F245" s="2" t="s">
        <v>57</v>
      </c>
      <c r="G245" s="2" t="s">
        <v>57</v>
      </c>
      <c r="H245" s="10">
        <v>727</v>
      </c>
      <c r="I245" s="10">
        <v>509</v>
      </c>
      <c r="J245" s="10">
        <v>768</v>
      </c>
      <c r="K245" s="10">
        <v>736</v>
      </c>
      <c r="L245" s="10">
        <v>770</v>
      </c>
      <c r="M245" s="10">
        <v>455</v>
      </c>
      <c r="N245" s="10">
        <v>782</v>
      </c>
      <c r="O245" s="10">
        <v>1046</v>
      </c>
      <c r="P245" s="10">
        <v>304</v>
      </c>
      <c r="Q245" s="10">
        <v>1581</v>
      </c>
      <c r="R245" s="10">
        <v>673</v>
      </c>
      <c r="S245" s="10">
        <v>3844</v>
      </c>
      <c r="T245" s="10">
        <v>572</v>
      </c>
      <c r="U245" s="10">
        <v>642</v>
      </c>
      <c r="V245" s="10">
        <v>590</v>
      </c>
      <c r="W245" s="10">
        <v>748</v>
      </c>
      <c r="X245" s="10">
        <v>890</v>
      </c>
      <c r="Y245" s="10">
        <v>879</v>
      </c>
      <c r="Z245" s="10">
        <v>760</v>
      </c>
      <c r="AA245" s="10">
        <v>1691</v>
      </c>
      <c r="AB245" s="10">
        <v>1789</v>
      </c>
      <c r="AC245" s="10">
        <v>328</v>
      </c>
      <c r="AD245" s="10">
        <v>440</v>
      </c>
      <c r="AE245" s="10">
        <v>782</v>
      </c>
      <c r="AF245" s="10">
        <v>403</v>
      </c>
      <c r="AG245" s="10">
        <v>806</v>
      </c>
      <c r="AH245" s="10">
        <v>1944</v>
      </c>
      <c r="AI245" s="10">
        <v>1112</v>
      </c>
      <c r="AJ245" s="10">
        <v>1487</v>
      </c>
      <c r="AK245" s="10">
        <v>573</v>
      </c>
      <c r="AL245" s="10">
        <v>1478</v>
      </c>
      <c r="AM245" s="10">
        <v>273</v>
      </c>
      <c r="AN245" s="10">
        <v>1220</v>
      </c>
      <c r="AO245" s="10">
        <v>1222</v>
      </c>
      <c r="AP245" s="10">
        <v>942</v>
      </c>
      <c r="AQ245" s="10">
        <v>3272</v>
      </c>
      <c r="AR245" s="10">
        <v>991</v>
      </c>
      <c r="AS245" s="10">
        <v>1120</v>
      </c>
      <c r="AT245" s="10">
        <v>802</v>
      </c>
      <c r="AU245" s="10">
        <v>347</v>
      </c>
      <c r="AV245" s="10">
        <v>907</v>
      </c>
      <c r="AW245" s="10">
        <v>458</v>
      </c>
      <c r="AX245" s="10">
        <v>1000</v>
      </c>
      <c r="AY245" s="10">
        <v>1026</v>
      </c>
      <c r="AZ245" s="10">
        <v>1440</v>
      </c>
      <c r="BA245" s="10">
        <v>826</v>
      </c>
      <c r="BB245" s="10">
        <v>351</v>
      </c>
      <c r="BC245" s="10">
        <v>1193</v>
      </c>
      <c r="BD245" s="10">
        <v>711</v>
      </c>
      <c r="BE245" s="10">
        <v>816</v>
      </c>
      <c r="BF245" s="10">
        <v>1480</v>
      </c>
      <c r="BG245" s="10">
        <v>1560</v>
      </c>
      <c r="BH245" s="10">
        <v>662</v>
      </c>
      <c r="BI245" s="10">
        <v>12761</v>
      </c>
      <c r="BJ245" s="10">
        <v>527</v>
      </c>
      <c r="BK245" s="10">
        <v>2985</v>
      </c>
      <c r="BL245" s="10">
        <v>710</v>
      </c>
    </row>
    <row r="246" spans="1:64">
      <c r="A246" s="15">
        <v>438117</v>
      </c>
      <c r="B246" s="14">
        <v>707816</v>
      </c>
      <c r="C246" s="14">
        <v>223</v>
      </c>
      <c r="D246" s="2" t="str">
        <f>HYPERLINK("http://128.120.136.21:8080/binbase-compound/bin/show/438117?db=rtx5","438117")</f>
        <v>438117</v>
      </c>
      <c r="E246" s="2" t="s">
        <v>290</v>
      </c>
      <c r="F246" s="2" t="s">
        <v>57</v>
      </c>
      <c r="G246" s="2" t="s">
        <v>57</v>
      </c>
      <c r="H246" s="10">
        <v>299</v>
      </c>
      <c r="I246" s="10">
        <v>498</v>
      </c>
      <c r="J246" s="10">
        <v>636</v>
      </c>
      <c r="K246" s="10">
        <v>888</v>
      </c>
      <c r="L246" s="10">
        <v>2035</v>
      </c>
      <c r="M246" s="10">
        <v>393</v>
      </c>
      <c r="N246" s="10">
        <v>1527</v>
      </c>
      <c r="O246" s="10">
        <v>259</v>
      </c>
      <c r="P246" s="10">
        <v>714</v>
      </c>
      <c r="Q246" s="10">
        <v>1511</v>
      </c>
      <c r="R246" s="10">
        <v>3414</v>
      </c>
      <c r="S246" s="10">
        <v>3604</v>
      </c>
      <c r="T246" s="10">
        <v>1130</v>
      </c>
      <c r="U246" s="10">
        <v>1085</v>
      </c>
      <c r="V246" s="10">
        <v>825</v>
      </c>
      <c r="W246" s="10">
        <v>377</v>
      </c>
      <c r="X246" s="10">
        <v>760</v>
      </c>
      <c r="Y246" s="10">
        <v>220</v>
      </c>
      <c r="Z246" s="10">
        <v>297</v>
      </c>
      <c r="AA246" s="10">
        <v>1839</v>
      </c>
      <c r="AB246" s="10">
        <v>745</v>
      </c>
      <c r="AC246" s="10">
        <v>403</v>
      </c>
      <c r="AD246" s="10">
        <v>637</v>
      </c>
      <c r="AE246" s="10">
        <v>2291</v>
      </c>
      <c r="AF246" s="10">
        <v>1130</v>
      </c>
      <c r="AG246" s="10">
        <v>184</v>
      </c>
      <c r="AH246" s="10">
        <v>1163</v>
      </c>
      <c r="AI246" s="10">
        <v>612</v>
      </c>
      <c r="AJ246" s="10">
        <v>447</v>
      </c>
      <c r="AK246" s="10">
        <v>955</v>
      </c>
      <c r="AL246" s="10">
        <v>711</v>
      </c>
      <c r="AM246" s="10">
        <v>127</v>
      </c>
      <c r="AN246" s="10">
        <v>3280</v>
      </c>
      <c r="AO246" s="10">
        <v>1926</v>
      </c>
      <c r="AP246" s="10">
        <v>186</v>
      </c>
      <c r="AQ246" s="10">
        <v>4290</v>
      </c>
      <c r="AR246" s="10">
        <v>2026</v>
      </c>
      <c r="AS246" s="10">
        <v>245</v>
      </c>
      <c r="AT246" s="10">
        <v>1165</v>
      </c>
      <c r="AU246" s="10">
        <v>998</v>
      </c>
      <c r="AV246" s="10">
        <v>572</v>
      </c>
      <c r="AW246" s="10">
        <v>1155</v>
      </c>
      <c r="AX246" s="10">
        <v>287</v>
      </c>
      <c r="AY246" s="10">
        <v>1621</v>
      </c>
      <c r="AZ246" s="10">
        <v>1633</v>
      </c>
      <c r="BA246" s="10">
        <v>1724</v>
      </c>
      <c r="BB246" s="10">
        <v>1043</v>
      </c>
      <c r="BC246" s="10">
        <v>1015</v>
      </c>
      <c r="BD246" s="10">
        <v>1083</v>
      </c>
      <c r="BE246" s="10">
        <v>1068</v>
      </c>
      <c r="BF246" s="10">
        <v>1533</v>
      </c>
      <c r="BG246" s="10">
        <v>979</v>
      </c>
      <c r="BH246" s="10">
        <v>573</v>
      </c>
      <c r="BI246" s="10">
        <v>384</v>
      </c>
      <c r="BJ246" s="10">
        <v>2609</v>
      </c>
      <c r="BK246" s="10">
        <v>659</v>
      </c>
      <c r="BL246" s="10">
        <v>829</v>
      </c>
    </row>
    <row r="247" spans="1:64">
      <c r="A247" s="15">
        <v>411384</v>
      </c>
      <c r="B247" s="14">
        <v>1025986</v>
      </c>
      <c r="C247" s="14">
        <v>129</v>
      </c>
      <c r="D247" s="2" t="str">
        <f>HYPERLINK("http://128.120.136.21:8080/binbase-compound/bin/show/411384?db=rtx5","411384")</f>
        <v>411384</v>
      </c>
      <c r="E247" s="2" t="s">
        <v>300</v>
      </c>
      <c r="F247" s="2" t="s">
        <v>57</v>
      </c>
      <c r="G247" s="2" t="s">
        <v>57</v>
      </c>
      <c r="H247" s="10">
        <v>3011</v>
      </c>
      <c r="I247" s="10">
        <v>1909</v>
      </c>
      <c r="J247" s="10">
        <v>919</v>
      </c>
      <c r="K247" s="10">
        <v>3061</v>
      </c>
      <c r="L247" s="10">
        <v>1371</v>
      </c>
      <c r="M247" s="10">
        <v>901</v>
      </c>
      <c r="N247" s="10">
        <v>2460</v>
      </c>
      <c r="O247" s="10">
        <v>2159</v>
      </c>
      <c r="P247" s="10">
        <v>1844</v>
      </c>
      <c r="Q247" s="10">
        <v>322</v>
      </c>
      <c r="R247" s="10">
        <v>254</v>
      </c>
      <c r="S247" s="10">
        <v>1129</v>
      </c>
      <c r="T247" s="10">
        <v>1064</v>
      </c>
      <c r="U247" s="10">
        <v>3574</v>
      </c>
      <c r="V247" s="10">
        <v>2177</v>
      </c>
      <c r="W247" s="10">
        <v>1582</v>
      </c>
      <c r="X247" s="10">
        <v>1062</v>
      </c>
      <c r="Y247" s="10">
        <v>1811</v>
      </c>
      <c r="Z247" s="10">
        <v>2658</v>
      </c>
      <c r="AA247" s="10">
        <v>2144</v>
      </c>
      <c r="AB247" s="10">
        <v>954</v>
      </c>
      <c r="AC247" s="10">
        <v>2095</v>
      </c>
      <c r="AD247" s="10">
        <v>1369</v>
      </c>
      <c r="AE247" s="10">
        <v>1861</v>
      </c>
      <c r="AF247" s="10">
        <v>2255</v>
      </c>
      <c r="AG247" s="10">
        <v>1274</v>
      </c>
      <c r="AH247" s="10">
        <v>2169</v>
      </c>
      <c r="AI247" s="10">
        <v>2353</v>
      </c>
      <c r="AJ247" s="10">
        <v>1389</v>
      </c>
      <c r="AK247" s="10">
        <v>2822</v>
      </c>
      <c r="AL247" s="10">
        <v>2705</v>
      </c>
      <c r="AM247" s="10">
        <v>373</v>
      </c>
      <c r="AN247" s="10">
        <v>3563</v>
      </c>
      <c r="AO247" s="10">
        <v>2827</v>
      </c>
      <c r="AP247" s="10">
        <v>815</v>
      </c>
      <c r="AQ247" s="10">
        <v>2409</v>
      </c>
      <c r="AR247" s="10">
        <v>1733</v>
      </c>
      <c r="AS247" s="10">
        <v>1843</v>
      </c>
      <c r="AT247" s="10">
        <v>1642</v>
      </c>
      <c r="AU247" s="10">
        <v>1522</v>
      </c>
      <c r="AV247" s="10">
        <v>2563</v>
      </c>
      <c r="AW247" s="10">
        <v>556</v>
      </c>
      <c r="AX247" s="10">
        <v>1205</v>
      </c>
      <c r="AY247" s="10">
        <v>1779</v>
      </c>
      <c r="AZ247" s="10">
        <v>2026</v>
      </c>
      <c r="BA247" s="10">
        <v>732</v>
      </c>
      <c r="BB247" s="10">
        <v>816</v>
      </c>
      <c r="BC247" s="10">
        <v>1024</v>
      </c>
      <c r="BD247" s="10">
        <v>1938</v>
      </c>
      <c r="BE247" s="10">
        <v>1394</v>
      </c>
      <c r="BF247" s="10">
        <v>2807</v>
      </c>
      <c r="BG247" s="10">
        <v>5204</v>
      </c>
      <c r="BH247" s="10">
        <v>2489</v>
      </c>
      <c r="BI247" s="10">
        <v>4372</v>
      </c>
      <c r="BJ247" s="10">
        <v>1579</v>
      </c>
      <c r="BK247" s="10">
        <v>1247</v>
      </c>
      <c r="BL247" s="10">
        <v>1215</v>
      </c>
    </row>
    <row r="248" spans="1:64">
      <c r="A248" s="15">
        <v>206556</v>
      </c>
      <c r="B248" s="14">
        <v>424318</v>
      </c>
      <c r="C248" s="14">
        <v>85</v>
      </c>
      <c r="D248" s="2" t="str">
        <f>HYPERLINK("http://128.120.136.21:8080/binbase-compound/bin/show/206556?db=rtx5","206556")</f>
        <v>206556</v>
      </c>
      <c r="E248" s="2" t="s">
        <v>489</v>
      </c>
      <c r="F248" s="2" t="s">
        <v>57</v>
      </c>
      <c r="G248" s="2" t="s">
        <v>57</v>
      </c>
      <c r="H248" s="10">
        <v>1242</v>
      </c>
      <c r="I248" s="10">
        <v>1662</v>
      </c>
      <c r="J248" s="10">
        <v>997</v>
      </c>
      <c r="K248" s="10">
        <v>1180</v>
      </c>
      <c r="L248" s="10">
        <v>1025</v>
      </c>
      <c r="M248" s="10">
        <v>969</v>
      </c>
      <c r="N248" s="10">
        <v>1479</v>
      </c>
      <c r="O248" s="10">
        <v>1141</v>
      </c>
      <c r="P248" s="10">
        <v>936</v>
      </c>
      <c r="Q248" s="10">
        <v>1978</v>
      </c>
      <c r="R248" s="10">
        <v>2037</v>
      </c>
      <c r="S248" s="10">
        <v>6799</v>
      </c>
      <c r="T248" s="10">
        <v>875</v>
      </c>
      <c r="U248" s="10">
        <v>2176</v>
      </c>
      <c r="V248" s="10">
        <v>1498</v>
      </c>
      <c r="W248" s="10">
        <v>918</v>
      </c>
      <c r="X248" s="10">
        <v>1223</v>
      </c>
      <c r="Y248" s="10">
        <v>1197</v>
      </c>
      <c r="Z248" s="10">
        <v>1380</v>
      </c>
      <c r="AA248" s="10">
        <v>2425</v>
      </c>
      <c r="AB248" s="10">
        <v>1227</v>
      </c>
      <c r="AC248" s="10">
        <v>757</v>
      </c>
      <c r="AD248" s="10">
        <v>754</v>
      </c>
      <c r="AE248" s="10">
        <v>1050</v>
      </c>
      <c r="AF248" s="10">
        <v>1161</v>
      </c>
      <c r="AG248" s="10">
        <v>1095</v>
      </c>
      <c r="AH248" s="10">
        <v>2105</v>
      </c>
      <c r="AI248" s="10">
        <v>1308</v>
      </c>
      <c r="AJ248" s="10">
        <v>1140</v>
      </c>
      <c r="AK248" s="10">
        <v>2638</v>
      </c>
      <c r="AL248" s="10">
        <v>1810</v>
      </c>
      <c r="AM248" s="10">
        <v>835</v>
      </c>
      <c r="AN248" s="10">
        <v>1823</v>
      </c>
      <c r="AO248" s="10">
        <v>2107</v>
      </c>
      <c r="AP248" s="10">
        <v>1788</v>
      </c>
      <c r="AQ248" s="10">
        <v>6571</v>
      </c>
      <c r="AR248" s="10">
        <v>2098</v>
      </c>
      <c r="AS248" s="10">
        <v>2210</v>
      </c>
      <c r="AT248" s="10">
        <v>1468</v>
      </c>
      <c r="AU248" s="10">
        <v>841</v>
      </c>
      <c r="AV248" s="10">
        <v>2372</v>
      </c>
      <c r="AW248" s="10">
        <v>1665</v>
      </c>
      <c r="AX248" s="10">
        <v>2275</v>
      </c>
      <c r="AY248" s="10">
        <v>1922</v>
      </c>
      <c r="AZ248" s="10">
        <v>3335</v>
      </c>
      <c r="BA248" s="10">
        <v>1795</v>
      </c>
      <c r="BB248" s="10">
        <v>976</v>
      </c>
      <c r="BC248" s="10">
        <v>1874</v>
      </c>
      <c r="BD248" s="10">
        <v>1306</v>
      </c>
      <c r="BE248" s="10">
        <v>1930</v>
      </c>
      <c r="BF248" s="10">
        <v>2134</v>
      </c>
      <c r="BG248" s="10">
        <v>3480</v>
      </c>
      <c r="BH248" s="10">
        <v>1522</v>
      </c>
      <c r="BI248" s="10">
        <v>1285</v>
      </c>
      <c r="BJ248" s="10">
        <v>1461</v>
      </c>
      <c r="BK248" s="10">
        <v>2172</v>
      </c>
      <c r="BL248" s="10">
        <v>1539</v>
      </c>
    </row>
    <row r="249" spans="1:64">
      <c r="A249" s="15">
        <v>224551</v>
      </c>
      <c r="B249" s="14">
        <v>501237</v>
      </c>
      <c r="C249" s="14">
        <v>228</v>
      </c>
      <c r="D249" s="2" t="str">
        <f>HYPERLINK("http://128.120.136.21:8080/binbase-compound/bin/show/224551?db=rtx5","224551")</f>
        <v>224551</v>
      </c>
      <c r="E249" s="2" t="s">
        <v>459</v>
      </c>
      <c r="F249" s="2" t="s">
        <v>57</v>
      </c>
      <c r="G249" s="2" t="s">
        <v>57</v>
      </c>
      <c r="H249" s="10">
        <v>693</v>
      </c>
      <c r="I249" s="10">
        <v>329</v>
      </c>
      <c r="J249" s="10">
        <v>165</v>
      </c>
      <c r="K249" s="10">
        <v>166</v>
      </c>
      <c r="L249" s="10">
        <v>300</v>
      </c>
      <c r="M249" s="10">
        <v>619</v>
      </c>
      <c r="N249" s="10">
        <v>729</v>
      </c>
      <c r="O249" s="10">
        <v>2922</v>
      </c>
      <c r="P249" s="10">
        <v>188</v>
      </c>
      <c r="Q249" s="10">
        <v>1306</v>
      </c>
      <c r="R249" s="10">
        <v>423</v>
      </c>
      <c r="S249" s="10">
        <v>2817</v>
      </c>
      <c r="T249" s="10">
        <v>109</v>
      </c>
      <c r="U249" s="10">
        <v>603</v>
      </c>
      <c r="V249" s="10">
        <v>786</v>
      </c>
      <c r="W249" s="10">
        <v>172</v>
      </c>
      <c r="X249" s="10">
        <v>1015</v>
      </c>
      <c r="Y249" s="10">
        <v>831</v>
      </c>
      <c r="Z249" s="10">
        <v>276</v>
      </c>
      <c r="AA249" s="10">
        <v>370</v>
      </c>
      <c r="AB249" s="10">
        <v>262</v>
      </c>
      <c r="AC249" s="10">
        <v>505</v>
      </c>
      <c r="AD249" s="10">
        <v>507</v>
      </c>
      <c r="AE249" s="10">
        <v>928</v>
      </c>
      <c r="AF249" s="10">
        <v>722</v>
      </c>
      <c r="AG249" s="10">
        <v>1519</v>
      </c>
      <c r="AH249" s="10">
        <v>395</v>
      </c>
      <c r="AI249" s="10">
        <v>260</v>
      </c>
      <c r="AJ249" s="10">
        <v>400</v>
      </c>
      <c r="AK249" s="10">
        <v>726</v>
      </c>
      <c r="AL249" s="10">
        <v>664</v>
      </c>
      <c r="AM249" s="10">
        <v>142</v>
      </c>
      <c r="AN249" s="10">
        <v>453</v>
      </c>
      <c r="AO249" s="10">
        <v>907</v>
      </c>
      <c r="AP249" s="10">
        <v>206</v>
      </c>
      <c r="AQ249" s="10">
        <v>667</v>
      </c>
      <c r="AR249" s="10">
        <v>460</v>
      </c>
      <c r="AS249" s="10">
        <v>474</v>
      </c>
      <c r="AT249" s="10">
        <v>651</v>
      </c>
      <c r="AU249" s="10">
        <v>460</v>
      </c>
      <c r="AV249" s="10">
        <v>367</v>
      </c>
      <c r="AW249" s="10">
        <v>2017</v>
      </c>
      <c r="AX249" s="10">
        <v>7171</v>
      </c>
      <c r="AY249" s="10">
        <v>172</v>
      </c>
      <c r="AZ249" s="10">
        <v>671</v>
      </c>
      <c r="BA249" s="10">
        <v>298</v>
      </c>
      <c r="BB249" s="10">
        <v>192</v>
      </c>
      <c r="BC249" s="10">
        <v>3251</v>
      </c>
      <c r="BD249" s="10">
        <v>270</v>
      </c>
      <c r="BE249" s="10">
        <v>1035</v>
      </c>
      <c r="BF249" s="10">
        <v>763</v>
      </c>
      <c r="BG249" s="10">
        <v>18226</v>
      </c>
      <c r="BH249" s="10">
        <v>975</v>
      </c>
      <c r="BI249" s="10">
        <v>321</v>
      </c>
      <c r="BJ249" s="10">
        <v>467</v>
      </c>
      <c r="BK249" s="10">
        <v>549</v>
      </c>
      <c r="BL249" s="10">
        <v>168</v>
      </c>
    </row>
    <row r="250" spans="1:64">
      <c r="A250" s="15">
        <v>212022</v>
      </c>
      <c r="B250" s="14">
        <v>421363</v>
      </c>
      <c r="C250" s="14">
        <v>234</v>
      </c>
      <c r="D250" s="2" t="str">
        <f>HYPERLINK("http://128.120.136.21:8080/binbase-compound/bin/show/212022?db=rtx5","212022")</f>
        <v>212022</v>
      </c>
      <c r="E250" s="2" t="s">
        <v>483</v>
      </c>
      <c r="F250" s="2" t="s">
        <v>57</v>
      </c>
      <c r="G250" s="2" t="s">
        <v>57</v>
      </c>
      <c r="H250" s="10">
        <v>1064</v>
      </c>
      <c r="I250" s="10">
        <v>639</v>
      </c>
      <c r="J250" s="10">
        <v>1012</v>
      </c>
      <c r="K250" s="10">
        <v>846</v>
      </c>
      <c r="L250" s="10">
        <v>1109</v>
      </c>
      <c r="M250" s="10">
        <v>1056</v>
      </c>
      <c r="N250" s="10">
        <v>514</v>
      </c>
      <c r="O250" s="10">
        <v>679</v>
      </c>
      <c r="P250" s="10">
        <v>561</v>
      </c>
      <c r="Q250" s="10">
        <v>2469</v>
      </c>
      <c r="R250" s="10">
        <v>1496</v>
      </c>
      <c r="S250" s="10">
        <v>3772</v>
      </c>
      <c r="T250" s="10">
        <v>746</v>
      </c>
      <c r="U250" s="10">
        <v>693</v>
      </c>
      <c r="V250" s="10">
        <v>1141</v>
      </c>
      <c r="W250" s="10">
        <v>1398</v>
      </c>
      <c r="X250" s="10">
        <v>1127</v>
      </c>
      <c r="Y250" s="10">
        <v>1654</v>
      </c>
      <c r="Z250" s="10">
        <v>460</v>
      </c>
      <c r="AA250" s="10">
        <v>720</v>
      </c>
      <c r="AB250" s="10">
        <v>1619</v>
      </c>
      <c r="AC250" s="10">
        <v>933</v>
      </c>
      <c r="AD250" s="10">
        <v>1217</v>
      </c>
      <c r="AE250" s="10">
        <v>850</v>
      </c>
      <c r="AF250" s="10">
        <v>1966</v>
      </c>
      <c r="AG250" s="10">
        <v>874</v>
      </c>
      <c r="AH250" s="10">
        <v>1567</v>
      </c>
      <c r="AI250" s="10">
        <v>799</v>
      </c>
      <c r="AJ250" s="10">
        <v>343</v>
      </c>
      <c r="AK250" s="10">
        <v>457</v>
      </c>
      <c r="AL250" s="10">
        <v>545</v>
      </c>
      <c r="AM250" s="10">
        <v>395</v>
      </c>
      <c r="AN250" s="10">
        <v>1390</v>
      </c>
      <c r="AO250" s="10">
        <v>619</v>
      </c>
      <c r="AP250" s="10">
        <v>542</v>
      </c>
      <c r="AQ250" s="10">
        <v>1254</v>
      </c>
      <c r="AR250" s="10">
        <v>1222</v>
      </c>
      <c r="AS250" s="10">
        <v>629</v>
      </c>
      <c r="AT250" s="10">
        <v>651</v>
      </c>
      <c r="AU250" s="10">
        <v>562</v>
      </c>
      <c r="AV250" s="10">
        <v>602</v>
      </c>
      <c r="AW250" s="10">
        <v>1612</v>
      </c>
      <c r="AX250" s="10">
        <v>1039</v>
      </c>
      <c r="AY250" s="10">
        <v>1672</v>
      </c>
      <c r="AZ250" s="10">
        <v>930</v>
      </c>
      <c r="BA250" s="10">
        <v>528</v>
      </c>
      <c r="BB250" s="10">
        <v>464</v>
      </c>
      <c r="BC250" s="10">
        <v>498</v>
      </c>
      <c r="BD250" s="10">
        <v>309</v>
      </c>
      <c r="BE250" s="10">
        <v>5886</v>
      </c>
      <c r="BF250" s="10">
        <v>746</v>
      </c>
      <c r="BG250" s="10">
        <v>752</v>
      </c>
      <c r="BH250" s="10">
        <v>431</v>
      </c>
      <c r="BI250" s="10">
        <v>622</v>
      </c>
      <c r="BJ250" s="10">
        <v>553</v>
      </c>
      <c r="BK250" s="10">
        <v>449</v>
      </c>
      <c r="BL250" s="10">
        <v>474</v>
      </c>
    </row>
    <row r="251" spans="1:64">
      <c r="A251" s="15">
        <v>429880</v>
      </c>
      <c r="B251" s="14">
        <v>463828</v>
      </c>
      <c r="C251" s="14">
        <v>140</v>
      </c>
      <c r="D251" s="2" t="str">
        <f>HYPERLINK("http://128.120.136.21:8080/binbase-compound/bin/show/429880?db=rtx5","429880")</f>
        <v>429880</v>
      </c>
      <c r="E251" s="2" t="s">
        <v>294</v>
      </c>
      <c r="F251" s="2" t="s">
        <v>57</v>
      </c>
      <c r="G251" s="2" t="s">
        <v>57</v>
      </c>
      <c r="H251" s="10">
        <v>868</v>
      </c>
      <c r="I251" s="10">
        <v>844</v>
      </c>
      <c r="J251" s="10">
        <v>1358</v>
      </c>
      <c r="K251" s="10">
        <v>801</v>
      </c>
      <c r="L251" s="10">
        <v>828</v>
      </c>
      <c r="M251" s="10">
        <v>645</v>
      </c>
      <c r="N251" s="10">
        <v>1388</v>
      </c>
      <c r="O251" s="10">
        <v>680</v>
      </c>
      <c r="P251" s="10">
        <v>536</v>
      </c>
      <c r="Q251" s="10">
        <v>1790</v>
      </c>
      <c r="R251" s="10">
        <v>1062</v>
      </c>
      <c r="S251" s="10">
        <v>6372</v>
      </c>
      <c r="T251" s="10">
        <v>627</v>
      </c>
      <c r="U251" s="10">
        <v>1062</v>
      </c>
      <c r="V251" s="10">
        <v>1111</v>
      </c>
      <c r="W251" s="10">
        <v>607</v>
      </c>
      <c r="X251" s="10">
        <v>823</v>
      </c>
      <c r="Y251" s="10">
        <v>810</v>
      </c>
      <c r="Z251" s="10">
        <v>691</v>
      </c>
      <c r="AA251" s="10">
        <v>1575</v>
      </c>
      <c r="AB251" s="10">
        <v>1701</v>
      </c>
      <c r="AC251" s="10">
        <v>583</v>
      </c>
      <c r="AD251" s="10">
        <v>648</v>
      </c>
      <c r="AE251" s="10">
        <v>603</v>
      </c>
      <c r="AF251" s="10">
        <v>815</v>
      </c>
      <c r="AG251" s="10">
        <v>482</v>
      </c>
      <c r="AH251" s="10">
        <v>1410</v>
      </c>
      <c r="AI251" s="10">
        <v>1579</v>
      </c>
      <c r="AJ251" s="10">
        <v>991</v>
      </c>
      <c r="AK251" s="10">
        <v>1644</v>
      </c>
      <c r="AL251" s="10">
        <v>1145</v>
      </c>
      <c r="AM251" s="10">
        <v>801</v>
      </c>
      <c r="AN251" s="10">
        <v>1422</v>
      </c>
      <c r="AO251" s="10">
        <v>1500</v>
      </c>
      <c r="AP251" s="10">
        <v>1296</v>
      </c>
      <c r="AQ251" s="10">
        <v>5597</v>
      </c>
      <c r="AR251" s="10">
        <v>978</v>
      </c>
      <c r="AS251" s="10">
        <v>1410</v>
      </c>
      <c r="AT251" s="10">
        <v>1118</v>
      </c>
      <c r="AU251" s="10">
        <v>476</v>
      </c>
      <c r="AV251" s="10">
        <v>1445</v>
      </c>
      <c r="AW251" s="10">
        <v>1085</v>
      </c>
      <c r="AX251" s="10">
        <v>1043</v>
      </c>
      <c r="AY251" s="10">
        <v>1269</v>
      </c>
      <c r="AZ251" s="10">
        <v>1117</v>
      </c>
      <c r="BA251" s="10">
        <v>777</v>
      </c>
      <c r="BB251" s="10">
        <v>1114</v>
      </c>
      <c r="BC251" s="10">
        <v>1623</v>
      </c>
      <c r="BD251" s="10">
        <v>983</v>
      </c>
      <c r="BE251" s="10">
        <v>905</v>
      </c>
      <c r="BF251" s="10">
        <v>1750</v>
      </c>
      <c r="BG251" s="10">
        <v>2157</v>
      </c>
      <c r="BH251" s="10">
        <v>825</v>
      </c>
      <c r="BI251" s="10">
        <v>1902</v>
      </c>
      <c r="BJ251" s="10">
        <v>813</v>
      </c>
      <c r="BK251" s="10">
        <v>1374</v>
      </c>
      <c r="BL251" s="10">
        <v>493</v>
      </c>
    </row>
    <row r="252" spans="1:64">
      <c r="A252" s="15">
        <v>446777</v>
      </c>
      <c r="B252" s="14">
        <v>599503</v>
      </c>
      <c r="C252" s="14">
        <v>292</v>
      </c>
      <c r="D252" s="2" t="str">
        <f>HYPERLINK("http://128.120.136.21:8080/binbase-compound/bin/show/446777?db=rtx5","446777")</f>
        <v>446777</v>
      </c>
      <c r="E252" s="2" t="s">
        <v>282</v>
      </c>
      <c r="F252" s="2" t="s">
        <v>57</v>
      </c>
      <c r="G252" s="2" t="s">
        <v>57</v>
      </c>
      <c r="H252" s="10">
        <v>2157</v>
      </c>
      <c r="I252" s="10">
        <v>9351</v>
      </c>
      <c r="J252" s="10">
        <v>12211</v>
      </c>
      <c r="K252" s="10">
        <v>3832</v>
      </c>
      <c r="L252" s="10">
        <v>6518</v>
      </c>
      <c r="M252" s="10">
        <v>2438</v>
      </c>
      <c r="N252" s="10">
        <v>10549</v>
      </c>
      <c r="O252" s="10">
        <v>5652</v>
      </c>
      <c r="P252" s="10">
        <v>4084</v>
      </c>
      <c r="Q252" s="10">
        <v>588</v>
      </c>
      <c r="R252" s="10">
        <v>662</v>
      </c>
      <c r="S252" s="10">
        <v>943</v>
      </c>
      <c r="T252" s="10">
        <v>3549</v>
      </c>
      <c r="U252" s="10">
        <v>7296</v>
      </c>
      <c r="V252" s="10">
        <v>11411</v>
      </c>
      <c r="W252" s="10">
        <v>2785</v>
      </c>
      <c r="X252" s="10">
        <v>2601</v>
      </c>
      <c r="Y252" s="10">
        <v>9884</v>
      </c>
      <c r="Z252" s="10">
        <v>2322</v>
      </c>
      <c r="AA252" s="10">
        <v>2238</v>
      </c>
      <c r="AB252" s="10">
        <v>1384</v>
      </c>
      <c r="AC252" s="10">
        <v>4169</v>
      </c>
      <c r="AD252" s="10">
        <v>1672</v>
      </c>
      <c r="AE252" s="10">
        <v>4529</v>
      </c>
      <c r="AF252" s="10">
        <v>1068</v>
      </c>
      <c r="AG252" s="10">
        <v>1723</v>
      </c>
      <c r="AH252" s="10">
        <v>13808</v>
      </c>
      <c r="AI252" s="10">
        <v>1838</v>
      </c>
      <c r="AJ252" s="10">
        <v>2448</v>
      </c>
      <c r="AK252" s="10">
        <v>1486</v>
      </c>
      <c r="AL252" s="10">
        <v>4473</v>
      </c>
      <c r="AM252" s="10">
        <v>1976</v>
      </c>
      <c r="AN252" s="10">
        <v>3539</v>
      </c>
      <c r="AO252" s="10">
        <v>4629</v>
      </c>
      <c r="AP252" s="10">
        <v>1205</v>
      </c>
      <c r="AQ252" s="10">
        <v>2033</v>
      </c>
      <c r="AR252" s="10">
        <v>2020</v>
      </c>
      <c r="AS252" s="10">
        <v>2076</v>
      </c>
      <c r="AT252" s="10">
        <v>2798</v>
      </c>
      <c r="AU252" s="10">
        <v>2296</v>
      </c>
      <c r="AV252" s="10">
        <v>34054</v>
      </c>
      <c r="AW252" s="10">
        <v>3003</v>
      </c>
      <c r="AX252" s="10">
        <v>4499</v>
      </c>
      <c r="AY252" s="10">
        <v>4590</v>
      </c>
      <c r="AZ252" s="10">
        <v>4473</v>
      </c>
      <c r="BA252" s="10">
        <v>3282</v>
      </c>
      <c r="BB252" s="10">
        <v>2312</v>
      </c>
      <c r="BC252" s="10">
        <v>4265</v>
      </c>
      <c r="BD252" s="10">
        <v>1793</v>
      </c>
      <c r="BE252" s="10">
        <v>2950</v>
      </c>
      <c r="BF252" s="10">
        <v>4079</v>
      </c>
      <c r="BG252" s="10">
        <v>3429</v>
      </c>
      <c r="BH252" s="10">
        <v>1717</v>
      </c>
      <c r="BI252" s="10">
        <v>3705</v>
      </c>
      <c r="BJ252" s="10">
        <v>2071</v>
      </c>
      <c r="BK252" s="10">
        <v>1496</v>
      </c>
      <c r="BL252" s="10">
        <v>1766</v>
      </c>
    </row>
    <row r="253" spans="1:64">
      <c r="A253" s="15">
        <v>411379</v>
      </c>
      <c r="B253" s="14">
        <v>828529</v>
      </c>
      <c r="C253" s="14">
        <v>142</v>
      </c>
      <c r="D253" s="2" t="str">
        <f>HYPERLINK("http://128.120.136.21:8080/binbase-compound/bin/show/411379?db=rtx5","411379")</f>
        <v>411379</v>
      </c>
      <c r="E253" s="2" t="s">
        <v>302</v>
      </c>
      <c r="F253" s="2" t="s">
        <v>57</v>
      </c>
      <c r="G253" s="2" t="s">
        <v>57</v>
      </c>
      <c r="H253" s="10">
        <v>1714</v>
      </c>
      <c r="I253" s="10">
        <v>878</v>
      </c>
      <c r="J253" s="10">
        <v>1528</v>
      </c>
      <c r="K253" s="10">
        <v>1565</v>
      </c>
      <c r="L253" s="10">
        <v>2113</v>
      </c>
      <c r="M253" s="10">
        <v>1268</v>
      </c>
      <c r="N253" s="10">
        <v>2925</v>
      </c>
      <c r="O253" s="10">
        <v>2349</v>
      </c>
      <c r="P253" s="10">
        <v>2301</v>
      </c>
      <c r="Q253" s="10">
        <v>519</v>
      </c>
      <c r="R253" s="10">
        <v>534</v>
      </c>
      <c r="S253" s="10">
        <v>1207</v>
      </c>
      <c r="T253" s="10">
        <v>1610</v>
      </c>
      <c r="U253" s="10">
        <v>1291</v>
      </c>
      <c r="V253" s="10">
        <v>1978</v>
      </c>
      <c r="W253" s="10">
        <v>1176</v>
      </c>
      <c r="X253" s="10">
        <v>1099</v>
      </c>
      <c r="Y253" s="10">
        <v>1881</v>
      </c>
      <c r="Z253" s="10">
        <v>1570</v>
      </c>
      <c r="AA253" s="10">
        <v>700</v>
      </c>
      <c r="AB253" s="10">
        <v>695</v>
      </c>
      <c r="AC253" s="10">
        <v>1971</v>
      </c>
      <c r="AD253" s="10">
        <v>1201</v>
      </c>
      <c r="AE253" s="10">
        <v>2064</v>
      </c>
      <c r="AF253" s="10">
        <v>924</v>
      </c>
      <c r="AG253" s="10">
        <v>1179</v>
      </c>
      <c r="AH253" s="10">
        <v>1447</v>
      </c>
      <c r="AI253" s="10">
        <v>794</v>
      </c>
      <c r="AJ253" s="10">
        <v>511</v>
      </c>
      <c r="AK253" s="10">
        <v>1362</v>
      </c>
      <c r="AL253" s="10">
        <v>469</v>
      </c>
      <c r="AM253" s="10">
        <v>238</v>
      </c>
      <c r="AN253" s="10">
        <v>615</v>
      </c>
      <c r="AO253" s="10">
        <v>495</v>
      </c>
      <c r="AP253" s="10">
        <v>1106</v>
      </c>
      <c r="AQ253" s="10">
        <v>975</v>
      </c>
      <c r="AR253" s="10">
        <v>525</v>
      </c>
      <c r="AS253" s="10">
        <v>862</v>
      </c>
      <c r="AT253" s="10">
        <v>360</v>
      </c>
      <c r="AU253" s="10">
        <v>1261</v>
      </c>
      <c r="AV253" s="10">
        <v>579</v>
      </c>
      <c r="AW253" s="10">
        <v>903</v>
      </c>
      <c r="AX253" s="10">
        <v>948</v>
      </c>
      <c r="AY253" s="10">
        <v>508</v>
      </c>
      <c r="AZ253" s="10">
        <v>605</v>
      </c>
      <c r="BA253" s="10">
        <v>395</v>
      </c>
      <c r="BB253" s="10">
        <v>452</v>
      </c>
      <c r="BC253" s="10">
        <v>435</v>
      </c>
      <c r="BD253" s="10">
        <v>796</v>
      </c>
      <c r="BE253" s="10">
        <v>173</v>
      </c>
      <c r="BF253" s="10">
        <v>532</v>
      </c>
      <c r="BG253" s="10">
        <v>384</v>
      </c>
      <c r="BH253" s="10">
        <v>227</v>
      </c>
      <c r="BI253" s="10">
        <v>450</v>
      </c>
      <c r="BJ253" s="10">
        <v>845</v>
      </c>
      <c r="BK253" s="10">
        <v>1654</v>
      </c>
      <c r="BL253" s="10">
        <v>1714</v>
      </c>
    </row>
    <row r="254" spans="1:64">
      <c r="A254" s="15">
        <v>223566</v>
      </c>
      <c r="B254" s="14">
        <v>624258</v>
      </c>
      <c r="C254" s="14">
        <v>156</v>
      </c>
      <c r="D254" s="2" t="str">
        <f>HYPERLINK("http://128.120.136.21:8080/binbase-compound/bin/show/223566?db=rtx5","223566")</f>
        <v>223566</v>
      </c>
      <c r="E254" s="2" t="s">
        <v>462</v>
      </c>
      <c r="F254" s="2" t="s">
        <v>57</v>
      </c>
      <c r="G254" s="2" t="s">
        <v>57</v>
      </c>
      <c r="H254" s="10">
        <v>1953</v>
      </c>
      <c r="I254" s="10">
        <v>1858</v>
      </c>
      <c r="J254" s="10">
        <v>1393</v>
      </c>
      <c r="K254" s="10">
        <v>1251</v>
      </c>
      <c r="L254" s="10">
        <v>1684</v>
      </c>
      <c r="M254" s="10">
        <v>2184</v>
      </c>
      <c r="N254" s="10">
        <v>1867</v>
      </c>
      <c r="O254" s="10">
        <v>2645</v>
      </c>
      <c r="P254" s="10">
        <v>2174</v>
      </c>
      <c r="Q254" s="10">
        <v>1911</v>
      </c>
      <c r="R254" s="10">
        <v>3466</v>
      </c>
      <c r="S254" s="10">
        <v>2006</v>
      </c>
      <c r="T254" s="10">
        <v>2777</v>
      </c>
      <c r="U254" s="10">
        <v>1496</v>
      </c>
      <c r="V254" s="10">
        <v>1653</v>
      </c>
      <c r="W254" s="10">
        <v>1925</v>
      </c>
      <c r="X254" s="10">
        <v>1500</v>
      </c>
      <c r="Y254" s="10">
        <v>1376</v>
      </c>
      <c r="Z254" s="10">
        <v>2765</v>
      </c>
      <c r="AA254" s="10">
        <v>1691</v>
      </c>
      <c r="AB254" s="10">
        <v>1062</v>
      </c>
      <c r="AC254" s="10">
        <v>1415</v>
      </c>
      <c r="AD254" s="10">
        <v>1062</v>
      </c>
      <c r="AE254" s="10">
        <v>2040</v>
      </c>
      <c r="AF254" s="10">
        <v>1668</v>
      </c>
      <c r="AG254" s="10">
        <v>1463</v>
      </c>
      <c r="AH254" s="10">
        <v>671</v>
      </c>
      <c r="AI254" s="10">
        <v>1143</v>
      </c>
      <c r="AJ254" s="10">
        <v>2253</v>
      </c>
      <c r="AK254" s="10">
        <v>1761</v>
      </c>
      <c r="AL254" s="10">
        <v>2747</v>
      </c>
      <c r="AM254" s="10">
        <v>885</v>
      </c>
      <c r="AN254" s="10">
        <v>2023</v>
      </c>
      <c r="AO254" s="10">
        <v>2834</v>
      </c>
      <c r="AP254" s="10">
        <v>1553</v>
      </c>
      <c r="AQ254" s="10">
        <v>1502</v>
      </c>
      <c r="AR254" s="10">
        <v>1895</v>
      </c>
      <c r="AS254" s="10">
        <v>1389</v>
      </c>
      <c r="AT254" s="10">
        <v>1680</v>
      </c>
      <c r="AU254" s="10">
        <v>2774</v>
      </c>
      <c r="AV254" s="10">
        <v>1337</v>
      </c>
      <c r="AW254" s="10">
        <v>1724</v>
      </c>
      <c r="AX254" s="10">
        <v>1204</v>
      </c>
      <c r="AY254" s="10">
        <v>1813</v>
      </c>
      <c r="AZ254" s="10">
        <v>1613</v>
      </c>
      <c r="BA254" s="10">
        <v>1918</v>
      </c>
      <c r="BB254" s="10">
        <v>1762</v>
      </c>
      <c r="BC254" s="10">
        <v>1596</v>
      </c>
      <c r="BD254" s="10">
        <v>2041</v>
      </c>
      <c r="BE254" s="10">
        <v>1912</v>
      </c>
      <c r="BF254" s="10">
        <v>2400</v>
      </c>
      <c r="BG254" s="10">
        <v>1919</v>
      </c>
      <c r="BH254" s="10">
        <v>1272</v>
      </c>
      <c r="BI254" s="10">
        <v>1612</v>
      </c>
      <c r="BJ254" s="10">
        <v>2475</v>
      </c>
      <c r="BK254" s="10">
        <v>2111</v>
      </c>
      <c r="BL254" s="10">
        <v>3751</v>
      </c>
    </row>
    <row r="255" spans="1:64">
      <c r="A255" s="15">
        <v>231802</v>
      </c>
      <c r="B255" s="14">
        <v>661366</v>
      </c>
      <c r="C255" s="14">
        <v>204</v>
      </c>
      <c r="D255" s="2" t="str">
        <f>HYPERLINK("http://128.120.136.21:8080/binbase-compound/bin/show/231802?db=rtx5","231802")</f>
        <v>231802</v>
      </c>
      <c r="E255" s="2" t="s">
        <v>443</v>
      </c>
      <c r="F255" s="2" t="s">
        <v>57</v>
      </c>
      <c r="G255" s="2" t="s">
        <v>57</v>
      </c>
      <c r="H255" s="10">
        <v>2202</v>
      </c>
      <c r="I255" s="10">
        <v>931</v>
      </c>
      <c r="J255" s="10">
        <v>1033</v>
      </c>
      <c r="K255" s="10">
        <v>1454</v>
      </c>
      <c r="L255" s="10">
        <v>963</v>
      </c>
      <c r="M255" s="10">
        <v>2208</v>
      </c>
      <c r="N255" s="10">
        <v>1428</v>
      </c>
      <c r="O255" s="10">
        <v>1644</v>
      </c>
      <c r="P255" s="10">
        <v>1692</v>
      </c>
      <c r="Q255" s="10">
        <v>3964</v>
      </c>
      <c r="R255" s="10">
        <v>5608</v>
      </c>
      <c r="S255" s="10">
        <v>3489</v>
      </c>
      <c r="T255" s="10">
        <v>2168</v>
      </c>
      <c r="U255" s="10">
        <v>836</v>
      </c>
      <c r="V255" s="10">
        <v>1392</v>
      </c>
      <c r="W255" s="10">
        <v>1359</v>
      </c>
      <c r="X255" s="10">
        <v>1199</v>
      </c>
      <c r="Y255" s="10">
        <v>1670</v>
      </c>
      <c r="Z255" s="10">
        <v>2109</v>
      </c>
      <c r="AA255" s="10">
        <v>1206</v>
      </c>
      <c r="AB255" s="10">
        <v>1336</v>
      </c>
      <c r="AC255" s="10">
        <v>1602</v>
      </c>
      <c r="AD255" s="10">
        <v>1493</v>
      </c>
      <c r="AE255" s="10">
        <v>1182</v>
      </c>
      <c r="AF255" s="10">
        <v>1036</v>
      </c>
      <c r="AG255" s="10">
        <v>1764</v>
      </c>
      <c r="AH255" s="10">
        <v>816</v>
      </c>
      <c r="AI255" s="10">
        <v>1258</v>
      </c>
      <c r="AJ255" s="10">
        <v>1684</v>
      </c>
      <c r="AK255" s="10">
        <v>1231</v>
      </c>
      <c r="AL255" s="10">
        <v>1356</v>
      </c>
      <c r="AM255" s="10">
        <v>1453</v>
      </c>
      <c r="AN255" s="10">
        <v>1123</v>
      </c>
      <c r="AO255" s="10">
        <v>1239</v>
      </c>
      <c r="AP255" s="10">
        <v>1556</v>
      </c>
      <c r="AQ255" s="10">
        <v>1266</v>
      </c>
      <c r="AR255" s="10">
        <v>1016</v>
      </c>
      <c r="AS255" s="10">
        <v>1046</v>
      </c>
      <c r="AT255" s="10">
        <v>1216</v>
      </c>
      <c r="AU255" s="10">
        <v>2469</v>
      </c>
      <c r="AV255" s="10">
        <v>819</v>
      </c>
      <c r="AW255" s="10">
        <v>1160</v>
      </c>
      <c r="AX255" s="10">
        <v>958</v>
      </c>
      <c r="AY255" s="10">
        <v>1116</v>
      </c>
      <c r="AZ255" s="10">
        <v>496</v>
      </c>
      <c r="BA255" s="10">
        <v>1238</v>
      </c>
      <c r="BB255" s="10">
        <v>1561</v>
      </c>
      <c r="BC255" s="10">
        <v>1470</v>
      </c>
      <c r="BD255" s="10">
        <v>1861</v>
      </c>
      <c r="BE255" s="10">
        <v>1833</v>
      </c>
      <c r="BF255" s="10">
        <v>1353</v>
      </c>
      <c r="BG255" s="10">
        <v>1121</v>
      </c>
      <c r="BH255" s="10">
        <v>1434</v>
      </c>
      <c r="BI255" s="10">
        <v>1287</v>
      </c>
      <c r="BJ255" s="10">
        <v>1515</v>
      </c>
      <c r="BK255" s="10">
        <v>2338</v>
      </c>
      <c r="BL255" s="10">
        <v>1986</v>
      </c>
    </row>
    <row r="256" spans="1:64">
      <c r="A256" s="15">
        <v>309642</v>
      </c>
      <c r="B256" s="14">
        <v>227707</v>
      </c>
      <c r="C256" s="14">
        <v>173</v>
      </c>
      <c r="D256" s="2" t="str">
        <f>HYPERLINK("http://128.120.136.21:8080/binbase-compound/bin/show/309642?db=rtx5","309642")</f>
        <v>309642</v>
      </c>
      <c r="E256" s="2" t="s">
        <v>366</v>
      </c>
      <c r="F256" s="2" t="s">
        <v>57</v>
      </c>
      <c r="G256" s="2" t="s">
        <v>57</v>
      </c>
      <c r="H256" s="10">
        <v>1093</v>
      </c>
      <c r="I256" s="10">
        <v>2624</v>
      </c>
      <c r="J256" s="10">
        <v>2603</v>
      </c>
      <c r="K256" s="10">
        <v>1044</v>
      </c>
      <c r="L256" s="10">
        <v>2132</v>
      </c>
      <c r="M256" s="10">
        <v>1575</v>
      </c>
      <c r="N256" s="10">
        <v>4504</v>
      </c>
      <c r="O256" s="10">
        <v>2241</v>
      </c>
      <c r="P256" s="10">
        <v>1438</v>
      </c>
      <c r="Q256" s="10">
        <v>3563</v>
      </c>
      <c r="R256" s="10">
        <v>2707</v>
      </c>
      <c r="S256" s="10">
        <v>11820</v>
      </c>
      <c r="T256" s="10">
        <v>730</v>
      </c>
      <c r="U256" s="10">
        <v>3153</v>
      </c>
      <c r="V256" s="10">
        <v>3160</v>
      </c>
      <c r="W256" s="10">
        <v>811</v>
      </c>
      <c r="X256" s="10">
        <v>962</v>
      </c>
      <c r="Y256" s="10">
        <v>2344</v>
      </c>
      <c r="Z256" s="10">
        <v>1571</v>
      </c>
      <c r="AA256" s="10">
        <v>2645</v>
      </c>
      <c r="AB256" s="10">
        <v>2296</v>
      </c>
      <c r="AC256" s="10">
        <v>1125</v>
      </c>
      <c r="AD256" s="10">
        <v>1336</v>
      </c>
      <c r="AE256" s="10">
        <v>1854</v>
      </c>
      <c r="AF256" s="10">
        <v>2398</v>
      </c>
      <c r="AG256" s="10">
        <v>837</v>
      </c>
      <c r="AH256" s="10">
        <v>2997</v>
      </c>
      <c r="AI256" s="10">
        <v>2279</v>
      </c>
      <c r="AJ256" s="10">
        <v>3028</v>
      </c>
      <c r="AK256" s="10">
        <v>3465</v>
      </c>
      <c r="AL256" s="10">
        <v>2872</v>
      </c>
      <c r="AM256" s="10">
        <v>1393</v>
      </c>
      <c r="AN256" s="10">
        <v>3697</v>
      </c>
      <c r="AO256" s="10">
        <v>3005</v>
      </c>
      <c r="AP256" s="10">
        <v>2162</v>
      </c>
      <c r="AQ256" s="10">
        <v>6356</v>
      </c>
      <c r="AR256" s="10">
        <v>2872</v>
      </c>
      <c r="AS256" s="10">
        <v>2634</v>
      </c>
      <c r="AT256" s="10">
        <v>3155</v>
      </c>
      <c r="AU256" s="10">
        <v>781</v>
      </c>
      <c r="AV256" s="10">
        <v>4707</v>
      </c>
      <c r="AW256" s="10">
        <v>3154</v>
      </c>
      <c r="AX256" s="10">
        <v>3284</v>
      </c>
      <c r="AY256" s="10">
        <v>1886</v>
      </c>
      <c r="AZ256" s="10">
        <v>3867</v>
      </c>
      <c r="BA256" s="10">
        <v>2524</v>
      </c>
      <c r="BB256" s="10">
        <v>2208</v>
      </c>
      <c r="BC256" s="10">
        <v>4444</v>
      </c>
      <c r="BD256" s="10">
        <v>2671</v>
      </c>
      <c r="BE256" s="10">
        <v>2711</v>
      </c>
      <c r="BF256" s="10">
        <v>2057</v>
      </c>
      <c r="BG256" s="10">
        <v>6996</v>
      </c>
      <c r="BH256" s="10">
        <v>2406</v>
      </c>
      <c r="BI256" s="10">
        <v>3333</v>
      </c>
      <c r="BJ256" s="10">
        <v>2271</v>
      </c>
      <c r="BK256" s="10">
        <v>3951</v>
      </c>
      <c r="BL256" s="10">
        <v>956</v>
      </c>
    </row>
    <row r="257" spans="1:64">
      <c r="A257" s="15">
        <v>203786</v>
      </c>
      <c r="B257" s="14">
        <v>252533</v>
      </c>
      <c r="C257" s="14">
        <v>85</v>
      </c>
      <c r="D257" s="2" t="str">
        <f>HYPERLINK("http://128.120.136.21:8080/binbase-compound/bin/show/203786?db=rtx5","203786")</f>
        <v>203786</v>
      </c>
      <c r="E257" s="2" t="s">
        <v>494</v>
      </c>
      <c r="F257" s="2" t="s">
        <v>57</v>
      </c>
      <c r="G257" s="2" t="s">
        <v>57</v>
      </c>
      <c r="H257" s="10">
        <v>6034</v>
      </c>
      <c r="I257" s="10">
        <v>3817</v>
      </c>
      <c r="J257" s="10">
        <v>4043</v>
      </c>
      <c r="K257" s="10">
        <v>2481</v>
      </c>
      <c r="L257" s="10">
        <v>2584</v>
      </c>
      <c r="M257" s="10">
        <v>1363</v>
      </c>
      <c r="N257" s="10">
        <v>3560</v>
      </c>
      <c r="O257" s="10">
        <v>2304</v>
      </c>
      <c r="P257" s="10">
        <v>1448</v>
      </c>
      <c r="Q257" s="10">
        <v>4177</v>
      </c>
      <c r="R257" s="10">
        <v>2946</v>
      </c>
      <c r="S257" s="10">
        <v>47885</v>
      </c>
      <c r="T257" s="10">
        <v>1444</v>
      </c>
      <c r="U257" s="10">
        <v>4447</v>
      </c>
      <c r="V257" s="10">
        <v>9387</v>
      </c>
      <c r="W257" s="10">
        <v>918</v>
      </c>
      <c r="X257" s="10">
        <v>4679</v>
      </c>
      <c r="Y257" s="10">
        <v>6647</v>
      </c>
      <c r="Z257" s="10">
        <v>2263</v>
      </c>
      <c r="AA257" s="10">
        <v>8469</v>
      </c>
      <c r="AB257" s="10">
        <v>4218</v>
      </c>
      <c r="AC257" s="10">
        <v>1357</v>
      </c>
      <c r="AD257" s="10">
        <v>3776</v>
      </c>
      <c r="AE257" s="10">
        <v>3134</v>
      </c>
      <c r="AF257" s="10">
        <v>1723</v>
      </c>
      <c r="AG257" s="10">
        <v>1321</v>
      </c>
      <c r="AH257" s="10">
        <v>5893</v>
      </c>
      <c r="AI257" s="10">
        <v>3323</v>
      </c>
      <c r="AJ257" s="10">
        <v>2632</v>
      </c>
      <c r="AK257" s="10">
        <v>3391</v>
      </c>
      <c r="AL257" s="10">
        <v>3723</v>
      </c>
      <c r="AM257" s="10">
        <v>2586</v>
      </c>
      <c r="AN257" s="10">
        <v>15531</v>
      </c>
      <c r="AO257" s="10">
        <v>4250</v>
      </c>
      <c r="AP257" s="10">
        <v>2291</v>
      </c>
      <c r="AQ257" s="10">
        <v>13754</v>
      </c>
      <c r="AR257" s="10">
        <v>4199</v>
      </c>
      <c r="AS257" s="10">
        <v>3867</v>
      </c>
      <c r="AT257" s="10">
        <v>3649</v>
      </c>
      <c r="AU257" s="10">
        <v>1006</v>
      </c>
      <c r="AV257" s="10">
        <v>5931</v>
      </c>
      <c r="AW257" s="10">
        <v>4215</v>
      </c>
      <c r="AX257" s="10">
        <v>4444</v>
      </c>
      <c r="AY257" s="10">
        <v>3267</v>
      </c>
      <c r="AZ257" s="10">
        <v>6147</v>
      </c>
      <c r="BA257" s="10">
        <v>4948</v>
      </c>
      <c r="BB257" s="10">
        <v>2503</v>
      </c>
      <c r="BC257" s="10">
        <v>4036</v>
      </c>
      <c r="BD257" s="10">
        <v>2599</v>
      </c>
      <c r="BE257" s="10">
        <v>3097</v>
      </c>
      <c r="BF257" s="10">
        <v>8126</v>
      </c>
      <c r="BG257" s="10">
        <v>5172</v>
      </c>
      <c r="BH257" s="10">
        <v>2450</v>
      </c>
      <c r="BI257" s="10">
        <v>3211</v>
      </c>
      <c r="BJ257" s="10">
        <v>2311</v>
      </c>
      <c r="BK257" s="10">
        <v>4957</v>
      </c>
      <c r="BL257" s="10">
        <v>2868</v>
      </c>
    </row>
    <row r="258" spans="1:64">
      <c r="A258" s="15">
        <v>427771</v>
      </c>
      <c r="B258" s="14">
        <v>265301</v>
      </c>
      <c r="C258" s="14">
        <v>285</v>
      </c>
      <c r="D258" s="2" t="str">
        <f>HYPERLINK("http://128.120.136.21:8080/binbase-compound/bin/show/427771?db=rtx5","427771")</f>
        <v>427771</v>
      </c>
      <c r="E258" s="2" t="s">
        <v>296</v>
      </c>
      <c r="F258" s="2" t="s">
        <v>57</v>
      </c>
      <c r="G258" s="2" t="s">
        <v>57</v>
      </c>
      <c r="H258" s="10">
        <v>709</v>
      </c>
      <c r="I258" s="10">
        <v>846</v>
      </c>
      <c r="J258" s="10">
        <v>1591</v>
      </c>
      <c r="K258" s="10">
        <v>562</v>
      </c>
      <c r="L258" s="10">
        <v>807</v>
      </c>
      <c r="M258" s="10">
        <v>436</v>
      </c>
      <c r="N258" s="10">
        <v>1434</v>
      </c>
      <c r="O258" s="10">
        <v>469</v>
      </c>
      <c r="P258" s="10">
        <v>480</v>
      </c>
      <c r="Q258" s="10">
        <v>1822</v>
      </c>
      <c r="R258" s="10">
        <v>1543</v>
      </c>
      <c r="S258" s="10">
        <v>5628</v>
      </c>
      <c r="T258" s="10">
        <v>550</v>
      </c>
      <c r="U258" s="10">
        <v>1373</v>
      </c>
      <c r="V258" s="10">
        <v>730</v>
      </c>
      <c r="W258" s="10">
        <v>540</v>
      </c>
      <c r="X258" s="10">
        <v>469</v>
      </c>
      <c r="Y258" s="10">
        <v>1090</v>
      </c>
      <c r="Z258" s="10">
        <v>610</v>
      </c>
      <c r="AA258" s="10">
        <v>1896</v>
      </c>
      <c r="AB258" s="10">
        <v>1888</v>
      </c>
      <c r="AC258" s="10">
        <v>600</v>
      </c>
      <c r="AD258" s="10">
        <v>425</v>
      </c>
      <c r="AE258" s="10">
        <v>473</v>
      </c>
      <c r="AF258" s="10">
        <v>765</v>
      </c>
      <c r="AG258" s="10">
        <v>438</v>
      </c>
      <c r="AH258" s="10">
        <v>1176</v>
      </c>
      <c r="AI258" s="10">
        <v>1643</v>
      </c>
      <c r="AJ258" s="10">
        <v>1302</v>
      </c>
      <c r="AK258" s="10">
        <v>1749</v>
      </c>
      <c r="AL258" s="10">
        <v>951</v>
      </c>
      <c r="AM258" s="10">
        <v>949</v>
      </c>
      <c r="AN258" s="10">
        <v>1083</v>
      </c>
      <c r="AO258" s="10">
        <v>1377</v>
      </c>
      <c r="AP258" s="10">
        <v>1642</v>
      </c>
      <c r="AQ258" s="10">
        <v>5329</v>
      </c>
      <c r="AR258" s="10">
        <v>838</v>
      </c>
      <c r="AS258" s="10">
        <v>1101</v>
      </c>
      <c r="AT258" s="10">
        <v>1292</v>
      </c>
      <c r="AU258" s="10">
        <v>274</v>
      </c>
      <c r="AV258" s="10">
        <v>1842</v>
      </c>
      <c r="AW258" s="10">
        <v>921</v>
      </c>
      <c r="AX258" s="10">
        <v>1627</v>
      </c>
      <c r="AY258" s="10">
        <v>1439</v>
      </c>
      <c r="AZ258" s="10">
        <v>1083</v>
      </c>
      <c r="BA258" s="10">
        <v>624</v>
      </c>
      <c r="BB258" s="10">
        <v>1254</v>
      </c>
      <c r="BC258" s="10">
        <v>2129</v>
      </c>
      <c r="BD258" s="10">
        <v>803</v>
      </c>
      <c r="BE258" s="10">
        <v>1608</v>
      </c>
      <c r="BF258" s="10">
        <v>1124</v>
      </c>
      <c r="BG258" s="10">
        <v>2596</v>
      </c>
      <c r="BH258" s="10">
        <v>714</v>
      </c>
      <c r="BI258" s="10">
        <v>2221</v>
      </c>
      <c r="BJ258" s="10">
        <v>776</v>
      </c>
      <c r="BK258" s="10">
        <v>1738</v>
      </c>
      <c r="BL258" s="10">
        <v>562</v>
      </c>
    </row>
    <row r="259" spans="1:64">
      <c r="A259" s="15">
        <v>300139</v>
      </c>
      <c r="B259" s="14">
        <v>457148</v>
      </c>
      <c r="C259" s="14">
        <v>85</v>
      </c>
      <c r="D259" s="2" t="str">
        <f>HYPERLINK("http://128.120.136.21:8080/binbase-compound/bin/show/300139?db=rtx5","300139")</f>
        <v>300139</v>
      </c>
      <c r="E259" s="2" t="s">
        <v>376</v>
      </c>
      <c r="F259" s="2" t="s">
        <v>57</v>
      </c>
      <c r="G259" s="2" t="s">
        <v>57</v>
      </c>
      <c r="H259" s="10">
        <v>2246</v>
      </c>
      <c r="I259" s="10">
        <v>2832</v>
      </c>
      <c r="J259" s="10">
        <v>2825</v>
      </c>
      <c r="K259" s="10">
        <v>1345</v>
      </c>
      <c r="L259" s="10">
        <v>1718</v>
      </c>
      <c r="M259" s="10">
        <v>799</v>
      </c>
      <c r="N259" s="10">
        <v>2310</v>
      </c>
      <c r="O259" s="10">
        <v>1240</v>
      </c>
      <c r="P259" s="10">
        <v>1224</v>
      </c>
      <c r="Q259" s="10">
        <v>2814</v>
      </c>
      <c r="R259" s="10">
        <v>1882</v>
      </c>
      <c r="S259" s="10">
        <v>11940</v>
      </c>
      <c r="T259" s="10">
        <v>1112</v>
      </c>
      <c r="U259" s="10">
        <v>2006</v>
      </c>
      <c r="V259" s="10">
        <v>2503</v>
      </c>
      <c r="W259" s="10">
        <v>978</v>
      </c>
      <c r="X259" s="10">
        <v>1199</v>
      </c>
      <c r="Y259" s="10">
        <v>2223</v>
      </c>
      <c r="Z259" s="10">
        <v>1834</v>
      </c>
      <c r="AA259" s="10">
        <v>2723</v>
      </c>
      <c r="AB259" s="10">
        <v>3097</v>
      </c>
      <c r="AC259" s="10">
        <v>1232</v>
      </c>
      <c r="AD259" s="10">
        <v>1079</v>
      </c>
      <c r="AE259" s="10">
        <v>1027</v>
      </c>
      <c r="AF259" s="10">
        <v>1040</v>
      </c>
      <c r="AG259" s="10">
        <v>1054</v>
      </c>
      <c r="AH259" s="10">
        <v>3159</v>
      </c>
      <c r="AI259" s="10">
        <v>2225</v>
      </c>
      <c r="AJ259" s="10">
        <v>2186</v>
      </c>
      <c r="AK259" s="10">
        <v>2242</v>
      </c>
      <c r="AL259" s="10">
        <v>3400</v>
      </c>
      <c r="AM259" s="10">
        <v>1845</v>
      </c>
      <c r="AN259" s="10">
        <v>3630</v>
      </c>
      <c r="AO259" s="10">
        <v>2198</v>
      </c>
      <c r="AP259" s="10">
        <v>1612</v>
      </c>
      <c r="AQ259" s="10">
        <v>8329</v>
      </c>
      <c r="AR259" s="10">
        <v>3299</v>
      </c>
      <c r="AS259" s="10">
        <v>3343</v>
      </c>
      <c r="AT259" s="10">
        <v>2871</v>
      </c>
      <c r="AU259" s="10">
        <v>979</v>
      </c>
      <c r="AV259" s="10">
        <v>3502</v>
      </c>
      <c r="AW259" s="10">
        <v>3312</v>
      </c>
      <c r="AX259" s="10">
        <v>3165</v>
      </c>
      <c r="AY259" s="10">
        <v>2033</v>
      </c>
      <c r="AZ259" s="10">
        <v>3204</v>
      </c>
      <c r="BA259" s="10">
        <v>1661</v>
      </c>
      <c r="BB259" s="10">
        <v>2008</v>
      </c>
      <c r="BC259" s="10">
        <v>3504</v>
      </c>
      <c r="BD259" s="10">
        <v>2038</v>
      </c>
      <c r="BE259" s="10">
        <v>2516</v>
      </c>
      <c r="BF259" s="10">
        <v>2865</v>
      </c>
      <c r="BG259" s="10">
        <v>3386</v>
      </c>
      <c r="BH259" s="10">
        <v>1844</v>
      </c>
      <c r="BI259" s="10">
        <v>2956</v>
      </c>
      <c r="BJ259" s="10">
        <v>2494</v>
      </c>
      <c r="BK259" s="10">
        <v>3197</v>
      </c>
      <c r="BL259" s="10">
        <v>1966</v>
      </c>
    </row>
    <row r="260" spans="1:64">
      <c r="A260" s="15">
        <v>204522</v>
      </c>
      <c r="B260" s="14">
        <v>475916</v>
      </c>
      <c r="C260" s="14">
        <v>85</v>
      </c>
      <c r="D260" s="2" t="str">
        <f>HYPERLINK("http://128.120.136.21:8080/binbase-compound/bin/show/204522?db=rtx5","204522")</f>
        <v>204522</v>
      </c>
      <c r="E260" s="2" t="s">
        <v>490</v>
      </c>
      <c r="F260" s="2" t="s">
        <v>57</v>
      </c>
      <c r="G260" s="2" t="s">
        <v>57</v>
      </c>
      <c r="H260" s="10">
        <v>846</v>
      </c>
      <c r="I260" s="10">
        <v>1628</v>
      </c>
      <c r="J260" s="10">
        <v>1210</v>
      </c>
      <c r="K260" s="10">
        <v>1037</v>
      </c>
      <c r="L260" s="10">
        <v>1435</v>
      </c>
      <c r="M260" s="10">
        <v>916</v>
      </c>
      <c r="N260" s="10">
        <v>2247</v>
      </c>
      <c r="O260" s="10">
        <v>1095</v>
      </c>
      <c r="P260" s="10">
        <v>936</v>
      </c>
      <c r="Q260" s="10">
        <v>2885</v>
      </c>
      <c r="R260" s="10">
        <v>1766</v>
      </c>
      <c r="S260" s="10">
        <v>8282</v>
      </c>
      <c r="T260" s="10">
        <v>857</v>
      </c>
      <c r="U260" s="10">
        <v>2747</v>
      </c>
      <c r="V260" s="10">
        <v>1553</v>
      </c>
      <c r="W260" s="10">
        <v>828</v>
      </c>
      <c r="X260" s="10">
        <v>849</v>
      </c>
      <c r="Y260" s="10">
        <v>932</v>
      </c>
      <c r="Z260" s="10">
        <v>1587</v>
      </c>
      <c r="AA260" s="10">
        <v>3060</v>
      </c>
      <c r="AB260" s="10">
        <v>2311</v>
      </c>
      <c r="AC260" s="10">
        <v>652</v>
      </c>
      <c r="AD260" s="10">
        <v>584</v>
      </c>
      <c r="AE260" s="10">
        <v>953</v>
      </c>
      <c r="AF260" s="10">
        <v>924</v>
      </c>
      <c r="AG260" s="10">
        <v>810</v>
      </c>
      <c r="AH260" s="10">
        <v>2645</v>
      </c>
      <c r="AI260" s="10">
        <v>1875</v>
      </c>
      <c r="AJ260" s="10">
        <v>2013</v>
      </c>
      <c r="AK260" s="10">
        <v>2779</v>
      </c>
      <c r="AL260" s="10">
        <v>2269</v>
      </c>
      <c r="AM260" s="10">
        <v>1414</v>
      </c>
      <c r="AN260" s="10">
        <v>2268</v>
      </c>
      <c r="AO260" s="10">
        <v>1582</v>
      </c>
      <c r="AP260" s="10">
        <v>1964</v>
      </c>
      <c r="AQ260" s="10">
        <v>5409</v>
      </c>
      <c r="AR260" s="10">
        <v>1822</v>
      </c>
      <c r="AS260" s="10">
        <v>1997</v>
      </c>
      <c r="AT260" s="10">
        <v>1674</v>
      </c>
      <c r="AU260" s="10">
        <v>958</v>
      </c>
      <c r="AV260" s="10">
        <v>3068</v>
      </c>
      <c r="AW260" s="10">
        <v>1638</v>
      </c>
      <c r="AX260" s="10">
        <v>1829</v>
      </c>
      <c r="AY260" s="10">
        <v>1760</v>
      </c>
      <c r="AZ260" s="10">
        <v>2886</v>
      </c>
      <c r="BA260" s="10">
        <v>1614</v>
      </c>
      <c r="BB260" s="10">
        <v>801</v>
      </c>
      <c r="BC260" s="10">
        <v>2471</v>
      </c>
      <c r="BD260" s="10">
        <v>1388</v>
      </c>
      <c r="BE260" s="10">
        <v>1333</v>
      </c>
      <c r="BF260" s="10">
        <v>1525</v>
      </c>
      <c r="BG260" s="10">
        <v>3134</v>
      </c>
      <c r="BH260" s="10">
        <v>1462</v>
      </c>
      <c r="BI260" s="10">
        <v>2688</v>
      </c>
      <c r="BJ260" s="10">
        <v>1327</v>
      </c>
      <c r="BK260" s="10">
        <v>2075</v>
      </c>
      <c r="BL260" s="10">
        <v>1478</v>
      </c>
    </row>
    <row r="261" spans="1:64">
      <c r="A261" s="15">
        <v>331019</v>
      </c>
      <c r="B261" s="14">
        <v>951743</v>
      </c>
      <c r="C261" s="14">
        <v>207</v>
      </c>
      <c r="D261" s="2" t="str">
        <f>HYPERLINK("http://128.120.136.21:8080/binbase-compound/bin/show/331019?db=rtx5","331019")</f>
        <v>331019</v>
      </c>
      <c r="E261" s="2" t="s">
        <v>355</v>
      </c>
      <c r="F261" s="2" t="s">
        <v>57</v>
      </c>
      <c r="G261" s="2" t="s">
        <v>57</v>
      </c>
      <c r="H261" s="10">
        <v>1398</v>
      </c>
      <c r="I261" s="10">
        <v>2907</v>
      </c>
      <c r="J261" s="10">
        <v>888</v>
      </c>
      <c r="K261" s="10">
        <v>340</v>
      </c>
      <c r="L261" s="10">
        <v>552</v>
      </c>
      <c r="M261" s="10">
        <v>1421</v>
      </c>
      <c r="N261" s="10">
        <v>1016</v>
      </c>
      <c r="O261" s="10">
        <v>431</v>
      </c>
      <c r="P261" s="10">
        <v>1323</v>
      </c>
      <c r="Q261" s="10">
        <v>3953</v>
      </c>
      <c r="R261" s="10">
        <v>869</v>
      </c>
      <c r="S261" s="10">
        <v>15760</v>
      </c>
      <c r="T261" s="10">
        <v>993</v>
      </c>
      <c r="U261" s="10">
        <v>2790</v>
      </c>
      <c r="V261" s="10">
        <v>478</v>
      </c>
      <c r="W261" s="10">
        <v>1268</v>
      </c>
      <c r="X261" s="10">
        <v>1476</v>
      </c>
      <c r="Y261" s="10">
        <v>1702</v>
      </c>
      <c r="Z261" s="10">
        <v>949</v>
      </c>
      <c r="AA261" s="10">
        <v>1005</v>
      </c>
      <c r="AB261" s="10">
        <v>778</v>
      </c>
      <c r="AC261" s="10">
        <v>974</v>
      </c>
      <c r="AD261" s="10">
        <v>1076</v>
      </c>
      <c r="AE261" s="10">
        <v>406</v>
      </c>
      <c r="AF261" s="10">
        <v>1974</v>
      </c>
      <c r="AG261" s="10">
        <v>1271</v>
      </c>
      <c r="AH261" s="10">
        <v>1006</v>
      </c>
      <c r="AI261" s="10">
        <v>866</v>
      </c>
      <c r="AJ261" s="10">
        <v>2611</v>
      </c>
      <c r="AK261" s="10">
        <v>1047</v>
      </c>
      <c r="AL261" s="10">
        <v>1155</v>
      </c>
      <c r="AM261" s="10">
        <v>1562</v>
      </c>
      <c r="AN261" s="10">
        <v>3270</v>
      </c>
      <c r="AO261" s="10">
        <v>3380</v>
      </c>
      <c r="AP261" s="10">
        <v>3048</v>
      </c>
      <c r="AQ261" s="10">
        <v>4410</v>
      </c>
      <c r="AR261" s="10">
        <v>643</v>
      </c>
      <c r="AS261" s="10">
        <v>2726</v>
      </c>
      <c r="AT261" s="10">
        <v>1973</v>
      </c>
      <c r="AU261" s="10">
        <v>893</v>
      </c>
      <c r="AV261" s="10">
        <v>18583</v>
      </c>
      <c r="AW261" s="10">
        <v>1062</v>
      </c>
      <c r="AX261" s="10">
        <v>2687</v>
      </c>
      <c r="AY261" s="10">
        <v>3134</v>
      </c>
      <c r="AZ261" s="10">
        <v>772</v>
      </c>
      <c r="BA261" s="10">
        <v>1895</v>
      </c>
      <c r="BB261" s="10">
        <v>621</v>
      </c>
      <c r="BC261" s="10">
        <v>472</v>
      </c>
      <c r="BD261" s="10">
        <v>686</v>
      </c>
      <c r="BE261" s="10">
        <v>357</v>
      </c>
      <c r="BF261" s="10">
        <v>3157</v>
      </c>
      <c r="BG261" s="10">
        <v>2248</v>
      </c>
      <c r="BH261" s="10">
        <v>523</v>
      </c>
      <c r="BI261" s="10">
        <v>1532</v>
      </c>
      <c r="BJ261" s="10">
        <v>970</v>
      </c>
      <c r="BK261" s="10">
        <v>3037</v>
      </c>
      <c r="BL261" s="10">
        <v>445</v>
      </c>
    </row>
    <row r="262" spans="1:64">
      <c r="A262" s="15">
        <v>303163</v>
      </c>
      <c r="B262" s="14">
        <v>560358</v>
      </c>
      <c r="C262" s="14">
        <v>159</v>
      </c>
      <c r="D262" s="2" t="str">
        <f>HYPERLINK("http://128.120.136.21:8080/binbase-compound/bin/show/303163?db=rtx5","303163")</f>
        <v>303163</v>
      </c>
      <c r="E262" s="2" t="s">
        <v>373</v>
      </c>
      <c r="F262" s="2" t="s">
        <v>57</v>
      </c>
      <c r="G262" s="2" t="s">
        <v>57</v>
      </c>
      <c r="H262" s="10">
        <v>1529</v>
      </c>
      <c r="I262" s="10">
        <v>796</v>
      </c>
      <c r="J262" s="10">
        <v>371</v>
      </c>
      <c r="K262" s="10">
        <v>1730</v>
      </c>
      <c r="L262" s="10">
        <v>507</v>
      </c>
      <c r="M262" s="10">
        <v>991</v>
      </c>
      <c r="N262" s="10">
        <v>2729</v>
      </c>
      <c r="O262" s="10">
        <v>1344</v>
      </c>
      <c r="P262" s="10">
        <v>1368</v>
      </c>
      <c r="Q262" s="10">
        <v>316</v>
      </c>
      <c r="R262" s="10">
        <v>196</v>
      </c>
      <c r="S262" s="10">
        <v>775</v>
      </c>
      <c r="T262" s="10">
        <v>2092</v>
      </c>
      <c r="U262" s="10">
        <v>331</v>
      </c>
      <c r="V262" s="10">
        <v>2899</v>
      </c>
      <c r="W262" s="10">
        <v>1178</v>
      </c>
      <c r="X262" s="10">
        <v>997</v>
      </c>
      <c r="Y262" s="10">
        <v>4124</v>
      </c>
      <c r="Z262" s="10">
        <v>1570</v>
      </c>
      <c r="AA262" s="10">
        <v>310</v>
      </c>
      <c r="AB262" s="10">
        <v>819</v>
      </c>
      <c r="AC262" s="10">
        <v>2682</v>
      </c>
      <c r="AD262" s="10">
        <v>780</v>
      </c>
      <c r="AE262" s="10">
        <v>324</v>
      </c>
      <c r="AF262" s="10">
        <v>670</v>
      </c>
      <c r="AG262" s="10">
        <v>440</v>
      </c>
      <c r="AH262" s="10">
        <v>342</v>
      </c>
      <c r="AI262" s="10">
        <v>202</v>
      </c>
      <c r="AJ262" s="10">
        <v>586</v>
      </c>
      <c r="AK262" s="10">
        <v>270</v>
      </c>
      <c r="AL262" s="10">
        <v>767</v>
      </c>
      <c r="AM262" s="10">
        <v>628</v>
      </c>
      <c r="AN262" s="10">
        <v>330</v>
      </c>
      <c r="AO262" s="10">
        <v>317</v>
      </c>
      <c r="AP262" s="10">
        <v>323</v>
      </c>
      <c r="AQ262" s="10">
        <v>503</v>
      </c>
      <c r="AR262" s="10">
        <v>1270</v>
      </c>
      <c r="AS262" s="10">
        <v>324</v>
      </c>
      <c r="AT262" s="10">
        <v>1412</v>
      </c>
      <c r="AU262" s="10">
        <v>2648</v>
      </c>
      <c r="AV262" s="10">
        <v>771</v>
      </c>
      <c r="AW262" s="10">
        <v>1305</v>
      </c>
      <c r="AX262" s="10">
        <v>725</v>
      </c>
      <c r="AY262" s="10">
        <v>628</v>
      </c>
      <c r="AZ262" s="10">
        <v>600</v>
      </c>
      <c r="BA262" s="10">
        <v>1656</v>
      </c>
      <c r="BB262" s="10">
        <v>1163</v>
      </c>
      <c r="BC262" s="10">
        <v>1067</v>
      </c>
      <c r="BD262" s="10">
        <v>656</v>
      </c>
      <c r="BE262" s="10">
        <v>658</v>
      </c>
      <c r="BF262" s="10">
        <v>309</v>
      </c>
      <c r="BG262" s="10">
        <v>244</v>
      </c>
      <c r="BH262" s="10">
        <v>667</v>
      </c>
      <c r="BI262" s="10">
        <v>300</v>
      </c>
      <c r="BJ262" s="10">
        <v>657</v>
      </c>
      <c r="BK262" s="10">
        <v>874</v>
      </c>
      <c r="BL262" s="10">
        <v>579</v>
      </c>
    </row>
    <row r="263" spans="1:64">
      <c r="A263" s="15">
        <v>409212</v>
      </c>
      <c r="B263" s="14">
        <v>748068</v>
      </c>
      <c r="C263" s="14">
        <v>299</v>
      </c>
      <c r="D263" s="2" t="str">
        <f>HYPERLINK("http://128.120.136.21:8080/binbase-compound/bin/show/409212?db=rtx5","409212")</f>
        <v>409212</v>
      </c>
      <c r="E263" s="2" t="s">
        <v>313</v>
      </c>
      <c r="F263" s="2" t="s">
        <v>57</v>
      </c>
      <c r="G263" s="2" t="s">
        <v>57</v>
      </c>
      <c r="H263" s="10">
        <v>903</v>
      </c>
      <c r="I263" s="10">
        <v>1028</v>
      </c>
      <c r="J263" s="10">
        <v>1370</v>
      </c>
      <c r="K263" s="10">
        <v>750</v>
      </c>
      <c r="L263" s="10">
        <v>1344</v>
      </c>
      <c r="M263" s="10">
        <v>846</v>
      </c>
      <c r="N263" s="10">
        <v>724</v>
      </c>
      <c r="O263" s="10">
        <v>611</v>
      </c>
      <c r="P263" s="10">
        <v>595</v>
      </c>
      <c r="Q263" s="10">
        <v>1599</v>
      </c>
      <c r="R263" s="10">
        <v>1134</v>
      </c>
      <c r="S263" s="10">
        <v>5429</v>
      </c>
      <c r="T263" s="10">
        <v>1005</v>
      </c>
      <c r="U263" s="10">
        <v>776</v>
      </c>
      <c r="V263" s="10">
        <v>1281</v>
      </c>
      <c r="W263" s="10">
        <v>814</v>
      </c>
      <c r="X263" s="10">
        <v>1005</v>
      </c>
      <c r="Y263" s="10">
        <v>955</v>
      </c>
      <c r="Z263" s="10">
        <v>2301</v>
      </c>
      <c r="AA263" s="10">
        <v>1658</v>
      </c>
      <c r="AB263" s="10">
        <v>1563</v>
      </c>
      <c r="AC263" s="10">
        <v>511</v>
      </c>
      <c r="AD263" s="10">
        <v>852</v>
      </c>
      <c r="AE263" s="10">
        <v>656</v>
      </c>
      <c r="AF263" s="10">
        <v>770</v>
      </c>
      <c r="AG263" s="10">
        <v>739</v>
      </c>
      <c r="AH263" s="10">
        <v>1888</v>
      </c>
      <c r="AI263" s="10">
        <v>1717</v>
      </c>
      <c r="AJ263" s="10">
        <v>2317</v>
      </c>
      <c r="AK263" s="10">
        <v>1741</v>
      </c>
      <c r="AL263" s="10">
        <v>1304</v>
      </c>
      <c r="AM263" s="10">
        <v>522</v>
      </c>
      <c r="AN263" s="10">
        <v>2515</v>
      </c>
      <c r="AO263" s="10">
        <v>2415</v>
      </c>
      <c r="AP263" s="10">
        <v>1458</v>
      </c>
      <c r="AQ263" s="10">
        <v>4530</v>
      </c>
      <c r="AR263" s="10">
        <v>2718</v>
      </c>
      <c r="AS263" s="10">
        <v>1417</v>
      </c>
      <c r="AT263" s="10">
        <v>1837</v>
      </c>
      <c r="AU263" s="10">
        <v>572</v>
      </c>
      <c r="AV263" s="10">
        <v>1348</v>
      </c>
      <c r="AW263" s="10">
        <v>1105</v>
      </c>
      <c r="AX263" s="10">
        <v>630</v>
      </c>
      <c r="AY263" s="10">
        <v>1429</v>
      </c>
      <c r="AZ263" s="10">
        <v>1021</v>
      </c>
      <c r="BA263" s="10">
        <v>1177</v>
      </c>
      <c r="BB263" s="10">
        <v>756</v>
      </c>
      <c r="BC263" s="10">
        <v>684</v>
      </c>
      <c r="BD263" s="10">
        <v>802</v>
      </c>
      <c r="BE263" s="10">
        <v>705</v>
      </c>
      <c r="BF263" s="10">
        <v>2290</v>
      </c>
      <c r="BG263" s="10">
        <v>1111</v>
      </c>
      <c r="BH263" s="10">
        <v>1179</v>
      </c>
      <c r="BI263" s="10">
        <v>1073</v>
      </c>
      <c r="BJ263" s="10">
        <v>721</v>
      </c>
      <c r="BK263" s="10">
        <v>1307</v>
      </c>
      <c r="BL263" s="10">
        <v>1274</v>
      </c>
    </row>
    <row r="264" spans="1:64">
      <c r="A264" s="15">
        <v>314770</v>
      </c>
      <c r="B264" s="14">
        <v>700265</v>
      </c>
      <c r="C264" s="14">
        <v>204</v>
      </c>
      <c r="D264" s="2" t="str">
        <f>HYPERLINK("http://128.120.136.21:8080/binbase-compound/bin/show/314770?db=rtx5","314770")</f>
        <v>314770</v>
      </c>
      <c r="E264" s="2" t="s">
        <v>362</v>
      </c>
      <c r="F264" s="2" t="s">
        <v>57</v>
      </c>
      <c r="G264" s="2" t="s">
        <v>57</v>
      </c>
      <c r="H264" s="10">
        <v>355</v>
      </c>
      <c r="I264" s="10">
        <v>1058</v>
      </c>
      <c r="J264" s="10">
        <v>1502</v>
      </c>
      <c r="K264" s="10">
        <v>805</v>
      </c>
      <c r="L264" s="10">
        <v>890</v>
      </c>
      <c r="M264" s="10">
        <v>696</v>
      </c>
      <c r="N264" s="10">
        <v>1122</v>
      </c>
      <c r="O264" s="10">
        <v>707</v>
      </c>
      <c r="P264" s="10">
        <v>1074</v>
      </c>
      <c r="Q264" s="10">
        <v>3138</v>
      </c>
      <c r="R264" s="10">
        <v>4455</v>
      </c>
      <c r="S264" s="10">
        <v>3429</v>
      </c>
      <c r="T264" s="10">
        <v>747</v>
      </c>
      <c r="U264" s="10">
        <v>972</v>
      </c>
      <c r="V264" s="10">
        <v>1394</v>
      </c>
      <c r="W264" s="10">
        <v>833</v>
      </c>
      <c r="X264" s="10">
        <v>605</v>
      </c>
      <c r="Y264" s="10">
        <v>1252</v>
      </c>
      <c r="Z264" s="10">
        <v>1006</v>
      </c>
      <c r="AA264" s="10">
        <v>996</v>
      </c>
      <c r="AB264" s="10">
        <v>857</v>
      </c>
      <c r="AC264" s="10">
        <v>784</v>
      </c>
      <c r="AD264" s="10">
        <v>738</v>
      </c>
      <c r="AE264" s="10">
        <v>854</v>
      </c>
      <c r="AF264" s="10">
        <v>604</v>
      </c>
      <c r="AG264" s="10">
        <v>709</v>
      </c>
      <c r="AH264" s="10">
        <v>1076</v>
      </c>
      <c r="AI264" s="10">
        <v>601</v>
      </c>
      <c r="AJ264" s="10">
        <v>1248</v>
      </c>
      <c r="AK264" s="10">
        <v>1351</v>
      </c>
      <c r="AL264" s="10">
        <v>840</v>
      </c>
      <c r="AM264" s="10">
        <v>1076</v>
      </c>
      <c r="AN264" s="10">
        <v>710</v>
      </c>
      <c r="AO264" s="10">
        <v>1290</v>
      </c>
      <c r="AP264" s="10">
        <v>630</v>
      </c>
      <c r="AQ264" s="10">
        <v>1238</v>
      </c>
      <c r="AR264" s="10">
        <v>728</v>
      </c>
      <c r="AS264" s="10">
        <v>664</v>
      </c>
      <c r="AT264" s="10">
        <v>1055</v>
      </c>
      <c r="AU264" s="10">
        <v>781</v>
      </c>
      <c r="AV264" s="10">
        <v>1192</v>
      </c>
      <c r="AW264" s="10">
        <v>633</v>
      </c>
      <c r="AX264" s="10">
        <v>518</v>
      </c>
      <c r="AY264" s="10">
        <v>1238</v>
      </c>
      <c r="AZ264" s="10">
        <v>1003</v>
      </c>
      <c r="BA264" s="10">
        <v>963</v>
      </c>
      <c r="BB264" s="10">
        <v>1143</v>
      </c>
      <c r="BC264" s="10">
        <v>1425</v>
      </c>
      <c r="BD264" s="10">
        <v>987</v>
      </c>
      <c r="BE264" s="10">
        <v>912</v>
      </c>
      <c r="BF264" s="10">
        <v>1047</v>
      </c>
      <c r="BG264" s="10">
        <v>1259</v>
      </c>
      <c r="BH264" s="10">
        <v>701</v>
      </c>
      <c r="BI264" s="10">
        <v>1843</v>
      </c>
      <c r="BJ264" s="10">
        <v>984</v>
      </c>
      <c r="BK264" s="10">
        <v>744</v>
      </c>
      <c r="BL264" s="10">
        <v>668</v>
      </c>
    </row>
    <row r="265" spans="1:64">
      <c r="A265" s="15">
        <v>303262</v>
      </c>
      <c r="B265" s="14">
        <v>569381</v>
      </c>
      <c r="C265" s="14">
        <v>159</v>
      </c>
      <c r="D265" s="2" t="str">
        <f>HYPERLINK("http://128.120.136.21:8080/binbase-compound/bin/show/303262?db=rtx5","303262")</f>
        <v>303262</v>
      </c>
      <c r="E265" s="2" t="s">
        <v>372</v>
      </c>
      <c r="F265" s="2" t="s">
        <v>57</v>
      </c>
      <c r="G265" s="2" t="s">
        <v>57</v>
      </c>
      <c r="H265" s="10">
        <v>1762</v>
      </c>
      <c r="I265" s="10">
        <v>963</v>
      </c>
      <c r="J265" s="10">
        <v>670</v>
      </c>
      <c r="K265" s="10">
        <v>1998</v>
      </c>
      <c r="L265" s="10">
        <v>564</v>
      </c>
      <c r="M265" s="10">
        <v>1163</v>
      </c>
      <c r="N265" s="10">
        <v>2661</v>
      </c>
      <c r="O265" s="10">
        <v>1452</v>
      </c>
      <c r="P265" s="10">
        <v>818</v>
      </c>
      <c r="Q265" s="10">
        <v>228</v>
      </c>
      <c r="R265" s="10">
        <v>171</v>
      </c>
      <c r="S265" s="10">
        <v>745</v>
      </c>
      <c r="T265" s="10">
        <v>2242</v>
      </c>
      <c r="U265" s="10">
        <v>551</v>
      </c>
      <c r="V265" s="10">
        <v>2481</v>
      </c>
      <c r="W265" s="10">
        <v>495</v>
      </c>
      <c r="X265" s="10">
        <v>349</v>
      </c>
      <c r="Y265" s="10">
        <v>4033</v>
      </c>
      <c r="Z265" s="10">
        <v>1231</v>
      </c>
      <c r="AA265" s="10">
        <v>493</v>
      </c>
      <c r="AB265" s="10">
        <v>967</v>
      </c>
      <c r="AC265" s="10">
        <v>3036</v>
      </c>
      <c r="AD265" s="10">
        <v>459</v>
      </c>
      <c r="AE265" s="10">
        <v>439</v>
      </c>
      <c r="AF265" s="10">
        <v>401</v>
      </c>
      <c r="AG265" s="10">
        <v>375</v>
      </c>
      <c r="AH265" s="10">
        <v>304</v>
      </c>
      <c r="AI265" s="10">
        <v>225</v>
      </c>
      <c r="AJ265" s="10">
        <v>852</v>
      </c>
      <c r="AK265" s="10">
        <v>354</v>
      </c>
      <c r="AL265" s="10">
        <v>1324</v>
      </c>
      <c r="AM265" s="10">
        <v>1723</v>
      </c>
      <c r="AN265" s="10">
        <v>340</v>
      </c>
      <c r="AO265" s="10">
        <v>304</v>
      </c>
      <c r="AP265" s="10">
        <v>470</v>
      </c>
      <c r="AQ265" s="10">
        <v>775</v>
      </c>
      <c r="AR265" s="10">
        <v>1297</v>
      </c>
      <c r="AS265" s="10">
        <v>625</v>
      </c>
      <c r="AT265" s="10">
        <v>1794</v>
      </c>
      <c r="AU265" s="10">
        <v>2573</v>
      </c>
      <c r="AV265" s="10">
        <v>1099</v>
      </c>
      <c r="AW265" s="10">
        <v>1300</v>
      </c>
      <c r="AX265" s="10">
        <v>751</v>
      </c>
      <c r="AY265" s="10">
        <v>922</v>
      </c>
      <c r="AZ265" s="10">
        <v>772</v>
      </c>
      <c r="BA265" s="10">
        <v>1534</v>
      </c>
      <c r="BB265" s="10">
        <v>1558</v>
      </c>
      <c r="BC265" s="10">
        <v>1111</v>
      </c>
      <c r="BD265" s="10">
        <v>889</v>
      </c>
      <c r="BE265" s="10">
        <v>1193</v>
      </c>
      <c r="BF265" s="10">
        <v>332</v>
      </c>
      <c r="BG265" s="10">
        <v>340</v>
      </c>
      <c r="BH265" s="10">
        <v>787</v>
      </c>
      <c r="BI265" s="10">
        <v>348</v>
      </c>
      <c r="BJ265" s="10">
        <v>767</v>
      </c>
      <c r="BK265" s="10">
        <v>986</v>
      </c>
      <c r="BL265" s="10">
        <v>381</v>
      </c>
    </row>
    <row r="266" spans="1:64">
      <c r="A266" s="15">
        <v>237138</v>
      </c>
      <c r="B266" s="14">
        <v>809148</v>
      </c>
      <c r="C266" s="14">
        <v>328</v>
      </c>
      <c r="D266" s="2" t="str">
        <f>HYPERLINK("http://128.120.136.21:8080/binbase-compound/bin/show/237138?db=rtx5","237138")</f>
        <v>237138</v>
      </c>
      <c r="E266" s="2" t="s">
        <v>430</v>
      </c>
      <c r="F266" s="2" t="s">
        <v>57</v>
      </c>
      <c r="G266" s="2" t="s">
        <v>57</v>
      </c>
      <c r="H266" s="10">
        <v>336</v>
      </c>
      <c r="I266" s="10">
        <v>1628</v>
      </c>
      <c r="J266" s="10">
        <v>1327</v>
      </c>
      <c r="K266" s="10">
        <v>317</v>
      </c>
      <c r="L266" s="10">
        <v>1243</v>
      </c>
      <c r="M266" s="10">
        <v>602</v>
      </c>
      <c r="N266" s="10">
        <v>1725</v>
      </c>
      <c r="O266" s="10">
        <v>872</v>
      </c>
      <c r="P266" s="10">
        <v>706</v>
      </c>
      <c r="Q266" s="10">
        <v>1704</v>
      </c>
      <c r="R266" s="10">
        <v>1408</v>
      </c>
      <c r="S266" s="10">
        <v>6078</v>
      </c>
      <c r="T266" s="10">
        <v>141</v>
      </c>
      <c r="U266" s="10">
        <v>1509</v>
      </c>
      <c r="V266" s="10">
        <v>434</v>
      </c>
      <c r="W266" s="10">
        <v>961</v>
      </c>
      <c r="X266" s="10">
        <v>1128</v>
      </c>
      <c r="Y266" s="10">
        <v>902</v>
      </c>
      <c r="Z266" s="10">
        <v>369</v>
      </c>
      <c r="AA266" s="10">
        <v>916</v>
      </c>
      <c r="AB266" s="10">
        <v>653</v>
      </c>
      <c r="AC266" s="10">
        <v>627</v>
      </c>
      <c r="AD266" s="10">
        <v>882</v>
      </c>
      <c r="AE266" s="10">
        <v>902</v>
      </c>
      <c r="AF266" s="10">
        <v>1183</v>
      </c>
      <c r="AG266" s="10">
        <v>729</v>
      </c>
      <c r="AH266" s="10">
        <v>1762</v>
      </c>
      <c r="AI266" s="10">
        <v>3230</v>
      </c>
      <c r="AJ266" s="10">
        <v>661</v>
      </c>
      <c r="AK266" s="10">
        <v>3097</v>
      </c>
      <c r="AL266" s="10">
        <v>2620</v>
      </c>
      <c r="AM266" s="10">
        <v>573</v>
      </c>
      <c r="AN266" s="10">
        <v>4029</v>
      </c>
      <c r="AO266" s="10">
        <v>4362</v>
      </c>
      <c r="AP266" s="10">
        <v>837</v>
      </c>
      <c r="AQ266" s="10">
        <v>947</v>
      </c>
      <c r="AR266" s="10">
        <v>495</v>
      </c>
      <c r="AS266" s="10">
        <v>562</v>
      </c>
      <c r="AT266" s="10">
        <v>648</v>
      </c>
      <c r="AU266" s="10">
        <v>333</v>
      </c>
      <c r="AV266" s="10">
        <v>553</v>
      </c>
      <c r="AW266" s="10">
        <v>427</v>
      </c>
      <c r="AX266" s="10">
        <v>552</v>
      </c>
      <c r="AY266" s="10">
        <v>658</v>
      </c>
      <c r="AZ266" s="10">
        <v>767</v>
      </c>
      <c r="BA266" s="10">
        <v>670</v>
      </c>
      <c r="BB266" s="10">
        <v>426</v>
      </c>
      <c r="BC266" s="10">
        <v>584</v>
      </c>
      <c r="BD266" s="10">
        <v>791</v>
      </c>
      <c r="BE266" s="10">
        <v>465</v>
      </c>
      <c r="BF266" s="10">
        <v>808</v>
      </c>
      <c r="BG266" s="10">
        <v>1448</v>
      </c>
      <c r="BH266" s="10">
        <v>691</v>
      </c>
      <c r="BI266" s="10">
        <v>1210</v>
      </c>
      <c r="BJ266" s="10">
        <v>820</v>
      </c>
      <c r="BK266" s="10">
        <v>827</v>
      </c>
      <c r="BL266" s="10">
        <v>1652</v>
      </c>
    </row>
    <row r="267" spans="1:64">
      <c r="A267" s="15">
        <v>200484</v>
      </c>
      <c r="B267" s="14">
        <v>800844</v>
      </c>
      <c r="C267" s="14">
        <v>163</v>
      </c>
      <c r="D267" s="2" t="str">
        <f>HYPERLINK("http://128.120.136.21:8080/binbase-compound/bin/show/200484?db=rtx5","200484")</f>
        <v>200484</v>
      </c>
      <c r="E267" s="2" t="s">
        <v>502</v>
      </c>
      <c r="F267" s="2" t="s">
        <v>57</v>
      </c>
      <c r="G267" s="2" t="s">
        <v>57</v>
      </c>
      <c r="H267" s="10">
        <v>401</v>
      </c>
      <c r="I267" s="10">
        <v>979</v>
      </c>
      <c r="J267" s="10">
        <v>1533</v>
      </c>
      <c r="K267" s="10">
        <v>339</v>
      </c>
      <c r="L267" s="10">
        <v>1713</v>
      </c>
      <c r="M267" s="10">
        <v>296</v>
      </c>
      <c r="N267" s="10">
        <v>2225</v>
      </c>
      <c r="O267" s="10">
        <v>432</v>
      </c>
      <c r="P267" s="10">
        <v>1716</v>
      </c>
      <c r="Q267" s="10">
        <v>961</v>
      </c>
      <c r="R267" s="10">
        <v>1053</v>
      </c>
      <c r="S267" s="10">
        <v>5712</v>
      </c>
      <c r="T267" s="10">
        <v>286</v>
      </c>
      <c r="U267" s="10">
        <v>1233</v>
      </c>
      <c r="V267" s="10">
        <v>2314</v>
      </c>
      <c r="W267" s="10">
        <v>337</v>
      </c>
      <c r="X267" s="10">
        <v>1064</v>
      </c>
      <c r="Y267" s="10">
        <v>1202</v>
      </c>
      <c r="Z267" s="10">
        <v>886</v>
      </c>
      <c r="AA267" s="10">
        <v>5508</v>
      </c>
      <c r="AB267" s="10">
        <v>1357</v>
      </c>
      <c r="AC267" s="10">
        <v>514</v>
      </c>
      <c r="AD267" s="10">
        <v>294</v>
      </c>
      <c r="AE267" s="10">
        <v>1222</v>
      </c>
      <c r="AF267" s="10">
        <v>432</v>
      </c>
      <c r="AG267" s="10">
        <v>864</v>
      </c>
      <c r="AH267" s="10">
        <v>900</v>
      </c>
      <c r="AI267" s="10">
        <v>4232</v>
      </c>
      <c r="AJ267" s="10">
        <v>939</v>
      </c>
      <c r="AK267" s="10">
        <v>5183</v>
      </c>
      <c r="AL267" s="10">
        <v>4254</v>
      </c>
      <c r="AM267" s="10">
        <v>694</v>
      </c>
      <c r="AN267" s="10">
        <v>7266</v>
      </c>
      <c r="AO267" s="10">
        <v>5965</v>
      </c>
      <c r="AP267" s="10">
        <v>1254</v>
      </c>
      <c r="AQ267" s="10">
        <v>2744</v>
      </c>
      <c r="AR267" s="10">
        <v>1335</v>
      </c>
      <c r="AS267" s="10">
        <v>3514</v>
      </c>
      <c r="AT267" s="10">
        <v>1083</v>
      </c>
      <c r="AU267" s="10">
        <v>558</v>
      </c>
      <c r="AV267" s="10">
        <v>3671</v>
      </c>
      <c r="AW267" s="10">
        <v>1036</v>
      </c>
      <c r="AX267" s="10">
        <v>1976</v>
      </c>
      <c r="AY267" s="10">
        <v>3718</v>
      </c>
      <c r="AZ267" s="10">
        <v>3246</v>
      </c>
      <c r="BA267" s="10">
        <v>627</v>
      </c>
      <c r="BB267" s="10">
        <v>467</v>
      </c>
      <c r="BC267" s="10">
        <v>3320</v>
      </c>
      <c r="BD267" s="10">
        <v>1057</v>
      </c>
      <c r="BE267" s="10">
        <v>635</v>
      </c>
      <c r="BF267" s="10">
        <v>5810</v>
      </c>
      <c r="BG267" s="10">
        <v>2924</v>
      </c>
      <c r="BH267" s="10">
        <v>457</v>
      </c>
      <c r="BI267" s="10">
        <v>5517</v>
      </c>
      <c r="BJ267" s="10">
        <v>793</v>
      </c>
      <c r="BK267" s="10">
        <v>983</v>
      </c>
      <c r="BL267" s="10">
        <v>398</v>
      </c>
    </row>
    <row r="268" spans="1:64">
      <c r="A268" s="15">
        <v>241658</v>
      </c>
      <c r="B268" s="14">
        <v>857305</v>
      </c>
      <c r="C268" s="14">
        <v>174</v>
      </c>
      <c r="D268" s="2" t="str">
        <f>HYPERLINK("http://128.120.136.21:8080/binbase-compound/bin/show/241658?db=rtx5","241658")</f>
        <v>241658</v>
      </c>
      <c r="E268" s="2" t="s">
        <v>414</v>
      </c>
      <c r="F268" s="2" t="s">
        <v>57</v>
      </c>
      <c r="G268" s="2" t="s">
        <v>57</v>
      </c>
      <c r="H268" s="10">
        <v>1347</v>
      </c>
      <c r="I268" s="10">
        <v>819</v>
      </c>
      <c r="J268" s="10">
        <v>1207</v>
      </c>
      <c r="K268" s="10">
        <v>1467</v>
      </c>
      <c r="L268" s="10">
        <v>1042</v>
      </c>
      <c r="M268" s="10">
        <v>2690</v>
      </c>
      <c r="N268" s="10">
        <v>1111</v>
      </c>
      <c r="O268" s="10">
        <v>1655</v>
      </c>
      <c r="P268" s="10">
        <v>1542</v>
      </c>
      <c r="Q268" s="10">
        <v>330</v>
      </c>
      <c r="R268" s="10">
        <v>259</v>
      </c>
      <c r="S268" s="10">
        <v>967</v>
      </c>
      <c r="T268" s="10">
        <v>3481</v>
      </c>
      <c r="U268" s="10">
        <v>623</v>
      </c>
      <c r="V268" s="10">
        <v>1064</v>
      </c>
      <c r="W268" s="10">
        <v>1682</v>
      </c>
      <c r="X268" s="10">
        <v>1225</v>
      </c>
      <c r="Y268" s="10">
        <v>1894</v>
      </c>
      <c r="Z268" s="10">
        <v>2460</v>
      </c>
      <c r="AA268" s="10">
        <v>1055</v>
      </c>
      <c r="AB268" s="10">
        <v>751</v>
      </c>
      <c r="AC268" s="10">
        <v>1679</v>
      </c>
      <c r="AD268" s="10">
        <v>1662</v>
      </c>
      <c r="AE268" s="10">
        <v>1404</v>
      </c>
      <c r="AF268" s="10">
        <v>1780</v>
      </c>
      <c r="AG268" s="10">
        <v>888</v>
      </c>
      <c r="AH268" s="10">
        <v>310</v>
      </c>
      <c r="AI268" s="10">
        <v>837</v>
      </c>
      <c r="AJ268" s="10">
        <v>930</v>
      </c>
      <c r="AK268" s="10">
        <v>1153</v>
      </c>
      <c r="AL268" s="10">
        <v>906</v>
      </c>
      <c r="AM268" s="10">
        <v>1256</v>
      </c>
      <c r="AN268" s="10">
        <v>662</v>
      </c>
      <c r="AO268" s="10">
        <v>648</v>
      </c>
      <c r="AP268" s="10">
        <v>1447</v>
      </c>
      <c r="AQ268" s="10">
        <v>1015</v>
      </c>
      <c r="AR268" s="10">
        <v>1318</v>
      </c>
      <c r="AS268" s="10">
        <v>933</v>
      </c>
      <c r="AT268" s="10">
        <v>1137</v>
      </c>
      <c r="AU268" s="10">
        <v>2796</v>
      </c>
      <c r="AV268" s="10">
        <v>820</v>
      </c>
      <c r="AW268" s="10">
        <v>1251</v>
      </c>
      <c r="AX268" s="10">
        <v>656</v>
      </c>
      <c r="AY268" s="10">
        <v>907</v>
      </c>
      <c r="AZ268" s="10">
        <v>666</v>
      </c>
      <c r="BA268" s="10">
        <v>984</v>
      </c>
      <c r="BB268" s="10">
        <v>1335</v>
      </c>
      <c r="BC268" s="10">
        <v>666</v>
      </c>
      <c r="BD268" s="10">
        <v>1385</v>
      </c>
      <c r="BE268" s="10">
        <v>977</v>
      </c>
      <c r="BF268" s="10">
        <v>560</v>
      </c>
      <c r="BG268" s="10">
        <v>243</v>
      </c>
      <c r="BH268" s="10">
        <v>899</v>
      </c>
      <c r="BI268" s="10">
        <v>1248</v>
      </c>
      <c r="BJ268" s="10">
        <v>881</v>
      </c>
      <c r="BK268" s="10">
        <v>1026</v>
      </c>
      <c r="BL268" s="10">
        <v>1546</v>
      </c>
    </row>
    <row r="269" spans="1:64">
      <c r="A269" s="15">
        <v>408886</v>
      </c>
      <c r="B269" s="14">
        <v>924648</v>
      </c>
      <c r="C269" s="14">
        <v>156</v>
      </c>
      <c r="D269" s="2" t="str">
        <f>HYPERLINK("http://128.120.136.21:8080/binbase-compound/bin/show/408886?db=rtx5","408886")</f>
        <v>408886</v>
      </c>
      <c r="E269" s="2" t="s">
        <v>317</v>
      </c>
      <c r="F269" s="2" t="s">
        <v>57</v>
      </c>
      <c r="G269" s="2" t="s">
        <v>57</v>
      </c>
      <c r="H269" s="10">
        <v>1912</v>
      </c>
      <c r="I269" s="10">
        <v>495</v>
      </c>
      <c r="J269" s="10">
        <v>368</v>
      </c>
      <c r="K269" s="10">
        <v>1908</v>
      </c>
      <c r="L269" s="10">
        <v>614</v>
      </c>
      <c r="M269" s="10">
        <v>1330</v>
      </c>
      <c r="N269" s="10">
        <v>728</v>
      </c>
      <c r="O269" s="10">
        <v>1659</v>
      </c>
      <c r="P269" s="10">
        <v>830</v>
      </c>
      <c r="Q269" s="10">
        <v>1048</v>
      </c>
      <c r="R269" s="10">
        <v>760</v>
      </c>
      <c r="S269" s="10">
        <v>1429</v>
      </c>
      <c r="T269" s="10">
        <v>1410</v>
      </c>
      <c r="U269" s="10">
        <v>352</v>
      </c>
      <c r="V269" s="10">
        <v>777</v>
      </c>
      <c r="W269" s="10">
        <v>751</v>
      </c>
      <c r="X269" s="10">
        <v>444</v>
      </c>
      <c r="Y269" s="10">
        <v>1188</v>
      </c>
      <c r="Z269" s="10">
        <v>972</v>
      </c>
      <c r="AA269" s="10">
        <v>392</v>
      </c>
      <c r="AB269" s="10">
        <v>571</v>
      </c>
      <c r="AC269" s="10">
        <v>1540</v>
      </c>
      <c r="AD269" s="10">
        <v>969</v>
      </c>
      <c r="AE269" s="10">
        <v>605</v>
      </c>
      <c r="AF269" s="10">
        <v>421</v>
      </c>
      <c r="AG269" s="10">
        <v>1010</v>
      </c>
      <c r="AH269" s="10">
        <v>464</v>
      </c>
      <c r="AI269" s="10">
        <v>351</v>
      </c>
      <c r="AJ269" s="10">
        <v>756</v>
      </c>
      <c r="AK269" s="10">
        <v>505</v>
      </c>
      <c r="AL269" s="10">
        <v>446</v>
      </c>
      <c r="AM269" s="10">
        <v>312</v>
      </c>
      <c r="AN269" s="10">
        <v>419</v>
      </c>
      <c r="AO269" s="10">
        <v>474</v>
      </c>
      <c r="AP269" s="10">
        <v>364</v>
      </c>
      <c r="AQ269" s="10">
        <v>575</v>
      </c>
      <c r="AR269" s="10">
        <v>591</v>
      </c>
      <c r="AS269" s="10">
        <v>458</v>
      </c>
      <c r="AT269" s="10">
        <v>482</v>
      </c>
      <c r="AU269" s="10">
        <v>999</v>
      </c>
      <c r="AV269" s="10">
        <v>329</v>
      </c>
      <c r="AW269" s="10">
        <v>679</v>
      </c>
      <c r="AX269" s="10">
        <v>391</v>
      </c>
      <c r="AY269" s="10">
        <v>340</v>
      </c>
      <c r="AZ269" s="10">
        <v>365</v>
      </c>
      <c r="BA269" s="10">
        <v>601</v>
      </c>
      <c r="BB269" s="10">
        <v>446</v>
      </c>
      <c r="BC269" s="10">
        <v>439</v>
      </c>
      <c r="BD269" s="10">
        <v>716</v>
      </c>
      <c r="BE269" s="10">
        <v>707</v>
      </c>
      <c r="BF269" s="10">
        <v>504</v>
      </c>
      <c r="BG269" s="10">
        <v>479</v>
      </c>
      <c r="BH269" s="10">
        <v>675</v>
      </c>
      <c r="BI269" s="10">
        <v>296</v>
      </c>
      <c r="BJ269" s="10">
        <v>645</v>
      </c>
      <c r="BK269" s="10">
        <v>785</v>
      </c>
      <c r="BL269" s="10">
        <v>600</v>
      </c>
    </row>
    <row r="270" spans="1:64">
      <c r="A270" s="15">
        <v>233455</v>
      </c>
      <c r="B270" s="14">
        <v>1201973</v>
      </c>
      <c r="C270" s="14">
        <v>316</v>
      </c>
      <c r="D270" s="2" t="str">
        <f>HYPERLINK("http://128.120.136.21:8080/binbase-compound/bin/show/233455?db=rtx5","233455")</f>
        <v>233455</v>
      </c>
      <c r="E270" s="2" t="s">
        <v>438</v>
      </c>
      <c r="F270" s="2" t="s">
        <v>57</v>
      </c>
      <c r="G270" s="2" t="s">
        <v>57</v>
      </c>
      <c r="H270" s="10">
        <v>540</v>
      </c>
      <c r="I270" s="10">
        <v>875</v>
      </c>
      <c r="J270" s="10">
        <v>573</v>
      </c>
      <c r="K270" s="10">
        <v>555</v>
      </c>
      <c r="L270" s="10">
        <v>654</v>
      </c>
      <c r="M270" s="10">
        <v>354</v>
      </c>
      <c r="N270" s="10">
        <v>1215</v>
      </c>
      <c r="O270" s="10">
        <v>589</v>
      </c>
      <c r="P270" s="10">
        <v>259</v>
      </c>
      <c r="Q270" s="10">
        <v>1036</v>
      </c>
      <c r="R270" s="10">
        <v>815</v>
      </c>
      <c r="S270" s="10">
        <v>5099</v>
      </c>
      <c r="T270" s="10">
        <v>256</v>
      </c>
      <c r="U270" s="10">
        <v>957</v>
      </c>
      <c r="V270" s="10">
        <v>698</v>
      </c>
      <c r="W270" s="10">
        <v>498</v>
      </c>
      <c r="X270" s="10">
        <v>610</v>
      </c>
      <c r="Y270" s="10">
        <v>567</v>
      </c>
      <c r="Z270" s="10">
        <v>573</v>
      </c>
      <c r="AA270" s="10">
        <v>1067</v>
      </c>
      <c r="AB270" s="10">
        <v>1082</v>
      </c>
      <c r="AC270" s="10">
        <v>267</v>
      </c>
      <c r="AD270" s="10">
        <v>371</v>
      </c>
      <c r="AE270" s="10">
        <v>405</v>
      </c>
      <c r="AF270" s="10">
        <v>409</v>
      </c>
      <c r="AG270" s="10">
        <v>320</v>
      </c>
      <c r="AH270" s="10">
        <v>1014</v>
      </c>
      <c r="AI270" s="10">
        <v>650</v>
      </c>
      <c r="AJ270" s="10">
        <v>745</v>
      </c>
      <c r="AK270" s="10">
        <v>802</v>
      </c>
      <c r="AL270" s="10">
        <v>973</v>
      </c>
      <c r="AM270" s="10">
        <v>503</v>
      </c>
      <c r="AN270" s="10">
        <v>1259</v>
      </c>
      <c r="AO270" s="10">
        <v>1553</v>
      </c>
      <c r="AP270" s="10">
        <v>462</v>
      </c>
      <c r="AQ270" s="10">
        <v>2748</v>
      </c>
      <c r="AR270" s="10">
        <v>902</v>
      </c>
      <c r="AS270" s="10">
        <v>936</v>
      </c>
      <c r="AT270" s="10">
        <v>897</v>
      </c>
      <c r="AU270" s="10">
        <v>278</v>
      </c>
      <c r="AV270" s="10">
        <v>1299</v>
      </c>
      <c r="AW270" s="10">
        <v>424</v>
      </c>
      <c r="AX270" s="10">
        <v>683</v>
      </c>
      <c r="AY270" s="10">
        <v>556</v>
      </c>
      <c r="AZ270" s="10">
        <v>1001</v>
      </c>
      <c r="BA270" s="10">
        <v>525</v>
      </c>
      <c r="BB270" s="10">
        <v>449</v>
      </c>
      <c r="BC270" s="10">
        <v>995</v>
      </c>
      <c r="BD270" s="10">
        <v>523</v>
      </c>
      <c r="BE270" s="10">
        <v>662</v>
      </c>
      <c r="BF270" s="10">
        <v>1214</v>
      </c>
      <c r="BG270" s="10">
        <v>1383</v>
      </c>
      <c r="BH270" s="10">
        <v>573</v>
      </c>
      <c r="BI270" s="10">
        <v>749</v>
      </c>
      <c r="BJ270" s="10">
        <v>504</v>
      </c>
      <c r="BK270" s="10">
        <v>904</v>
      </c>
      <c r="BL270" s="10">
        <v>588</v>
      </c>
    </row>
    <row r="271" spans="1:64">
      <c r="A271" s="15">
        <v>302344</v>
      </c>
      <c r="B271" s="14">
        <v>642292</v>
      </c>
      <c r="C271" s="14">
        <v>174</v>
      </c>
      <c r="D271" s="2" t="str">
        <f>HYPERLINK("http://128.120.136.21:8080/binbase-compound/bin/show/302344?db=rtx5","302344")</f>
        <v>302344</v>
      </c>
      <c r="E271" s="2" t="s">
        <v>374</v>
      </c>
      <c r="F271" s="2" t="s">
        <v>57</v>
      </c>
      <c r="G271" s="2" t="s">
        <v>57</v>
      </c>
      <c r="H271" s="10">
        <v>911</v>
      </c>
      <c r="I271" s="10">
        <v>886</v>
      </c>
      <c r="J271" s="10">
        <v>1342</v>
      </c>
      <c r="K271" s="10">
        <v>958</v>
      </c>
      <c r="L271" s="10">
        <v>803</v>
      </c>
      <c r="M271" s="10">
        <v>873</v>
      </c>
      <c r="N271" s="10">
        <v>1688</v>
      </c>
      <c r="O271" s="10">
        <v>1089</v>
      </c>
      <c r="P271" s="10">
        <v>817</v>
      </c>
      <c r="Q271" s="10">
        <v>1527</v>
      </c>
      <c r="R271" s="10">
        <v>1795</v>
      </c>
      <c r="S271" s="10">
        <v>1766</v>
      </c>
      <c r="T271" s="10">
        <v>1305</v>
      </c>
      <c r="U271" s="10">
        <v>1055</v>
      </c>
      <c r="V271" s="10">
        <v>749</v>
      </c>
      <c r="W271" s="10">
        <v>1093</v>
      </c>
      <c r="X271" s="10">
        <v>861</v>
      </c>
      <c r="Y271" s="10">
        <v>842</v>
      </c>
      <c r="Z271" s="10">
        <v>986</v>
      </c>
      <c r="AA271" s="10">
        <v>1051</v>
      </c>
      <c r="AB271" s="10">
        <v>1427</v>
      </c>
      <c r="AC271" s="10">
        <v>701</v>
      </c>
      <c r="AD271" s="10">
        <v>709</v>
      </c>
      <c r="AE271" s="10">
        <v>678</v>
      </c>
      <c r="AF271" s="10">
        <v>1236</v>
      </c>
      <c r="AG271" s="10">
        <v>853</v>
      </c>
      <c r="AH271" s="10">
        <v>1426</v>
      </c>
      <c r="AI271" s="10">
        <v>1098</v>
      </c>
      <c r="AJ271" s="10">
        <v>1914</v>
      </c>
      <c r="AK271" s="10">
        <v>1057</v>
      </c>
      <c r="AL271" s="10">
        <v>1190</v>
      </c>
      <c r="AM271" s="10">
        <v>1143</v>
      </c>
      <c r="AN271" s="10">
        <v>1147</v>
      </c>
      <c r="AO271" s="10">
        <v>1568</v>
      </c>
      <c r="AP271" s="10">
        <v>1306</v>
      </c>
      <c r="AQ271" s="10">
        <v>1530</v>
      </c>
      <c r="AR271" s="10">
        <v>1556</v>
      </c>
      <c r="AS271" s="10">
        <v>907</v>
      </c>
      <c r="AT271" s="10">
        <v>1030</v>
      </c>
      <c r="AU271" s="10">
        <v>1486</v>
      </c>
      <c r="AV271" s="10">
        <v>1551</v>
      </c>
      <c r="AW271" s="10">
        <v>1750</v>
      </c>
      <c r="AX271" s="10">
        <v>1079</v>
      </c>
      <c r="AY271" s="10">
        <v>1296</v>
      </c>
      <c r="AZ271" s="10">
        <v>1426</v>
      </c>
      <c r="BA271" s="10">
        <v>1102</v>
      </c>
      <c r="BB271" s="10">
        <v>2095</v>
      </c>
      <c r="BC271" s="10">
        <v>1690</v>
      </c>
      <c r="BD271" s="10">
        <v>1077</v>
      </c>
      <c r="BE271" s="10">
        <v>1121</v>
      </c>
      <c r="BF271" s="10">
        <v>1722</v>
      </c>
      <c r="BG271" s="10">
        <v>1708</v>
      </c>
      <c r="BH271" s="10">
        <v>1578</v>
      </c>
      <c r="BI271" s="10">
        <v>1356</v>
      </c>
      <c r="BJ271" s="10">
        <v>1313</v>
      </c>
      <c r="BK271" s="10">
        <v>1507</v>
      </c>
      <c r="BL271" s="10">
        <v>950</v>
      </c>
    </row>
    <row r="272" spans="1:64">
      <c r="A272" s="15">
        <v>362010</v>
      </c>
      <c r="B272" s="14">
        <v>778295</v>
      </c>
      <c r="C272" s="14">
        <v>158</v>
      </c>
      <c r="D272" s="2" t="str">
        <f>HYPERLINK("http://128.120.136.21:8080/binbase-compound/bin/show/362010?db=rtx5","362010")</f>
        <v>362010</v>
      </c>
      <c r="E272" s="2" t="s">
        <v>339</v>
      </c>
      <c r="F272" s="2" t="s">
        <v>57</v>
      </c>
      <c r="G272" s="2" t="s">
        <v>57</v>
      </c>
      <c r="H272" s="10">
        <v>5467</v>
      </c>
      <c r="I272" s="10">
        <v>614</v>
      </c>
      <c r="J272" s="10">
        <v>1571</v>
      </c>
      <c r="K272" s="10">
        <v>1423</v>
      </c>
      <c r="L272" s="10">
        <v>1521</v>
      </c>
      <c r="M272" s="10">
        <v>2218</v>
      </c>
      <c r="N272" s="10">
        <v>1233</v>
      </c>
      <c r="O272" s="10">
        <v>2030</v>
      </c>
      <c r="P272" s="10">
        <v>2891</v>
      </c>
      <c r="Q272" s="10">
        <v>5955</v>
      </c>
      <c r="R272" s="10">
        <v>9097</v>
      </c>
      <c r="S272" s="10">
        <v>6967</v>
      </c>
      <c r="T272" s="10">
        <v>2613</v>
      </c>
      <c r="U272" s="10">
        <v>1217</v>
      </c>
      <c r="V272" s="10">
        <v>900</v>
      </c>
      <c r="W272" s="10">
        <v>1771</v>
      </c>
      <c r="X272" s="10">
        <v>1892</v>
      </c>
      <c r="Y272" s="10">
        <v>1661</v>
      </c>
      <c r="Z272" s="10">
        <v>2948</v>
      </c>
      <c r="AA272" s="10">
        <v>1638</v>
      </c>
      <c r="AB272" s="10">
        <v>1315</v>
      </c>
      <c r="AC272" s="10">
        <v>1832</v>
      </c>
      <c r="AD272" s="10">
        <v>1610</v>
      </c>
      <c r="AE272" s="10">
        <v>2164</v>
      </c>
      <c r="AF272" s="10">
        <v>2295</v>
      </c>
      <c r="AG272" s="10">
        <v>4349</v>
      </c>
      <c r="AH272" s="10">
        <v>1180</v>
      </c>
      <c r="AI272" s="10">
        <v>2290</v>
      </c>
      <c r="AJ272" s="10">
        <v>951</v>
      </c>
      <c r="AK272" s="10">
        <v>1589</v>
      </c>
      <c r="AL272" s="10">
        <v>884</v>
      </c>
      <c r="AM272" s="10">
        <v>690</v>
      </c>
      <c r="AN272" s="10">
        <v>1538</v>
      </c>
      <c r="AO272" s="10">
        <v>1054</v>
      </c>
      <c r="AP272" s="10">
        <v>2077</v>
      </c>
      <c r="AQ272" s="10">
        <v>1250</v>
      </c>
      <c r="AR272" s="10">
        <v>1291</v>
      </c>
      <c r="AS272" s="10">
        <v>1595</v>
      </c>
      <c r="AT272" s="10">
        <v>423</v>
      </c>
      <c r="AU272" s="10">
        <v>3169</v>
      </c>
      <c r="AV272" s="10">
        <v>981</v>
      </c>
      <c r="AW272" s="10">
        <v>1428</v>
      </c>
      <c r="AX272" s="10">
        <v>1187</v>
      </c>
      <c r="AY272" s="10">
        <v>1281</v>
      </c>
      <c r="AZ272" s="10">
        <v>892</v>
      </c>
      <c r="BA272" s="10">
        <v>1362</v>
      </c>
      <c r="BB272" s="10">
        <v>992</v>
      </c>
      <c r="BC272" s="10">
        <v>1407</v>
      </c>
      <c r="BD272" s="10">
        <v>565</v>
      </c>
      <c r="BE272" s="10">
        <v>450</v>
      </c>
      <c r="BF272" s="10">
        <v>1413</v>
      </c>
      <c r="BG272" s="10">
        <v>911</v>
      </c>
      <c r="BH272" s="10">
        <v>812</v>
      </c>
      <c r="BI272" s="10">
        <v>1558</v>
      </c>
      <c r="BJ272" s="10">
        <v>874</v>
      </c>
      <c r="BK272" s="10">
        <v>5083</v>
      </c>
      <c r="BL272" s="10">
        <v>3039</v>
      </c>
    </row>
    <row r="273" spans="1:64">
      <c r="A273" s="15">
        <v>408856</v>
      </c>
      <c r="B273" s="14">
        <v>921483</v>
      </c>
      <c r="C273" s="14">
        <v>142</v>
      </c>
      <c r="D273" s="2" t="str">
        <f>HYPERLINK("http://128.120.136.21:8080/binbase-compound/bin/show/408856?db=rtx5","408856")</f>
        <v>408856</v>
      </c>
      <c r="E273" s="2" t="s">
        <v>318</v>
      </c>
      <c r="F273" s="2" t="s">
        <v>57</v>
      </c>
      <c r="G273" s="2" t="s">
        <v>57</v>
      </c>
      <c r="H273" s="10">
        <v>2011</v>
      </c>
      <c r="I273" s="10">
        <v>502</v>
      </c>
      <c r="J273" s="10">
        <v>1085</v>
      </c>
      <c r="K273" s="10">
        <v>1252</v>
      </c>
      <c r="L273" s="10">
        <v>1144</v>
      </c>
      <c r="M273" s="10">
        <v>1902</v>
      </c>
      <c r="N273" s="10">
        <v>1051</v>
      </c>
      <c r="O273" s="10">
        <v>1578</v>
      </c>
      <c r="P273" s="10">
        <v>1498</v>
      </c>
      <c r="Q273" s="10">
        <v>1743</v>
      </c>
      <c r="R273" s="10">
        <v>1940</v>
      </c>
      <c r="S273" s="10">
        <v>1586</v>
      </c>
      <c r="T273" s="10">
        <v>1808</v>
      </c>
      <c r="U273" s="10">
        <v>1010</v>
      </c>
      <c r="V273" s="10">
        <v>1322</v>
      </c>
      <c r="W273" s="10">
        <v>1470</v>
      </c>
      <c r="X273" s="10">
        <v>1274</v>
      </c>
      <c r="Y273" s="10">
        <v>1554</v>
      </c>
      <c r="Z273" s="10">
        <v>1431</v>
      </c>
      <c r="AA273" s="10">
        <v>781</v>
      </c>
      <c r="AB273" s="10">
        <v>701</v>
      </c>
      <c r="AC273" s="10">
        <v>1601</v>
      </c>
      <c r="AD273" s="10">
        <v>1187</v>
      </c>
      <c r="AE273" s="10">
        <v>1307</v>
      </c>
      <c r="AF273" s="10">
        <v>1026</v>
      </c>
      <c r="AG273" s="10">
        <v>1598</v>
      </c>
      <c r="AH273" s="10">
        <v>412</v>
      </c>
      <c r="AI273" s="10">
        <v>884</v>
      </c>
      <c r="AJ273" s="10">
        <v>404</v>
      </c>
      <c r="AK273" s="10">
        <v>1025</v>
      </c>
      <c r="AL273" s="10">
        <v>525</v>
      </c>
      <c r="AM273" s="10">
        <v>232</v>
      </c>
      <c r="AN273" s="10">
        <v>680</v>
      </c>
      <c r="AO273" s="10">
        <v>565</v>
      </c>
      <c r="AP273" s="10">
        <v>1484</v>
      </c>
      <c r="AQ273" s="10">
        <v>1107</v>
      </c>
      <c r="AR273" s="10">
        <v>731</v>
      </c>
      <c r="AS273" s="10">
        <v>662</v>
      </c>
      <c r="AT273" s="10">
        <v>457</v>
      </c>
      <c r="AU273" s="10">
        <v>1957</v>
      </c>
      <c r="AV273" s="10">
        <v>512</v>
      </c>
      <c r="AW273" s="10">
        <v>442</v>
      </c>
      <c r="AX273" s="10">
        <v>618</v>
      </c>
      <c r="AY273" s="10">
        <v>522</v>
      </c>
      <c r="AZ273" s="10">
        <v>539</v>
      </c>
      <c r="BA273" s="10">
        <v>561</v>
      </c>
      <c r="BB273" s="10">
        <v>426</v>
      </c>
      <c r="BC273" s="10">
        <v>425</v>
      </c>
      <c r="BD273" s="10">
        <v>1350</v>
      </c>
      <c r="BE273" s="10">
        <v>251</v>
      </c>
      <c r="BF273" s="10">
        <v>658</v>
      </c>
      <c r="BG273" s="10">
        <v>291</v>
      </c>
      <c r="BH273" s="10">
        <v>485</v>
      </c>
      <c r="BI273" s="10">
        <v>537</v>
      </c>
      <c r="BJ273" s="10">
        <v>802</v>
      </c>
      <c r="BK273" s="10">
        <v>1757</v>
      </c>
      <c r="BL273" s="10">
        <v>1611</v>
      </c>
    </row>
    <row r="274" spans="1:64">
      <c r="A274" s="15">
        <v>218512</v>
      </c>
      <c r="B274" s="14">
        <v>437089</v>
      </c>
      <c r="C274" s="14">
        <v>156</v>
      </c>
      <c r="D274" s="2" t="str">
        <f>HYPERLINK("http://128.120.136.21:8080/binbase-compound/bin/show/218512?db=rtx5","218512")</f>
        <v>218512</v>
      </c>
      <c r="E274" s="2" t="s">
        <v>467</v>
      </c>
      <c r="F274" s="2" t="s">
        <v>57</v>
      </c>
      <c r="G274" s="2" t="s">
        <v>57</v>
      </c>
      <c r="H274" s="10">
        <v>317</v>
      </c>
      <c r="I274" s="10">
        <v>942</v>
      </c>
      <c r="J274" s="10">
        <v>758</v>
      </c>
      <c r="K274" s="10">
        <v>628</v>
      </c>
      <c r="L274" s="10">
        <v>641</v>
      </c>
      <c r="M274" s="10">
        <v>413</v>
      </c>
      <c r="N274" s="10">
        <v>1035</v>
      </c>
      <c r="O274" s="10">
        <v>611</v>
      </c>
      <c r="P274" s="10">
        <v>570</v>
      </c>
      <c r="Q274" s="10">
        <v>972</v>
      </c>
      <c r="R274" s="10">
        <v>1056</v>
      </c>
      <c r="S274" s="10">
        <v>3051</v>
      </c>
      <c r="T274" s="10">
        <v>347</v>
      </c>
      <c r="U274" s="10">
        <v>801</v>
      </c>
      <c r="V274" s="10">
        <v>704</v>
      </c>
      <c r="W274" s="10">
        <v>349</v>
      </c>
      <c r="X274" s="10">
        <v>645</v>
      </c>
      <c r="Y274" s="10">
        <v>484</v>
      </c>
      <c r="Z274" s="10">
        <v>448</v>
      </c>
      <c r="AA274" s="10">
        <v>843</v>
      </c>
      <c r="AB274" s="10">
        <v>922</v>
      </c>
      <c r="AC274" s="10">
        <v>339</v>
      </c>
      <c r="AD274" s="10">
        <v>466</v>
      </c>
      <c r="AE274" s="10">
        <v>465</v>
      </c>
      <c r="AF274" s="10">
        <v>782</v>
      </c>
      <c r="AG274" s="10">
        <v>449</v>
      </c>
      <c r="AH274" s="10">
        <v>1296</v>
      </c>
      <c r="AI274" s="10">
        <v>945</v>
      </c>
      <c r="AJ274" s="10">
        <v>683</v>
      </c>
      <c r="AK274" s="10">
        <v>1032</v>
      </c>
      <c r="AL274" s="10">
        <v>750</v>
      </c>
      <c r="AM274" s="10">
        <v>483</v>
      </c>
      <c r="AN274" s="10">
        <v>1111</v>
      </c>
      <c r="AO274" s="10">
        <v>1614</v>
      </c>
      <c r="AP274" s="10">
        <v>949</v>
      </c>
      <c r="AQ274" s="10">
        <v>3100</v>
      </c>
      <c r="AR274" s="10">
        <v>886</v>
      </c>
      <c r="AS274" s="10">
        <v>823</v>
      </c>
      <c r="AT274" s="10">
        <v>540</v>
      </c>
      <c r="AU274" s="10">
        <v>317</v>
      </c>
      <c r="AV274" s="10">
        <v>624</v>
      </c>
      <c r="AW274" s="10">
        <v>804</v>
      </c>
      <c r="AX274" s="10">
        <v>747</v>
      </c>
      <c r="AY274" s="10">
        <v>1036</v>
      </c>
      <c r="AZ274" s="10">
        <v>872</v>
      </c>
      <c r="BA274" s="10">
        <v>615</v>
      </c>
      <c r="BB274" s="10">
        <v>742</v>
      </c>
      <c r="BC274" s="10">
        <v>718</v>
      </c>
      <c r="BD274" s="10">
        <v>733</v>
      </c>
      <c r="BE274" s="10">
        <v>645</v>
      </c>
      <c r="BF274" s="10">
        <v>1445</v>
      </c>
      <c r="BG274" s="10">
        <v>1427</v>
      </c>
      <c r="BH274" s="10">
        <v>517</v>
      </c>
      <c r="BI274" s="10">
        <v>1199</v>
      </c>
      <c r="BJ274" s="10">
        <v>653</v>
      </c>
      <c r="BK274" s="10">
        <v>881</v>
      </c>
      <c r="BL274" s="10">
        <v>413</v>
      </c>
    </row>
    <row r="275" spans="1:64">
      <c r="A275" s="15">
        <v>238437</v>
      </c>
      <c r="B275" s="14">
        <v>905447</v>
      </c>
      <c r="C275" s="14">
        <v>174</v>
      </c>
      <c r="D275" s="2" t="str">
        <f>HYPERLINK("http://128.120.136.21:8080/binbase-compound/bin/show/238437?db=rtx5","238437")</f>
        <v>238437</v>
      </c>
      <c r="E275" s="2" t="s">
        <v>424</v>
      </c>
      <c r="F275" s="2" t="s">
        <v>57</v>
      </c>
      <c r="G275" s="2" t="s">
        <v>57</v>
      </c>
      <c r="H275" s="10">
        <v>2189</v>
      </c>
      <c r="I275" s="10">
        <v>1727</v>
      </c>
      <c r="J275" s="10">
        <v>3010</v>
      </c>
      <c r="K275" s="10">
        <v>1735</v>
      </c>
      <c r="L275" s="10">
        <v>2604</v>
      </c>
      <c r="M275" s="10">
        <v>1136</v>
      </c>
      <c r="N275" s="10">
        <v>2257</v>
      </c>
      <c r="O275" s="10">
        <v>1179</v>
      </c>
      <c r="P275" s="10">
        <v>1487</v>
      </c>
      <c r="Q275" s="10">
        <v>3000</v>
      </c>
      <c r="R275" s="10">
        <v>4337</v>
      </c>
      <c r="S275" s="10">
        <v>3045</v>
      </c>
      <c r="T275" s="10">
        <v>2257</v>
      </c>
      <c r="U275" s="10">
        <v>2078</v>
      </c>
      <c r="V275" s="10">
        <v>2342</v>
      </c>
      <c r="W275" s="10">
        <v>1417</v>
      </c>
      <c r="X275" s="10">
        <v>1353</v>
      </c>
      <c r="Y275" s="10">
        <v>2041</v>
      </c>
      <c r="Z275" s="10">
        <v>1841</v>
      </c>
      <c r="AA275" s="10">
        <v>1526</v>
      </c>
      <c r="AB275" s="10">
        <v>2051</v>
      </c>
      <c r="AC275" s="10">
        <v>1620</v>
      </c>
      <c r="AD275" s="10">
        <v>1133</v>
      </c>
      <c r="AE275" s="10">
        <v>1259</v>
      </c>
      <c r="AF275" s="10">
        <v>1148</v>
      </c>
      <c r="AG275" s="10">
        <v>1526</v>
      </c>
      <c r="AH275" s="10">
        <v>2347</v>
      </c>
      <c r="AI275" s="10">
        <v>1135</v>
      </c>
      <c r="AJ275" s="10">
        <v>2107</v>
      </c>
      <c r="AK275" s="10">
        <v>2745</v>
      </c>
      <c r="AL275" s="10">
        <v>2630</v>
      </c>
      <c r="AM275" s="10">
        <v>2140</v>
      </c>
      <c r="AN275" s="10">
        <v>2365</v>
      </c>
      <c r="AO275" s="10">
        <v>2508</v>
      </c>
      <c r="AP275" s="10">
        <v>1077</v>
      </c>
      <c r="AQ275" s="10">
        <v>2249</v>
      </c>
      <c r="AR275" s="10">
        <v>1722</v>
      </c>
      <c r="AS275" s="10">
        <v>1419</v>
      </c>
      <c r="AT275" s="10">
        <v>2337</v>
      </c>
      <c r="AU275" s="10">
        <v>1451</v>
      </c>
      <c r="AV275" s="10">
        <v>2427</v>
      </c>
      <c r="AW275" s="10">
        <v>1167</v>
      </c>
      <c r="AX275" s="10">
        <v>1300</v>
      </c>
      <c r="AY275" s="10">
        <v>915</v>
      </c>
      <c r="AZ275" s="10">
        <v>2072</v>
      </c>
      <c r="BA275" s="10">
        <v>2516</v>
      </c>
      <c r="BB275" s="10">
        <v>2054</v>
      </c>
      <c r="BC275" s="10">
        <v>4911</v>
      </c>
      <c r="BD275" s="10">
        <v>2007</v>
      </c>
      <c r="BE275" s="10">
        <v>2446</v>
      </c>
      <c r="BF275" s="10">
        <v>3832</v>
      </c>
      <c r="BG275" s="10">
        <v>1333</v>
      </c>
      <c r="BH275" s="10">
        <v>1928</v>
      </c>
      <c r="BI275" s="10">
        <v>2993</v>
      </c>
      <c r="BJ275" s="10">
        <v>1291</v>
      </c>
      <c r="BK275" s="10">
        <v>2611</v>
      </c>
      <c r="BL275" s="10">
        <v>2622</v>
      </c>
    </row>
    <row r="276" spans="1:64">
      <c r="A276" s="15">
        <v>274206</v>
      </c>
      <c r="B276" s="14">
        <v>335001</v>
      </c>
      <c r="C276" s="14">
        <v>249</v>
      </c>
      <c r="D276" s="2" t="str">
        <f>HYPERLINK("http://128.120.136.21:8080/binbase-compound/bin/show/274206?db=rtx5","274206")</f>
        <v>274206</v>
      </c>
      <c r="E276" s="2" t="s">
        <v>393</v>
      </c>
      <c r="F276" s="2" t="s">
        <v>57</v>
      </c>
      <c r="G276" s="2" t="s">
        <v>57</v>
      </c>
      <c r="H276" s="10">
        <v>1287</v>
      </c>
      <c r="I276" s="10">
        <v>1888</v>
      </c>
      <c r="J276" s="10">
        <v>1321</v>
      </c>
      <c r="K276" s="10">
        <v>973</v>
      </c>
      <c r="L276" s="10">
        <v>1640</v>
      </c>
      <c r="M276" s="10">
        <v>1019</v>
      </c>
      <c r="N276" s="10">
        <v>3367</v>
      </c>
      <c r="O276" s="10">
        <v>1066</v>
      </c>
      <c r="P276" s="10">
        <v>901</v>
      </c>
      <c r="Q276" s="10">
        <v>4447</v>
      </c>
      <c r="R276" s="10">
        <v>2478</v>
      </c>
      <c r="S276" s="10">
        <v>18276</v>
      </c>
      <c r="T276" s="10">
        <v>338</v>
      </c>
      <c r="U276" s="10">
        <v>3522</v>
      </c>
      <c r="V276" s="10">
        <v>1548</v>
      </c>
      <c r="W276" s="10">
        <v>692</v>
      </c>
      <c r="X276" s="10">
        <v>1093</v>
      </c>
      <c r="Y276" s="10">
        <v>1382</v>
      </c>
      <c r="Z276" s="10">
        <v>864</v>
      </c>
      <c r="AA276" s="10">
        <v>3270</v>
      </c>
      <c r="AB276" s="10">
        <v>485</v>
      </c>
      <c r="AC276" s="10">
        <v>996</v>
      </c>
      <c r="AD276" s="10">
        <v>594</v>
      </c>
      <c r="AE276" s="10">
        <v>1034</v>
      </c>
      <c r="AF276" s="10">
        <v>1338</v>
      </c>
      <c r="AG276" s="10">
        <v>604</v>
      </c>
      <c r="AH276" s="10">
        <v>3289</v>
      </c>
      <c r="AI276" s="10">
        <v>648</v>
      </c>
      <c r="AJ276" s="10">
        <v>2694</v>
      </c>
      <c r="AK276" s="10">
        <v>3077</v>
      </c>
      <c r="AL276" s="10">
        <v>2254</v>
      </c>
      <c r="AM276" s="10">
        <v>518</v>
      </c>
      <c r="AN276" s="10">
        <v>1961</v>
      </c>
      <c r="AO276" s="10">
        <v>2964</v>
      </c>
      <c r="AP276" s="10">
        <v>889</v>
      </c>
      <c r="AQ276" s="10">
        <v>9803</v>
      </c>
      <c r="AR276" s="10">
        <v>2118</v>
      </c>
      <c r="AS276" s="10">
        <v>2215</v>
      </c>
      <c r="AT276" s="10">
        <v>2810</v>
      </c>
      <c r="AU276" s="10">
        <v>327</v>
      </c>
      <c r="AV276" s="10">
        <v>3989</v>
      </c>
      <c r="AW276" s="10">
        <v>1262</v>
      </c>
      <c r="AX276" s="10">
        <v>2621</v>
      </c>
      <c r="AY276" s="10">
        <v>1579</v>
      </c>
      <c r="AZ276" s="10">
        <v>2514</v>
      </c>
      <c r="BA276" s="10">
        <v>1614</v>
      </c>
      <c r="BB276" s="10">
        <v>640</v>
      </c>
      <c r="BC276" s="10">
        <v>3684</v>
      </c>
      <c r="BD276" s="10">
        <v>1149</v>
      </c>
      <c r="BE276" s="10">
        <v>2564</v>
      </c>
      <c r="BF276" s="10">
        <v>2910</v>
      </c>
      <c r="BG276" s="10">
        <v>5983</v>
      </c>
      <c r="BH276" s="10">
        <v>1547</v>
      </c>
      <c r="BI276" s="10">
        <v>1812</v>
      </c>
      <c r="BJ276" s="10">
        <v>1164</v>
      </c>
      <c r="BK276" s="10">
        <v>2526</v>
      </c>
      <c r="BL276" s="10">
        <v>690</v>
      </c>
    </row>
    <row r="277" spans="1:64">
      <c r="A277" s="15">
        <v>226330</v>
      </c>
      <c r="B277" s="14">
        <v>335994</v>
      </c>
      <c r="C277" s="14">
        <v>249</v>
      </c>
      <c r="D277" s="2" t="str">
        <f>HYPERLINK("http://128.120.136.21:8080/binbase-compound/bin/show/226330?db=rtx5","226330")</f>
        <v>226330</v>
      </c>
      <c r="E277" s="2" t="s">
        <v>452</v>
      </c>
      <c r="F277" s="2" t="s">
        <v>57</v>
      </c>
      <c r="G277" s="2" t="s">
        <v>57</v>
      </c>
      <c r="H277" s="10">
        <v>1126</v>
      </c>
      <c r="I277" s="10">
        <v>1667</v>
      </c>
      <c r="J277" s="10">
        <v>986</v>
      </c>
      <c r="K277" s="10">
        <v>973</v>
      </c>
      <c r="L277" s="10">
        <v>1862</v>
      </c>
      <c r="M277" s="10">
        <v>924</v>
      </c>
      <c r="N277" s="10">
        <v>3630</v>
      </c>
      <c r="O277" s="10">
        <v>1066</v>
      </c>
      <c r="P277" s="10">
        <v>814</v>
      </c>
      <c r="Q277" s="10">
        <v>4272</v>
      </c>
      <c r="R277" s="10">
        <v>2317</v>
      </c>
      <c r="S277" s="10">
        <v>17309</v>
      </c>
      <c r="T277" s="10">
        <v>338</v>
      </c>
      <c r="U277" s="10">
        <v>3186</v>
      </c>
      <c r="V277" s="10">
        <v>1744</v>
      </c>
      <c r="W277" s="10">
        <v>692</v>
      </c>
      <c r="X277" s="10">
        <v>1093</v>
      </c>
      <c r="Y277" s="10">
        <v>1382</v>
      </c>
      <c r="Z277" s="10">
        <v>949</v>
      </c>
      <c r="AA277" s="10">
        <v>3417</v>
      </c>
      <c r="AB277" s="10">
        <v>485</v>
      </c>
      <c r="AC277" s="10">
        <v>1217</v>
      </c>
      <c r="AD277" s="10">
        <v>797</v>
      </c>
      <c r="AE277" s="10">
        <v>1034</v>
      </c>
      <c r="AF277" s="10">
        <v>1338</v>
      </c>
      <c r="AG277" s="10">
        <v>604</v>
      </c>
      <c r="AH277" s="10">
        <v>2910</v>
      </c>
      <c r="AI277" s="10">
        <v>648</v>
      </c>
      <c r="AJ277" s="10">
        <v>3079</v>
      </c>
      <c r="AK277" s="10">
        <v>3755</v>
      </c>
      <c r="AL277" s="10">
        <v>2254</v>
      </c>
      <c r="AM277" s="10">
        <v>518</v>
      </c>
      <c r="AN277" s="10">
        <v>1961</v>
      </c>
      <c r="AO277" s="10">
        <v>2964</v>
      </c>
      <c r="AP277" s="10">
        <v>692</v>
      </c>
      <c r="AQ277" s="10">
        <v>9320</v>
      </c>
      <c r="AR277" s="10">
        <v>1922</v>
      </c>
      <c r="AS277" s="10">
        <v>2215</v>
      </c>
      <c r="AT277" s="10">
        <v>2810</v>
      </c>
      <c r="AU277" s="10">
        <v>464</v>
      </c>
      <c r="AV277" s="10">
        <v>4140</v>
      </c>
      <c r="AW277" s="10">
        <v>1262</v>
      </c>
      <c r="AX277" s="10">
        <v>2995</v>
      </c>
      <c r="AY277" s="10">
        <v>1358</v>
      </c>
      <c r="AZ277" s="10">
        <v>2758</v>
      </c>
      <c r="BA277" s="10">
        <v>1614</v>
      </c>
      <c r="BB277" s="10">
        <v>640</v>
      </c>
      <c r="BC277" s="10">
        <v>4170</v>
      </c>
      <c r="BD277" s="10">
        <v>1322</v>
      </c>
      <c r="BE277" s="10">
        <v>2564</v>
      </c>
      <c r="BF277" s="10">
        <v>2910</v>
      </c>
      <c r="BG277" s="10">
        <v>5588</v>
      </c>
      <c r="BH277" s="10">
        <v>1547</v>
      </c>
      <c r="BI277" s="10">
        <v>1565</v>
      </c>
      <c r="BJ277" s="10">
        <v>1164</v>
      </c>
      <c r="BK277" s="10">
        <v>2802</v>
      </c>
      <c r="BL277" s="10">
        <v>690</v>
      </c>
    </row>
    <row r="278" spans="1:64">
      <c r="A278" s="15">
        <v>369638</v>
      </c>
      <c r="B278" s="14">
        <v>644843</v>
      </c>
      <c r="C278" s="14">
        <v>278</v>
      </c>
      <c r="D278" s="2" t="str">
        <f>HYPERLINK("http://128.120.136.21:8080/binbase-compound/bin/show/369638?db=rtx5","369638")</f>
        <v>369638</v>
      </c>
      <c r="E278" s="2" t="s">
        <v>334</v>
      </c>
      <c r="F278" s="2" t="s">
        <v>57</v>
      </c>
      <c r="G278" s="2" t="s">
        <v>57</v>
      </c>
      <c r="H278" s="10">
        <v>597</v>
      </c>
      <c r="I278" s="10">
        <v>744</v>
      </c>
      <c r="J278" s="10">
        <v>551</v>
      </c>
      <c r="K278" s="10">
        <v>561</v>
      </c>
      <c r="L278" s="10">
        <v>693</v>
      </c>
      <c r="M278" s="10">
        <v>759</v>
      </c>
      <c r="N278" s="10">
        <v>1221</v>
      </c>
      <c r="O278" s="10">
        <v>1488</v>
      </c>
      <c r="P278" s="10">
        <v>648</v>
      </c>
      <c r="Q278" s="10">
        <v>314</v>
      </c>
      <c r="R278" s="10">
        <v>221</v>
      </c>
      <c r="S278" s="10">
        <v>763</v>
      </c>
      <c r="T278" s="10">
        <v>206</v>
      </c>
      <c r="U278" s="10">
        <v>838</v>
      </c>
      <c r="V278" s="10">
        <v>777</v>
      </c>
      <c r="W278" s="10">
        <v>907</v>
      </c>
      <c r="X278" s="10">
        <v>430</v>
      </c>
      <c r="Y278" s="10">
        <v>521</v>
      </c>
      <c r="Z278" s="10">
        <v>278</v>
      </c>
      <c r="AA278" s="10">
        <v>1122</v>
      </c>
      <c r="AB278" s="10">
        <v>277</v>
      </c>
      <c r="AC278" s="10">
        <v>525</v>
      </c>
      <c r="AD278" s="10">
        <v>1511</v>
      </c>
      <c r="AE278" s="10">
        <v>1120</v>
      </c>
      <c r="AF278" s="10">
        <v>319</v>
      </c>
      <c r="AG278" s="10">
        <v>2299</v>
      </c>
      <c r="AH278" s="10">
        <v>760</v>
      </c>
      <c r="AI278" s="10">
        <v>678</v>
      </c>
      <c r="AJ278" s="10">
        <v>762</v>
      </c>
      <c r="AK278" s="10">
        <v>1663</v>
      </c>
      <c r="AL278" s="10">
        <v>871</v>
      </c>
      <c r="AM278" s="10">
        <v>174</v>
      </c>
      <c r="AN278" s="10">
        <v>666</v>
      </c>
      <c r="AO278" s="10">
        <v>965</v>
      </c>
      <c r="AP278" s="10">
        <v>419</v>
      </c>
      <c r="AQ278" s="10">
        <v>1123</v>
      </c>
      <c r="AR278" s="10">
        <v>873</v>
      </c>
      <c r="AS278" s="10">
        <v>837</v>
      </c>
      <c r="AT278" s="10">
        <v>611</v>
      </c>
      <c r="AU278" s="10">
        <v>226</v>
      </c>
      <c r="AV278" s="10">
        <v>1055</v>
      </c>
      <c r="AW278" s="10">
        <v>801</v>
      </c>
      <c r="AX278" s="10">
        <v>520</v>
      </c>
      <c r="AY278" s="10">
        <v>487</v>
      </c>
      <c r="AZ278" s="10">
        <v>1180</v>
      </c>
      <c r="BA278" s="10">
        <v>706</v>
      </c>
      <c r="BB278" s="10">
        <v>467</v>
      </c>
      <c r="BC278" s="10">
        <v>1220</v>
      </c>
      <c r="BD278" s="10">
        <v>594</v>
      </c>
      <c r="BE278" s="10">
        <v>979</v>
      </c>
      <c r="BF278" s="10">
        <v>796</v>
      </c>
      <c r="BG278" s="10">
        <v>1383</v>
      </c>
      <c r="BH278" s="10">
        <v>626</v>
      </c>
      <c r="BI278" s="10">
        <v>958</v>
      </c>
      <c r="BJ278" s="10">
        <v>862</v>
      </c>
      <c r="BK278" s="10">
        <v>662</v>
      </c>
      <c r="BL278" s="10">
        <v>345</v>
      </c>
    </row>
    <row r="279" spans="1:64">
      <c r="A279" s="15">
        <v>330990</v>
      </c>
      <c r="B279" s="14">
        <v>1224935</v>
      </c>
      <c r="C279" s="14">
        <v>207</v>
      </c>
      <c r="D279" s="2" t="str">
        <f>HYPERLINK("http://128.120.136.21:8080/binbase-compound/bin/show/330990?db=rtx5","330990")</f>
        <v>330990</v>
      </c>
      <c r="E279" s="2" t="s">
        <v>357</v>
      </c>
      <c r="F279" s="2" t="s">
        <v>57</v>
      </c>
      <c r="G279" s="2" t="s">
        <v>57</v>
      </c>
      <c r="H279" s="10">
        <v>1635</v>
      </c>
      <c r="I279" s="10">
        <v>1855</v>
      </c>
      <c r="J279" s="10">
        <v>1063</v>
      </c>
      <c r="K279" s="10">
        <v>1313</v>
      </c>
      <c r="L279" s="10">
        <v>872</v>
      </c>
      <c r="M279" s="10">
        <v>88</v>
      </c>
      <c r="N279" s="10">
        <v>1289</v>
      </c>
      <c r="O279" s="10">
        <v>554</v>
      </c>
      <c r="P279" s="10">
        <v>1164</v>
      </c>
      <c r="Q279" s="10">
        <v>1033</v>
      </c>
      <c r="R279" s="10">
        <v>767</v>
      </c>
      <c r="S279" s="10">
        <v>3820</v>
      </c>
      <c r="T279" s="10">
        <v>412</v>
      </c>
      <c r="U279" s="10">
        <v>2160</v>
      </c>
      <c r="V279" s="10">
        <v>860</v>
      </c>
      <c r="W279" s="10">
        <v>424</v>
      </c>
      <c r="X279" s="10">
        <v>634</v>
      </c>
      <c r="Y279" s="10">
        <v>424</v>
      </c>
      <c r="Z279" s="10">
        <v>943</v>
      </c>
      <c r="AA279" s="10">
        <v>2580</v>
      </c>
      <c r="AB279" s="10">
        <v>2653</v>
      </c>
      <c r="AC279" s="10">
        <v>199</v>
      </c>
      <c r="AD279" s="10">
        <v>623</v>
      </c>
      <c r="AE279" s="10">
        <v>297</v>
      </c>
      <c r="AF279" s="10">
        <v>1646</v>
      </c>
      <c r="AG279" s="10">
        <v>556</v>
      </c>
      <c r="AH279" s="10">
        <v>2086</v>
      </c>
      <c r="AI279" s="10">
        <v>1319</v>
      </c>
      <c r="AJ279" s="10">
        <v>2586</v>
      </c>
      <c r="AK279" s="10">
        <v>1076</v>
      </c>
      <c r="AL279" s="10">
        <v>2581</v>
      </c>
      <c r="AM279" s="10">
        <v>1611</v>
      </c>
      <c r="AN279" s="10">
        <v>2396</v>
      </c>
      <c r="AO279" s="10">
        <v>1734</v>
      </c>
      <c r="AP279" s="10">
        <v>1389</v>
      </c>
      <c r="AQ279" s="10">
        <v>10962</v>
      </c>
      <c r="AR279" s="10">
        <v>539</v>
      </c>
      <c r="AS279" s="10">
        <v>1053</v>
      </c>
      <c r="AT279" s="10">
        <v>462</v>
      </c>
      <c r="AU279" s="10">
        <v>517</v>
      </c>
      <c r="AV279" s="10">
        <v>148</v>
      </c>
      <c r="AW279" s="10">
        <v>1613</v>
      </c>
      <c r="AX279" s="10">
        <v>1027</v>
      </c>
      <c r="AY279" s="10">
        <v>1032</v>
      </c>
      <c r="AZ279" s="10">
        <v>705</v>
      </c>
      <c r="BA279" s="10">
        <v>814</v>
      </c>
      <c r="BB279" s="10">
        <v>540</v>
      </c>
      <c r="BC279" s="10">
        <v>479</v>
      </c>
      <c r="BD279" s="10">
        <v>1200</v>
      </c>
      <c r="BE279" s="10">
        <v>651</v>
      </c>
      <c r="BF279" s="10">
        <v>3363</v>
      </c>
      <c r="BG279" s="10">
        <v>2424</v>
      </c>
      <c r="BH279" s="10">
        <v>1472</v>
      </c>
      <c r="BI279" s="10">
        <v>4118</v>
      </c>
      <c r="BJ279" s="10">
        <v>666</v>
      </c>
      <c r="BK279" s="10">
        <v>993</v>
      </c>
      <c r="BL279" s="10">
        <v>1141</v>
      </c>
    </row>
    <row r="280" spans="1:64">
      <c r="A280" s="15">
        <v>239332</v>
      </c>
      <c r="B280" s="14">
        <v>505981</v>
      </c>
      <c r="C280" s="14">
        <v>157</v>
      </c>
      <c r="D280" s="2" t="str">
        <f>HYPERLINK("http://128.120.136.21:8080/binbase-compound/bin/show/239332?db=rtx5","239332")</f>
        <v>239332</v>
      </c>
      <c r="E280" s="2" t="s">
        <v>423</v>
      </c>
      <c r="F280" s="2" t="s">
        <v>57</v>
      </c>
      <c r="G280" s="2" t="s">
        <v>57</v>
      </c>
      <c r="H280" s="10">
        <v>753</v>
      </c>
      <c r="I280" s="10">
        <v>1889</v>
      </c>
      <c r="J280" s="10">
        <v>653</v>
      </c>
      <c r="K280" s="10">
        <v>825</v>
      </c>
      <c r="L280" s="10">
        <v>494</v>
      </c>
      <c r="M280" s="10">
        <v>590</v>
      </c>
      <c r="N280" s="10">
        <v>2600</v>
      </c>
      <c r="O280" s="10">
        <v>361</v>
      </c>
      <c r="P280" s="10">
        <v>577</v>
      </c>
      <c r="Q280" s="10">
        <v>2507</v>
      </c>
      <c r="R280" s="10">
        <v>1093</v>
      </c>
      <c r="S280" s="10">
        <v>6859</v>
      </c>
      <c r="T280" s="10">
        <v>885</v>
      </c>
      <c r="U280" s="10">
        <v>318</v>
      </c>
      <c r="V280" s="10">
        <v>534</v>
      </c>
      <c r="W280" s="10">
        <v>1124</v>
      </c>
      <c r="X280" s="10">
        <v>1385</v>
      </c>
      <c r="Y280" s="10">
        <v>574</v>
      </c>
      <c r="Z280" s="10">
        <v>762</v>
      </c>
      <c r="AA280" s="10">
        <v>3862</v>
      </c>
      <c r="AB280" s="10">
        <v>477</v>
      </c>
      <c r="AC280" s="10">
        <v>1169</v>
      </c>
      <c r="AD280" s="10">
        <v>473</v>
      </c>
      <c r="AE280" s="10">
        <v>1102</v>
      </c>
      <c r="AF280" s="10">
        <v>637</v>
      </c>
      <c r="AG280" s="10">
        <v>1391</v>
      </c>
      <c r="AH280" s="10">
        <v>594</v>
      </c>
      <c r="AI280" s="10">
        <v>1764</v>
      </c>
      <c r="AJ280" s="10">
        <v>844</v>
      </c>
      <c r="AK280" s="10">
        <v>833</v>
      </c>
      <c r="AL280" s="10">
        <v>1131</v>
      </c>
      <c r="AM280" s="10">
        <v>1572</v>
      </c>
      <c r="AN280" s="10">
        <v>908</v>
      </c>
      <c r="AO280" s="10">
        <v>1539</v>
      </c>
      <c r="AP280" s="10">
        <v>909</v>
      </c>
      <c r="AQ280" s="10">
        <v>5401</v>
      </c>
      <c r="AR280" s="10">
        <v>2359</v>
      </c>
      <c r="AS280" s="10">
        <v>1132</v>
      </c>
      <c r="AT280" s="10">
        <v>2114</v>
      </c>
      <c r="AU280" s="10">
        <v>1233</v>
      </c>
      <c r="AV280" s="10">
        <v>4965</v>
      </c>
      <c r="AW280" s="10">
        <v>1606</v>
      </c>
      <c r="AX280" s="10">
        <v>1673</v>
      </c>
      <c r="AY280" s="10">
        <v>3460</v>
      </c>
      <c r="AZ280" s="10">
        <v>3049</v>
      </c>
      <c r="BA280" s="10">
        <v>510</v>
      </c>
      <c r="BB280" s="10">
        <v>540</v>
      </c>
      <c r="BC280" s="10">
        <v>1087</v>
      </c>
      <c r="BD280" s="10">
        <v>1702</v>
      </c>
      <c r="BE280" s="10">
        <v>2105</v>
      </c>
      <c r="BF280" s="10">
        <v>3262</v>
      </c>
      <c r="BG280" s="10">
        <v>1122</v>
      </c>
      <c r="BH280" s="10">
        <v>587</v>
      </c>
      <c r="BI280" s="10">
        <v>1203</v>
      </c>
      <c r="BJ280" s="10">
        <v>1513</v>
      </c>
      <c r="BK280" s="10">
        <v>1138</v>
      </c>
      <c r="BL280" s="10">
        <v>781</v>
      </c>
    </row>
    <row r="281" spans="1:64">
      <c r="A281" s="15">
        <v>388098</v>
      </c>
      <c r="B281" s="14">
        <v>391894</v>
      </c>
      <c r="C281" s="14">
        <v>140</v>
      </c>
      <c r="D281" s="2" t="str">
        <f>HYPERLINK("http://128.120.136.21:8080/binbase-compound/bin/show/388098?db=rtx5","388098")</f>
        <v>388098</v>
      </c>
      <c r="E281" s="2" t="s">
        <v>329</v>
      </c>
      <c r="F281" s="2" t="s">
        <v>57</v>
      </c>
      <c r="G281" s="2" t="s">
        <v>57</v>
      </c>
      <c r="H281" s="10">
        <v>435</v>
      </c>
      <c r="I281" s="10">
        <v>571</v>
      </c>
      <c r="J281" s="10">
        <v>766</v>
      </c>
      <c r="K281" s="10">
        <v>520</v>
      </c>
      <c r="L281" s="10">
        <v>639</v>
      </c>
      <c r="M281" s="10">
        <v>371</v>
      </c>
      <c r="N281" s="10">
        <v>588</v>
      </c>
      <c r="O281" s="10">
        <v>554</v>
      </c>
      <c r="P281" s="10">
        <v>366</v>
      </c>
      <c r="Q281" s="10">
        <v>710</v>
      </c>
      <c r="R281" s="10">
        <v>714</v>
      </c>
      <c r="S281" s="10">
        <v>2294</v>
      </c>
      <c r="T281" s="10">
        <v>268</v>
      </c>
      <c r="U281" s="10">
        <v>703</v>
      </c>
      <c r="V281" s="10">
        <v>562</v>
      </c>
      <c r="W281" s="10">
        <v>375</v>
      </c>
      <c r="X281" s="10">
        <v>492</v>
      </c>
      <c r="Y281" s="10">
        <v>585</v>
      </c>
      <c r="Z281" s="10">
        <v>380</v>
      </c>
      <c r="AA281" s="10">
        <v>694</v>
      </c>
      <c r="AB281" s="10">
        <v>915</v>
      </c>
      <c r="AC281" s="10">
        <v>395</v>
      </c>
      <c r="AD281" s="10">
        <v>411</v>
      </c>
      <c r="AE281" s="10">
        <v>499</v>
      </c>
      <c r="AF281" s="10">
        <v>430</v>
      </c>
      <c r="AG281" s="10">
        <v>335</v>
      </c>
      <c r="AH281" s="10">
        <v>1186</v>
      </c>
      <c r="AI281" s="10">
        <v>847</v>
      </c>
      <c r="AJ281" s="10">
        <v>734</v>
      </c>
      <c r="AK281" s="10">
        <v>568</v>
      </c>
      <c r="AL281" s="10">
        <v>1117</v>
      </c>
      <c r="AM281" s="10">
        <v>410</v>
      </c>
      <c r="AN281" s="10">
        <v>1194</v>
      </c>
      <c r="AO281" s="10">
        <v>748</v>
      </c>
      <c r="AP281" s="10">
        <v>813</v>
      </c>
      <c r="AQ281" s="10">
        <v>2928</v>
      </c>
      <c r="AR281" s="10">
        <v>721</v>
      </c>
      <c r="AS281" s="10">
        <v>610</v>
      </c>
      <c r="AT281" s="10">
        <v>666</v>
      </c>
      <c r="AU281" s="10">
        <v>215</v>
      </c>
      <c r="AV281" s="10">
        <v>746</v>
      </c>
      <c r="AW281" s="10">
        <v>1013</v>
      </c>
      <c r="AX281" s="10">
        <v>452</v>
      </c>
      <c r="AY281" s="10">
        <v>767</v>
      </c>
      <c r="AZ281" s="10">
        <v>770</v>
      </c>
      <c r="BA281" s="10">
        <v>574</v>
      </c>
      <c r="BB281" s="10">
        <v>611</v>
      </c>
      <c r="BC281" s="10">
        <v>695</v>
      </c>
      <c r="BD281" s="10">
        <v>677</v>
      </c>
      <c r="BE281" s="10">
        <v>609</v>
      </c>
      <c r="BF281" s="10">
        <v>1047</v>
      </c>
      <c r="BG281" s="10">
        <v>1259</v>
      </c>
      <c r="BH281" s="10">
        <v>557</v>
      </c>
      <c r="BI281" s="10">
        <v>1258</v>
      </c>
      <c r="BJ281" s="10">
        <v>647</v>
      </c>
      <c r="BK281" s="10">
        <v>757</v>
      </c>
      <c r="BL281" s="10">
        <v>464</v>
      </c>
    </row>
    <row r="282" spans="1:64">
      <c r="A282" s="15">
        <v>331004</v>
      </c>
      <c r="B282" s="14">
        <v>1058529</v>
      </c>
      <c r="C282" s="14">
        <v>207</v>
      </c>
      <c r="D282" s="2" t="str">
        <f>HYPERLINK("http://128.120.136.21:8080/binbase-compound/bin/show/331004?db=rtx5","331004")</f>
        <v>331004</v>
      </c>
      <c r="E282" s="2" t="s">
        <v>356</v>
      </c>
      <c r="F282" s="2" t="s">
        <v>57</v>
      </c>
      <c r="G282" s="2" t="s">
        <v>57</v>
      </c>
      <c r="H282" s="10">
        <v>1760</v>
      </c>
      <c r="I282" s="10">
        <v>2004</v>
      </c>
      <c r="J282" s="10">
        <v>1155</v>
      </c>
      <c r="K282" s="10">
        <v>1123</v>
      </c>
      <c r="L282" s="10">
        <v>784</v>
      </c>
      <c r="M282" s="10">
        <v>406</v>
      </c>
      <c r="N282" s="10">
        <v>3103</v>
      </c>
      <c r="O282" s="10">
        <v>1241</v>
      </c>
      <c r="P282" s="10">
        <v>1042</v>
      </c>
      <c r="Q282" s="10">
        <v>2845</v>
      </c>
      <c r="R282" s="10">
        <v>1064</v>
      </c>
      <c r="S282" s="10">
        <v>3453</v>
      </c>
      <c r="T282" s="10">
        <v>194</v>
      </c>
      <c r="U282" s="10">
        <v>2340</v>
      </c>
      <c r="V282" s="10">
        <v>489</v>
      </c>
      <c r="W282" s="10">
        <v>367</v>
      </c>
      <c r="X282" s="10">
        <v>1162</v>
      </c>
      <c r="Y282" s="10">
        <v>551</v>
      </c>
      <c r="Z282" s="10">
        <v>1067</v>
      </c>
      <c r="AA282" s="10">
        <v>1231</v>
      </c>
      <c r="AB282" s="10">
        <v>1480</v>
      </c>
      <c r="AC282" s="10">
        <v>859</v>
      </c>
      <c r="AD282" s="10">
        <v>806</v>
      </c>
      <c r="AE282" s="10">
        <v>1016</v>
      </c>
      <c r="AF282" s="10">
        <v>437</v>
      </c>
      <c r="AG282" s="10">
        <v>854</v>
      </c>
      <c r="AH282" s="10">
        <v>2434</v>
      </c>
      <c r="AI282" s="10">
        <v>1158</v>
      </c>
      <c r="AJ282" s="10">
        <v>2435</v>
      </c>
      <c r="AK282" s="10">
        <v>4189</v>
      </c>
      <c r="AL282" s="10">
        <v>1610</v>
      </c>
      <c r="AM282" s="10">
        <v>1478</v>
      </c>
      <c r="AN282" s="10">
        <v>2881</v>
      </c>
      <c r="AO282" s="10">
        <v>2486</v>
      </c>
      <c r="AP282" s="10">
        <v>2924</v>
      </c>
      <c r="AQ282" s="10">
        <v>8006</v>
      </c>
      <c r="AR282" s="10">
        <v>960</v>
      </c>
      <c r="AS282" s="10">
        <v>775</v>
      </c>
      <c r="AT282" s="10">
        <v>962</v>
      </c>
      <c r="AU282" s="10">
        <v>651</v>
      </c>
      <c r="AV282" s="10">
        <v>1137</v>
      </c>
      <c r="AW282" s="10">
        <v>1590</v>
      </c>
      <c r="AX282" s="10">
        <v>1777</v>
      </c>
      <c r="AY282" s="10">
        <v>1688</v>
      </c>
      <c r="AZ282" s="10">
        <v>1244</v>
      </c>
      <c r="BA282" s="10">
        <v>1667</v>
      </c>
      <c r="BB282" s="10">
        <v>1124</v>
      </c>
      <c r="BC282" s="10">
        <v>3028</v>
      </c>
      <c r="BD282" s="10">
        <v>1882</v>
      </c>
      <c r="BE282" s="10">
        <v>1678</v>
      </c>
      <c r="BF282" s="10">
        <v>1473</v>
      </c>
      <c r="BG282" s="10">
        <v>743</v>
      </c>
      <c r="BH282" s="10">
        <v>1552</v>
      </c>
      <c r="BI282" s="10">
        <v>928</v>
      </c>
      <c r="BJ282" s="10">
        <v>1360</v>
      </c>
      <c r="BK282" s="10">
        <v>1065</v>
      </c>
      <c r="BL282" s="10">
        <v>391</v>
      </c>
    </row>
    <row r="283" spans="1:64">
      <c r="A283" s="15">
        <v>331132</v>
      </c>
      <c r="B283" s="14">
        <v>1124038</v>
      </c>
      <c r="C283" s="14">
        <v>208</v>
      </c>
      <c r="D283" s="2" t="str">
        <f>HYPERLINK("http://128.120.136.21:8080/binbase-compound/bin/show/331132?db=rtx5","331132")</f>
        <v>331132</v>
      </c>
      <c r="E283" s="2" t="s">
        <v>354</v>
      </c>
      <c r="F283" s="2" t="s">
        <v>57</v>
      </c>
      <c r="G283" s="2" t="s">
        <v>57</v>
      </c>
      <c r="H283" s="10">
        <v>176</v>
      </c>
      <c r="I283" s="10">
        <v>739</v>
      </c>
      <c r="J283" s="10">
        <v>390</v>
      </c>
      <c r="K283" s="10">
        <v>504</v>
      </c>
      <c r="L283" s="10">
        <v>1007</v>
      </c>
      <c r="M283" s="10">
        <v>406</v>
      </c>
      <c r="N283" s="10">
        <v>266</v>
      </c>
      <c r="O283" s="10">
        <v>547</v>
      </c>
      <c r="P283" s="10">
        <v>290</v>
      </c>
      <c r="Q283" s="10">
        <v>897</v>
      </c>
      <c r="R283" s="10">
        <v>251</v>
      </c>
      <c r="S283" s="10">
        <v>6096</v>
      </c>
      <c r="T283" s="10">
        <v>200</v>
      </c>
      <c r="U283" s="10">
        <v>1145</v>
      </c>
      <c r="V283" s="10">
        <v>776</v>
      </c>
      <c r="W283" s="10">
        <v>438</v>
      </c>
      <c r="X283" s="10">
        <v>559</v>
      </c>
      <c r="Y283" s="10">
        <v>300</v>
      </c>
      <c r="Z283" s="10">
        <v>330</v>
      </c>
      <c r="AA283" s="10">
        <v>205</v>
      </c>
      <c r="AB283" s="10">
        <v>574</v>
      </c>
      <c r="AC283" s="10">
        <v>5382</v>
      </c>
      <c r="AD283" s="10">
        <v>380</v>
      </c>
      <c r="AE283" s="10">
        <v>365</v>
      </c>
      <c r="AF283" s="10">
        <v>687</v>
      </c>
      <c r="AG283" s="10">
        <v>396</v>
      </c>
      <c r="AH283" s="10">
        <v>1368</v>
      </c>
      <c r="AI283" s="10">
        <v>534</v>
      </c>
      <c r="AJ283" s="10">
        <v>353</v>
      </c>
      <c r="AK283" s="10">
        <v>695</v>
      </c>
      <c r="AL283" s="10">
        <v>330</v>
      </c>
      <c r="AM283" s="10">
        <v>655</v>
      </c>
      <c r="AN283" s="10">
        <v>1109</v>
      </c>
      <c r="AO283" s="10">
        <v>1495</v>
      </c>
      <c r="AP283" s="10">
        <v>557</v>
      </c>
      <c r="AQ283" s="10">
        <v>1826</v>
      </c>
      <c r="AR283" s="10">
        <v>855</v>
      </c>
      <c r="AS283" s="10">
        <v>587</v>
      </c>
      <c r="AT283" s="10">
        <v>717</v>
      </c>
      <c r="AU283" s="10">
        <v>136</v>
      </c>
      <c r="AV283" s="10">
        <v>94</v>
      </c>
      <c r="AW283" s="10">
        <v>386</v>
      </c>
      <c r="AX283" s="10">
        <v>464</v>
      </c>
      <c r="AY283" s="10">
        <v>468</v>
      </c>
      <c r="AZ283" s="10">
        <v>1018</v>
      </c>
      <c r="BA283" s="10">
        <v>640</v>
      </c>
      <c r="BB283" s="10">
        <v>465</v>
      </c>
      <c r="BC283" s="10">
        <v>656</v>
      </c>
      <c r="BD283" s="10">
        <v>377</v>
      </c>
      <c r="BE283" s="10">
        <v>268</v>
      </c>
      <c r="BF283" s="10">
        <v>706</v>
      </c>
      <c r="BG283" s="10">
        <v>865</v>
      </c>
      <c r="BH283" s="10">
        <v>392</v>
      </c>
      <c r="BI283" s="10">
        <v>926</v>
      </c>
      <c r="BJ283" s="10">
        <v>248</v>
      </c>
      <c r="BK283" s="10">
        <v>612</v>
      </c>
      <c r="BL283" s="10">
        <v>126</v>
      </c>
    </row>
    <row r="284" spans="1:64">
      <c r="A284" s="15">
        <v>241097</v>
      </c>
      <c r="B284" s="14">
        <v>496950</v>
      </c>
      <c r="C284" s="14">
        <v>263</v>
      </c>
      <c r="D284" s="2" t="str">
        <f>HYPERLINK("http://128.120.136.21:8080/binbase-compound/bin/show/241097?db=rtx5","241097")</f>
        <v>241097</v>
      </c>
      <c r="E284" s="2" t="s">
        <v>415</v>
      </c>
      <c r="F284" s="2" t="s">
        <v>57</v>
      </c>
      <c r="G284" s="2" t="s">
        <v>57</v>
      </c>
      <c r="H284" s="10">
        <v>1757</v>
      </c>
      <c r="I284" s="10">
        <v>2579</v>
      </c>
      <c r="J284" s="10">
        <v>2450</v>
      </c>
      <c r="K284" s="10">
        <v>1478</v>
      </c>
      <c r="L284" s="10">
        <v>1746</v>
      </c>
      <c r="M284" s="10">
        <v>1298</v>
      </c>
      <c r="N284" s="10">
        <v>2914</v>
      </c>
      <c r="O284" s="10">
        <v>1831</v>
      </c>
      <c r="P284" s="10">
        <v>1126</v>
      </c>
      <c r="Q284" s="10">
        <v>3353</v>
      </c>
      <c r="R284" s="10">
        <v>2310</v>
      </c>
      <c r="S284" s="10">
        <v>13555</v>
      </c>
      <c r="T284" s="10">
        <v>992</v>
      </c>
      <c r="U284" s="10">
        <v>2718</v>
      </c>
      <c r="V284" s="10">
        <v>2293</v>
      </c>
      <c r="W284" s="10">
        <v>1005</v>
      </c>
      <c r="X284" s="10">
        <v>1604</v>
      </c>
      <c r="Y284" s="10">
        <v>1945</v>
      </c>
      <c r="Z284" s="10">
        <v>1501</v>
      </c>
      <c r="AA284" s="10">
        <v>3439</v>
      </c>
      <c r="AB284" s="10">
        <v>2566</v>
      </c>
      <c r="AC284" s="10">
        <v>1113</v>
      </c>
      <c r="AD284" s="10">
        <v>1101</v>
      </c>
      <c r="AE284" s="10">
        <v>1401</v>
      </c>
      <c r="AF284" s="10">
        <v>1693</v>
      </c>
      <c r="AG284" s="10">
        <v>1122</v>
      </c>
      <c r="AH284" s="10">
        <v>3074</v>
      </c>
      <c r="AI284" s="10">
        <v>2370</v>
      </c>
      <c r="AJ284" s="10">
        <v>2313</v>
      </c>
      <c r="AK284" s="10">
        <v>3356</v>
      </c>
      <c r="AL284" s="10">
        <v>2790</v>
      </c>
      <c r="AM284" s="10">
        <v>1648</v>
      </c>
      <c r="AN284" s="10">
        <v>3676</v>
      </c>
      <c r="AO284" s="10">
        <v>3376</v>
      </c>
      <c r="AP284" s="10">
        <v>2253</v>
      </c>
      <c r="AQ284" s="10">
        <v>7634</v>
      </c>
      <c r="AR284" s="10">
        <v>2791</v>
      </c>
      <c r="AS284" s="10">
        <v>3108</v>
      </c>
      <c r="AT284" s="10">
        <v>2484</v>
      </c>
      <c r="AU284" s="10">
        <v>1004</v>
      </c>
      <c r="AV284" s="10">
        <v>3519</v>
      </c>
      <c r="AW284" s="10">
        <v>2341</v>
      </c>
      <c r="AX284" s="10">
        <v>2844</v>
      </c>
      <c r="AY284" s="10">
        <v>2262</v>
      </c>
      <c r="AZ284" s="10">
        <v>3256</v>
      </c>
      <c r="BA284" s="10">
        <v>1788</v>
      </c>
      <c r="BB284" s="10">
        <v>1844</v>
      </c>
      <c r="BC284" s="10">
        <v>2617</v>
      </c>
      <c r="BD284" s="10">
        <v>1846</v>
      </c>
      <c r="BE284" s="10">
        <v>1958</v>
      </c>
      <c r="BF284" s="10">
        <v>3339</v>
      </c>
      <c r="BG284" s="10">
        <v>3024</v>
      </c>
      <c r="BH284" s="10">
        <v>1588</v>
      </c>
      <c r="BI284" s="10">
        <v>2856</v>
      </c>
      <c r="BJ284" s="10">
        <v>2108</v>
      </c>
      <c r="BK284" s="10">
        <v>3225</v>
      </c>
      <c r="BL284" s="10">
        <v>1795</v>
      </c>
    </row>
    <row r="285" spans="1:64">
      <c r="A285" s="15">
        <v>408790</v>
      </c>
      <c r="B285" s="14">
        <v>718148</v>
      </c>
      <c r="C285" s="14">
        <v>257</v>
      </c>
      <c r="D285" s="2" t="str">
        <f>HYPERLINK("http://128.120.136.21:8080/binbase-compound/bin/show/408790?db=rtx5","408790")</f>
        <v>408790</v>
      </c>
      <c r="E285" s="2" t="s">
        <v>322</v>
      </c>
      <c r="F285" s="2" t="s">
        <v>57</v>
      </c>
      <c r="G285" s="2" t="s">
        <v>57</v>
      </c>
      <c r="H285" s="10">
        <v>2114</v>
      </c>
      <c r="I285" s="10">
        <v>527</v>
      </c>
      <c r="J285" s="10">
        <v>1180</v>
      </c>
      <c r="K285" s="10">
        <v>1419</v>
      </c>
      <c r="L285" s="10">
        <v>863</v>
      </c>
      <c r="M285" s="10">
        <v>2081</v>
      </c>
      <c r="N285" s="10">
        <v>1191</v>
      </c>
      <c r="O285" s="10">
        <v>1441</v>
      </c>
      <c r="P285" s="10">
        <v>1609</v>
      </c>
      <c r="Q285" s="10">
        <v>2205</v>
      </c>
      <c r="R285" s="10">
        <v>2820</v>
      </c>
      <c r="S285" s="10">
        <v>2312</v>
      </c>
      <c r="T285" s="10">
        <v>2148</v>
      </c>
      <c r="U285" s="10">
        <v>598</v>
      </c>
      <c r="V285" s="10">
        <v>1179</v>
      </c>
      <c r="W285" s="10">
        <v>1139</v>
      </c>
      <c r="X285" s="10">
        <v>973</v>
      </c>
      <c r="Y285" s="10">
        <v>1318</v>
      </c>
      <c r="Z285" s="10">
        <v>2046</v>
      </c>
      <c r="AA285" s="10">
        <v>1137</v>
      </c>
      <c r="AB285" s="10">
        <v>1052</v>
      </c>
      <c r="AC285" s="10">
        <v>1170</v>
      </c>
      <c r="AD285" s="10">
        <v>637</v>
      </c>
      <c r="AE285" s="10">
        <v>1294</v>
      </c>
      <c r="AF285" s="10">
        <v>867</v>
      </c>
      <c r="AG285" s="10">
        <v>1605</v>
      </c>
      <c r="AH285" s="10">
        <v>704</v>
      </c>
      <c r="AI285" s="10">
        <v>1180</v>
      </c>
      <c r="AJ285" s="10">
        <v>1559</v>
      </c>
      <c r="AK285" s="10">
        <v>1117</v>
      </c>
      <c r="AL285" s="10">
        <v>1143</v>
      </c>
      <c r="AM285" s="10">
        <v>1224</v>
      </c>
      <c r="AN285" s="10">
        <v>795</v>
      </c>
      <c r="AO285" s="10">
        <v>1251</v>
      </c>
      <c r="AP285" s="10">
        <v>1585</v>
      </c>
      <c r="AQ285" s="10">
        <v>1258</v>
      </c>
      <c r="AR285" s="10">
        <v>950</v>
      </c>
      <c r="AS285" s="10">
        <v>992</v>
      </c>
      <c r="AT285" s="10">
        <v>919</v>
      </c>
      <c r="AU285" s="10">
        <v>2594</v>
      </c>
      <c r="AV285" s="10">
        <v>938</v>
      </c>
      <c r="AW285" s="10">
        <v>1069</v>
      </c>
      <c r="AX285" s="10">
        <v>811</v>
      </c>
      <c r="AY285" s="10">
        <v>1024</v>
      </c>
      <c r="AZ285" s="10">
        <v>809</v>
      </c>
      <c r="BA285" s="10">
        <v>1149</v>
      </c>
      <c r="BB285" s="10">
        <v>1278</v>
      </c>
      <c r="BC285" s="10">
        <v>1138</v>
      </c>
      <c r="BD285" s="10">
        <v>1488</v>
      </c>
      <c r="BE285" s="10">
        <v>1515</v>
      </c>
      <c r="BF285" s="10">
        <v>1375</v>
      </c>
      <c r="BG285" s="10">
        <v>535</v>
      </c>
      <c r="BH285" s="10">
        <v>1151</v>
      </c>
      <c r="BI285" s="10">
        <v>911</v>
      </c>
      <c r="BJ285" s="10">
        <v>1813</v>
      </c>
      <c r="BK285" s="10">
        <v>2408</v>
      </c>
      <c r="BL285" s="10">
        <v>1998</v>
      </c>
    </row>
    <row r="286" spans="1:64">
      <c r="A286" s="15">
        <v>438065</v>
      </c>
      <c r="B286" s="14">
        <v>510041</v>
      </c>
      <c r="C286" s="14">
        <v>174</v>
      </c>
      <c r="D286" s="2" t="str">
        <f>HYPERLINK("http://128.120.136.21:8080/binbase-compound/bin/show/438065?db=rtx5","438065")</f>
        <v>438065</v>
      </c>
      <c r="E286" s="2" t="s">
        <v>292</v>
      </c>
      <c r="F286" s="2" t="s">
        <v>57</v>
      </c>
      <c r="G286" s="2" t="s">
        <v>57</v>
      </c>
      <c r="H286" s="10">
        <v>689</v>
      </c>
      <c r="I286" s="10">
        <v>1076</v>
      </c>
      <c r="J286" s="10">
        <v>630</v>
      </c>
      <c r="K286" s="10">
        <v>487</v>
      </c>
      <c r="L286" s="10">
        <v>1394</v>
      </c>
      <c r="M286" s="10">
        <v>2319</v>
      </c>
      <c r="N286" s="10">
        <v>1295</v>
      </c>
      <c r="O286" s="10">
        <v>1002</v>
      </c>
      <c r="P286" s="10">
        <v>1278</v>
      </c>
      <c r="Q286" s="10">
        <v>1994</v>
      </c>
      <c r="R286" s="10">
        <v>2952</v>
      </c>
      <c r="S286" s="10">
        <v>2156</v>
      </c>
      <c r="T286" s="10">
        <v>1113</v>
      </c>
      <c r="U286" s="10">
        <v>1305</v>
      </c>
      <c r="V286" s="10">
        <v>1089</v>
      </c>
      <c r="W286" s="10">
        <v>1479</v>
      </c>
      <c r="X286" s="10">
        <v>954</v>
      </c>
      <c r="Y286" s="10">
        <v>1093</v>
      </c>
      <c r="Z286" s="10">
        <v>2442</v>
      </c>
      <c r="AA286" s="10">
        <v>1308</v>
      </c>
      <c r="AB286" s="10">
        <v>802</v>
      </c>
      <c r="AC286" s="10">
        <v>682</v>
      </c>
      <c r="AD286" s="10">
        <v>323</v>
      </c>
      <c r="AE286" s="10">
        <v>1160</v>
      </c>
      <c r="AF286" s="10">
        <v>491</v>
      </c>
      <c r="AG286" s="10">
        <v>1666</v>
      </c>
      <c r="AH286" s="10">
        <v>710</v>
      </c>
      <c r="AI286" s="10">
        <v>479</v>
      </c>
      <c r="AJ286" s="10">
        <v>2114</v>
      </c>
      <c r="AK286" s="10">
        <v>1680</v>
      </c>
      <c r="AL286" s="10">
        <v>4000</v>
      </c>
      <c r="AM286" s="10">
        <v>1032</v>
      </c>
      <c r="AN286" s="10">
        <v>983</v>
      </c>
      <c r="AO286" s="10">
        <v>922</v>
      </c>
      <c r="AP286" s="10">
        <v>296</v>
      </c>
      <c r="AQ286" s="10">
        <v>679</v>
      </c>
      <c r="AR286" s="10">
        <v>1302</v>
      </c>
      <c r="AS286" s="10">
        <v>934</v>
      </c>
      <c r="AT286" s="10">
        <v>1395</v>
      </c>
      <c r="AU286" s="10">
        <v>929</v>
      </c>
      <c r="AV286" s="10">
        <v>1273</v>
      </c>
      <c r="AW286" s="10">
        <v>2257</v>
      </c>
      <c r="AX286" s="10">
        <v>459</v>
      </c>
      <c r="AY286" s="10">
        <v>566</v>
      </c>
      <c r="AZ286" s="10">
        <v>1156</v>
      </c>
      <c r="BA286" s="10">
        <v>1630</v>
      </c>
      <c r="BB286" s="10">
        <v>467</v>
      </c>
      <c r="BC286" s="10">
        <v>1492</v>
      </c>
      <c r="BD286" s="10">
        <v>1438</v>
      </c>
      <c r="BE286" s="10">
        <v>1860</v>
      </c>
      <c r="BF286" s="10">
        <v>1458</v>
      </c>
      <c r="BG286" s="10">
        <v>1210</v>
      </c>
      <c r="BH286" s="10">
        <v>1523</v>
      </c>
      <c r="BI286" s="10">
        <v>650</v>
      </c>
      <c r="BJ286" s="10">
        <v>552</v>
      </c>
      <c r="BK286" s="10">
        <v>1920</v>
      </c>
      <c r="BL286" s="10">
        <v>2074</v>
      </c>
    </row>
    <row r="287" spans="1:64">
      <c r="A287" s="15">
        <v>304867</v>
      </c>
      <c r="B287" s="14">
        <v>755704</v>
      </c>
      <c r="C287" s="14">
        <v>144</v>
      </c>
      <c r="D287" s="2" t="str">
        <f>HYPERLINK("http://128.120.136.21:8080/binbase-compound/bin/show/304867?db=rtx5","304867")</f>
        <v>304867</v>
      </c>
      <c r="E287" s="2" t="s">
        <v>371</v>
      </c>
      <c r="F287" s="2" t="s">
        <v>57</v>
      </c>
      <c r="G287" s="2" t="s">
        <v>57</v>
      </c>
      <c r="H287" s="10">
        <v>1918</v>
      </c>
      <c r="I287" s="10">
        <v>1201</v>
      </c>
      <c r="J287" s="10">
        <v>1146</v>
      </c>
      <c r="K287" s="10">
        <v>1045</v>
      </c>
      <c r="L287" s="10">
        <v>1323</v>
      </c>
      <c r="M287" s="10">
        <v>1113</v>
      </c>
      <c r="N287" s="10">
        <v>1878</v>
      </c>
      <c r="O287" s="10">
        <v>1455</v>
      </c>
      <c r="P287" s="10">
        <v>1294</v>
      </c>
      <c r="Q287" s="10">
        <v>1899</v>
      </c>
      <c r="R287" s="10">
        <v>2261</v>
      </c>
      <c r="S287" s="10">
        <v>2120</v>
      </c>
      <c r="T287" s="10">
        <v>1392</v>
      </c>
      <c r="U287" s="10">
        <v>1649</v>
      </c>
      <c r="V287" s="10">
        <v>1032</v>
      </c>
      <c r="W287" s="10">
        <v>1312</v>
      </c>
      <c r="X287" s="10">
        <v>1168</v>
      </c>
      <c r="Y287" s="10">
        <v>1043</v>
      </c>
      <c r="Z287" s="10">
        <v>1802</v>
      </c>
      <c r="AA287" s="10">
        <v>1176</v>
      </c>
      <c r="AB287" s="10">
        <v>998</v>
      </c>
      <c r="AC287" s="10">
        <v>1130</v>
      </c>
      <c r="AD287" s="10">
        <v>1062</v>
      </c>
      <c r="AE287" s="10">
        <v>1106</v>
      </c>
      <c r="AF287" s="10">
        <v>1012</v>
      </c>
      <c r="AG287" s="10">
        <v>1309</v>
      </c>
      <c r="AH287" s="10">
        <v>1000</v>
      </c>
      <c r="AI287" s="10">
        <v>1355</v>
      </c>
      <c r="AJ287" s="10">
        <v>674</v>
      </c>
      <c r="AK287" s="10">
        <v>1197</v>
      </c>
      <c r="AL287" s="10">
        <v>790</v>
      </c>
      <c r="AM287" s="10">
        <v>479</v>
      </c>
      <c r="AN287" s="10">
        <v>969</v>
      </c>
      <c r="AO287" s="10">
        <v>445</v>
      </c>
      <c r="AP287" s="10">
        <v>1027</v>
      </c>
      <c r="AQ287" s="10">
        <v>847</v>
      </c>
      <c r="AR287" s="10">
        <v>868</v>
      </c>
      <c r="AS287" s="10">
        <v>1374</v>
      </c>
      <c r="AT287" s="10">
        <v>587</v>
      </c>
      <c r="AU287" s="10">
        <v>1608</v>
      </c>
      <c r="AV287" s="10">
        <v>1136</v>
      </c>
      <c r="AW287" s="10">
        <v>1174</v>
      </c>
      <c r="AX287" s="10">
        <v>1521</v>
      </c>
      <c r="AY287" s="10">
        <v>991</v>
      </c>
      <c r="AZ287" s="10">
        <v>1258</v>
      </c>
      <c r="BA287" s="10">
        <v>359</v>
      </c>
      <c r="BB287" s="10">
        <v>631</v>
      </c>
      <c r="BC287" s="10">
        <v>1125</v>
      </c>
      <c r="BD287" s="10">
        <v>749</v>
      </c>
      <c r="BE287" s="10">
        <v>382</v>
      </c>
      <c r="BF287" s="10">
        <v>639</v>
      </c>
      <c r="BG287" s="10">
        <v>1052</v>
      </c>
      <c r="BH287" s="10">
        <v>516</v>
      </c>
      <c r="BI287" s="10">
        <v>1064</v>
      </c>
      <c r="BJ287" s="10">
        <v>727</v>
      </c>
      <c r="BK287" s="10">
        <v>1601</v>
      </c>
      <c r="BL287" s="10">
        <v>1214</v>
      </c>
    </row>
    <row r="288" spans="1:64">
      <c r="A288" s="15">
        <v>231223</v>
      </c>
      <c r="B288" s="14">
        <v>826303</v>
      </c>
      <c r="C288" s="14">
        <v>387</v>
      </c>
      <c r="D288" s="2" t="str">
        <f>HYPERLINK("http://128.120.136.21:8080/binbase-compound/bin/show/231223?db=rtx5","231223")</f>
        <v>231223</v>
      </c>
      <c r="E288" s="2" t="s">
        <v>447</v>
      </c>
      <c r="F288" s="2" t="s">
        <v>57</v>
      </c>
      <c r="G288" s="2" t="s">
        <v>57</v>
      </c>
      <c r="H288" s="10">
        <v>514</v>
      </c>
      <c r="I288" s="10">
        <v>360</v>
      </c>
      <c r="J288" s="10">
        <v>760</v>
      </c>
      <c r="K288" s="10">
        <v>554</v>
      </c>
      <c r="L288" s="10">
        <v>342</v>
      </c>
      <c r="M288" s="10">
        <v>188</v>
      </c>
      <c r="N288" s="10">
        <v>1172</v>
      </c>
      <c r="O288" s="10">
        <v>513</v>
      </c>
      <c r="P288" s="10">
        <v>425</v>
      </c>
      <c r="Q288" s="10">
        <v>137</v>
      </c>
      <c r="R288" s="10">
        <v>126</v>
      </c>
      <c r="S288" s="10">
        <v>667</v>
      </c>
      <c r="T288" s="10">
        <v>385</v>
      </c>
      <c r="U288" s="10">
        <v>206</v>
      </c>
      <c r="V288" s="10">
        <v>363</v>
      </c>
      <c r="W288" s="10">
        <v>525</v>
      </c>
      <c r="X288" s="10">
        <v>335</v>
      </c>
      <c r="Y288" s="10">
        <v>194</v>
      </c>
      <c r="Z288" s="10">
        <v>230</v>
      </c>
      <c r="AA288" s="10">
        <v>459</v>
      </c>
      <c r="AB288" s="10">
        <v>248</v>
      </c>
      <c r="AC288" s="10">
        <v>322</v>
      </c>
      <c r="AD288" s="10">
        <v>211</v>
      </c>
      <c r="AE288" s="10">
        <v>169</v>
      </c>
      <c r="AF288" s="10">
        <v>315</v>
      </c>
      <c r="AG288" s="10">
        <v>112</v>
      </c>
      <c r="AH288" s="10">
        <v>329</v>
      </c>
      <c r="AI288" s="10">
        <v>589</v>
      </c>
      <c r="AJ288" s="10">
        <v>1463</v>
      </c>
      <c r="AK288" s="10">
        <v>510</v>
      </c>
      <c r="AL288" s="10">
        <v>444</v>
      </c>
      <c r="AM288" s="10">
        <v>218</v>
      </c>
      <c r="AN288" s="10">
        <v>556</v>
      </c>
      <c r="AO288" s="10">
        <v>916</v>
      </c>
      <c r="AP288" s="10">
        <v>916</v>
      </c>
      <c r="AQ288" s="10">
        <v>723</v>
      </c>
      <c r="AR288" s="10">
        <v>345</v>
      </c>
      <c r="AS288" s="10">
        <v>217</v>
      </c>
      <c r="AT288" s="10">
        <v>399</v>
      </c>
      <c r="AU288" s="10">
        <v>351</v>
      </c>
      <c r="AV288" s="10">
        <v>547</v>
      </c>
      <c r="AW288" s="10">
        <v>391</v>
      </c>
      <c r="AX288" s="10">
        <v>492</v>
      </c>
      <c r="AY288" s="10">
        <v>925</v>
      </c>
      <c r="AZ288" s="10">
        <v>1244</v>
      </c>
      <c r="BA288" s="10">
        <v>576</v>
      </c>
      <c r="BB288" s="10">
        <v>658</v>
      </c>
      <c r="BC288" s="10">
        <v>546</v>
      </c>
      <c r="BD288" s="10">
        <v>890</v>
      </c>
      <c r="BE288" s="10">
        <v>833</v>
      </c>
      <c r="BF288" s="10">
        <v>1370</v>
      </c>
      <c r="BG288" s="10">
        <v>422</v>
      </c>
      <c r="BH288" s="10">
        <v>680</v>
      </c>
      <c r="BI288" s="10">
        <v>534</v>
      </c>
      <c r="BJ288" s="10">
        <v>163</v>
      </c>
      <c r="BK288" s="10">
        <v>501</v>
      </c>
      <c r="BL288" s="10">
        <v>378</v>
      </c>
    </row>
    <row r="289" spans="1:64">
      <c r="A289" s="15">
        <v>272694</v>
      </c>
      <c r="B289" s="14">
        <v>486732</v>
      </c>
      <c r="C289" s="14">
        <v>208</v>
      </c>
      <c r="D289" s="2" t="str">
        <f>HYPERLINK("http://128.120.136.21:8080/binbase-compound/bin/show/272694?db=rtx5","272694")</f>
        <v>272694</v>
      </c>
      <c r="E289" s="2" t="s">
        <v>397</v>
      </c>
      <c r="F289" s="2" t="s">
        <v>57</v>
      </c>
      <c r="G289" s="2" t="s">
        <v>57</v>
      </c>
      <c r="H289" s="10">
        <v>826</v>
      </c>
      <c r="I289" s="10">
        <v>1511</v>
      </c>
      <c r="J289" s="10">
        <v>1321</v>
      </c>
      <c r="K289" s="10">
        <v>911</v>
      </c>
      <c r="L289" s="10">
        <v>1219</v>
      </c>
      <c r="M289" s="10">
        <v>524</v>
      </c>
      <c r="N289" s="10">
        <v>2189</v>
      </c>
      <c r="O289" s="10">
        <v>889</v>
      </c>
      <c r="P289" s="10">
        <v>759</v>
      </c>
      <c r="Q289" s="10">
        <v>1078</v>
      </c>
      <c r="R289" s="10">
        <v>831</v>
      </c>
      <c r="S289" s="10">
        <v>6619</v>
      </c>
      <c r="T289" s="10">
        <v>646</v>
      </c>
      <c r="U289" s="10">
        <v>1831</v>
      </c>
      <c r="V289" s="10">
        <v>1468</v>
      </c>
      <c r="W289" s="10">
        <v>729</v>
      </c>
      <c r="X289" s="10">
        <v>885</v>
      </c>
      <c r="Y289" s="10">
        <v>924</v>
      </c>
      <c r="Z289" s="10">
        <v>1008</v>
      </c>
      <c r="AA289" s="10">
        <v>1806</v>
      </c>
      <c r="AB289" s="10">
        <v>1410</v>
      </c>
      <c r="AC289" s="10">
        <v>762</v>
      </c>
      <c r="AD289" s="10">
        <v>737</v>
      </c>
      <c r="AE289" s="10">
        <v>805</v>
      </c>
      <c r="AF289" s="10">
        <v>991</v>
      </c>
      <c r="AG289" s="10">
        <v>716</v>
      </c>
      <c r="AH289" s="10">
        <v>2006</v>
      </c>
      <c r="AI289" s="10">
        <v>3179</v>
      </c>
      <c r="AJ289" s="10">
        <v>1872</v>
      </c>
      <c r="AK289" s="10">
        <v>3077</v>
      </c>
      <c r="AL289" s="10">
        <v>2396</v>
      </c>
      <c r="AM289" s="10">
        <v>1403</v>
      </c>
      <c r="AN289" s="10">
        <v>4401</v>
      </c>
      <c r="AO289" s="10">
        <v>4743</v>
      </c>
      <c r="AP289" s="10">
        <v>1703</v>
      </c>
      <c r="AQ289" s="10">
        <v>4215</v>
      </c>
      <c r="AR289" s="10">
        <v>1818</v>
      </c>
      <c r="AS289" s="10">
        <v>1950</v>
      </c>
      <c r="AT289" s="10">
        <v>1666</v>
      </c>
      <c r="AU289" s="10">
        <v>648</v>
      </c>
      <c r="AV289" s="10">
        <v>2428</v>
      </c>
      <c r="AW289" s="10">
        <v>1591</v>
      </c>
      <c r="AX289" s="10">
        <v>1968</v>
      </c>
      <c r="AY289" s="10">
        <v>1819</v>
      </c>
      <c r="AZ289" s="10">
        <v>2133</v>
      </c>
      <c r="BA289" s="10">
        <v>1459</v>
      </c>
      <c r="BB289" s="10">
        <v>1363</v>
      </c>
      <c r="BC289" s="10">
        <v>1992</v>
      </c>
      <c r="BD289" s="10">
        <v>1265</v>
      </c>
      <c r="BE289" s="10">
        <v>1676</v>
      </c>
      <c r="BF289" s="10">
        <v>2286</v>
      </c>
      <c r="BG289" s="10">
        <v>3415</v>
      </c>
      <c r="BH289" s="10">
        <v>2029</v>
      </c>
      <c r="BI289" s="10">
        <v>3379</v>
      </c>
      <c r="BJ289" s="10">
        <v>1181</v>
      </c>
      <c r="BK289" s="10">
        <v>1484</v>
      </c>
      <c r="BL289" s="10">
        <v>1442</v>
      </c>
    </row>
    <row r="290" spans="1:64">
      <c r="A290" s="15">
        <v>309631</v>
      </c>
      <c r="B290" s="14">
        <v>232910</v>
      </c>
      <c r="C290" s="14">
        <v>130</v>
      </c>
      <c r="D290" s="2" t="str">
        <f>HYPERLINK("http://128.120.136.21:8080/binbase-compound/bin/show/309631?db=rtx5","309631")</f>
        <v>309631</v>
      </c>
      <c r="E290" s="2" t="s">
        <v>367</v>
      </c>
      <c r="F290" s="2" t="s">
        <v>57</v>
      </c>
      <c r="G290" s="2" t="s">
        <v>57</v>
      </c>
      <c r="H290" s="10">
        <v>1829</v>
      </c>
      <c r="I290" s="10">
        <v>4799</v>
      </c>
      <c r="J290" s="10">
        <v>2710</v>
      </c>
      <c r="K290" s="10">
        <v>1307</v>
      </c>
      <c r="L290" s="10">
        <v>1909</v>
      </c>
      <c r="M290" s="10">
        <v>1409</v>
      </c>
      <c r="N290" s="10">
        <v>3988</v>
      </c>
      <c r="O290" s="10">
        <v>906</v>
      </c>
      <c r="P290" s="10">
        <v>1379</v>
      </c>
      <c r="Q290" s="10">
        <v>3909</v>
      </c>
      <c r="R290" s="10">
        <v>3543</v>
      </c>
      <c r="S290" s="10">
        <v>12348</v>
      </c>
      <c r="T290" s="10">
        <v>888</v>
      </c>
      <c r="U290" s="10">
        <v>3518</v>
      </c>
      <c r="V290" s="10">
        <v>1086</v>
      </c>
      <c r="W290" s="10">
        <v>1436</v>
      </c>
      <c r="X290" s="10">
        <v>886</v>
      </c>
      <c r="Y290" s="10">
        <v>2135</v>
      </c>
      <c r="Z290" s="10">
        <v>1491</v>
      </c>
      <c r="AA290" s="10">
        <v>4964</v>
      </c>
      <c r="AB290" s="10">
        <v>3665</v>
      </c>
      <c r="AC290" s="10">
        <v>1178</v>
      </c>
      <c r="AD290" s="10">
        <v>935</v>
      </c>
      <c r="AE290" s="10">
        <v>1848</v>
      </c>
      <c r="AF290" s="10">
        <v>1965</v>
      </c>
      <c r="AG290" s="10">
        <v>1455</v>
      </c>
      <c r="AH290" s="10">
        <v>3776</v>
      </c>
      <c r="AI290" s="10">
        <v>2956</v>
      </c>
      <c r="AJ290" s="10">
        <v>3063</v>
      </c>
      <c r="AK290" s="10">
        <v>5902</v>
      </c>
      <c r="AL290" s="10">
        <v>1033</v>
      </c>
      <c r="AM290" s="10">
        <v>1833</v>
      </c>
      <c r="AN290" s="10">
        <v>4306</v>
      </c>
      <c r="AO290" s="10">
        <v>4192</v>
      </c>
      <c r="AP290" s="10">
        <v>2907</v>
      </c>
      <c r="AQ290" s="10">
        <v>14733</v>
      </c>
      <c r="AR290" s="10">
        <v>3401</v>
      </c>
      <c r="AS290" s="10">
        <v>1153</v>
      </c>
      <c r="AT290" s="10">
        <v>7759</v>
      </c>
      <c r="AU290" s="10">
        <v>715</v>
      </c>
      <c r="AV290" s="10">
        <v>2721</v>
      </c>
      <c r="AW290" s="10">
        <v>5457</v>
      </c>
      <c r="AX290" s="10">
        <v>1974</v>
      </c>
      <c r="AY290" s="10">
        <v>2801</v>
      </c>
      <c r="AZ290" s="10">
        <v>2199</v>
      </c>
      <c r="BA290" s="10">
        <v>1717</v>
      </c>
      <c r="BB290" s="10">
        <v>2893</v>
      </c>
      <c r="BC290" s="10">
        <v>4885</v>
      </c>
      <c r="BD290" s="10">
        <v>1347</v>
      </c>
      <c r="BE290" s="10">
        <v>1234</v>
      </c>
      <c r="BF290" s="10">
        <v>1784</v>
      </c>
      <c r="BG290" s="10">
        <v>6769</v>
      </c>
      <c r="BH290" s="10">
        <v>2963</v>
      </c>
      <c r="BI290" s="10">
        <v>2595</v>
      </c>
      <c r="BJ290" s="10">
        <v>1170</v>
      </c>
      <c r="BK290" s="10">
        <v>2805</v>
      </c>
      <c r="BL290" s="10">
        <v>1448</v>
      </c>
    </row>
    <row r="291" spans="1:64">
      <c r="A291" s="15">
        <v>274189</v>
      </c>
      <c r="B291" s="14">
        <v>790139</v>
      </c>
      <c r="C291" s="14">
        <v>174</v>
      </c>
      <c r="D291" s="2" t="str">
        <f>HYPERLINK("http://128.120.136.21:8080/binbase-compound/bin/show/274189?db=rtx5","274189")</f>
        <v>274189</v>
      </c>
      <c r="E291" s="2" t="s">
        <v>394</v>
      </c>
      <c r="F291" s="2" t="s">
        <v>57</v>
      </c>
      <c r="G291" s="2" t="s">
        <v>57</v>
      </c>
      <c r="H291" s="10">
        <v>10306</v>
      </c>
      <c r="I291" s="10">
        <v>1549</v>
      </c>
      <c r="J291" s="10">
        <v>311</v>
      </c>
      <c r="K291" s="10">
        <v>1291</v>
      </c>
      <c r="L291" s="10">
        <v>855</v>
      </c>
      <c r="M291" s="10">
        <v>1003</v>
      </c>
      <c r="N291" s="10">
        <v>1266</v>
      </c>
      <c r="O291" s="10">
        <v>3015</v>
      </c>
      <c r="P291" s="10">
        <v>695</v>
      </c>
      <c r="Q291" s="10">
        <v>1450</v>
      </c>
      <c r="R291" s="10">
        <v>1105</v>
      </c>
      <c r="S291" s="10">
        <v>1718</v>
      </c>
      <c r="T291" s="10">
        <v>2731</v>
      </c>
      <c r="U291" s="10">
        <v>714</v>
      </c>
      <c r="V291" s="10">
        <v>371</v>
      </c>
      <c r="W291" s="10">
        <v>676</v>
      </c>
      <c r="X291" s="10">
        <v>938</v>
      </c>
      <c r="Y291" s="10">
        <v>1089</v>
      </c>
      <c r="Z291" s="10">
        <v>1202</v>
      </c>
      <c r="AA291" s="10">
        <v>1587</v>
      </c>
      <c r="AB291" s="10">
        <v>1104</v>
      </c>
      <c r="AC291" s="10">
        <v>443</v>
      </c>
      <c r="AD291" s="10">
        <v>995</v>
      </c>
      <c r="AE291" s="10">
        <v>368</v>
      </c>
      <c r="AF291" s="10">
        <v>1294</v>
      </c>
      <c r="AG291" s="10">
        <v>136</v>
      </c>
      <c r="AH291" s="10">
        <v>1521</v>
      </c>
      <c r="AI291" s="10">
        <v>1008</v>
      </c>
      <c r="AJ291" s="10">
        <v>951</v>
      </c>
      <c r="AK291" s="10">
        <v>1477</v>
      </c>
      <c r="AL291" s="10">
        <v>918</v>
      </c>
      <c r="AM291" s="10">
        <v>389</v>
      </c>
      <c r="AN291" s="10">
        <v>1076</v>
      </c>
      <c r="AO291" s="10">
        <v>2394</v>
      </c>
      <c r="AP291" s="10">
        <v>826</v>
      </c>
      <c r="AQ291" s="10">
        <v>2852</v>
      </c>
      <c r="AR291" s="10">
        <v>7829</v>
      </c>
      <c r="AS291" s="10">
        <v>694</v>
      </c>
      <c r="AT291" s="10">
        <v>1798</v>
      </c>
      <c r="AU291" s="10">
        <v>2564</v>
      </c>
      <c r="AV291" s="10">
        <v>1305</v>
      </c>
      <c r="AW291" s="10">
        <v>3765</v>
      </c>
      <c r="AX291" s="10">
        <v>922</v>
      </c>
      <c r="AY291" s="10">
        <v>1663</v>
      </c>
      <c r="AZ291" s="10">
        <v>523</v>
      </c>
      <c r="BA291" s="10">
        <v>748</v>
      </c>
      <c r="BB291" s="10">
        <v>740</v>
      </c>
      <c r="BC291" s="10">
        <v>776</v>
      </c>
      <c r="BD291" s="10">
        <v>649</v>
      </c>
      <c r="BE291" s="10">
        <v>1737</v>
      </c>
      <c r="BF291" s="10">
        <v>3215</v>
      </c>
      <c r="BG291" s="10">
        <v>1889</v>
      </c>
      <c r="BH291" s="10">
        <v>2955</v>
      </c>
      <c r="BI291" s="10">
        <v>2968</v>
      </c>
      <c r="BJ291" s="10">
        <v>1459</v>
      </c>
      <c r="BK291" s="10">
        <v>628</v>
      </c>
      <c r="BL291" s="10">
        <v>243</v>
      </c>
    </row>
    <row r="292" spans="1:64">
      <c r="A292" s="15">
        <v>268579</v>
      </c>
      <c r="B292" s="14">
        <v>392144</v>
      </c>
      <c r="C292" s="14">
        <v>231</v>
      </c>
      <c r="D292" s="2" t="str">
        <f>HYPERLINK("http://128.120.136.21:8080/binbase-compound/bin/show/268579?db=rtx5","268579")</f>
        <v>268579</v>
      </c>
      <c r="E292" s="2" t="s">
        <v>404</v>
      </c>
      <c r="F292" s="2" t="s">
        <v>57</v>
      </c>
      <c r="G292" s="2" t="s">
        <v>57</v>
      </c>
      <c r="H292" s="10">
        <v>208</v>
      </c>
      <c r="I292" s="10">
        <v>388</v>
      </c>
      <c r="J292" s="10">
        <v>478</v>
      </c>
      <c r="K292" s="10">
        <v>276</v>
      </c>
      <c r="L292" s="10">
        <v>451</v>
      </c>
      <c r="M292" s="10">
        <v>289</v>
      </c>
      <c r="N292" s="10">
        <v>681</v>
      </c>
      <c r="O292" s="10">
        <v>317</v>
      </c>
      <c r="P292" s="10">
        <v>210</v>
      </c>
      <c r="Q292" s="10">
        <v>620</v>
      </c>
      <c r="R292" s="10">
        <v>459</v>
      </c>
      <c r="S292" s="10">
        <v>2757</v>
      </c>
      <c r="T292" s="10">
        <v>201</v>
      </c>
      <c r="U292" s="10">
        <v>525</v>
      </c>
      <c r="V292" s="10">
        <v>461</v>
      </c>
      <c r="W292" s="10">
        <v>356</v>
      </c>
      <c r="X292" s="10">
        <v>384</v>
      </c>
      <c r="Y292" s="10">
        <v>268</v>
      </c>
      <c r="Z292" s="10">
        <v>199</v>
      </c>
      <c r="AA292" s="10">
        <v>495</v>
      </c>
      <c r="AB292" s="10">
        <v>544</v>
      </c>
      <c r="AC292" s="10">
        <v>287</v>
      </c>
      <c r="AD292" s="10">
        <v>388</v>
      </c>
      <c r="AE292" s="10">
        <v>429</v>
      </c>
      <c r="AF292" s="10">
        <v>236</v>
      </c>
      <c r="AG292" s="10">
        <v>233</v>
      </c>
      <c r="AH292" s="10">
        <v>604</v>
      </c>
      <c r="AI292" s="10">
        <v>606</v>
      </c>
      <c r="AJ292" s="10">
        <v>440</v>
      </c>
      <c r="AK292" s="10">
        <v>666</v>
      </c>
      <c r="AL292" s="10">
        <v>508</v>
      </c>
      <c r="AM292" s="10">
        <v>252</v>
      </c>
      <c r="AN292" s="10">
        <v>633</v>
      </c>
      <c r="AO292" s="10">
        <v>607</v>
      </c>
      <c r="AP292" s="10">
        <v>574</v>
      </c>
      <c r="AQ292" s="10">
        <v>1969</v>
      </c>
      <c r="AR292" s="10">
        <v>590</v>
      </c>
      <c r="AS292" s="10">
        <v>530</v>
      </c>
      <c r="AT292" s="10">
        <v>512</v>
      </c>
      <c r="AU292" s="10">
        <v>168</v>
      </c>
      <c r="AV292" s="10">
        <v>580</v>
      </c>
      <c r="AW292" s="10">
        <v>721</v>
      </c>
      <c r="AX292" s="10">
        <v>483</v>
      </c>
      <c r="AY292" s="10">
        <v>508</v>
      </c>
      <c r="AZ292" s="10">
        <v>612</v>
      </c>
      <c r="BA292" s="10">
        <v>424</v>
      </c>
      <c r="BB292" s="10">
        <v>347</v>
      </c>
      <c r="BC292" s="10">
        <v>617</v>
      </c>
      <c r="BD292" s="10">
        <v>382</v>
      </c>
      <c r="BE292" s="10">
        <v>461</v>
      </c>
      <c r="BF292" s="10">
        <v>757</v>
      </c>
      <c r="BG292" s="10">
        <v>722</v>
      </c>
      <c r="BH292" s="10">
        <v>426</v>
      </c>
      <c r="BI292" s="10">
        <v>593</v>
      </c>
      <c r="BJ292" s="10">
        <v>425</v>
      </c>
      <c r="BK292" s="10">
        <v>495</v>
      </c>
      <c r="BL292" s="10">
        <v>323</v>
      </c>
    </row>
    <row r="293" spans="1:64">
      <c r="A293" s="15">
        <v>269157</v>
      </c>
      <c r="B293" s="14">
        <v>446009</v>
      </c>
      <c r="C293" s="14">
        <v>174</v>
      </c>
      <c r="D293" s="2" t="str">
        <f>HYPERLINK("http://128.120.136.21:8080/binbase-compound/bin/show/269157?db=rtx5","269157")</f>
        <v>269157</v>
      </c>
      <c r="E293" s="2" t="s">
        <v>403</v>
      </c>
      <c r="F293" s="2" t="s">
        <v>57</v>
      </c>
      <c r="G293" s="2" t="s">
        <v>57</v>
      </c>
      <c r="H293" s="10">
        <v>304</v>
      </c>
      <c r="I293" s="10">
        <v>1011</v>
      </c>
      <c r="J293" s="10">
        <v>815</v>
      </c>
      <c r="K293" s="10">
        <v>365</v>
      </c>
      <c r="L293" s="10">
        <v>1406</v>
      </c>
      <c r="M293" s="10">
        <v>231</v>
      </c>
      <c r="N293" s="10">
        <v>785</v>
      </c>
      <c r="O293" s="10">
        <v>361</v>
      </c>
      <c r="P293" s="10">
        <v>216</v>
      </c>
      <c r="Q293" s="10">
        <v>236</v>
      </c>
      <c r="R293" s="10">
        <v>192</v>
      </c>
      <c r="S293" s="10">
        <v>817</v>
      </c>
      <c r="T293" s="10">
        <v>270</v>
      </c>
      <c r="U293" s="10">
        <v>1093</v>
      </c>
      <c r="V293" s="10">
        <v>777</v>
      </c>
      <c r="W293" s="10">
        <v>453</v>
      </c>
      <c r="X293" s="10">
        <v>349</v>
      </c>
      <c r="Y293" s="10">
        <v>302</v>
      </c>
      <c r="Z293" s="10">
        <v>520</v>
      </c>
      <c r="AA293" s="10">
        <v>1281</v>
      </c>
      <c r="AB293" s="10">
        <v>946</v>
      </c>
      <c r="AC293" s="10">
        <v>119</v>
      </c>
      <c r="AD293" s="10">
        <v>157</v>
      </c>
      <c r="AE293" s="10">
        <v>206</v>
      </c>
      <c r="AF293" s="10">
        <v>213</v>
      </c>
      <c r="AG293" s="10">
        <v>226</v>
      </c>
      <c r="AH293" s="10">
        <v>797</v>
      </c>
      <c r="AI293" s="10">
        <v>1499</v>
      </c>
      <c r="AJ293" s="10">
        <v>626</v>
      </c>
      <c r="AK293" s="10">
        <v>507</v>
      </c>
      <c r="AL293" s="10">
        <v>1642</v>
      </c>
      <c r="AM293" s="10">
        <v>353</v>
      </c>
      <c r="AN293" s="10">
        <v>1064</v>
      </c>
      <c r="AO293" s="10">
        <v>1591</v>
      </c>
      <c r="AP293" s="10">
        <v>590</v>
      </c>
      <c r="AQ293" s="10">
        <v>1214</v>
      </c>
      <c r="AR293" s="10">
        <v>1567</v>
      </c>
      <c r="AS293" s="10">
        <v>1620</v>
      </c>
      <c r="AT293" s="10">
        <v>1496</v>
      </c>
      <c r="AU293" s="10">
        <v>546</v>
      </c>
      <c r="AV293" s="10">
        <v>1927</v>
      </c>
      <c r="AW293" s="10">
        <v>1088</v>
      </c>
      <c r="AX293" s="10">
        <v>649</v>
      </c>
      <c r="AY293" s="10">
        <v>1371</v>
      </c>
      <c r="AZ293" s="10">
        <v>1496</v>
      </c>
      <c r="BA293" s="10">
        <v>466</v>
      </c>
      <c r="BB293" s="10">
        <v>623</v>
      </c>
      <c r="BC293" s="10">
        <v>1178</v>
      </c>
      <c r="BD293" s="10">
        <v>254</v>
      </c>
      <c r="BE293" s="10">
        <v>427</v>
      </c>
      <c r="BF293" s="10">
        <v>1445</v>
      </c>
      <c r="BG293" s="10">
        <v>1006</v>
      </c>
      <c r="BH293" s="10">
        <v>314</v>
      </c>
      <c r="BI293" s="10">
        <v>707</v>
      </c>
      <c r="BJ293" s="10">
        <v>328</v>
      </c>
      <c r="BK293" s="10">
        <v>518</v>
      </c>
      <c r="BL293" s="10">
        <v>275</v>
      </c>
    </row>
    <row r="294" spans="1:64">
      <c r="A294" s="15">
        <v>241037</v>
      </c>
      <c r="B294" s="14">
        <v>942692</v>
      </c>
      <c r="C294" s="14">
        <v>174</v>
      </c>
      <c r="D294" s="2" t="str">
        <f>HYPERLINK("http://128.120.136.21:8080/binbase-compound/bin/show/241037?db=rtx5","241037")</f>
        <v>241037</v>
      </c>
      <c r="E294" s="2" t="s">
        <v>420</v>
      </c>
      <c r="F294" s="2" t="s">
        <v>57</v>
      </c>
      <c r="G294" s="2" t="s">
        <v>57</v>
      </c>
      <c r="H294" s="10">
        <v>1166</v>
      </c>
      <c r="I294" s="10">
        <v>741</v>
      </c>
      <c r="J294" s="10">
        <v>978</v>
      </c>
      <c r="K294" s="10">
        <v>1017</v>
      </c>
      <c r="L294" s="10">
        <v>463</v>
      </c>
      <c r="M294" s="10">
        <v>1313</v>
      </c>
      <c r="N294" s="10">
        <v>1095</v>
      </c>
      <c r="O294" s="10">
        <v>949</v>
      </c>
      <c r="P294" s="10">
        <v>813</v>
      </c>
      <c r="Q294" s="10">
        <v>2127</v>
      </c>
      <c r="R294" s="10">
        <v>2023</v>
      </c>
      <c r="S294" s="10">
        <v>745</v>
      </c>
      <c r="T294" s="10">
        <v>1505</v>
      </c>
      <c r="U294" s="10">
        <v>536</v>
      </c>
      <c r="V294" s="10">
        <v>972</v>
      </c>
      <c r="W294" s="10">
        <v>989</v>
      </c>
      <c r="X294" s="10">
        <v>819</v>
      </c>
      <c r="Y294" s="10">
        <v>972</v>
      </c>
      <c r="Z294" s="10">
        <v>1129</v>
      </c>
      <c r="AA294" s="10">
        <v>730</v>
      </c>
      <c r="AB294" s="10">
        <v>361</v>
      </c>
      <c r="AC294" s="10">
        <v>1052</v>
      </c>
      <c r="AD294" s="10">
        <v>716</v>
      </c>
      <c r="AE294" s="10">
        <v>655</v>
      </c>
      <c r="AF294" s="10">
        <v>924</v>
      </c>
      <c r="AG294" s="10">
        <v>370</v>
      </c>
      <c r="AH294" s="10">
        <v>323</v>
      </c>
      <c r="AI294" s="10">
        <v>1309</v>
      </c>
      <c r="AJ294" s="10">
        <v>1313</v>
      </c>
      <c r="AK294" s="10">
        <v>773</v>
      </c>
      <c r="AL294" s="10">
        <v>883</v>
      </c>
      <c r="AM294" s="10">
        <v>299</v>
      </c>
      <c r="AN294" s="10">
        <v>694</v>
      </c>
      <c r="AO294" s="10">
        <v>706</v>
      </c>
      <c r="AP294" s="10">
        <v>1214</v>
      </c>
      <c r="AQ294" s="10">
        <v>1023</v>
      </c>
      <c r="AR294" s="10">
        <v>968</v>
      </c>
      <c r="AS294" s="10">
        <v>803</v>
      </c>
      <c r="AT294" s="10">
        <v>957</v>
      </c>
      <c r="AU294" s="10">
        <v>1433</v>
      </c>
      <c r="AV294" s="10">
        <v>738</v>
      </c>
      <c r="AW294" s="10">
        <v>934</v>
      </c>
      <c r="AX294" s="10">
        <v>441</v>
      </c>
      <c r="AY294" s="10">
        <v>1141</v>
      </c>
      <c r="AZ294" s="10">
        <v>666</v>
      </c>
      <c r="BA294" s="10">
        <v>1094</v>
      </c>
      <c r="BB294" s="10">
        <v>1379</v>
      </c>
      <c r="BC294" s="10">
        <v>266</v>
      </c>
      <c r="BD294" s="10">
        <v>1123</v>
      </c>
      <c r="BE294" s="10">
        <v>1408</v>
      </c>
      <c r="BF294" s="10">
        <v>813</v>
      </c>
      <c r="BG294" s="10">
        <v>229</v>
      </c>
      <c r="BH294" s="10">
        <v>319</v>
      </c>
      <c r="BI294" s="10">
        <v>1324</v>
      </c>
      <c r="BJ294" s="10">
        <v>582</v>
      </c>
      <c r="BK294" s="10">
        <v>941</v>
      </c>
      <c r="BL294" s="10">
        <v>1077</v>
      </c>
    </row>
    <row r="295" spans="1:64">
      <c r="A295" s="15">
        <v>409263</v>
      </c>
      <c r="B295" s="14">
        <v>979656</v>
      </c>
      <c r="C295" s="14">
        <v>156</v>
      </c>
      <c r="D295" s="2" t="str">
        <f>HYPERLINK("http://128.120.136.21:8080/binbase-compound/bin/show/409263?db=rtx5","409263")</f>
        <v>409263</v>
      </c>
      <c r="E295" s="2" t="s">
        <v>312</v>
      </c>
      <c r="F295" s="2" t="s">
        <v>57</v>
      </c>
      <c r="G295" s="2" t="s">
        <v>57</v>
      </c>
      <c r="H295" s="10">
        <v>1295</v>
      </c>
      <c r="I295" s="10">
        <v>564</v>
      </c>
      <c r="J295" s="10">
        <v>541</v>
      </c>
      <c r="K295" s="10">
        <v>811</v>
      </c>
      <c r="L295" s="10">
        <v>524</v>
      </c>
      <c r="M295" s="10">
        <v>666</v>
      </c>
      <c r="N295" s="10">
        <v>822</v>
      </c>
      <c r="O295" s="10">
        <v>827</v>
      </c>
      <c r="P295" s="10">
        <v>785</v>
      </c>
      <c r="Q295" s="10">
        <v>1047</v>
      </c>
      <c r="R295" s="10">
        <v>1589</v>
      </c>
      <c r="S295" s="10">
        <v>2060</v>
      </c>
      <c r="T295" s="10">
        <v>654</v>
      </c>
      <c r="U295" s="10">
        <v>637</v>
      </c>
      <c r="V295" s="10">
        <v>579</v>
      </c>
      <c r="W295" s="10">
        <v>431</v>
      </c>
      <c r="X295" s="10">
        <v>722</v>
      </c>
      <c r="Y295" s="10">
        <v>795</v>
      </c>
      <c r="Z295" s="10">
        <v>1091</v>
      </c>
      <c r="AA295" s="10">
        <v>665</v>
      </c>
      <c r="AB295" s="10">
        <v>1039</v>
      </c>
      <c r="AC295" s="10">
        <v>396</v>
      </c>
      <c r="AD295" s="10">
        <v>518</v>
      </c>
      <c r="AE295" s="10">
        <v>745</v>
      </c>
      <c r="AF295" s="10">
        <v>730</v>
      </c>
      <c r="AG295" s="10">
        <v>765</v>
      </c>
      <c r="AH295" s="10">
        <v>466</v>
      </c>
      <c r="AI295" s="10">
        <v>774</v>
      </c>
      <c r="AJ295" s="10">
        <v>932</v>
      </c>
      <c r="AK295" s="10">
        <v>884</v>
      </c>
      <c r="AL295" s="10">
        <v>715</v>
      </c>
      <c r="AM295" s="10">
        <v>619</v>
      </c>
      <c r="AN295" s="10">
        <v>771</v>
      </c>
      <c r="AO295" s="10">
        <v>742</v>
      </c>
      <c r="AP295" s="10">
        <v>657</v>
      </c>
      <c r="AQ295" s="10">
        <v>927</v>
      </c>
      <c r="AR295" s="10">
        <v>702</v>
      </c>
      <c r="AS295" s="10">
        <v>808</v>
      </c>
      <c r="AT295" s="10">
        <v>551</v>
      </c>
      <c r="AU295" s="10">
        <v>1375</v>
      </c>
      <c r="AV295" s="10">
        <v>632</v>
      </c>
      <c r="AW295" s="10">
        <v>784</v>
      </c>
      <c r="AX295" s="10">
        <v>401</v>
      </c>
      <c r="AY295" s="10">
        <v>501</v>
      </c>
      <c r="AZ295" s="10">
        <v>433</v>
      </c>
      <c r="BA295" s="10">
        <v>863</v>
      </c>
      <c r="BB295" s="10">
        <v>609</v>
      </c>
      <c r="BC295" s="10">
        <v>766</v>
      </c>
      <c r="BD295" s="10">
        <v>1071</v>
      </c>
      <c r="BE295" s="10">
        <v>1047</v>
      </c>
      <c r="BF295" s="10">
        <v>974</v>
      </c>
      <c r="BG295" s="10">
        <v>640</v>
      </c>
      <c r="BH295" s="10">
        <v>751</v>
      </c>
      <c r="BI295" s="10">
        <v>718</v>
      </c>
      <c r="BJ295" s="10">
        <v>976</v>
      </c>
      <c r="BK295" s="10">
        <v>1414</v>
      </c>
      <c r="BL295" s="10">
        <v>953</v>
      </c>
    </row>
    <row r="296" spans="1:64">
      <c r="A296" s="15">
        <v>227767</v>
      </c>
      <c r="B296" s="14">
        <v>523660</v>
      </c>
      <c r="C296" s="14">
        <v>211</v>
      </c>
      <c r="D296" s="2" t="str">
        <f>HYPERLINK("http://128.120.136.21:8080/binbase-compound/bin/show/227767?db=rtx5","227767")</f>
        <v>227767</v>
      </c>
      <c r="E296" s="2" t="s">
        <v>451</v>
      </c>
      <c r="F296" s="2" t="s">
        <v>57</v>
      </c>
      <c r="G296" s="2" t="s">
        <v>57</v>
      </c>
      <c r="H296" s="10">
        <v>516</v>
      </c>
      <c r="I296" s="10">
        <v>872</v>
      </c>
      <c r="J296" s="10">
        <v>615</v>
      </c>
      <c r="K296" s="10">
        <v>365</v>
      </c>
      <c r="L296" s="10">
        <v>1063</v>
      </c>
      <c r="M296" s="10">
        <v>408</v>
      </c>
      <c r="N296" s="10">
        <v>1442</v>
      </c>
      <c r="O296" s="10">
        <v>787</v>
      </c>
      <c r="P296" s="10">
        <v>469</v>
      </c>
      <c r="Q296" s="10">
        <v>506</v>
      </c>
      <c r="R296" s="10">
        <v>437</v>
      </c>
      <c r="S296" s="10">
        <v>883</v>
      </c>
      <c r="T296" s="10">
        <v>536</v>
      </c>
      <c r="U296" s="10">
        <v>667</v>
      </c>
      <c r="V296" s="10">
        <v>551</v>
      </c>
      <c r="W296" s="10">
        <v>426</v>
      </c>
      <c r="X296" s="10">
        <v>693</v>
      </c>
      <c r="Y296" s="10">
        <v>600</v>
      </c>
      <c r="Z296" s="10">
        <v>273</v>
      </c>
      <c r="AA296" s="10">
        <v>750</v>
      </c>
      <c r="AB296" s="10">
        <v>578</v>
      </c>
      <c r="AC296" s="10">
        <v>391</v>
      </c>
      <c r="AD296" s="10">
        <v>302</v>
      </c>
      <c r="AE296" s="10">
        <v>564</v>
      </c>
      <c r="AF296" s="10">
        <v>557</v>
      </c>
      <c r="AG296" s="10">
        <v>322</v>
      </c>
      <c r="AH296" s="10">
        <v>842</v>
      </c>
      <c r="AI296" s="10">
        <v>480</v>
      </c>
      <c r="AJ296" s="10">
        <v>821</v>
      </c>
      <c r="AK296" s="10">
        <v>1052</v>
      </c>
      <c r="AL296" s="10">
        <v>1088</v>
      </c>
      <c r="AM296" s="10">
        <v>818</v>
      </c>
      <c r="AN296" s="10">
        <v>1428</v>
      </c>
      <c r="AO296" s="10">
        <v>1230</v>
      </c>
      <c r="AP296" s="10">
        <v>1203</v>
      </c>
      <c r="AQ296" s="10">
        <v>1438</v>
      </c>
      <c r="AR296" s="10">
        <v>573</v>
      </c>
      <c r="AS296" s="10">
        <v>581</v>
      </c>
      <c r="AT296" s="10">
        <v>386</v>
      </c>
      <c r="AU296" s="10">
        <v>239</v>
      </c>
      <c r="AV296" s="10">
        <v>757</v>
      </c>
      <c r="AW296" s="10">
        <v>730</v>
      </c>
      <c r="AX296" s="10">
        <v>1252</v>
      </c>
      <c r="AY296" s="10">
        <v>868</v>
      </c>
      <c r="AZ296" s="10">
        <v>943</v>
      </c>
      <c r="BA296" s="10">
        <v>932</v>
      </c>
      <c r="BB296" s="10">
        <v>1003</v>
      </c>
      <c r="BC296" s="10">
        <v>1451</v>
      </c>
      <c r="BD296" s="10">
        <v>778</v>
      </c>
      <c r="BE296" s="10">
        <v>337</v>
      </c>
      <c r="BF296" s="10">
        <v>1499</v>
      </c>
      <c r="BG296" s="10">
        <v>1037</v>
      </c>
      <c r="BH296" s="10">
        <v>905</v>
      </c>
      <c r="BI296" s="10">
        <v>1331</v>
      </c>
      <c r="BJ296" s="10">
        <v>459</v>
      </c>
      <c r="BK296" s="10">
        <v>630</v>
      </c>
      <c r="BL296" s="10">
        <v>956</v>
      </c>
    </row>
    <row r="297" spans="1:64">
      <c r="A297" s="15">
        <v>215978</v>
      </c>
      <c r="B297" s="14">
        <v>301832</v>
      </c>
      <c r="C297" s="14">
        <v>197</v>
      </c>
      <c r="D297" s="2" t="str">
        <f>HYPERLINK("http://128.120.136.21:8080/binbase-compound/bin/show/215978?db=rtx5","215978")</f>
        <v>215978</v>
      </c>
      <c r="E297" s="2" t="s">
        <v>470</v>
      </c>
      <c r="F297" s="2" t="s">
        <v>57</v>
      </c>
      <c r="G297" s="2" t="s">
        <v>57</v>
      </c>
      <c r="H297" s="10">
        <v>190</v>
      </c>
      <c r="I297" s="10">
        <v>387</v>
      </c>
      <c r="J297" s="10">
        <v>528</v>
      </c>
      <c r="K297" s="10">
        <v>380</v>
      </c>
      <c r="L297" s="10">
        <v>488</v>
      </c>
      <c r="M297" s="10">
        <v>209</v>
      </c>
      <c r="N297" s="10">
        <v>543</v>
      </c>
      <c r="O297" s="10">
        <v>446</v>
      </c>
      <c r="P297" s="10">
        <v>263</v>
      </c>
      <c r="Q297" s="10">
        <v>706</v>
      </c>
      <c r="R297" s="10">
        <v>514</v>
      </c>
      <c r="S297" s="10">
        <v>2697</v>
      </c>
      <c r="T297" s="10">
        <v>190</v>
      </c>
      <c r="U297" s="10">
        <v>654</v>
      </c>
      <c r="V297" s="10">
        <v>362</v>
      </c>
      <c r="W297" s="10">
        <v>149</v>
      </c>
      <c r="X297" s="10">
        <v>294</v>
      </c>
      <c r="Y297" s="10">
        <v>316</v>
      </c>
      <c r="Z297" s="10">
        <v>264</v>
      </c>
      <c r="AA297" s="10">
        <v>581</v>
      </c>
      <c r="AB297" s="10">
        <v>831</v>
      </c>
      <c r="AC297" s="10">
        <v>222</v>
      </c>
      <c r="AD297" s="10">
        <v>307</v>
      </c>
      <c r="AE297" s="10">
        <v>283</v>
      </c>
      <c r="AF297" s="10">
        <v>305</v>
      </c>
      <c r="AG297" s="10">
        <v>225</v>
      </c>
      <c r="AH297" s="10">
        <v>760</v>
      </c>
      <c r="AI297" s="10">
        <v>533</v>
      </c>
      <c r="AJ297" s="10">
        <v>641</v>
      </c>
      <c r="AK297" s="10">
        <v>860</v>
      </c>
      <c r="AL297" s="10">
        <v>581</v>
      </c>
      <c r="AM297" s="10">
        <v>395</v>
      </c>
      <c r="AN297" s="10">
        <v>607</v>
      </c>
      <c r="AO297" s="10">
        <v>998</v>
      </c>
      <c r="AP297" s="10">
        <v>516</v>
      </c>
      <c r="AQ297" s="10">
        <v>2225</v>
      </c>
      <c r="AR297" s="10">
        <v>445</v>
      </c>
      <c r="AS297" s="10">
        <v>504</v>
      </c>
      <c r="AT297" s="10">
        <v>595</v>
      </c>
      <c r="AU297" s="10">
        <v>139</v>
      </c>
      <c r="AV297" s="10">
        <v>555</v>
      </c>
      <c r="AW297" s="10">
        <v>701</v>
      </c>
      <c r="AX297" s="10">
        <v>460</v>
      </c>
      <c r="AY297" s="10">
        <v>517</v>
      </c>
      <c r="AZ297" s="10">
        <v>580</v>
      </c>
      <c r="BA297" s="10">
        <v>568</v>
      </c>
      <c r="BB297" s="10">
        <v>341</v>
      </c>
      <c r="BC297" s="10">
        <v>617</v>
      </c>
      <c r="BD297" s="10">
        <v>398</v>
      </c>
      <c r="BE297" s="10">
        <v>394</v>
      </c>
      <c r="BF297" s="10">
        <v>630</v>
      </c>
      <c r="BG297" s="10">
        <v>732</v>
      </c>
      <c r="BH297" s="10">
        <v>561</v>
      </c>
      <c r="BI297" s="10">
        <v>612</v>
      </c>
      <c r="BJ297" s="10">
        <v>326</v>
      </c>
      <c r="BK297" s="10">
        <v>513</v>
      </c>
      <c r="BL297" s="10">
        <v>275</v>
      </c>
    </row>
    <row r="298" spans="1:64">
      <c r="A298" s="15">
        <v>281926</v>
      </c>
      <c r="B298" s="14">
        <v>266383</v>
      </c>
      <c r="C298" s="14">
        <v>227</v>
      </c>
      <c r="D298" s="2" t="str">
        <f>HYPERLINK("http://128.120.136.21:8080/binbase-compound/bin/show/281926?db=rtx5","281926")</f>
        <v>281926</v>
      </c>
      <c r="E298" s="2" t="s">
        <v>391</v>
      </c>
      <c r="F298" s="2" t="s">
        <v>57</v>
      </c>
      <c r="G298" s="2" t="s">
        <v>57</v>
      </c>
      <c r="H298" s="10">
        <v>222</v>
      </c>
      <c r="I298" s="10">
        <v>2554</v>
      </c>
      <c r="J298" s="10">
        <v>1056</v>
      </c>
      <c r="K298" s="10">
        <v>412</v>
      </c>
      <c r="L298" s="10">
        <v>831</v>
      </c>
      <c r="M298" s="10">
        <v>446</v>
      </c>
      <c r="N298" s="10">
        <v>571</v>
      </c>
      <c r="O298" s="10">
        <v>393</v>
      </c>
      <c r="P298" s="10">
        <v>809</v>
      </c>
      <c r="Q298" s="10">
        <v>888</v>
      </c>
      <c r="R298" s="10">
        <v>507</v>
      </c>
      <c r="S298" s="10">
        <v>1898</v>
      </c>
      <c r="T298" s="10">
        <v>631</v>
      </c>
      <c r="U298" s="10">
        <v>1105</v>
      </c>
      <c r="V298" s="10">
        <v>320</v>
      </c>
      <c r="W298" s="10">
        <v>328</v>
      </c>
      <c r="X298" s="10">
        <v>326</v>
      </c>
      <c r="Y298" s="10">
        <v>472</v>
      </c>
      <c r="Z298" s="10">
        <v>406</v>
      </c>
      <c r="AA298" s="10">
        <v>457</v>
      </c>
      <c r="AB298" s="10">
        <v>2338</v>
      </c>
      <c r="AC298" s="10">
        <v>244</v>
      </c>
      <c r="AD298" s="10">
        <v>215</v>
      </c>
      <c r="AE298" s="10">
        <v>626</v>
      </c>
      <c r="AF298" s="10">
        <v>1362</v>
      </c>
      <c r="AG298" s="10">
        <v>394</v>
      </c>
      <c r="AH298" s="10">
        <v>842</v>
      </c>
      <c r="AI298" s="10">
        <v>1479</v>
      </c>
      <c r="AJ298" s="10">
        <v>485</v>
      </c>
      <c r="AK298" s="10">
        <v>546</v>
      </c>
      <c r="AL298" s="10">
        <v>670</v>
      </c>
      <c r="AM298" s="10">
        <v>1241</v>
      </c>
      <c r="AN298" s="10">
        <v>581</v>
      </c>
      <c r="AO298" s="10">
        <v>690</v>
      </c>
      <c r="AP298" s="10">
        <v>1120</v>
      </c>
      <c r="AQ298" s="10">
        <v>5868</v>
      </c>
      <c r="AR298" s="10">
        <v>520</v>
      </c>
      <c r="AS298" s="10">
        <v>577</v>
      </c>
      <c r="AT298" s="10">
        <v>699</v>
      </c>
      <c r="AU298" s="10">
        <v>752</v>
      </c>
      <c r="AV298" s="10">
        <v>148</v>
      </c>
      <c r="AW298" s="10">
        <v>1358</v>
      </c>
      <c r="AX298" s="10">
        <v>769</v>
      </c>
      <c r="AY298" s="10">
        <v>917</v>
      </c>
      <c r="AZ298" s="10">
        <v>503</v>
      </c>
      <c r="BA298" s="10">
        <v>588</v>
      </c>
      <c r="BB298" s="10">
        <v>828</v>
      </c>
      <c r="BC298" s="10">
        <v>910</v>
      </c>
      <c r="BD298" s="10">
        <v>188</v>
      </c>
      <c r="BE298" s="10">
        <v>419</v>
      </c>
      <c r="BF298" s="10">
        <v>345</v>
      </c>
      <c r="BG298" s="10">
        <v>1189</v>
      </c>
      <c r="BH298" s="10">
        <v>420</v>
      </c>
      <c r="BI298" s="10">
        <v>1742</v>
      </c>
      <c r="BJ298" s="10">
        <v>1493</v>
      </c>
      <c r="BK298" s="10">
        <v>610</v>
      </c>
      <c r="BL298" s="10">
        <v>376</v>
      </c>
    </row>
    <row r="299" spans="1:64">
      <c r="A299" s="15">
        <v>204425</v>
      </c>
      <c r="B299" s="14">
        <v>448206</v>
      </c>
      <c r="C299" s="14">
        <v>350</v>
      </c>
      <c r="D299" s="2" t="str">
        <f>HYPERLINK("http://128.120.136.21:8080/binbase-compound/bin/show/204425?db=rtx5","204425")</f>
        <v>204425</v>
      </c>
      <c r="E299" s="2" t="s">
        <v>492</v>
      </c>
      <c r="F299" s="2" t="s">
        <v>57</v>
      </c>
      <c r="G299" s="2" t="s">
        <v>57</v>
      </c>
      <c r="H299" s="10">
        <v>212</v>
      </c>
      <c r="I299" s="10">
        <v>1105</v>
      </c>
      <c r="J299" s="10">
        <v>299</v>
      </c>
      <c r="K299" s="10">
        <v>123</v>
      </c>
      <c r="L299" s="10">
        <v>227</v>
      </c>
      <c r="M299" s="10">
        <v>95</v>
      </c>
      <c r="N299" s="10">
        <v>790</v>
      </c>
      <c r="O299" s="10">
        <v>174</v>
      </c>
      <c r="P299" s="10">
        <v>338</v>
      </c>
      <c r="Q299" s="10">
        <v>456</v>
      </c>
      <c r="R299" s="10">
        <v>415</v>
      </c>
      <c r="S299" s="10">
        <v>1195</v>
      </c>
      <c r="T299" s="10">
        <v>246</v>
      </c>
      <c r="U299" s="10">
        <v>1101</v>
      </c>
      <c r="V299" s="10">
        <v>161</v>
      </c>
      <c r="W299" s="10">
        <v>440</v>
      </c>
      <c r="X299" s="10">
        <v>200</v>
      </c>
      <c r="Y299" s="10">
        <v>174</v>
      </c>
      <c r="Z299" s="10">
        <v>494</v>
      </c>
      <c r="AA299" s="10">
        <v>276</v>
      </c>
      <c r="AB299" s="10">
        <v>914</v>
      </c>
      <c r="AC299" s="10">
        <v>175</v>
      </c>
      <c r="AD299" s="10">
        <v>199</v>
      </c>
      <c r="AE299" s="10">
        <v>305</v>
      </c>
      <c r="AF299" s="10">
        <v>353</v>
      </c>
      <c r="AG299" s="10">
        <v>101</v>
      </c>
      <c r="AH299" s="10">
        <v>625</v>
      </c>
      <c r="AI299" s="10">
        <v>531</v>
      </c>
      <c r="AJ299" s="10">
        <v>706</v>
      </c>
      <c r="AK299" s="10">
        <v>677</v>
      </c>
      <c r="AL299" s="10">
        <v>461</v>
      </c>
      <c r="AM299" s="10">
        <v>312</v>
      </c>
      <c r="AN299" s="10">
        <v>520</v>
      </c>
      <c r="AO299" s="10">
        <v>530</v>
      </c>
      <c r="AP299" s="10">
        <v>306</v>
      </c>
      <c r="AQ299" s="10">
        <v>1278</v>
      </c>
      <c r="AR299" s="10">
        <v>356</v>
      </c>
      <c r="AS299" s="10">
        <v>360</v>
      </c>
      <c r="AT299" s="10">
        <v>556</v>
      </c>
      <c r="AU299" s="10">
        <v>158</v>
      </c>
      <c r="AV299" s="10">
        <v>400</v>
      </c>
      <c r="AW299" s="10">
        <v>507</v>
      </c>
      <c r="AX299" s="10">
        <v>248</v>
      </c>
      <c r="AY299" s="10">
        <v>266</v>
      </c>
      <c r="AZ299" s="10">
        <v>328</v>
      </c>
      <c r="BA299" s="10">
        <v>287</v>
      </c>
      <c r="BB299" s="10">
        <v>260</v>
      </c>
      <c r="BC299" s="10">
        <v>604</v>
      </c>
      <c r="BD299" s="10">
        <v>305</v>
      </c>
      <c r="BE299" s="10">
        <v>299</v>
      </c>
      <c r="BF299" s="10">
        <v>416</v>
      </c>
      <c r="BG299" s="10">
        <v>800</v>
      </c>
      <c r="BH299" s="10">
        <v>282</v>
      </c>
      <c r="BI299" s="10">
        <v>641</v>
      </c>
      <c r="BJ299" s="10">
        <v>315</v>
      </c>
      <c r="BK299" s="10">
        <v>308</v>
      </c>
      <c r="BL299" s="10">
        <v>384</v>
      </c>
    </row>
    <row r="300" spans="1:64">
      <c r="A300" s="15">
        <v>359486</v>
      </c>
      <c r="B300" s="14">
        <v>755645</v>
      </c>
      <c r="C300" s="14">
        <v>144</v>
      </c>
      <c r="D300" s="2" t="str">
        <f>HYPERLINK("http://128.120.136.21:8080/binbase-compound/bin/show/359486?db=rtx5","359486")</f>
        <v>359486</v>
      </c>
      <c r="E300" s="2" t="s">
        <v>345</v>
      </c>
      <c r="F300" s="2" t="s">
        <v>57</v>
      </c>
      <c r="G300" s="2" t="s">
        <v>57</v>
      </c>
      <c r="H300" s="10">
        <v>2015</v>
      </c>
      <c r="I300" s="10">
        <v>1435</v>
      </c>
      <c r="J300" s="10">
        <v>1146</v>
      </c>
      <c r="K300" s="10">
        <v>1234</v>
      </c>
      <c r="L300" s="10">
        <v>1636</v>
      </c>
      <c r="M300" s="10">
        <v>1195</v>
      </c>
      <c r="N300" s="10">
        <v>1878</v>
      </c>
      <c r="O300" s="10">
        <v>1304</v>
      </c>
      <c r="P300" s="10">
        <v>1129</v>
      </c>
      <c r="Q300" s="10">
        <v>1899</v>
      </c>
      <c r="R300" s="10">
        <v>2399</v>
      </c>
      <c r="S300" s="10">
        <v>2120</v>
      </c>
      <c r="T300" s="10">
        <v>1213</v>
      </c>
      <c r="U300" s="10">
        <v>1649</v>
      </c>
      <c r="V300" s="10">
        <v>1237</v>
      </c>
      <c r="W300" s="10">
        <v>1312</v>
      </c>
      <c r="X300" s="10">
        <v>1049</v>
      </c>
      <c r="Y300" s="10">
        <v>1208</v>
      </c>
      <c r="Z300" s="10">
        <v>1391</v>
      </c>
      <c r="AA300" s="10">
        <v>1176</v>
      </c>
      <c r="AB300" s="10">
        <v>998</v>
      </c>
      <c r="AC300" s="10">
        <v>1130</v>
      </c>
      <c r="AD300" s="10">
        <v>1062</v>
      </c>
      <c r="AE300" s="10">
        <v>1257</v>
      </c>
      <c r="AF300" s="10">
        <v>1249</v>
      </c>
      <c r="AG300" s="10">
        <v>1556</v>
      </c>
      <c r="AH300" s="10">
        <v>1290</v>
      </c>
      <c r="AI300" s="10">
        <v>991</v>
      </c>
      <c r="AJ300" s="10">
        <v>451</v>
      </c>
      <c r="AK300" s="10">
        <v>1197</v>
      </c>
      <c r="AL300" s="10">
        <v>790</v>
      </c>
      <c r="AM300" s="10">
        <v>479</v>
      </c>
      <c r="AN300" s="10">
        <v>633</v>
      </c>
      <c r="AO300" s="10">
        <v>942</v>
      </c>
      <c r="AP300" s="10">
        <v>638</v>
      </c>
      <c r="AQ300" s="10">
        <v>847</v>
      </c>
      <c r="AR300" s="10">
        <v>1164</v>
      </c>
      <c r="AS300" s="10">
        <v>1374</v>
      </c>
      <c r="AT300" s="10">
        <v>587</v>
      </c>
      <c r="AU300" s="10">
        <v>1754</v>
      </c>
      <c r="AV300" s="10">
        <v>1136</v>
      </c>
      <c r="AW300" s="10">
        <v>1174</v>
      </c>
      <c r="AX300" s="10">
        <v>1231</v>
      </c>
      <c r="AY300" s="10">
        <v>857</v>
      </c>
      <c r="AZ300" s="10">
        <v>1258</v>
      </c>
      <c r="BA300" s="10">
        <v>684</v>
      </c>
      <c r="BB300" s="10">
        <v>500</v>
      </c>
      <c r="BC300" s="10">
        <v>1125</v>
      </c>
      <c r="BD300" s="10">
        <v>524</v>
      </c>
      <c r="BE300" s="10">
        <v>382</v>
      </c>
      <c r="BF300" s="10">
        <v>1115</v>
      </c>
      <c r="BG300" s="10">
        <v>703</v>
      </c>
      <c r="BH300" s="10">
        <v>516</v>
      </c>
      <c r="BI300" s="10">
        <v>665</v>
      </c>
      <c r="BJ300" s="10">
        <v>727</v>
      </c>
      <c r="BK300" s="10">
        <v>1475</v>
      </c>
      <c r="BL300" s="10">
        <v>1359</v>
      </c>
    </row>
    <row r="301" spans="1:64">
      <c r="A301" s="15">
        <v>241064</v>
      </c>
      <c r="B301" s="14">
        <v>803253</v>
      </c>
      <c r="C301" s="14">
        <v>225</v>
      </c>
      <c r="D301" s="2" t="str">
        <f>HYPERLINK("http://128.120.136.21:8080/binbase-compound/bin/show/241064?db=rtx5","241064")</f>
        <v>241064</v>
      </c>
      <c r="E301" s="2" t="s">
        <v>417</v>
      </c>
      <c r="F301" s="2" t="s">
        <v>57</v>
      </c>
      <c r="G301" s="2" t="s">
        <v>57</v>
      </c>
      <c r="H301" s="10">
        <v>1611</v>
      </c>
      <c r="I301" s="10">
        <v>691</v>
      </c>
      <c r="J301" s="10">
        <v>823</v>
      </c>
      <c r="K301" s="10">
        <v>1145</v>
      </c>
      <c r="L301" s="10">
        <v>674</v>
      </c>
      <c r="M301" s="10">
        <v>1545</v>
      </c>
      <c r="N301" s="10">
        <v>1040</v>
      </c>
      <c r="O301" s="10">
        <v>408</v>
      </c>
      <c r="P301" s="10">
        <v>1272</v>
      </c>
      <c r="Q301" s="10">
        <v>1815</v>
      </c>
      <c r="R301" s="10">
        <v>1997</v>
      </c>
      <c r="S301" s="10">
        <v>2456</v>
      </c>
      <c r="T301" s="10">
        <v>1901</v>
      </c>
      <c r="U301" s="10">
        <v>834</v>
      </c>
      <c r="V301" s="10">
        <v>900</v>
      </c>
      <c r="W301" s="10">
        <v>850</v>
      </c>
      <c r="X301" s="10">
        <v>850</v>
      </c>
      <c r="Y301" s="10">
        <v>1037</v>
      </c>
      <c r="Z301" s="10">
        <v>1413</v>
      </c>
      <c r="AA301" s="10">
        <v>877</v>
      </c>
      <c r="AB301" s="10">
        <v>1146</v>
      </c>
      <c r="AC301" s="10">
        <v>840</v>
      </c>
      <c r="AD301" s="10">
        <v>714</v>
      </c>
      <c r="AE301" s="10">
        <v>1072</v>
      </c>
      <c r="AF301" s="10">
        <v>972</v>
      </c>
      <c r="AG301" s="10">
        <v>1025</v>
      </c>
      <c r="AH301" s="10">
        <v>524</v>
      </c>
      <c r="AI301" s="10">
        <v>1207</v>
      </c>
      <c r="AJ301" s="10">
        <v>1203</v>
      </c>
      <c r="AK301" s="10">
        <v>1056</v>
      </c>
      <c r="AL301" s="10">
        <v>1122</v>
      </c>
      <c r="AM301" s="10">
        <v>828</v>
      </c>
      <c r="AN301" s="10">
        <v>848</v>
      </c>
      <c r="AO301" s="10">
        <v>1131</v>
      </c>
      <c r="AP301" s="10">
        <v>1347</v>
      </c>
      <c r="AQ301" s="10">
        <v>1103</v>
      </c>
      <c r="AR301" s="10">
        <v>871</v>
      </c>
      <c r="AS301" s="10">
        <v>945</v>
      </c>
      <c r="AT301" s="10">
        <v>866</v>
      </c>
      <c r="AU301" s="10">
        <v>2234</v>
      </c>
      <c r="AV301" s="10">
        <v>698</v>
      </c>
      <c r="AW301" s="10">
        <v>1051</v>
      </c>
      <c r="AX301" s="10">
        <v>631</v>
      </c>
      <c r="AY301" s="10">
        <v>1022</v>
      </c>
      <c r="AZ301" s="10">
        <v>597</v>
      </c>
      <c r="BA301" s="10">
        <v>977</v>
      </c>
      <c r="BB301" s="10">
        <v>1063</v>
      </c>
      <c r="BC301" s="10">
        <v>1083</v>
      </c>
      <c r="BD301" s="10">
        <v>1331</v>
      </c>
      <c r="BE301" s="10">
        <v>1356</v>
      </c>
      <c r="BF301" s="10">
        <v>948</v>
      </c>
      <c r="BG301" s="10">
        <v>859</v>
      </c>
      <c r="BH301" s="10">
        <v>925</v>
      </c>
      <c r="BI301" s="10">
        <v>965</v>
      </c>
      <c r="BJ301" s="10">
        <v>1188</v>
      </c>
      <c r="BK301" s="10">
        <v>1559</v>
      </c>
      <c r="BL301" s="10">
        <v>1569</v>
      </c>
    </row>
    <row r="302" spans="1:64">
      <c r="A302" s="15">
        <v>273745</v>
      </c>
      <c r="B302" s="14">
        <v>317543</v>
      </c>
      <c r="C302" s="14">
        <v>211</v>
      </c>
      <c r="D302" s="2" t="str">
        <f>HYPERLINK("http://128.120.136.21:8080/binbase-compound/bin/show/273745?db=rtx5","273745")</f>
        <v>273745</v>
      </c>
      <c r="E302" s="2" t="s">
        <v>395</v>
      </c>
      <c r="F302" s="2" t="s">
        <v>57</v>
      </c>
      <c r="G302" s="2" t="s">
        <v>57</v>
      </c>
      <c r="H302" s="10">
        <v>4153</v>
      </c>
      <c r="I302" s="10">
        <v>424</v>
      </c>
      <c r="J302" s="10">
        <v>295</v>
      </c>
      <c r="K302" s="10">
        <v>3134</v>
      </c>
      <c r="L302" s="10">
        <v>91</v>
      </c>
      <c r="M302" s="10">
        <v>1195</v>
      </c>
      <c r="N302" s="10">
        <v>383</v>
      </c>
      <c r="O302" s="10">
        <v>517</v>
      </c>
      <c r="P302" s="10">
        <v>2117</v>
      </c>
      <c r="Q302" s="10">
        <v>357</v>
      </c>
      <c r="R302" s="10">
        <v>200</v>
      </c>
      <c r="S302" s="10">
        <v>901</v>
      </c>
      <c r="T302" s="10">
        <v>2986</v>
      </c>
      <c r="U302" s="10">
        <v>512</v>
      </c>
      <c r="V302" s="10">
        <v>2146</v>
      </c>
      <c r="W302" s="10">
        <v>318</v>
      </c>
      <c r="X302" s="10">
        <v>19783</v>
      </c>
      <c r="Y302" s="10">
        <v>721</v>
      </c>
      <c r="Z302" s="10">
        <v>112</v>
      </c>
      <c r="AA302" s="10">
        <v>187</v>
      </c>
      <c r="AB302" s="10">
        <v>360</v>
      </c>
      <c r="AC302" s="10">
        <v>401</v>
      </c>
      <c r="AD302" s="10">
        <v>162</v>
      </c>
      <c r="AE302" s="10">
        <v>19925</v>
      </c>
      <c r="AF302" s="10">
        <v>376</v>
      </c>
      <c r="AG302" s="10">
        <v>21579</v>
      </c>
      <c r="AH302" s="10">
        <v>428</v>
      </c>
      <c r="AI302" s="10">
        <v>443</v>
      </c>
      <c r="AJ302" s="10">
        <v>371</v>
      </c>
      <c r="AK302" s="10">
        <v>195</v>
      </c>
      <c r="AL302" s="10">
        <v>342</v>
      </c>
      <c r="AM302" s="10">
        <v>371</v>
      </c>
      <c r="AN302" s="10">
        <v>239</v>
      </c>
      <c r="AO302" s="10">
        <v>327</v>
      </c>
      <c r="AP302" s="10">
        <v>341</v>
      </c>
      <c r="AQ302" s="10">
        <v>567</v>
      </c>
      <c r="AR302" s="10">
        <v>373</v>
      </c>
      <c r="AS302" s="10">
        <v>209</v>
      </c>
      <c r="AT302" s="10">
        <v>264</v>
      </c>
      <c r="AU302" s="10">
        <v>217</v>
      </c>
      <c r="AV302" s="10">
        <v>383</v>
      </c>
      <c r="AW302" s="10">
        <v>571</v>
      </c>
      <c r="AX302" s="10">
        <v>448</v>
      </c>
      <c r="AY302" s="10">
        <v>310</v>
      </c>
      <c r="AZ302" s="10">
        <v>449</v>
      </c>
      <c r="BA302" s="10">
        <v>139</v>
      </c>
      <c r="BB302" s="10">
        <v>286</v>
      </c>
      <c r="BC302" s="10">
        <v>656</v>
      </c>
      <c r="BD302" s="10">
        <v>295</v>
      </c>
      <c r="BE302" s="10">
        <v>281</v>
      </c>
      <c r="BF302" s="10">
        <v>588</v>
      </c>
      <c r="BG302" s="10">
        <v>646</v>
      </c>
      <c r="BH302" s="10">
        <v>327</v>
      </c>
      <c r="BI302" s="10">
        <v>468</v>
      </c>
      <c r="BJ302" s="10">
        <v>418</v>
      </c>
      <c r="BK302" s="10">
        <v>321</v>
      </c>
      <c r="BL302" s="10">
        <v>168</v>
      </c>
    </row>
    <row r="303" spans="1:64">
      <c r="A303" s="15">
        <v>212251</v>
      </c>
      <c r="B303" s="14">
        <v>888557</v>
      </c>
      <c r="C303" s="14">
        <v>387</v>
      </c>
      <c r="D303" s="2" t="str">
        <f>HYPERLINK("http://128.120.136.21:8080/binbase-compound/bin/show/212251?db=rtx5","212251")</f>
        <v>212251</v>
      </c>
      <c r="E303" s="2" t="s">
        <v>482</v>
      </c>
      <c r="F303" s="2" t="s">
        <v>57</v>
      </c>
      <c r="G303" s="2" t="s">
        <v>57</v>
      </c>
      <c r="H303" s="10">
        <v>1419</v>
      </c>
      <c r="I303" s="10">
        <v>519</v>
      </c>
      <c r="J303" s="10">
        <v>644</v>
      </c>
      <c r="K303" s="10">
        <v>853</v>
      </c>
      <c r="L303" s="10">
        <v>607</v>
      </c>
      <c r="M303" s="10">
        <v>367</v>
      </c>
      <c r="N303" s="10">
        <v>829</v>
      </c>
      <c r="O303" s="10">
        <v>854</v>
      </c>
      <c r="P303" s="10">
        <v>544</v>
      </c>
      <c r="Q303" s="10">
        <v>198</v>
      </c>
      <c r="R303" s="10">
        <v>143</v>
      </c>
      <c r="S303" s="10">
        <v>673</v>
      </c>
      <c r="T303" s="10">
        <v>695</v>
      </c>
      <c r="U303" s="10">
        <v>734</v>
      </c>
      <c r="V303" s="10">
        <v>679</v>
      </c>
      <c r="W303" s="10">
        <v>518</v>
      </c>
      <c r="X303" s="10">
        <v>275</v>
      </c>
      <c r="Y303" s="10">
        <v>264</v>
      </c>
      <c r="Z303" s="10">
        <v>754</v>
      </c>
      <c r="AA303" s="10">
        <v>624</v>
      </c>
      <c r="AB303" s="10">
        <v>439</v>
      </c>
      <c r="AC303" s="10">
        <v>739</v>
      </c>
      <c r="AD303" s="10">
        <v>702</v>
      </c>
      <c r="AE303" s="10">
        <v>399</v>
      </c>
      <c r="AF303" s="10">
        <v>612</v>
      </c>
      <c r="AG303" s="10">
        <v>345</v>
      </c>
      <c r="AH303" s="10">
        <v>693</v>
      </c>
      <c r="AI303" s="10">
        <v>1113</v>
      </c>
      <c r="AJ303" s="10">
        <v>1450</v>
      </c>
      <c r="AK303" s="10">
        <v>787</v>
      </c>
      <c r="AL303" s="10">
        <v>982</v>
      </c>
      <c r="AM303" s="10">
        <v>584</v>
      </c>
      <c r="AN303" s="10">
        <v>1188</v>
      </c>
      <c r="AO303" s="10">
        <v>1955</v>
      </c>
      <c r="AP303" s="10">
        <v>697</v>
      </c>
      <c r="AQ303" s="10">
        <v>1079</v>
      </c>
      <c r="AR303" s="10">
        <v>1095</v>
      </c>
      <c r="AS303" s="10">
        <v>1134</v>
      </c>
      <c r="AT303" s="10">
        <v>1006</v>
      </c>
      <c r="AU303" s="10">
        <v>335</v>
      </c>
      <c r="AV303" s="10">
        <v>1282</v>
      </c>
      <c r="AW303" s="10">
        <v>431</v>
      </c>
      <c r="AX303" s="10">
        <v>576</v>
      </c>
      <c r="AY303" s="10">
        <v>1691</v>
      </c>
      <c r="AZ303" s="10">
        <v>874</v>
      </c>
      <c r="BA303" s="10">
        <v>204</v>
      </c>
      <c r="BB303" s="10">
        <v>1012</v>
      </c>
      <c r="BC303" s="10">
        <v>1223</v>
      </c>
      <c r="BD303" s="10">
        <v>1200</v>
      </c>
      <c r="BE303" s="10">
        <v>1323</v>
      </c>
      <c r="BF303" s="10">
        <v>1553</v>
      </c>
      <c r="BG303" s="10">
        <v>1475</v>
      </c>
      <c r="BH303" s="10">
        <v>1210</v>
      </c>
      <c r="BI303" s="10">
        <v>1870</v>
      </c>
      <c r="BJ303" s="10">
        <v>211</v>
      </c>
      <c r="BK303" s="10">
        <v>1114</v>
      </c>
      <c r="BL303" s="10">
        <v>856</v>
      </c>
    </row>
    <row r="304" spans="1:64">
      <c r="A304" s="15">
        <v>446665</v>
      </c>
      <c r="B304" s="14">
        <v>192146</v>
      </c>
      <c r="C304" s="14">
        <v>168</v>
      </c>
      <c r="D304" s="2" t="str">
        <f>HYPERLINK("http://128.120.136.21:8080/binbase-compound/bin/show/446665?db=rtx5","446665")</f>
        <v>446665</v>
      </c>
      <c r="E304" s="2" t="s">
        <v>283</v>
      </c>
      <c r="F304" s="2" t="s">
        <v>57</v>
      </c>
      <c r="G304" s="2" t="s">
        <v>57</v>
      </c>
      <c r="H304" s="10">
        <v>129</v>
      </c>
      <c r="I304" s="10">
        <v>887</v>
      </c>
      <c r="J304" s="10">
        <v>1014</v>
      </c>
      <c r="K304" s="10">
        <v>291</v>
      </c>
      <c r="L304" s="10">
        <v>1055</v>
      </c>
      <c r="M304" s="10">
        <v>558</v>
      </c>
      <c r="N304" s="10">
        <v>1502</v>
      </c>
      <c r="O304" s="10">
        <v>409</v>
      </c>
      <c r="P304" s="10">
        <v>527</v>
      </c>
      <c r="Q304" s="10">
        <v>1780</v>
      </c>
      <c r="R304" s="10">
        <v>1041</v>
      </c>
      <c r="S304" s="10">
        <v>1357</v>
      </c>
      <c r="T304" s="10">
        <v>385</v>
      </c>
      <c r="U304" s="10">
        <v>978</v>
      </c>
      <c r="V304" s="10">
        <v>147</v>
      </c>
      <c r="W304" s="10">
        <v>562</v>
      </c>
      <c r="X304" s="10">
        <v>290</v>
      </c>
      <c r="Y304" s="10">
        <v>253</v>
      </c>
      <c r="Z304" s="10">
        <v>613</v>
      </c>
      <c r="AA304" s="10">
        <v>905</v>
      </c>
      <c r="AB304" s="10">
        <v>1083</v>
      </c>
      <c r="AC304" s="10">
        <v>511</v>
      </c>
      <c r="AD304" s="10">
        <v>80</v>
      </c>
      <c r="AE304" s="10">
        <v>521</v>
      </c>
      <c r="AF304" s="10">
        <v>803</v>
      </c>
      <c r="AG304" s="10">
        <v>589</v>
      </c>
      <c r="AH304" s="10">
        <v>1470</v>
      </c>
      <c r="AI304" s="10">
        <v>1244</v>
      </c>
      <c r="AJ304" s="10">
        <v>1046</v>
      </c>
      <c r="AK304" s="10">
        <v>1623</v>
      </c>
      <c r="AL304" s="10">
        <v>1349</v>
      </c>
      <c r="AM304" s="10">
        <v>585</v>
      </c>
      <c r="AN304" s="10">
        <v>591</v>
      </c>
      <c r="AO304" s="10">
        <v>1359</v>
      </c>
      <c r="AP304" s="10">
        <v>1129</v>
      </c>
      <c r="AQ304" s="10">
        <v>4139</v>
      </c>
      <c r="AR304" s="10">
        <v>815</v>
      </c>
      <c r="AS304" s="10">
        <v>485</v>
      </c>
      <c r="AT304" s="10">
        <v>1144</v>
      </c>
      <c r="AU304" s="10">
        <v>278</v>
      </c>
      <c r="AV304" s="10">
        <v>1616</v>
      </c>
      <c r="AW304" s="10">
        <v>904</v>
      </c>
      <c r="AX304" s="10">
        <v>1241</v>
      </c>
      <c r="AY304" s="10">
        <v>1020</v>
      </c>
      <c r="AZ304" s="10">
        <v>1181</v>
      </c>
      <c r="BA304" s="10">
        <v>377</v>
      </c>
      <c r="BB304" s="10">
        <v>905</v>
      </c>
      <c r="BC304" s="10">
        <v>1474</v>
      </c>
      <c r="BD304" s="10">
        <v>891</v>
      </c>
      <c r="BE304" s="10">
        <v>1123</v>
      </c>
      <c r="BF304" s="10">
        <v>1403</v>
      </c>
      <c r="BG304" s="10">
        <v>2213</v>
      </c>
      <c r="BH304" s="10">
        <v>927</v>
      </c>
      <c r="BI304" s="10">
        <v>1416</v>
      </c>
      <c r="BJ304" s="10">
        <v>975</v>
      </c>
      <c r="BK304" s="10">
        <v>1419</v>
      </c>
      <c r="BL304" s="10">
        <v>785</v>
      </c>
    </row>
    <row r="305" spans="1:64">
      <c r="A305" s="15">
        <v>239375</v>
      </c>
      <c r="B305" s="14">
        <v>643029</v>
      </c>
      <c r="C305" s="14">
        <v>226</v>
      </c>
      <c r="D305" s="2" t="str">
        <f>HYPERLINK("http://128.120.136.21:8080/binbase-compound/bin/show/239375?db=rtx5","239375")</f>
        <v>239375</v>
      </c>
      <c r="E305" s="2" t="s">
        <v>422</v>
      </c>
      <c r="F305" s="2" t="s">
        <v>57</v>
      </c>
      <c r="G305" s="2" t="s">
        <v>57</v>
      </c>
      <c r="H305" s="10">
        <v>893</v>
      </c>
      <c r="I305" s="10">
        <v>343</v>
      </c>
      <c r="J305" s="10">
        <v>242</v>
      </c>
      <c r="K305" s="10">
        <v>582</v>
      </c>
      <c r="L305" s="10">
        <v>413</v>
      </c>
      <c r="M305" s="10">
        <v>1083</v>
      </c>
      <c r="N305" s="10">
        <v>643</v>
      </c>
      <c r="O305" s="10">
        <v>724</v>
      </c>
      <c r="P305" s="10">
        <v>787</v>
      </c>
      <c r="Q305" s="10">
        <v>1203</v>
      </c>
      <c r="R305" s="10">
        <v>1413</v>
      </c>
      <c r="S305" s="10">
        <v>1513</v>
      </c>
      <c r="T305" s="10">
        <v>1004</v>
      </c>
      <c r="U305" s="10">
        <v>466</v>
      </c>
      <c r="V305" s="10">
        <v>653</v>
      </c>
      <c r="W305" s="10">
        <v>549</v>
      </c>
      <c r="X305" s="10">
        <v>533</v>
      </c>
      <c r="Y305" s="10">
        <v>747</v>
      </c>
      <c r="Z305" s="10">
        <v>861</v>
      </c>
      <c r="AA305" s="10">
        <v>561</v>
      </c>
      <c r="AB305" s="10">
        <v>330</v>
      </c>
      <c r="AC305" s="10">
        <v>561</v>
      </c>
      <c r="AD305" s="10">
        <v>436</v>
      </c>
      <c r="AE305" s="10">
        <v>573</v>
      </c>
      <c r="AF305" s="10">
        <v>555</v>
      </c>
      <c r="AG305" s="10">
        <v>668</v>
      </c>
      <c r="AH305" s="10">
        <v>406</v>
      </c>
      <c r="AI305" s="10">
        <v>643</v>
      </c>
      <c r="AJ305" s="10">
        <v>695</v>
      </c>
      <c r="AK305" s="10">
        <v>677</v>
      </c>
      <c r="AL305" s="10">
        <v>746</v>
      </c>
      <c r="AM305" s="10">
        <v>607</v>
      </c>
      <c r="AN305" s="10">
        <v>569</v>
      </c>
      <c r="AO305" s="10">
        <v>565</v>
      </c>
      <c r="AP305" s="10">
        <v>620</v>
      </c>
      <c r="AQ305" s="10">
        <v>659</v>
      </c>
      <c r="AR305" s="10">
        <v>687</v>
      </c>
      <c r="AS305" s="10">
        <v>507</v>
      </c>
      <c r="AT305" s="10">
        <v>520</v>
      </c>
      <c r="AU305" s="10">
        <v>1027</v>
      </c>
      <c r="AV305" s="10">
        <v>460</v>
      </c>
      <c r="AW305" s="10">
        <v>553</v>
      </c>
      <c r="AX305" s="10">
        <v>160</v>
      </c>
      <c r="AY305" s="10">
        <v>325</v>
      </c>
      <c r="AZ305" s="10">
        <v>367</v>
      </c>
      <c r="BA305" s="10">
        <v>538</v>
      </c>
      <c r="BB305" s="10">
        <v>739</v>
      </c>
      <c r="BC305" s="10">
        <v>655</v>
      </c>
      <c r="BD305" s="10">
        <v>790</v>
      </c>
      <c r="BE305" s="10">
        <v>748</v>
      </c>
      <c r="BF305" s="10">
        <v>590</v>
      </c>
      <c r="BG305" s="10">
        <v>511</v>
      </c>
      <c r="BH305" s="10">
        <v>584</v>
      </c>
      <c r="BI305" s="10">
        <v>500</v>
      </c>
      <c r="BJ305" s="10">
        <v>766</v>
      </c>
      <c r="BK305" s="10">
        <v>849</v>
      </c>
      <c r="BL305" s="10">
        <v>820</v>
      </c>
    </row>
    <row r="306" spans="1:64">
      <c r="A306" s="15">
        <v>223717</v>
      </c>
      <c r="B306" s="14">
        <v>477769</v>
      </c>
      <c r="C306" s="14">
        <v>155</v>
      </c>
      <c r="D306" s="2" t="str">
        <f>HYPERLINK("http://128.120.136.21:8080/binbase-compound/bin/show/223717?db=rtx5","223717")</f>
        <v>223717</v>
      </c>
      <c r="E306" s="2" t="s">
        <v>461</v>
      </c>
      <c r="F306" s="2" t="s">
        <v>57</v>
      </c>
      <c r="G306" s="2" t="s">
        <v>57</v>
      </c>
      <c r="H306" s="10">
        <v>1273</v>
      </c>
      <c r="I306" s="10">
        <v>1656</v>
      </c>
      <c r="J306" s="10">
        <v>2721</v>
      </c>
      <c r="K306" s="10">
        <v>665</v>
      </c>
      <c r="L306" s="10">
        <v>998</v>
      </c>
      <c r="M306" s="10">
        <v>588</v>
      </c>
      <c r="N306" s="10">
        <v>1096</v>
      </c>
      <c r="O306" s="10">
        <v>611</v>
      </c>
      <c r="P306" s="10">
        <v>971</v>
      </c>
      <c r="Q306" s="10">
        <v>2282</v>
      </c>
      <c r="R306" s="10">
        <v>321</v>
      </c>
      <c r="S306" s="10">
        <v>10162</v>
      </c>
      <c r="T306" s="10">
        <v>1294</v>
      </c>
      <c r="U306" s="10">
        <v>1050</v>
      </c>
      <c r="V306" s="10">
        <v>1986</v>
      </c>
      <c r="W306" s="10">
        <v>438</v>
      </c>
      <c r="X306" s="10">
        <v>970</v>
      </c>
      <c r="Y306" s="10">
        <v>387</v>
      </c>
      <c r="Z306" s="10">
        <v>510</v>
      </c>
      <c r="AA306" s="10">
        <v>1186</v>
      </c>
      <c r="AB306" s="10">
        <v>1235</v>
      </c>
      <c r="AC306" s="10">
        <v>595</v>
      </c>
      <c r="AD306" s="10">
        <v>2554</v>
      </c>
      <c r="AE306" s="10">
        <v>345</v>
      </c>
      <c r="AF306" s="10">
        <v>2581</v>
      </c>
      <c r="AG306" s="10">
        <v>524</v>
      </c>
      <c r="AH306" s="10">
        <v>8089</v>
      </c>
      <c r="AI306" s="10">
        <v>1890</v>
      </c>
      <c r="AJ306" s="10">
        <v>1763</v>
      </c>
      <c r="AK306" s="10">
        <v>1980</v>
      </c>
      <c r="AL306" s="10">
        <v>2545</v>
      </c>
      <c r="AM306" s="10">
        <v>1167</v>
      </c>
      <c r="AN306" s="10">
        <v>739</v>
      </c>
      <c r="AO306" s="10">
        <v>2479</v>
      </c>
      <c r="AP306" s="10">
        <v>2650</v>
      </c>
      <c r="AQ306" s="10">
        <v>4674</v>
      </c>
      <c r="AR306" s="10">
        <v>4317</v>
      </c>
      <c r="AS306" s="10">
        <v>7091</v>
      </c>
      <c r="AT306" s="10">
        <v>1215</v>
      </c>
      <c r="AU306" s="10">
        <v>430</v>
      </c>
      <c r="AV306" s="10">
        <v>1260</v>
      </c>
      <c r="AW306" s="10">
        <v>743</v>
      </c>
      <c r="AX306" s="10">
        <v>825</v>
      </c>
      <c r="AY306" s="10">
        <v>705</v>
      </c>
      <c r="AZ306" s="10">
        <v>834</v>
      </c>
      <c r="BA306" s="10">
        <v>1060</v>
      </c>
      <c r="BB306" s="10">
        <v>1383</v>
      </c>
      <c r="BC306" s="10">
        <v>2507</v>
      </c>
      <c r="BD306" s="10">
        <v>2657</v>
      </c>
      <c r="BE306" s="10">
        <v>588</v>
      </c>
      <c r="BF306" s="10">
        <v>2153</v>
      </c>
      <c r="BG306" s="10">
        <v>3900</v>
      </c>
      <c r="BH306" s="10">
        <v>4783</v>
      </c>
      <c r="BI306" s="10">
        <v>2410</v>
      </c>
      <c r="BJ306" s="10">
        <v>747</v>
      </c>
      <c r="BK306" s="10">
        <v>1631</v>
      </c>
      <c r="BL306" s="10">
        <v>714</v>
      </c>
    </row>
    <row r="307" spans="1:64">
      <c r="A307" s="15">
        <v>362075</v>
      </c>
      <c r="B307" s="14">
        <v>778435</v>
      </c>
      <c r="C307" s="14">
        <v>204</v>
      </c>
      <c r="D307" s="2" t="str">
        <f>HYPERLINK("http://128.120.136.21:8080/binbase-compound/bin/show/362075?db=rtx5","362075")</f>
        <v>362075</v>
      </c>
      <c r="E307" s="2" t="s">
        <v>338</v>
      </c>
      <c r="F307" s="2" t="s">
        <v>57</v>
      </c>
      <c r="G307" s="2" t="s">
        <v>57</v>
      </c>
      <c r="H307" s="10">
        <v>1167</v>
      </c>
      <c r="I307" s="10">
        <v>436</v>
      </c>
      <c r="J307" s="10">
        <v>274</v>
      </c>
      <c r="K307" s="10">
        <v>308</v>
      </c>
      <c r="L307" s="10">
        <v>457</v>
      </c>
      <c r="M307" s="10">
        <v>660</v>
      </c>
      <c r="N307" s="10">
        <v>835</v>
      </c>
      <c r="O307" s="10">
        <v>479</v>
      </c>
      <c r="P307" s="10">
        <v>1350</v>
      </c>
      <c r="Q307" s="10">
        <v>2715</v>
      </c>
      <c r="R307" s="10">
        <v>1251</v>
      </c>
      <c r="S307" s="10">
        <v>474</v>
      </c>
      <c r="T307" s="10">
        <v>715</v>
      </c>
      <c r="U307" s="10">
        <v>436</v>
      </c>
      <c r="V307" s="10">
        <v>453</v>
      </c>
      <c r="W307" s="10">
        <v>600</v>
      </c>
      <c r="X307" s="10">
        <v>500</v>
      </c>
      <c r="Y307" s="10">
        <v>418</v>
      </c>
      <c r="Z307" s="10">
        <v>922</v>
      </c>
      <c r="AA307" s="10">
        <v>349</v>
      </c>
      <c r="AB307" s="10">
        <v>227</v>
      </c>
      <c r="AC307" s="10">
        <v>424</v>
      </c>
      <c r="AD307" s="10">
        <v>369</v>
      </c>
      <c r="AE307" s="10">
        <v>637</v>
      </c>
      <c r="AF307" s="10">
        <v>608</v>
      </c>
      <c r="AG307" s="10">
        <v>746</v>
      </c>
      <c r="AH307" s="10">
        <v>586</v>
      </c>
      <c r="AI307" s="10">
        <v>598</v>
      </c>
      <c r="AJ307" s="10">
        <v>399</v>
      </c>
      <c r="AK307" s="10">
        <v>518</v>
      </c>
      <c r="AL307" s="10">
        <v>437</v>
      </c>
      <c r="AM307" s="10">
        <v>145</v>
      </c>
      <c r="AN307" s="10">
        <v>97</v>
      </c>
      <c r="AO307" s="10">
        <v>365</v>
      </c>
      <c r="AP307" s="10">
        <v>282</v>
      </c>
      <c r="AQ307" s="10">
        <v>579</v>
      </c>
      <c r="AR307" s="10">
        <v>548</v>
      </c>
      <c r="AS307" s="10">
        <v>533</v>
      </c>
      <c r="AT307" s="10">
        <v>345</v>
      </c>
      <c r="AU307" s="10">
        <v>831</v>
      </c>
      <c r="AV307" s="10">
        <v>436</v>
      </c>
      <c r="AW307" s="10">
        <v>552</v>
      </c>
      <c r="AX307" s="10">
        <v>654</v>
      </c>
      <c r="AY307" s="10">
        <v>252</v>
      </c>
      <c r="AZ307" s="10">
        <v>450</v>
      </c>
      <c r="BA307" s="10">
        <v>355</v>
      </c>
      <c r="BB307" s="10">
        <v>320</v>
      </c>
      <c r="BC307" s="10">
        <v>408</v>
      </c>
      <c r="BD307" s="10">
        <v>362</v>
      </c>
      <c r="BE307" s="10">
        <v>357</v>
      </c>
      <c r="BF307" s="10">
        <v>517</v>
      </c>
      <c r="BG307" s="10">
        <v>537</v>
      </c>
      <c r="BH307" s="10">
        <v>322</v>
      </c>
      <c r="BI307" s="10">
        <v>600</v>
      </c>
      <c r="BJ307" s="10">
        <v>387</v>
      </c>
      <c r="BK307" s="10">
        <v>792</v>
      </c>
      <c r="BL307" s="10">
        <v>481</v>
      </c>
    </row>
    <row r="308" spans="1:64">
      <c r="A308" s="15">
        <v>300109</v>
      </c>
      <c r="B308" s="14">
        <v>468378</v>
      </c>
      <c r="C308" s="14">
        <v>85</v>
      </c>
      <c r="D308" s="2" t="str">
        <f>HYPERLINK("http://128.120.136.21:8080/binbase-compound/bin/show/300109?db=rtx5","300109")</f>
        <v>300109</v>
      </c>
      <c r="E308" s="2" t="s">
        <v>378</v>
      </c>
      <c r="F308" s="2" t="s">
        <v>57</v>
      </c>
      <c r="G308" s="2" t="s">
        <v>57</v>
      </c>
      <c r="H308" s="10">
        <v>4360</v>
      </c>
      <c r="I308" s="10">
        <v>2876</v>
      </c>
      <c r="J308" s="10">
        <v>4149</v>
      </c>
      <c r="K308" s="10">
        <v>1830</v>
      </c>
      <c r="L308" s="10">
        <v>1378</v>
      </c>
      <c r="M308" s="10">
        <v>1006</v>
      </c>
      <c r="N308" s="10">
        <v>2287</v>
      </c>
      <c r="O308" s="10">
        <v>3469</v>
      </c>
      <c r="P308" s="10">
        <v>1048</v>
      </c>
      <c r="Q308" s="10">
        <v>3171</v>
      </c>
      <c r="R308" s="10">
        <v>856</v>
      </c>
      <c r="S308" s="10">
        <v>27633</v>
      </c>
      <c r="T308" s="10">
        <v>1909</v>
      </c>
      <c r="U308" s="10">
        <v>4602</v>
      </c>
      <c r="V308" s="10">
        <v>1040</v>
      </c>
      <c r="W308" s="10">
        <v>1032</v>
      </c>
      <c r="X308" s="10">
        <v>1296</v>
      </c>
      <c r="Y308" s="10">
        <v>1763</v>
      </c>
      <c r="Z308" s="10">
        <v>1261</v>
      </c>
      <c r="AA308" s="10">
        <v>1682</v>
      </c>
      <c r="AB308" s="10">
        <v>3016</v>
      </c>
      <c r="AC308" s="10">
        <v>1190</v>
      </c>
      <c r="AD308" s="10">
        <v>1239</v>
      </c>
      <c r="AE308" s="10">
        <v>865</v>
      </c>
      <c r="AF308" s="10">
        <v>567</v>
      </c>
      <c r="AG308" s="10">
        <v>2146</v>
      </c>
      <c r="AH308" s="10">
        <v>1064</v>
      </c>
      <c r="AI308" s="10">
        <v>1829</v>
      </c>
      <c r="AJ308" s="10">
        <v>2102</v>
      </c>
      <c r="AK308" s="10">
        <v>3646</v>
      </c>
      <c r="AL308" s="10">
        <v>4047</v>
      </c>
      <c r="AM308" s="10">
        <v>768</v>
      </c>
      <c r="AN308" s="10">
        <v>1906</v>
      </c>
      <c r="AO308" s="10">
        <v>1373</v>
      </c>
      <c r="AP308" s="10">
        <v>2308</v>
      </c>
      <c r="AQ308" s="10">
        <v>6859</v>
      </c>
      <c r="AR308" s="10">
        <v>1022</v>
      </c>
      <c r="AS308" s="10">
        <v>1612</v>
      </c>
      <c r="AT308" s="10">
        <v>3567</v>
      </c>
      <c r="AU308" s="10">
        <v>1140</v>
      </c>
      <c r="AV308" s="10">
        <v>5106</v>
      </c>
      <c r="AW308" s="10">
        <v>3837</v>
      </c>
      <c r="AX308" s="10">
        <v>2948</v>
      </c>
      <c r="AY308" s="10">
        <v>1008</v>
      </c>
      <c r="AZ308" s="10">
        <v>1795</v>
      </c>
      <c r="BA308" s="10">
        <v>1903</v>
      </c>
      <c r="BB308" s="10">
        <v>2739</v>
      </c>
      <c r="BC308" s="10">
        <v>2977</v>
      </c>
      <c r="BD308" s="10">
        <v>2113</v>
      </c>
      <c r="BE308" s="10">
        <v>2705</v>
      </c>
      <c r="BF308" s="10">
        <v>2389</v>
      </c>
      <c r="BG308" s="10">
        <v>1667</v>
      </c>
      <c r="BH308" s="10">
        <v>580</v>
      </c>
      <c r="BI308" s="10">
        <v>2494</v>
      </c>
      <c r="BJ308" s="10">
        <v>1230</v>
      </c>
      <c r="BK308" s="10">
        <v>1490</v>
      </c>
      <c r="BL308" s="10">
        <v>1611</v>
      </c>
    </row>
    <row r="309" spans="1:64">
      <c r="A309" s="15">
        <v>322652</v>
      </c>
      <c r="B309" s="14">
        <v>594784</v>
      </c>
      <c r="C309" s="14">
        <v>116</v>
      </c>
      <c r="D309" s="2" t="str">
        <f>HYPERLINK("http://128.120.136.21:8080/binbase-compound/bin/show/322652?db=rtx5","322652")</f>
        <v>322652</v>
      </c>
      <c r="E309" s="2" t="s">
        <v>359</v>
      </c>
      <c r="F309" s="2" t="s">
        <v>57</v>
      </c>
      <c r="G309" s="2" t="s">
        <v>57</v>
      </c>
      <c r="H309" s="10">
        <v>808</v>
      </c>
      <c r="I309" s="10">
        <v>1243</v>
      </c>
      <c r="J309" s="10">
        <v>1115</v>
      </c>
      <c r="K309" s="10">
        <v>857</v>
      </c>
      <c r="L309" s="10">
        <v>440</v>
      </c>
      <c r="M309" s="10">
        <v>797</v>
      </c>
      <c r="N309" s="10">
        <v>163</v>
      </c>
      <c r="O309" s="10">
        <v>1009</v>
      </c>
      <c r="P309" s="10">
        <v>848</v>
      </c>
      <c r="Q309" s="10">
        <v>1041</v>
      </c>
      <c r="R309" s="10">
        <v>712</v>
      </c>
      <c r="S309" s="10">
        <v>3525</v>
      </c>
      <c r="T309" s="10">
        <v>415</v>
      </c>
      <c r="U309" s="10">
        <v>906</v>
      </c>
      <c r="V309" s="10">
        <v>1371</v>
      </c>
      <c r="W309" s="10">
        <v>820</v>
      </c>
      <c r="X309" s="10">
        <v>930</v>
      </c>
      <c r="Y309" s="10">
        <v>1055</v>
      </c>
      <c r="Z309" s="10">
        <v>639</v>
      </c>
      <c r="AA309" s="10">
        <v>1333</v>
      </c>
      <c r="AB309" s="10">
        <v>934</v>
      </c>
      <c r="AC309" s="10">
        <v>776</v>
      </c>
      <c r="AD309" s="10">
        <v>943</v>
      </c>
      <c r="AE309" s="10">
        <v>462</v>
      </c>
      <c r="AF309" s="10">
        <v>712</v>
      </c>
      <c r="AG309" s="10">
        <v>890</v>
      </c>
      <c r="AH309" s="10">
        <v>2163</v>
      </c>
      <c r="AI309" s="10">
        <v>1099</v>
      </c>
      <c r="AJ309" s="10">
        <v>1368</v>
      </c>
      <c r="AK309" s="10">
        <v>1736</v>
      </c>
      <c r="AL309" s="10">
        <v>1175</v>
      </c>
      <c r="AM309" s="10">
        <v>577</v>
      </c>
      <c r="AN309" s="10">
        <v>1390</v>
      </c>
      <c r="AO309" s="10">
        <v>2051</v>
      </c>
      <c r="AP309" s="10">
        <v>762</v>
      </c>
      <c r="AQ309" s="10">
        <v>5281</v>
      </c>
      <c r="AR309" s="10">
        <v>768</v>
      </c>
      <c r="AS309" s="10">
        <v>1349</v>
      </c>
      <c r="AT309" s="10">
        <v>839</v>
      </c>
      <c r="AU309" s="10">
        <v>771</v>
      </c>
      <c r="AV309" s="10">
        <v>2078</v>
      </c>
      <c r="AW309" s="10">
        <v>1880</v>
      </c>
      <c r="AX309" s="10">
        <v>1099</v>
      </c>
      <c r="AY309" s="10">
        <v>452</v>
      </c>
      <c r="AZ309" s="10">
        <v>2138</v>
      </c>
      <c r="BA309" s="10">
        <v>604</v>
      </c>
      <c r="BB309" s="10">
        <v>1006</v>
      </c>
      <c r="BC309" s="10">
        <v>1757</v>
      </c>
      <c r="BD309" s="10">
        <v>1205</v>
      </c>
      <c r="BE309" s="10">
        <v>961</v>
      </c>
      <c r="BF309" s="10">
        <v>1898</v>
      </c>
      <c r="BG309" s="10">
        <v>2326</v>
      </c>
      <c r="BH309" s="10">
        <v>299</v>
      </c>
      <c r="BI309" s="10">
        <v>1034</v>
      </c>
      <c r="BJ309" s="10">
        <v>1064</v>
      </c>
      <c r="BK309" s="10">
        <v>1337</v>
      </c>
      <c r="BL309" s="10">
        <v>866</v>
      </c>
    </row>
    <row r="310" spans="1:64">
      <c r="A310" s="15">
        <v>224849</v>
      </c>
      <c r="B310" s="14">
        <v>535229</v>
      </c>
      <c r="C310" s="14">
        <v>275</v>
      </c>
      <c r="D310" s="2" t="str">
        <f>HYPERLINK("http://128.120.136.21:8080/binbase-compound/bin/show/224849?db=rtx5","224849")</f>
        <v>224849</v>
      </c>
      <c r="E310" s="2" t="s">
        <v>455</v>
      </c>
      <c r="F310" s="2" t="s">
        <v>57</v>
      </c>
      <c r="G310" s="2" t="s">
        <v>57</v>
      </c>
      <c r="H310" s="10">
        <v>297</v>
      </c>
      <c r="I310" s="10">
        <v>487</v>
      </c>
      <c r="J310" s="10">
        <v>518</v>
      </c>
      <c r="K310" s="10">
        <v>172</v>
      </c>
      <c r="L310" s="10">
        <v>494</v>
      </c>
      <c r="M310" s="10">
        <v>265</v>
      </c>
      <c r="N310" s="10">
        <v>806</v>
      </c>
      <c r="O310" s="10">
        <v>320</v>
      </c>
      <c r="P310" s="10">
        <v>257</v>
      </c>
      <c r="Q310" s="10">
        <v>444</v>
      </c>
      <c r="R310" s="10">
        <v>479</v>
      </c>
      <c r="S310" s="10">
        <v>2042</v>
      </c>
      <c r="T310" s="10">
        <v>157</v>
      </c>
      <c r="U310" s="10">
        <v>426</v>
      </c>
      <c r="V310" s="10">
        <v>397</v>
      </c>
      <c r="W310" s="10">
        <v>159</v>
      </c>
      <c r="X310" s="10">
        <v>250</v>
      </c>
      <c r="Y310" s="10">
        <v>436</v>
      </c>
      <c r="Z310" s="10">
        <v>205</v>
      </c>
      <c r="AA310" s="10">
        <v>642</v>
      </c>
      <c r="AB310" s="10">
        <v>602</v>
      </c>
      <c r="AC310" s="10">
        <v>255</v>
      </c>
      <c r="AD310" s="10">
        <v>194</v>
      </c>
      <c r="AE310" s="10">
        <v>297</v>
      </c>
      <c r="AF310" s="10">
        <v>291</v>
      </c>
      <c r="AG310" s="10">
        <v>174</v>
      </c>
      <c r="AH310" s="10">
        <v>625</v>
      </c>
      <c r="AI310" s="10">
        <v>337</v>
      </c>
      <c r="AJ310" s="10">
        <v>429</v>
      </c>
      <c r="AK310" s="10">
        <v>364</v>
      </c>
      <c r="AL310" s="10">
        <v>414</v>
      </c>
      <c r="AM310" s="10">
        <v>366</v>
      </c>
      <c r="AN310" s="10">
        <v>728</v>
      </c>
      <c r="AO310" s="10">
        <v>605</v>
      </c>
      <c r="AP310" s="10">
        <v>291</v>
      </c>
      <c r="AQ310" s="10">
        <v>1059</v>
      </c>
      <c r="AR310" s="10">
        <v>455</v>
      </c>
      <c r="AS310" s="10">
        <v>437</v>
      </c>
      <c r="AT310" s="10">
        <v>399</v>
      </c>
      <c r="AU310" s="10">
        <v>256</v>
      </c>
      <c r="AV310" s="10">
        <v>652</v>
      </c>
      <c r="AW310" s="10">
        <v>341</v>
      </c>
      <c r="AX310" s="10">
        <v>401</v>
      </c>
      <c r="AY310" s="10">
        <v>406</v>
      </c>
      <c r="AZ310" s="10">
        <v>551</v>
      </c>
      <c r="BA310" s="10">
        <v>266</v>
      </c>
      <c r="BB310" s="10">
        <v>359</v>
      </c>
      <c r="BC310" s="10">
        <v>796</v>
      </c>
      <c r="BD310" s="10">
        <v>530</v>
      </c>
      <c r="BE310" s="10">
        <v>412</v>
      </c>
      <c r="BF310" s="10">
        <v>650</v>
      </c>
      <c r="BG310" s="10">
        <v>622</v>
      </c>
      <c r="BH310" s="10">
        <v>227</v>
      </c>
      <c r="BI310" s="10">
        <v>307</v>
      </c>
      <c r="BJ310" s="10">
        <v>599</v>
      </c>
      <c r="BK310" s="10">
        <v>463</v>
      </c>
      <c r="BL310" s="10">
        <v>437</v>
      </c>
    </row>
    <row r="311" spans="1:64">
      <c r="A311" s="15">
        <v>288822</v>
      </c>
      <c r="B311" s="14">
        <v>221570</v>
      </c>
      <c r="C311" s="14">
        <v>259</v>
      </c>
      <c r="D311" s="2" t="str">
        <f>HYPERLINK("http://128.120.136.21:8080/binbase-compound/bin/show/288822?db=rtx5","288822")</f>
        <v>288822</v>
      </c>
      <c r="E311" s="2" t="s">
        <v>387</v>
      </c>
      <c r="F311" s="2" t="s">
        <v>57</v>
      </c>
      <c r="G311" s="2" t="s">
        <v>57</v>
      </c>
      <c r="H311" s="10">
        <v>1049</v>
      </c>
      <c r="I311" s="10">
        <v>955</v>
      </c>
      <c r="J311" s="10">
        <v>947</v>
      </c>
      <c r="K311" s="10">
        <v>1065</v>
      </c>
      <c r="L311" s="10">
        <v>1081</v>
      </c>
      <c r="M311" s="10">
        <v>1589</v>
      </c>
      <c r="N311" s="10">
        <v>1138</v>
      </c>
      <c r="O311" s="10">
        <v>1368</v>
      </c>
      <c r="P311" s="10">
        <v>741</v>
      </c>
      <c r="Q311" s="10">
        <v>1347</v>
      </c>
      <c r="R311" s="10">
        <v>1000</v>
      </c>
      <c r="S311" s="10">
        <v>3531</v>
      </c>
      <c r="T311" s="10">
        <v>886</v>
      </c>
      <c r="U311" s="10">
        <v>1334</v>
      </c>
      <c r="V311" s="10">
        <v>1112</v>
      </c>
      <c r="W311" s="10">
        <v>1128</v>
      </c>
      <c r="X311" s="10">
        <v>1132</v>
      </c>
      <c r="Y311" s="10">
        <v>1634</v>
      </c>
      <c r="Z311" s="10">
        <v>1423</v>
      </c>
      <c r="AA311" s="10">
        <v>1272</v>
      </c>
      <c r="AB311" s="10">
        <v>877</v>
      </c>
      <c r="AC311" s="10">
        <v>1526</v>
      </c>
      <c r="AD311" s="10">
        <v>1098</v>
      </c>
      <c r="AE311" s="10">
        <v>694</v>
      </c>
      <c r="AF311" s="10">
        <v>1529</v>
      </c>
      <c r="AG311" s="10">
        <v>1135</v>
      </c>
      <c r="AH311" s="10">
        <v>1786</v>
      </c>
      <c r="AI311" s="10">
        <v>1002</v>
      </c>
      <c r="AJ311" s="10">
        <v>286</v>
      </c>
      <c r="AK311" s="10">
        <v>1476</v>
      </c>
      <c r="AL311" s="10">
        <v>1781</v>
      </c>
      <c r="AM311" s="10">
        <v>864</v>
      </c>
      <c r="AN311" s="10">
        <v>1477</v>
      </c>
      <c r="AO311" s="10">
        <v>1769</v>
      </c>
      <c r="AP311" s="10">
        <v>962</v>
      </c>
      <c r="AQ311" s="10">
        <v>2173</v>
      </c>
      <c r="AR311" s="10">
        <v>1617</v>
      </c>
      <c r="AS311" s="10">
        <v>1193</v>
      </c>
      <c r="AT311" s="10">
        <v>1643</v>
      </c>
      <c r="AU311" s="10">
        <v>833</v>
      </c>
      <c r="AV311" s="10">
        <v>1381</v>
      </c>
      <c r="AW311" s="10">
        <v>1536</v>
      </c>
      <c r="AX311" s="10">
        <v>1568</v>
      </c>
      <c r="AY311" s="10">
        <v>997</v>
      </c>
      <c r="AZ311" s="10">
        <v>950</v>
      </c>
      <c r="BA311" s="10">
        <v>1606</v>
      </c>
      <c r="BB311" s="10">
        <v>1008</v>
      </c>
      <c r="BC311" s="10">
        <v>1290</v>
      </c>
      <c r="BD311" s="10">
        <v>1066</v>
      </c>
      <c r="BE311" s="10">
        <v>1504</v>
      </c>
      <c r="BF311" s="10">
        <v>1557</v>
      </c>
      <c r="BG311" s="10">
        <v>1854</v>
      </c>
      <c r="BH311" s="10">
        <v>1191</v>
      </c>
      <c r="BI311" s="10">
        <v>1152</v>
      </c>
      <c r="BJ311" s="10">
        <v>918</v>
      </c>
      <c r="BK311" s="10">
        <v>1927</v>
      </c>
      <c r="BL311" s="10">
        <v>1184</v>
      </c>
    </row>
    <row r="312" spans="1:64">
      <c r="A312" s="15">
        <v>409621</v>
      </c>
      <c r="B312" s="14">
        <v>878484</v>
      </c>
      <c r="C312" s="14">
        <v>132</v>
      </c>
      <c r="D312" s="2" t="str">
        <f>HYPERLINK("http://128.120.136.21:8080/binbase-compound/bin/show/409621?db=rtx5","409621")</f>
        <v>409621</v>
      </c>
      <c r="E312" s="2" t="s">
        <v>307</v>
      </c>
      <c r="F312" s="2" t="s">
        <v>57</v>
      </c>
      <c r="G312" s="2" t="s">
        <v>57</v>
      </c>
      <c r="H312" s="10">
        <v>1008</v>
      </c>
      <c r="I312" s="10">
        <v>1050</v>
      </c>
      <c r="J312" s="10">
        <v>790</v>
      </c>
      <c r="K312" s="10">
        <v>1215</v>
      </c>
      <c r="L312" s="10">
        <v>765</v>
      </c>
      <c r="M312" s="10">
        <v>859</v>
      </c>
      <c r="N312" s="10">
        <v>1156</v>
      </c>
      <c r="O312" s="10">
        <v>984</v>
      </c>
      <c r="P312" s="10">
        <v>779</v>
      </c>
      <c r="Q312" s="10">
        <v>1019</v>
      </c>
      <c r="R312" s="10">
        <v>620</v>
      </c>
      <c r="S312" s="10">
        <v>2360</v>
      </c>
      <c r="T312" s="10">
        <v>797</v>
      </c>
      <c r="U312" s="10">
        <v>902</v>
      </c>
      <c r="V312" s="10">
        <v>869</v>
      </c>
      <c r="W312" s="10">
        <v>507</v>
      </c>
      <c r="X312" s="10">
        <v>437</v>
      </c>
      <c r="Y312" s="10">
        <v>1094</v>
      </c>
      <c r="Z312" s="10">
        <v>800</v>
      </c>
      <c r="AA312" s="10">
        <v>563</v>
      </c>
      <c r="AB312" s="10">
        <v>543</v>
      </c>
      <c r="AC312" s="10">
        <v>901</v>
      </c>
      <c r="AD312" s="10">
        <v>528</v>
      </c>
      <c r="AE312" s="10">
        <v>501</v>
      </c>
      <c r="AF312" s="10">
        <v>444</v>
      </c>
      <c r="AG312" s="10">
        <v>842</v>
      </c>
      <c r="AH312" s="10">
        <v>811</v>
      </c>
      <c r="AI312" s="10">
        <v>706</v>
      </c>
      <c r="AJ312" s="10">
        <v>1090</v>
      </c>
      <c r="AK312" s="10">
        <v>695</v>
      </c>
      <c r="AL312" s="10">
        <v>1262</v>
      </c>
      <c r="AM312" s="10">
        <v>622</v>
      </c>
      <c r="AN312" s="10">
        <v>571</v>
      </c>
      <c r="AO312" s="10">
        <v>988</v>
      </c>
      <c r="AP312" s="10">
        <v>898</v>
      </c>
      <c r="AQ312" s="10">
        <v>1754</v>
      </c>
      <c r="AR312" s="10">
        <v>591</v>
      </c>
      <c r="AS312" s="10">
        <v>668</v>
      </c>
      <c r="AT312" s="10">
        <v>693</v>
      </c>
      <c r="AU312" s="10">
        <v>793</v>
      </c>
      <c r="AV312" s="10">
        <v>407</v>
      </c>
      <c r="AW312" s="10">
        <v>783</v>
      </c>
      <c r="AX312" s="10">
        <v>894</v>
      </c>
      <c r="AY312" s="10">
        <v>683</v>
      </c>
      <c r="AZ312" s="10">
        <v>617</v>
      </c>
      <c r="BA312" s="10">
        <v>934</v>
      </c>
      <c r="BB312" s="10">
        <v>854</v>
      </c>
      <c r="BC312" s="10">
        <v>753</v>
      </c>
      <c r="BD312" s="10">
        <v>911</v>
      </c>
      <c r="BE312" s="10">
        <v>932</v>
      </c>
      <c r="BF312" s="10">
        <v>564</v>
      </c>
      <c r="BG312" s="10">
        <v>702</v>
      </c>
      <c r="BH312" s="10">
        <v>792</v>
      </c>
      <c r="BI312" s="10">
        <v>597</v>
      </c>
      <c r="BJ312" s="10">
        <v>758</v>
      </c>
      <c r="BK312" s="10">
        <v>524</v>
      </c>
      <c r="BL312" s="10">
        <v>698</v>
      </c>
    </row>
    <row r="313" spans="1:64">
      <c r="A313" s="15">
        <v>229959</v>
      </c>
      <c r="B313" s="14">
        <v>802004</v>
      </c>
      <c r="C313" s="14">
        <v>387</v>
      </c>
      <c r="D313" s="2" t="str">
        <f>HYPERLINK("http://128.120.136.21:8080/binbase-compound/bin/show/229959?db=rtx5","229959")</f>
        <v>229959</v>
      </c>
      <c r="E313" s="2" t="s">
        <v>448</v>
      </c>
      <c r="F313" s="2" t="s">
        <v>57</v>
      </c>
      <c r="G313" s="2" t="s">
        <v>57</v>
      </c>
      <c r="H313" s="10">
        <v>1393</v>
      </c>
      <c r="I313" s="10">
        <v>195</v>
      </c>
      <c r="J313" s="10">
        <v>293</v>
      </c>
      <c r="K313" s="10">
        <v>448</v>
      </c>
      <c r="L313" s="10">
        <v>269</v>
      </c>
      <c r="M313" s="10">
        <v>596</v>
      </c>
      <c r="N313" s="10">
        <v>396</v>
      </c>
      <c r="O313" s="10">
        <v>939</v>
      </c>
      <c r="P313" s="10">
        <v>440</v>
      </c>
      <c r="Q313" s="10">
        <v>193</v>
      </c>
      <c r="R313" s="10">
        <v>133</v>
      </c>
      <c r="S313" s="10">
        <v>901</v>
      </c>
      <c r="T313" s="10">
        <v>723</v>
      </c>
      <c r="U313" s="10">
        <v>191</v>
      </c>
      <c r="V313" s="10">
        <v>541</v>
      </c>
      <c r="W313" s="10">
        <v>335</v>
      </c>
      <c r="X313" s="10">
        <v>330</v>
      </c>
      <c r="Y313" s="10">
        <v>475</v>
      </c>
      <c r="Z313" s="10">
        <v>646</v>
      </c>
      <c r="AA313" s="10">
        <v>370</v>
      </c>
      <c r="AB313" s="10">
        <v>393</v>
      </c>
      <c r="AC313" s="10">
        <v>317</v>
      </c>
      <c r="AD313" s="10">
        <v>334</v>
      </c>
      <c r="AE313" s="10">
        <v>419</v>
      </c>
      <c r="AF313" s="10">
        <v>601</v>
      </c>
      <c r="AG313" s="10">
        <v>357</v>
      </c>
      <c r="AH313" s="10">
        <v>302</v>
      </c>
      <c r="AI313" s="10">
        <v>240</v>
      </c>
      <c r="AJ313" s="10">
        <v>414</v>
      </c>
      <c r="AK313" s="10">
        <v>527</v>
      </c>
      <c r="AL313" s="10">
        <v>499</v>
      </c>
      <c r="AM313" s="10">
        <v>302</v>
      </c>
      <c r="AN313" s="10">
        <v>427</v>
      </c>
      <c r="AO313" s="10">
        <v>536</v>
      </c>
      <c r="AP313" s="10">
        <v>339</v>
      </c>
      <c r="AQ313" s="10">
        <v>591</v>
      </c>
      <c r="AR313" s="10">
        <v>605</v>
      </c>
      <c r="AS313" s="10">
        <v>574</v>
      </c>
      <c r="AT313" s="10">
        <v>311</v>
      </c>
      <c r="AU313" s="10">
        <v>307</v>
      </c>
      <c r="AV313" s="10">
        <v>481</v>
      </c>
      <c r="AW313" s="10">
        <v>599</v>
      </c>
      <c r="AX313" s="10">
        <v>306</v>
      </c>
      <c r="AY313" s="10">
        <v>440</v>
      </c>
      <c r="AZ313" s="10">
        <v>408</v>
      </c>
      <c r="BA313" s="10">
        <v>311</v>
      </c>
      <c r="BB313" s="10">
        <v>214</v>
      </c>
      <c r="BC313" s="10">
        <v>497</v>
      </c>
      <c r="BD313" s="10">
        <v>526</v>
      </c>
      <c r="BE313" s="10">
        <v>610</v>
      </c>
      <c r="BF313" s="10">
        <v>435</v>
      </c>
      <c r="BG313" s="10">
        <v>427</v>
      </c>
      <c r="BH313" s="10">
        <v>527</v>
      </c>
      <c r="BI313" s="10">
        <v>405</v>
      </c>
      <c r="BJ313" s="10">
        <v>178</v>
      </c>
      <c r="BK313" s="10">
        <v>430</v>
      </c>
      <c r="BL313" s="10">
        <v>519</v>
      </c>
    </row>
    <row r="314" spans="1:64">
      <c r="A314" s="15">
        <v>310006</v>
      </c>
      <c r="B314" s="14">
        <v>422523</v>
      </c>
      <c r="C314" s="14">
        <v>219</v>
      </c>
      <c r="D314" s="2" t="str">
        <f>HYPERLINK("http://128.120.136.21:8080/binbase-compound/bin/show/310006?db=rtx5","310006")</f>
        <v>310006</v>
      </c>
      <c r="E314" s="2" t="s">
        <v>365</v>
      </c>
      <c r="F314" s="2" t="s">
        <v>57</v>
      </c>
      <c r="G314" s="2" t="s">
        <v>57</v>
      </c>
      <c r="H314" s="10">
        <v>604</v>
      </c>
      <c r="I314" s="10">
        <v>289</v>
      </c>
      <c r="J314" s="10">
        <v>317</v>
      </c>
      <c r="K314" s="10">
        <v>452</v>
      </c>
      <c r="L314" s="10">
        <v>357</v>
      </c>
      <c r="M314" s="10">
        <v>619</v>
      </c>
      <c r="N314" s="10">
        <v>442</v>
      </c>
      <c r="O314" s="10">
        <v>418</v>
      </c>
      <c r="P314" s="10">
        <v>334</v>
      </c>
      <c r="Q314" s="10">
        <v>558</v>
      </c>
      <c r="R314" s="10">
        <v>841</v>
      </c>
      <c r="S314" s="10">
        <v>1279</v>
      </c>
      <c r="T314" s="10">
        <v>562</v>
      </c>
      <c r="U314" s="10">
        <v>300</v>
      </c>
      <c r="V314" s="10">
        <v>435</v>
      </c>
      <c r="W314" s="10">
        <v>439</v>
      </c>
      <c r="X314" s="10">
        <v>277</v>
      </c>
      <c r="Y314" s="10">
        <v>339</v>
      </c>
      <c r="Z314" s="10">
        <v>380</v>
      </c>
      <c r="AA314" s="10">
        <v>456</v>
      </c>
      <c r="AB314" s="10">
        <v>386</v>
      </c>
      <c r="AC314" s="10">
        <v>308</v>
      </c>
      <c r="AD314" s="10">
        <v>248</v>
      </c>
      <c r="AE314" s="10">
        <v>262</v>
      </c>
      <c r="AF314" s="10">
        <v>238</v>
      </c>
      <c r="AG314" s="10">
        <v>476</v>
      </c>
      <c r="AH314" s="10">
        <v>267</v>
      </c>
      <c r="AI314" s="10">
        <v>533</v>
      </c>
      <c r="AJ314" s="10">
        <v>439</v>
      </c>
      <c r="AK314" s="10">
        <v>600</v>
      </c>
      <c r="AL314" s="10">
        <v>782</v>
      </c>
      <c r="AM314" s="10">
        <v>495</v>
      </c>
      <c r="AN314" s="10">
        <v>411</v>
      </c>
      <c r="AO314" s="10">
        <v>273</v>
      </c>
      <c r="AP314" s="10">
        <v>443</v>
      </c>
      <c r="AQ314" s="10">
        <v>971</v>
      </c>
      <c r="AR314" s="10">
        <v>209</v>
      </c>
      <c r="AS314" s="10">
        <v>469</v>
      </c>
      <c r="AT314" s="10">
        <v>348</v>
      </c>
      <c r="AU314" s="10">
        <v>702</v>
      </c>
      <c r="AV314" s="10">
        <v>372</v>
      </c>
      <c r="AW314" s="10">
        <v>491</v>
      </c>
      <c r="AX314" s="10">
        <v>261</v>
      </c>
      <c r="AY314" s="10">
        <v>331</v>
      </c>
      <c r="AZ314" s="10">
        <v>320</v>
      </c>
      <c r="BA314" s="10">
        <v>660</v>
      </c>
      <c r="BB314" s="10">
        <v>370</v>
      </c>
      <c r="BC314" s="10">
        <v>666</v>
      </c>
      <c r="BD314" s="10">
        <v>426</v>
      </c>
      <c r="BE314" s="10">
        <v>521</v>
      </c>
      <c r="BF314" s="10">
        <v>500</v>
      </c>
      <c r="BG314" s="10">
        <v>248</v>
      </c>
      <c r="BH314" s="10">
        <v>315</v>
      </c>
      <c r="BI314" s="10">
        <v>623</v>
      </c>
      <c r="BJ314" s="10">
        <v>449</v>
      </c>
      <c r="BK314" s="10">
        <v>714</v>
      </c>
      <c r="BL314" s="10">
        <v>811</v>
      </c>
    </row>
    <row r="315" spans="1:64">
      <c r="A315" s="15">
        <v>308208</v>
      </c>
      <c r="B315" s="14">
        <v>684065</v>
      </c>
      <c r="C315" s="14">
        <v>311</v>
      </c>
      <c r="D315" s="2" t="str">
        <f>HYPERLINK("http://128.120.136.21:8080/binbase-compound/bin/show/308208?db=rtx5","308208")</f>
        <v>308208</v>
      </c>
      <c r="E315" s="2" t="s">
        <v>369</v>
      </c>
      <c r="F315" s="2" t="s">
        <v>57</v>
      </c>
      <c r="G315" s="2" t="s">
        <v>57</v>
      </c>
      <c r="H315" s="10">
        <v>566</v>
      </c>
      <c r="I315" s="10">
        <v>380</v>
      </c>
      <c r="J315" s="10">
        <v>230</v>
      </c>
      <c r="K315" s="10">
        <v>506</v>
      </c>
      <c r="L315" s="10">
        <v>372</v>
      </c>
      <c r="M315" s="10">
        <v>516</v>
      </c>
      <c r="N315" s="10">
        <v>487</v>
      </c>
      <c r="O315" s="10">
        <v>457</v>
      </c>
      <c r="P315" s="10">
        <v>446</v>
      </c>
      <c r="Q315" s="10">
        <v>793</v>
      </c>
      <c r="R315" s="10">
        <v>798</v>
      </c>
      <c r="S315" s="10">
        <v>1393</v>
      </c>
      <c r="T315" s="10">
        <v>674</v>
      </c>
      <c r="U315" s="10">
        <v>299</v>
      </c>
      <c r="V315" s="10">
        <v>328</v>
      </c>
      <c r="W315" s="10">
        <v>322</v>
      </c>
      <c r="X315" s="10">
        <v>411</v>
      </c>
      <c r="Y315" s="10">
        <v>415</v>
      </c>
      <c r="Z315" s="10">
        <v>656</v>
      </c>
      <c r="AA315" s="10">
        <v>365</v>
      </c>
      <c r="AB315" s="10">
        <v>480</v>
      </c>
      <c r="AC315" s="10">
        <v>328</v>
      </c>
      <c r="AD315" s="10">
        <v>368</v>
      </c>
      <c r="AE315" s="10">
        <v>364</v>
      </c>
      <c r="AF315" s="10">
        <v>447</v>
      </c>
      <c r="AG315" s="10">
        <v>436</v>
      </c>
      <c r="AH315" s="10">
        <v>371</v>
      </c>
      <c r="AI315" s="10">
        <v>494</v>
      </c>
      <c r="AJ315" s="10">
        <v>454</v>
      </c>
      <c r="AK315" s="10">
        <v>474</v>
      </c>
      <c r="AL315" s="10">
        <v>486</v>
      </c>
      <c r="AM315" s="10">
        <v>365</v>
      </c>
      <c r="AN315" s="10">
        <v>538</v>
      </c>
      <c r="AO315" s="10">
        <v>468</v>
      </c>
      <c r="AP315" s="10">
        <v>666</v>
      </c>
      <c r="AQ315" s="10">
        <v>723</v>
      </c>
      <c r="AR315" s="10">
        <v>412</v>
      </c>
      <c r="AS315" s="10">
        <v>434</v>
      </c>
      <c r="AT315" s="10">
        <v>394</v>
      </c>
      <c r="AU315" s="10">
        <v>814</v>
      </c>
      <c r="AV315" s="10">
        <v>380</v>
      </c>
      <c r="AW315" s="10">
        <v>430</v>
      </c>
      <c r="AX315" s="10">
        <v>363</v>
      </c>
      <c r="AY315" s="10">
        <v>350</v>
      </c>
      <c r="AZ315" s="10">
        <v>403</v>
      </c>
      <c r="BA315" s="10">
        <v>507</v>
      </c>
      <c r="BB315" s="10">
        <v>341</v>
      </c>
      <c r="BC315" s="10">
        <v>464</v>
      </c>
      <c r="BD315" s="10">
        <v>576</v>
      </c>
      <c r="BE315" s="10">
        <v>642</v>
      </c>
      <c r="BF315" s="10">
        <v>478</v>
      </c>
      <c r="BG315" s="10">
        <v>430</v>
      </c>
      <c r="BH315" s="10">
        <v>479</v>
      </c>
      <c r="BI315" s="10">
        <v>504</v>
      </c>
      <c r="BJ315" s="10">
        <v>734</v>
      </c>
      <c r="BK315" s="10">
        <v>918</v>
      </c>
      <c r="BL315" s="10">
        <v>610</v>
      </c>
    </row>
    <row r="316" spans="1:64">
      <c r="A316" s="15">
        <v>409620</v>
      </c>
      <c r="B316" s="14">
        <v>790264</v>
      </c>
      <c r="C316" s="14">
        <v>197</v>
      </c>
      <c r="D316" s="2" t="str">
        <f>HYPERLINK("http://128.120.136.21:8080/binbase-compound/bin/show/409620?db=rtx5","409620")</f>
        <v>409620</v>
      </c>
      <c r="E316" s="2" t="s">
        <v>308</v>
      </c>
      <c r="F316" s="2" t="s">
        <v>57</v>
      </c>
      <c r="G316" s="2" t="s">
        <v>57</v>
      </c>
      <c r="H316" s="10">
        <v>553</v>
      </c>
      <c r="I316" s="10">
        <v>346</v>
      </c>
      <c r="J316" s="10">
        <v>492</v>
      </c>
      <c r="K316" s="10">
        <v>413</v>
      </c>
      <c r="L316" s="10">
        <v>321</v>
      </c>
      <c r="M316" s="10">
        <v>536</v>
      </c>
      <c r="N316" s="10">
        <v>506</v>
      </c>
      <c r="O316" s="10">
        <v>298</v>
      </c>
      <c r="P316" s="10">
        <v>431</v>
      </c>
      <c r="Q316" s="10">
        <v>566</v>
      </c>
      <c r="R316" s="10">
        <v>1009</v>
      </c>
      <c r="S316" s="10">
        <v>1423</v>
      </c>
      <c r="T316" s="10">
        <v>567</v>
      </c>
      <c r="U316" s="10">
        <v>402</v>
      </c>
      <c r="V316" s="10">
        <v>282</v>
      </c>
      <c r="W316" s="10">
        <v>188</v>
      </c>
      <c r="X316" s="10">
        <v>154</v>
      </c>
      <c r="Y316" s="10">
        <v>297</v>
      </c>
      <c r="Z316" s="10">
        <v>506</v>
      </c>
      <c r="AA316" s="10">
        <v>395</v>
      </c>
      <c r="AB316" s="10">
        <v>539</v>
      </c>
      <c r="AC316" s="10">
        <v>315</v>
      </c>
      <c r="AD316" s="10">
        <v>158</v>
      </c>
      <c r="AE316" s="10">
        <v>209</v>
      </c>
      <c r="AF316" s="10">
        <v>355</v>
      </c>
      <c r="AG316" s="10">
        <v>381</v>
      </c>
      <c r="AH316" s="10">
        <v>339</v>
      </c>
      <c r="AI316" s="10">
        <v>650</v>
      </c>
      <c r="AJ316" s="10">
        <v>497</v>
      </c>
      <c r="AK316" s="10">
        <v>541</v>
      </c>
      <c r="AL316" s="10">
        <v>575</v>
      </c>
      <c r="AM316" s="10">
        <v>406</v>
      </c>
      <c r="AN316" s="10">
        <v>583</v>
      </c>
      <c r="AO316" s="10">
        <v>663</v>
      </c>
      <c r="AP316" s="10">
        <v>652</v>
      </c>
      <c r="AQ316" s="10">
        <v>919</v>
      </c>
      <c r="AR316" s="10">
        <v>517</v>
      </c>
      <c r="AS316" s="10">
        <v>548</v>
      </c>
      <c r="AT316" s="10">
        <v>372</v>
      </c>
      <c r="AU316" s="10">
        <v>741</v>
      </c>
      <c r="AV316" s="10">
        <v>462</v>
      </c>
      <c r="AW316" s="10">
        <v>440</v>
      </c>
      <c r="AX316" s="10">
        <v>329</v>
      </c>
      <c r="AY316" s="10">
        <v>264</v>
      </c>
      <c r="AZ316" s="10">
        <v>355</v>
      </c>
      <c r="BA316" s="10">
        <v>485</v>
      </c>
      <c r="BB316" s="10">
        <v>442</v>
      </c>
      <c r="BC316" s="10">
        <v>472</v>
      </c>
      <c r="BD316" s="10">
        <v>512</v>
      </c>
      <c r="BE316" s="10">
        <v>384</v>
      </c>
      <c r="BF316" s="10">
        <v>665</v>
      </c>
      <c r="BG316" s="10">
        <v>483</v>
      </c>
      <c r="BH316" s="10">
        <v>286</v>
      </c>
      <c r="BI316" s="10">
        <v>533</v>
      </c>
      <c r="BJ316" s="10">
        <v>403</v>
      </c>
      <c r="BK316" s="10">
        <v>606</v>
      </c>
      <c r="BL316" s="10">
        <v>544</v>
      </c>
    </row>
    <row r="317" spans="1:64">
      <c r="A317" s="15">
        <v>409627</v>
      </c>
      <c r="B317" s="14">
        <v>885259</v>
      </c>
      <c r="C317" s="14">
        <v>272</v>
      </c>
      <c r="D317" s="2" t="str">
        <f>HYPERLINK("http://128.120.136.21:8080/binbase-compound/bin/show/409627?db=rtx5","409627")</f>
        <v>409627</v>
      </c>
      <c r="E317" s="2" t="s">
        <v>306</v>
      </c>
      <c r="F317" s="2" t="s">
        <v>57</v>
      </c>
      <c r="G317" s="2" t="s">
        <v>57</v>
      </c>
      <c r="H317" s="10">
        <v>1141</v>
      </c>
      <c r="I317" s="10">
        <v>345</v>
      </c>
      <c r="J317" s="10">
        <v>227</v>
      </c>
      <c r="K317" s="10">
        <v>808</v>
      </c>
      <c r="L317" s="10">
        <v>412</v>
      </c>
      <c r="M317" s="10">
        <v>586</v>
      </c>
      <c r="N317" s="10">
        <v>508</v>
      </c>
      <c r="O317" s="10">
        <v>542</v>
      </c>
      <c r="P317" s="10">
        <v>719</v>
      </c>
      <c r="Q317" s="10">
        <v>520</v>
      </c>
      <c r="R317" s="10">
        <v>365</v>
      </c>
      <c r="S317" s="10">
        <v>907</v>
      </c>
      <c r="T317" s="10">
        <v>256</v>
      </c>
      <c r="U317" s="10">
        <v>298</v>
      </c>
      <c r="V317" s="10">
        <v>411</v>
      </c>
      <c r="W317" s="10">
        <v>347</v>
      </c>
      <c r="X317" s="10">
        <v>197</v>
      </c>
      <c r="Y317" s="10">
        <v>460</v>
      </c>
      <c r="Z317" s="10">
        <v>411</v>
      </c>
      <c r="AA317" s="10">
        <v>200</v>
      </c>
      <c r="AB317" s="10">
        <v>287</v>
      </c>
      <c r="AC317" s="10">
        <v>455</v>
      </c>
      <c r="AD317" s="10">
        <v>444</v>
      </c>
      <c r="AE317" s="10">
        <v>395</v>
      </c>
      <c r="AF317" s="10">
        <v>435</v>
      </c>
      <c r="AG317" s="10">
        <v>392</v>
      </c>
      <c r="AH317" s="10">
        <v>302</v>
      </c>
      <c r="AI317" s="10">
        <v>212</v>
      </c>
      <c r="AJ317" s="10">
        <v>354</v>
      </c>
      <c r="AK317" s="10">
        <v>275</v>
      </c>
      <c r="AL317" s="10">
        <v>295</v>
      </c>
      <c r="AM317" s="10">
        <v>161</v>
      </c>
      <c r="AN317" s="10">
        <v>235</v>
      </c>
      <c r="AO317" s="10">
        <v>232</v>
      </c>
      <c r="AP317" s="10">
        <v>206</v>
      </c>
      <c r="AQ317" s="10">
        <v>328</v>
      </c>
      <c r="AR317" s="10">
        <v>343</v>
      </c>
      <c r="AS317" s="10">
        <v>311</v>
      </c>
      <c r="AT317" s="10">
        <v>257</v>
      </c>
      <c r="AU317" s="10">
        <v>487</v>
      </c>
      <c r="AV317" s="10">
        <v>206</v>
      </c>
      <c r="AW317" s="10">
        <v>440</v>
      </c>
      <c r="AX317" s="10">
        <v>309</v>
      </c>
      <c r="AY317" s="10">
        <v>161</v>
      </c>
      <c r="AZ317" s="10">
        <v>236</v>
      </c>
      <c r="BA317" s="10">
        <v>212</v>
      </c>
      <c r="BB317" s="10">
        <v>170</v>
      </c>
      <c r="BC317" s="10">
        <v>285</v>
      </c>
      <c r="BD317" s="10">
        <v>370</v>
      </c>
      <c r="BE317" s="10">
        <v>377</v>
      </c>
      <c r="BF317" s="10">
        <v>247</v>
      </c>
      <c r="BG317" s="10">
        <v>303</v>
      </c>
      <c r="BH317" s="10">
        <v>379</v>
      </c>
      <c r="BI317" s="10">
        <v>193</v>
      </c>
      <c r="BJ317" s="10">
        <v>721</v>
      </c>
      <c r="BK317" s="10">
        <v>689</v>
      </c>
      <c r="BL317" s="10">
        <v>229</v>
      </c>
    </row>
    <row r="318" spans="1:64">
      <c r="A318" s="15">
        <v>288854</v>
      </c>
      <c r="B318" s="14">
        <v>753312</v>
      </c>
      <c r="C318" s="14">
        <v>330</v>
      </c>
      <c r="D318" s="2" t="str">
        <f>HYPERLINK("http://128.120.136.21:8080/binbase-compound/bin/show/288854?db=rtx5","288854")</f>
        <v>288854</v>
      </c>
      <c r="E318" s="2" t="s">
        <v>386</v>
      </c>
      <c r="F318" s="2" t="s">
        <v>57</v>
      </c>
      <c r="G318" s="2" t="s">
        <v>57</v>
      </c>
      <c r="H318" s="10">
        <v>246</v>
      </c>
      <c r="I318" s="10">
        <v>867</v>
      </c>
      <c r="J318" s="10">
        <v>488</v>
      </c>
      <c r="K318" s="10">
        <v>205</v>
      </c>
      <c r="L318" s="10">
        <v>368</v>
      </c>
      <c r="M318" s="10">
        <v>174</v>
      </c>
      <c r="N318" s="10">
        <v>771</v>
      </c>
      <c r="O318" s="10">
        <v>334</v>
      </c>
      <c r="P318" s="10">
        <v>398</v>
      </c>
      <c r="Q318" s="10">
        <v>217</v>
      </c>
      <c r="R318" s="10">
        <v>112</v>
      </c>
      <c r="S318" s="10">
        <v>643</v>
      </c>
      <c r="T318" s="10">
        <v>569</v>
      </c>
      <c r="U318" s="10">
        <v>501</v>
      </c>
      <c r="V318" s="10">
        <v>486</v>
      </c>
      <c r="W318" s="10">
        <v>245</v>
      </c>
      <c r="X318" s="10">
        <v>256</v>
      </c>
      <c r="Y318" s="10">
        <v>497</v>
      </c>
      <c r="Z318" s="10">
        <v>311</v>
      </c>
      <c r="AA318" s="10">
        <v>501</v>
      </c>
      <c r="AB318" s="10">
        <v>305</v>
      </c>
      <c r="AC318" s="10">
        <v>530</v>
      </c>
      <c r="AD318" s="10">
        <v>397</v>
      </c>
      <c r="AE318" s="10">
        <v>643</v>
      </c>
      <c r="AF318" s="10">
        <v>304</v>
      </c>
      <c r="AG318" s="10">
        <v>213</v>
      </c>
      <c r="AH318" s="10">
        <v>420</v>
      </c>
      <c r="AI318" s="10">
        <v>454</v>
      </c>
      <c r="AJ318" s="10">
        <v>543</v>
      </c>
      <c r="AK318" s="10">
        <v>546</v>
      </c>
      <c r="AL318" s="10">
        <v>489</v>
      </c>
      <c r="AM318" s="10">
        <v>248</v>
      </c>
      <c r="AN318" s="10">
        <v>496</v>
      </c>
      <c r="AO318" s="10">
        <v>588</v>
      </c>
      <c r="AP318" s="10">
        <v>434</v>
      </c>
      <c r="AQ318" s="10">
        <v>615</v>
      </c>
      <c r="AR318" s="10">
        <v>455</v>
      </c>
      <c r="AS318" s="10">
        <v>407</v>
      </c>
      <c r="AT318" s="10">
        <v>443</v>
      </c>
      <c r="AU318" s="10">
        <v>226</v>
      </c>
      <c r="AV318" s="10">
        <v>513</v>
      </c>
      <c r="AW318" s="10">
        <v>439</v>
      </c>
      <c r="AX318" s="10">
        <v>290</v>
      </c>
      <c r="AY318" s="10">
        <v>649</v>
      </c>
      <c r="AZ318" s="10">
        <v>546</v>
      </c>
      <c r="BA318" s="10">
        <v>221</v>
      </c>
      <c r="BB318" s="10">
        <v>356</v>
      </c>
      <c r="BC318" s="10">
        <v>479</v>
      </c>
      <c r="BD318" s="10">
        <v>356</v>
      </c>
      <c r="BE318" s="10">
        <v>215</v>
      </c>
      <c r="BF318" s="10">
        <v>665</v>
      </c>
      <c r="BG318" s="10">
        <v>389</v>
      </c>
      <c r="BH318" s="10">
        <v>320</v>
      </c>
      <c r="BI318" s="10">
        <v>989</v>
      </c>
      <c r="BJ318" s="10">
        <v>382</v>
      </c>
      <c r="BK318" s="10">
        <v>304</v>
      </c>
      <c r="BL318" s="10">
        <v>227</v>
      </c>
    </row>
    <row r="319" spans="1:64">
      <c r="A319" s="15">
        <v>231850</v>
      </c>
      <c r="B319" s="14">
        <v>878626</v>
      </c>
      <c r="C319" s="14">
        <v>122</v>
      </c>
      <c r="D319" s="2" t="str">
        <f>HYPERLINK("http://128.120.136.21:8080/binbase-compound/bin/show/231850?db=rtx5","231850")</f>
        <v>231850</v>
      </c>
      <c r="E319" s="2" t="s">
        <v>442</v>
      </c>
      <c r="F319" s="2" t="s">
        <v>57</v>
      </c>
      <c r="G319" s="2" t="s">
        <v>57</v>
      </c>
      <c r="H319" s="10">
        <v>198</v>
      </c>
      <c r="I319" s="10">
        <v>1393</v>
      </c>
      <c r="J319" s="10">
        <v>307</v>
      </c>
      <c r="K319" s="10">
        <v>544</v>
      </c>
      <c r="L319" s="10">
        <v>387</v>
      </c>
      <c r="M319" s="10">
        <v>156</v>
      </c>
      <c r="N319" s="10">
        <v>639</v>
      </c>
      <c r="O319" s="10">
        <v>163</v>
      </c>
      <c r="P319" s="10">
        <v>97</v>
      </c>
      <c r="Q319" s="10">
        <v>618</v>
      </c>
      <c r="R319" s="10">
        <v>177</v>
      </c>
      <c r="S319" s="10">
        <v>1285</v>
      </c>
      <c r="T319" s="10">
        <v>184</v>
      </c>
      <c r="U319" s="10">
        <v>491</v>
      </c>
      <c r="V319" s="10">
        <v>831</v>
      </c>
      <c r="W319" s="10">
        <v>318</v>
      </c>
      <c r="X319" s="10">
        <v>171</v>
      </c>
      <c r="Y319" s="10">
        <v>289</v>
      </c>
      <c r="Z319" s="10">
        <v>158</v>
      </c>
      <c r="AA319" s="10">
        <v>321</v>
      </c>
      <c r="AB319" s="10">
        <v>587</v>
      </c>
      <c r="AC319" s="10">
        <v>286</v>
      </c>
      <c r="AD319" s="10">
        <v>137</v>
      </c>
      <c r="AE319" s="10">
        <v>465</v>
      </c>
      <c r="AF319" s="10">
        <v>317</v>
      </c>
      <c r="AG319" s="10">
        <v>214</v>
      </c>
      <c r="AH319" s="10">
        <v>453</v>
      </c>
      <c r="AI319" s="10">
        <v>2692</v>
      </c>
      <c r="AJ319" s="10">
        <v>201</v>
      </c>
      <c r="AK319" s="10">
        <v>411</v>
      </c>
      <c r="AL319" s="10">
        <v>639</v>
      </c>
      <c r="AM319" s="10">
        <v>197</v>
      </c>
      <c r="AN319" s="10">
        <v>372</v>
      </c>
      <c r="AO319" s="10">
        <v>427</v>
      </c>
      <c r="AP319" s="10">
        <v>305</v>
      </c>
      <c r="AQ319" s="10">
        <v>1147</v>
      </c>
      <c r="AR319" s="10">
        <v>454</v>
      </c>
      <c r="AS319" s="10">
        <v>515</v>
      </c>
      <c r="AT319" s="10">
        <v>399</v>
      </c>
      <c r="AU319" s="10">
        <v>110</v>
      </c>
      <c r="AV319" s="10">
        <v>362</v>
      </c>
      <c r="AW319" s="10">
        <v>359</v>
      </c>
      <c r="AX319" s="10">
        <v>275</v>
      </c>
      <c r="AY319" s="10">
        <v>409</v>
      </c>
      <c r="AZ319" s="10">
        <v>649</v>
      </c>
      <c r="BA319" s="10">
        <v>746</v>
      </c>
      <c r="BB319" s="10">
        <v>162</v>
      </c>
      <c r="BC319" s="10">
        <v>423</v>
      </c>
      <c r="BD319" s="10">
        <v>273</v>
      </c>
      <c r="BE319" s="10">
        <v>1572</v>
      </c>
      <c r="BF319" s="10">
        <v>564</v>
      </c>
      <c r="BG319" s="10">
        <v>2108</v>
      </c>
      <c r="BH319" s="10">
        <v>828</v>
      </c>
      <c r="BI319" s="10">
        <v>1490</v>
      </c>
      <c r="BJ319" s="10">
        <v>260</v>
      </c>
      <c r="BK319" s="10">
        <v>420</v>
      </c>
      <c r="BL319" s="10">
        <v>191</v>
      </c>
    </row>
    <row r="320" spans="1:64">
      <c r="A320" s="15">
        <v>225867</v>
      </c>
      <c r="B320" s="14">
        <v>405975</v>
      </c>
      <c r="C320" s="14">
        <v>306</v>
      </c>
      <c r="D320" s="2" t="str">
        <f>HYPERLINK("http://128.120.136.21:8080/binbase-compound/bin/show/225867?db=rtx5","225867")</f>
        <v>225867</v>
      </c>
      <c r="E320" s="2" t="s">
        <v>453</v>
      </c>
      <c r="F320" s="2" t="s">
        <v>57</v>
      </c>
      <c r="G320" s="2" t="s">
        <v>57</v>
      </c>
      <c r="H320" s="10">
        <v>440</v>
      </c>
      <c r="I320" s="10">
        <v>139</v>
      </c>
      <c r="J320" s="10">
        <v>199</v>
      </c>
      <c r="K320" s="10">
        <v>432</v>
      </c>
      <c r="L320" s="10">
        <v>302</v>
      </c>
      <c r="M320" s="10">
        <v>446</v>
      </c>
      <c r="N320" s="10">
        <v>188</v>
      </c>
      <c r="O320" s="10">
        <v>437</v>
      </c>
      <c r="P320" s="10">
        <v>392</v>
      </c>
      <c r="Q320" s="10">
        <v>485</v>
      </c>
      <c r="R320" s="10">
        <v>506</v>
      </c>
      <c r="S320" s="10">
        <v>955</v>
      </c>
      <c r="T320" s="10">
        <v>322</v>
      </c>
      <c r="U320" s="10">
        <v>357</v>
      </c>
      <c r="V320" s="10">
        <v>397</v>
      </c>
      <c r="W320" s="10">
        <v>266</v>
      </c>
      <c r="X320" s="10">
        <v>180</v>
      </c>
      <c r="Y320" s="10">
        <v>254</v>
      </c>
      <c r="Z320" s="10">
        <v>386</v>
      </c>
      <c r="AA320" s="10">
        <v>324</v>
      </c>
      <c r="AB320" s="10">
        <v>404</v>
      </c>
      <c r="AC320" s="10">
        <v>236</v>
      </c>
      <c r="AD320" s="10">
        <v>172</v>
      </c>
      <c r="AE320" s="10">
        <v>181</v>
      </c>
      <c r="AF320" s="10">
        <v>187</v>
      </c>
      <c r="AG320" s="10">
        <v>333</v>
      </c>
      <c r="AH320" s="10">
        <v>304</v>
      </c>
      <c r="AI320" s="10">
        <v>436</v>
      </c>
      <c r="AJ320" s="10">
        <v>430</v>
      </c>
      <c r="AK320" s="10">
        <v>530</v>
      </c>
      <c r="AL320" s="10">
        <v>314</v>
      </c>
      <c r="AM320" s="10">
        <v>213</v>
      </c>
      <c r="AN320" s="10">
        <v>154</v>
      </c>
      <c r="AO320" s="10">
        <v>217</v>
      </c>
      <c r="AP320" s="10">
        <v>472</v>
      </c>
      <c r="AQ320" s="10">
        <v>555</v>
      </c>
      <c r="AR320" s="10">
        <v>302</v>
      </c>
      <c r="AS320" s="10">
        <v>451</v>
      </c>
      <c r="AT320" s="10">
        <v>306</v>
      </c>
      <c r="AU320" s="10">
        <v>570</v>
      </c>
      <c r="AV320" s="10">
        <v>366</v>
      </c>
      <c r="AW320" s="10">
        <v>257</v>
      </c>
      <c r="AX320" s="10">
        <v>186</v>
      </c>
      <c r="AY320" s="10">
        <v>387</v>
      </c>
      <c r="AZ320" s="10">
        <v>144</v>
      </c>
      <c r="BA320" s="10">
        <v>313</v>
      </c>
      <c r="BB320" s="10">
        <v>337</v>
      </c>
      <c r="BC320" s="10">
        <v>553</v>
      </c>
      <c r="BD320" s="10">
        <v>467</v>
      </c>
      <c r="BE320" s="10">
        <v>443</v>
      </c>
      <c r="BF320" s="10">
        <v>159</v>
      </c>
      <c r="BG320" s="10">
        <v>440</v>
      </c>
      <c r="BH320" s="10">
        <v>263</v>
      </c>
      <c r="BI320" s="10">
        <v>396</v>
      </c>
      <c r="BJ320" s="10">
        <v>248</v>
      </c>
      <c r="BK320" s="10">
        <v>545</v>
      </c>
      <c r="BL320" s="10">
        <v>472</v>
      </c>
    </row>
    <row r="321" spans="1:64">
      <c r="A321" s="15">
        <v>289052</v>
      </c>
      <c r="B321" s="14">
        <v>515010</v>
      </c>
      <c r="C321" s="14">
        <v>186</v>
      </c>
      <c r="D321" s="2" t="str">
        <f>HYPERLINK("http://128.120.136.21:8080/binbase-compound/bin/show/289052?db=rtx5","289052")</f>
        <v>289052</v>
      </c>
      <c r="E321" s="2" t="s">
        <v>385</v>
      </c>
      <c r="F321" s="2" t="s">
        <v>57</v>
      </c>
      <c r="G321" s="2" t="s">
        <v>57</v>
      </c>
      <c r="H321" s="10">
        <v>887</v>
      </c>
      <c r="I321" s="10">
        <v>224</v>
      </c>
      <c r="J321" s="10">
        <v>238</v>
      </c>
      <c r="K321" s="10">
        <v>803</v>
      </c>
      <c r="L321" s="10">
        <v>302</v>
      </c>
      <c r="M321" s="10">
        <v>595</v>
      </c>
      <c r="N321" s="10">
        <v>457</v>
      </c>
      <c r="O321" s="10">
        <v>558</v>
      </c>
      <c r="P321" s="10">
        <v>293</v>
      </c>
      <c r="Q321" s="10">
        <v>463</v>
      </c>
      <c r="R321" s="10">
        <v>407</v>
      </c>
      <c r="S321" s="10">
        <v>901</v>
      </c>
      <c r="T321" s="10">
        <v>254</v>
      </c>
      <c r="U321" s="10">
        <v>330</v>
      </c>
      <c r="V321" s="10">
        <v>828</v>
      </c>
      <c r="W321" s="10">
        <v>230</v>
      </c>
      <c r="X321" s="10">
        <v>347</v>
      </c>
      <c r="Y321" s="10">
        <v>351</v>
      </c>
      <c r="Z321" s="10">
        <v>1274</v>
      </c>
      <c r="AA321" s="10">
        <v>594</v>
      </c>
      <c r="AB321" s="10">
        <v>482</v>
      </c>
      <c r="AC321" s="10">
        <v>434</v>
      </c>
      <c r="AD321" s="10">
        <v>880</v>
      </c>
      <c r="AE321" s="10">
        <v>480</v>
      </c>
      <c r="AF321" s="10">
        <v>359</v>
      </c>
      <c r="AG321" s="10">
        <v>618</v>
      </c>
      <c r="AH321" s="10">
        <v>546</v>
      </c>
      <c r="AI321" s="10">
        <v>471</v>
      </c>
      <c r="AJ321" s="10">
        <v>318</v>
      </c>
      <c r="AK321" s="10">
        <v>454</v>
      </c>
      <c r="AL321" s="10">
        <v>819</v>
      </c>
      <c r="AM321" s="10">
        <v>180</v>
      </c>
      <c r="AN321" s="10">
        <v>761</v>
      </c>
      <c r="AO321" s="10">
        <v>383</v>
      </c>
      <c r="AP321" s="10">
        <v>367</v>
      </c>
      <c r="AQ321" s="10">
        <v>879</v>
      </c>
      <c r="AR321" s="10">
        <v>621</v>
      </c>
      <c r="AS321" s="10">
        <v>1393</v>
      </c>
      <c r="AT321" s="10">
        <v>377</v>
      </c>
      <c r="AU321" s="10">
        <v>502</v>
      </c>
      <c r="AV321" s="10">
        <v>463</v>
      </c>
      <c r="AW321" s="10">
        <v>498</v>
      </c>
      <c r="AX321" s="10">
        <v>423</v>
      </c>
      <c r="AY321" s="10">
        <v>404</v>
      </c>
      <c r="AZ321" s="10">
        <v>330</v>
      </c>
      <c r="BA321" s="10">
        <v>309</v>
      </c>
      <c r="BB321" s="10">
        <v>192</v>
      </c>
      <c r="BC321" s="10">
        <v>281</v>
      </c>
      <c r="BD321" s="10">
        <v>398</v>
      </c>
      <c r="BE321" s="10">
        <v>236</v>
      </c>
      <c r="BF321" s="10">
        <v>315</v>
      </c>
      <c r="BG321" s="10">
        <v>389</v>
      </c>
      <c r="BH321" s="10">
        <v>583</v>
      </c>
      <c r="BI321" s="10">
        <v>336</v>
      </c>
      <c r="BJ321" s="10">
        <v>259</v>
      </c>
      <c r="BK321" s="10">
        <v>537</v>
      </c>
      <c r="BL321" s="10">
        <v>392</v>
      </c>
    </row>
    <row r="322" spans="1:64">
      <c r="A322" s="15">
        <v>356925</v>
      </c>
      <c r="B322" s="14">
        <v>648085</v>
      </c>
      <c r="C322" s="14">
        <v>174</v>
      </c>
      <c r="D322" s="2" t="str">
        <f>HYPERLINK("http://128.120.136.21:8080/binbase-compound/bin/show/356925?db=rtx5","356925")</f>
        <v>356925</v>
      </c>
      <c r="E322" s="2" t="s">
        <v>350</v>
      </c>
      <c r="F322" s="2" t="s">
        <v>57</v>
      </c>
      <c r="G322" s="2" t="s">
        <v>57</v>
      </c>
      <c r="H322" s="10">
        <v>939</v>
      </c>
      <c r="I322" s="10">
        <v>1616</v>
      </c>
      <c r="J322" s="10">
        <v>1073</v>
      </c>
      <c r="K322" s="10">
        <v>759</v>
      </c>
      <c r="L322" s="10">
        <v>927</v>
      </c>
      <c r="M322" s="10">
        <v>434</v>
      </c>
      <c r="N322" s="10">
        <v>1475</v>
      </c>
      <c r="O322" s="10">
        <v>721</v>
      </c>
      <c r="P322" s="10">
        <v>739</v>
      </c>
      <c r="Q322" s="10">
        <v>873</v>
      </c>
      <c r="R322" s="10">
        <v>662</v>
      </c>
      <c r="S322" s="10">
        <v>2462</v>
      </c>
      <c r="T322" s="10">
        <v>817</v>
      </c>
      <c r="U322" s="10">
        <v>1342</v>
      </c>
      <c r="V322" s="10">
        <v>571</v>
      </c>
      <c r="W322" s="10">
        <v>810</v>
      </c>
      <c r="X322" s="10">
        <v>780</v>
      </c>
      <c r="Y322" s="10">
        <v>1102</v>
      </c>
      <c r="Z322" s="10">
        <v>1133</v>
      </c>
      <c r="AA322" s="10">
        <v>1238</v>
      </c>
      <c r="AB322" s="10">
        <v>1049</v>
      </c>
      <c r="AC322" s="10">
        <v>661</v>
      </c>
      <c r="AD322" s="10">
        <v>944</v>
      </c>
      <c r="AE322" s="10">
        <v>953</v>
      </c>
      <c r="AF322" s="10">
        <v>1023</v>
      </c>
      <c r="AG322" s="10">
        <v>720</v>
      </c>
      <c r="AH322" s="10">
        <v>1439</v>
      </c>
      <c r="AI322" s="10">
        <v>1229</v>
      </c>
      <c r="AJ322" s="10">
        <v>960</v>
      </c>
      <c r="AK322" s="10">
        <v>1146</v>
      </c>
      <c r="AL322" s="10">
        <v>907</v>
      </c>
      <c r="AM322" s="10">
        <v>874</v>
      </c>
      <c r="AN322" s="10">
        <v>627</v>
      </c>
      <c r="AO322" s="10">
        <v>1226</v>
      </c>
      <c r="AP322" s="10">
        <v>1147</v>
      </c>
      <c r="AQ322" s="10">
        <v>2984</v>
      </c>
      <c r="AR322" s="10">
        <v>1168</v>
      </c>
      <c r="AS322" s="10">
        <v>561</v>
      </c>
      <c r="AT322" s="10">
        <v>691</v>
      </c>
      <c r="AU322" s="10">
        <v>961</v>
      </c>
      <c r="AV322" s="10">
        <v>628</v>
      </c>
      <c r="AW322" s="10">
        <v>1051</v>
      </c>
      <c r="AX322" s="10">
        <v>745</v>
      </c>
      <c r="AY322" s="10">
        <v>1013</v>
      </c>
      <c r="AZ322" s="10">
        <v>1431</v>
      </c>
      <c r="BA322" s="10">
        <v>635</v>
      </c>
      <c r="BB322" s="10">
        <v>376</v>
      </c>
      <c r="BC322" s="10">
        <v>1335</v>
      </c>
      <c r="BD322" s="10">
        <v>985</v>
      </c>
      <c r="BE322" s="10">
        <v>1365</v>
      </c>
      <c r="BF322" s="10">
        <v>1368</v>
      </c>
      <c r="BG322" s="10">
        <v>1589</v>
      </c>
      <c r="BH322" s="10">
        <v>1090</v>
      </c>
      <c r="BI322" s="10">
        <v>897</v>
      </c>
      <c r="BJ322" s="10">
        <v>1228</v>
      </c>
      <c r="BK322" s="10">
        <v>501</v>
      </c>
      <c r="BL322" s="10">
        <v>890</v>
      </c>
    </row>
    <row r="323" spans="1:64">
      <c r="A323" s="15">
        <v>268445</v>
      </c>
      <c r="B323" s="14">
        <v>225354</v>
      </c>
      <c r="C323" s="14">
        <v>174</v>
      </c>
      <c r="D323" s="2" t="str">
        <f>HYPERLINK("http://128.120.136.21:8080/binbase-compound/bin/show/268445?db=rtx5","268445")</f>
        <v>268445</v>
      </c>
      <c r="E323" s="2" t="s">
        <v>405</v>
      </c>
      <c r="F323" s="2" t="s">
        <v>57</v>
      </c>
      <c r="G323" s="2" t="s">
        <v>57</v>
      </c>
      <c r="H323" s="10">
        <v>523</v>
      </c>
      <c r="I323" s="10">
        <v>1167</v>
      </c>
      <c r="J323" s="10">
        <v>862</v>
      </c>
      <c r="K323" s="10">
        <v>643</v>
      </c>
      <c r="L323" s="10">
        <v>464</v>
      </c>
      <c r="M323" s="10">
        <v>427</v>
      </c>
      <c r="N323" s="10">
        <v>1120</v>
      </c>
      <c r="O323" s="10">
        <v>716</v>
      </c>
      <c r="P323" s="10">
        <v>315</v>
      </c>
      <c r="Q323" s="10">
        <v>1466</v>
      </c>
      <c r="R323" s="10">
        <v>895</v>
      </c>
      <c r="S323" s="10">
        <v>4258</v>
      </c>
      <c r="T323" s="10">
        <v>383</v>
      </c>
      <c r="U323" s="10">
        <v>775</v>
      </c>
      <c r="V323" s="10">
        <v>918</v>
      </c>
      <c r="W323" s="10">
        <v>433</v>
      </c>
      <c r="X323" s="10">
        <v>634</v>
      </c>
      <c r="Y323" s="10">
        <v>594</v>
      </c>
      <c r="Z323" s="10">
        <v>469</v>
      </c>
      <c r="AA323" s="10">
        <v>914</v>
      </c>
      <c r="AB323" s="10">
        <v>1220</v>
      </c>
      <c r="AC323" s="10">
        <v>484</v>
      </c>
      <c r="AD323" s="10">
        <v>529</v>
      </c>
      <c r="AE323" s="10">
        <v>462</v>
      </c>
      <c r="AF323" s="10">
        <v>813</v>
      </c>
      <c r="AG323" s="10">
        <v>568</v>
      </c>
      <c r="AH323" s="10">
        <v>1443</v>
      </c>
      <c r="AI323" s="10">
        <v>1211</v>
      </c>
      <c r="AJ323" s="10">
        <v>716</v>
      </c>
      <c r="AK323" s="10">
        <v>1368</v>
      </c>
      <c r="AL323" s="10">
        <v>959</v>
      </c>
      <c r="AM323" s="10">
        <v>701</v>
      </c>
      <c r="AN323" s="10">
        <v>1111</v>
      </c>
      <c r="AO323" s="10">
        <v>1632</v>
      </c>
      <c r="AP323" s="10">
        <v>1193</v>
      </c>
      <c r="AQ323" s="10">
        <v>4111</v>
      </c>
      <c r="AR323" s="10">
        <v>1124</v>
      </c>
      <c r="AS323" s="10">
        <v>937</v>
      </c>
      <c r="AT323" s="10">
        <v>812</v>
      </c>
      <c r="AU323" s="10">
        <v>230</v>
      </c>
      <c r="AV323" s="10">
        <v>972</v>
      </c>
      <c r="AW323" s="10">
        <v>1283</v>
      </c>
      <c r="AX323" s="10">
        <v>776</v>
      </c>
      <c r="AY323" s="10">
        <v>1015</v>
      </c>
      <c r="AZ323" s="10">
        <v>1205</v>
      </c>
      <c r="BA323" s="10">
        <v>1026</v>
      </c>
      <c r="BB323" s="10">
        <v>978</v>
      </c>
      <c r="BC323" s="10">
        <v>1237</v>
      </c>
      <c r="BD323" s="10">
        <v>829</v>
      </c>
      <c r="BE323" s="10">
        <v>987</v>
      </c>
      <c r="BF323" s="10">
        <v>1733</v>
      </c>
      <c r="BG323" s="10">
        <v>1643</v>
      </c>
      <c r="BH323" s="10">
        <v>863</v>
      </c>
      <c r="BI323" s="10">
        <v>1020</v>
      </c>
      <c r="BJ323" s="10">
        <v>966</v>
      </c>
      <c r="BK323" s="10">
        <v>819</v>
      </c>
      <c r="BL323" s="10">
        <v>669</v>
      </c>
    </row>
    <row r="324" spans="1:64">
      <c r="A324" s="15">
        <v>269272</v>
      </c>
      <c r="B324" s="14">
        <v>644989</v>
      </c>
      <c r="C324" s="14">
        <v>158</v>
      </c>
      <c r="D324" s="2" t="str">
        <f>HYPERLINK("http://128.120.136.21:8080/binbase-compound/bin/show/269272?db=rtx5","269272")</f>
        <v>269272</v>
      </c>
      <c r="E324" s="2" t="s">
        <v>402</v>
      </c>
      <c r="F324" s="2" t="s">
        <v>57</v>
      </c>
      <c r="G324" s="2" t="s">
        <v>57</v>
      </c>
      <c r="H324" s="10">
        <v>2807</v>
      </c>
      <c r="I324" s="10">
        <v>502</v>
      </c>
      <c r="J324" s="10">
        <v>1049</v>
      </c>
      <c r="K324" s="10">
        <v>390</v>
      </c>
      <c r="L324" s="10">
        <v>855</v>
      </c>
      <c r="M324" s="10">
        <v>1804</v>
      </c>
      <c r="N324" s="10">
        <v>617</v>
      </c>
      <c r="O324" s="10">
        <v>747</v>
      </c>
      <c r="P324" s="10">
        <v>842</v>
      </c>
      <c r="Q324" s="10">
        <v>9256</v>
      </c>
      <c r="R324" s="10">
        <v>12398</v>
      </c>
      <c r="S324" s="10">
        <v>7501</v>
      </c>
      <c r="T324" s="10">
        <v>1037</v>
      </c>
      <c r="U324" s="10">
        <v>648</v>
      </c>
      <c r="V324" s="10">
        <v>645</v>
      </c>
      <c r="W324" s="10">
        <v>869</v>
      </c>
      <c r="X324" s="10">
        <v>874</v>
      </c>
      <c r="Y324" s="10">
        <v>779</v>
      </c>
      <c r="Z324" s="10">
        <v>779</v>
      </c>
      <c r="AA324" s="10">
        <v>1315</v>
      </c>
      <c r="AB324" s="10">
        <v>748</v>
      </c>
      <c r="AC324" s="10">
        <v>773</v>
      </c>
      <c r="AD324" s="10">
        <v>585</v>
      </c>
      <c r="AE324" s="10">
        <v>1177</v>
      </c>
      <c r="AF324" s="10">
        <v>1135</v>
      </c>
      <c r="AG324" s="10">
        <v>2297</v>
      </c>
      <c r="AH324" s="10">
        <v>874</v>
      </c>
      <c r="AI324" s="10">
        <v>1525</v>
      </c>
      <c r="AJ324" s="10">
        <v>730</v>
      </c>
      <c r="AK324" s="10">
        <v>634</v>
      </c>
      <c r="AL324" s="10">
        <v>580</v>
      </c>
      <c r="AM324" s="10">
        <v>485</v>
      </c>
      <c r="AN324" s="10">
        <v>933</v>
      </c>
      <c r="AO324" s="10">
        <v>903</v>
      </c>
      <c r="AP324" s="10">
        <v>722</v>
      </c>
      <c r="AQ324" s="10">
        <v>1182</v>
      </c>
      <c r="AR324" s="10">
        <v>936</v>
      </c>
      <c r="AS324" s="10">
        <v>1235</v>
      </c>
      <c r="AT324" s="10">
        <v>285</v>
      </c>
      <c r="AU324" s="10">
        <v>722</v>
      </c>
      <c r="AV324" s="10">
        <v>586</v>
      </c>
      <c r="AW324" s="10">
        <v>857</v>
      </c>
      <c r="AX324" s="10">
        <v>846</v>
      </c>
      <c r="AY324" s="10">
        <v>875</v>
      </c>
      <c r="AZ324" s="10">
        <v>619</v>
      </c>
      <c r="BA324" s="10">
        <v>375</v>
      </c>
      <c r="BB324" s="10">
        <v>611</v>
      </c>
      <c r="BC324" s="10">
        <v>842</v>
      </c>
      <c r="BD324" s="10">
        <v>380</v>
      </c>
      <c r="BE324" s="10">
        <v>364</v>
      </c>
      <c r="BF324" s="10">
        <v>886</v>
      </c>
      <c r="BG324" s="10">
        <v>610</v>
      </c>
      <c r="BH324" s="10">
        <v>467</v>
      </c>
      <c r="BI324" s="10">
        <v>1115</v>
      </c>
      <c r="BJ324" s="10">
        <v>685</v>
      </c>
      <c r="BK324" s="10">
        <v>1747</v>
      </c>
      <c r="BL324" s="10">
        <v>666</v>
      </c>
    </row>
    <row r="325" spans="1:64">
      <c r="A325" s="15">
        <v>408911</v>
      </c>
      <c r="B325" s="14">
        <v>1046745</v>
      </c>
      <c r="C325" s="14">
        <v>202</v>
      </c>
      <c r="D325" s="2" t="str">
        <f>HYPERLINK("http://128.120.136.21:8080/binbase-compound/bin/show/408911?db=rtx5","408911")</f>
        <v>408911</v>
      </c>
      <c r="E325" s="2" t="s">
        <v>315</v>
      </c>
      <c r="F325" s="2" t="s">
        <v>57</v>
      </c>
      <c r="G325" s="2" t="s">
        <v>57</v>
      </c>
      <c r="H325" s="10">
        <v>869</v>
      </c>
      <c r="I325" s="10">
        <v>377</v>
      </c>
      <c r="J325" s="10">
        <v>351</v>
      </c>
      <c r="K325" s="10">
        <v>600</v>
      </c>
      <c r="L325" s="10">
        <v>376</v>
      </c>
      <c r="M325" s="10">
        <v>523</v>
      </c>
      <c r="N325" s="10">
        <v>648</v>
      </c>
      <c r="O325" s="10">
        <v>283</v>
      </c>
      <c r="P325" s="10">
        <v>531</v>
      </c>
      <c r="Q325" s="10">
        <v>645</v>
      </c>
      <c r="R325" s="10">
        <v>982</v>
      </c>
      <c r="S325" s="10">
        <v>1544</v>
      </c>
      <c r="T325" s="10">
        <v>405</v>
      </c>
      <c r="U325" s="10">
        <v>384</v>
      </c>
      <c r="V325" s="10">
        <v>425</v>
      </c>
      <c r="W325" s="10">
        <v>496</v>
      </c>
      <c r="X325" s="10">
        <v>243</v>
      </c>
      <c r="Y325" s="10">
        <v>402</v>
      </c>
      <c r="Z325" s="10">
        <v>604</v>
      </c>
      <c r="AA325" s="10">
        <v>374</v>
      </c>
      <c r="AB325" s="10">
        <v>536</v>
      </c>
      <c r="AC325" s="10">
        <v>352</v>
      </c>
      <c r="AD325" s="10">
        <v>323</v>
      </c>
      <c r="AE325" s="10">
        <v>317</v>
      </c>
      <c r="AF325" s="10">
        <v>482</v>
      </c>
      <c r="AG325" s="10">
        <v>430</v>
      </c>
      <c r="AH325" s="10">
        <v>377</v>
      </c>
      <c r="AI325" s="10">
        <v>582</v>
      </c>
      <c r="AJ325" s="10">
        <v>437</v>
      </c>
      <c r="AK325" s="10">
        <v>722</v>
      </c>
      <c r="AL325" s="10">
        <v>618</v>
      </c>
      <c r="AM325" s="10">
        <v>108</v>
      </c>
      <c r="AN325" s="10">
        <v>550</v>
      </c>
      <c r="AO325" s="10">
        <v>518</v>
      </c>
      <c r="AP325" s="10">
        <v>489</v>
      </c>
      <c r="AQ325" s="10">
        <v>675</v>
      </c>
      <c r="AR325" s="10">
        <v>490</v>
      </c>
      <c r="AS325" s="10">
        <v>519</v>
      </c>
      <c r="AT325" s="10">
        <v>411</v>
      </c>
      <c r="AU325" s="10">
        <v>882</v>
      </c>
      <c r="AV325" s="10">
        <v>318</v>
      </c>
      <c r="AW325" s="10">
        <v>480</v>
      </c>
      <c r="AX325" s="10">
        <v>323</v>
      </c>
      <c r="AY325" s="10">
        <v>372</v>
      </c>
      <c r="AZ325" s="10">
        <v>335</v>
      </c>
      <c r="BA325" s="10">
        <v>330</v>
      </c>
      <c r="BB325" s="10">
        <v>463</v>
      </c>
      <c r="BC325" s="10">
        <v>568</v>
      </c>
      <c r="BD325" s="10">
        <v>708</v>
      </c>
      <c r="BE325" s="10">
        <v>619</v>
      </c>
      <c r="BF325" s="10">
        <v>500</v>
      </c>
      <c r="BG325" s="10">
        <v>444</v>
      </c>
      <c r="BH325" s="10">
        <v>552</v>
      </c>
      <c r="BI325" s="10">
        <v>436</v>
      </c>
      <c r="BJ325" s="10">
        <v>712</v>
      </c>
      <c r="BK325" s="10">
        <v>751</v>
      </c>
      <c r="BL325" s="10">
        <v>599</v>
      </c>
    </row>
    <row r="326" spans="1:64">
      <c r="A326" s="15">
        <v>236821</v>
      </c>
      <c r="B326" s="14">
        <v>442601</v>
      </c>
      <c r="C326" s="14">
        <v>220</v>
      </c>
      <c r="D326" s="2" t="str">
        <f>HYPERLINK("http://128.120.136.21:8080/binbase-compound/bin/show/236821?db=rtx5","236821")</f>
        <v>236821</v>
      </c>
      <c r="E326" s="2" t="s">
        <v>432</v>
      </c>
      <c r="F326" s="2" t="s">
        <v>57</v>
      </c>
      <c r="G326" s="2" t="s">
        <v>57</v>
      </c>
      <c r="H326" s="10">
        <v>262</v>
      </c>
      <c r="I326" s="10">
        <v>306</v>
      </c>
      <c r="J326" s="10">
        <v>445</v>
      </c>
      <c r="K326" s="10">
        <v>146</v>
      </c>
      <c r="L326" s="10">
        <v>440</v>
      </c>
      <c r="M326" s="10">
        <v>126</v>
      </c>
      <c r="N326" s="10">
        <v>208</v>
      </c>
      <c r="O326" s="10">
        <v>156</v>
      </c>
      <c r="P326" s="10">
        <v>91</v>
      </c>
      <c r="Q326" s="10">
        <v>187</v>
      </c>
      <c r="R326" s="10">
        <v>183</v>
      </c>
      <c r="S326" s="10">
        <v>799</v>
      </c>
      <c r="T326" s="10">
        <v>196</v>
      </c>
      <c r="U326" s="10">
        <v>297</v>
      </c>
      <c r="V326" s="10">
        <v>295</v>
      </c>
      <c r="W326" s="10">
        <v>256</v>
      </c>
      <c r="X326" s="10">
        <v>269</v>
      </c>
      <c r="Y326" s="10">
        <v>111</v>
      </c>
      <c r="Z326" s="10">
        <v>333</v>
      </c>
      <c r="AA326" s="10">
        <v>511</v>
      </c>
      <c r="AB326" s="10">
        <v>340</v>
      </c>
      <c r="AC326" s="10">
        <v>117</v>
      </c>
      <c r="AD326" s="10">
        <v>95</v>
      </c>
      <c r="AE326" s="10">
        <v>126</v>
      </c>
      <c r="AF326" s="10">
        <v>248</v>
      </c>
      <c r="AG326" s="10">
        <v>186</v>
      </c>
      <c r="AH326" s="10">
        <v>315</v>
      </c>
      <c r="AI326" s="10">
        <v>501</v>
      </c>
      <c r="AJ326" s="10">
        <v>348</v>
      </c>
      <c r="AK326" s="10">
        <v>649</v>
      </c>
      <c r="AL326" s="10">
        <v>495</v>
      </c>
      <c r="AM326" s="10">
        <v>541</v>
      </c>
      <c r="AN326" s="10">
        <v>407</v>
      </c>
      <c r="AO326" s="10">
        <v>520</v>
      </c>
      <c r="AP326" s="10">
        <v>177</v>
      </c>
      <c r="AQ326" s="10">
        <v>799</v>
      </c>
      <c r="AR326" s="10">
        <v>298</v>
      </c>
      <c r="AS326" s="10">
        <v>257</v>
      </c>
      <c r="AT326" s="10">
        <v>179</v>
      </c>
      <c r="AU326" s="10">
        <v>134</v>
      </c>
      <c r="AV326" s="10">
        <v>333</v>
      </c>
      <c r="AW326" s="10">
        <v>102</v>
      </c>
      <c r="AX326" s="10">
        <v>390</v>
      </c>
      <c r="AY326" s="10">
        <v>325</v>
      </c>
      <c r="AZ326" s="10">
        <v>238</v>
      </c>
      <c r="BA326" s="10">
        <v>694</v>
      </c>
      <c r="BB326" s="10">
        <v>243</v>
      </c>
      <c r="BC326" s="10">
        <v>848</v>
      </c>
      <c r="BD326" s="10">
        <v>366</v>
      </c>
      <c r="BE326" s="10">
        <v>397</v>
      </c>
      <c r="BF326" s="10">
        <v>427</v>
      </c>
      <c r="BG326" s="10">
        <v>402</v>
      </c>
      <c r="BH326" s="10">
        <v>498</v>
      </c>
      <c r="BI326" s="10">
        <v>626</v>
      </c>
      <c r="BJ326" s="10">
        <v>169</v>
      </c>
      <c r="BK326" s="10">
        <v>374</v>
      </c>
      <c r="BL326" s="10">
        <v>244</v>
      </c>
    </row>
    <row r="327" spans="1:64">
      <c r="A327" s="15">
        <v>359447</v>
      </c>
      <c r="B327" s="14">
        <v>905449</v>
      </c>
      <c r="C327" s="14">
        <v>159</v>
      </c>
      <c r="D327" s="2" t="str">
        <f>HYPERLINK("http://128.120.136.21:8080/binbase-compound/bin/show/359447?db=rtx5","359447")</f>
        <v>359447</v>
      </c>
      <c r="E327" s="2" t="s">
        <v>347</v>
      </c>
      <c r="F327" s="2" t="s">
        <v>57</v>
      </c>
      <c r="G327" s="2" t="s">
        <v>57</v>
      </c>
      <c r="H327" s="10">
        <v>791</v>
      </c>
      <c r="I327" s="10">
        <v>931</v>
      </c>
      <c r="J327" s="10">
        <v>947</v>
      </c>
      <c r="K327" s="10">
        <v>502</v>
      </c>
      <c r="L327" s="10">
        <v>706</v>
      </c>
      <c r="M327" s="10">
        <v>359</v>
      </c>
      <c r="N327" s="10">
        <v>1119</v>
      </c>
      <c r="O327" s="10">
        <v>586</v>
      </c>
      <c r="P327" s="10">
        <v>382</v>
      </c>
      <c r="Q327" s="10">
        <v>990</v>
      </c>
      <c r="R327" s="10">
        <v>715</v>
      </c>
      <c r="S327" s="10">
        <v>3063</v>
      </c>
      <c r="T327" s="10">
        <v>441</v>
      </c>
      <c r="U327" s="10">
        <v>979</v>
      </c>
      <c r="V327" s="10">
        <v>698</v>
      </c>
      <c r="W327" s="10">
        <v>408</v>
      </c>
      <c r="X327" s="10">
        <v>538</v>
      </c>
      <c r="Y327" s="10">
        <v>725</v>
      </c>
      <c r="Z327" s="10">
        <v>531</v>
      </c>
      <c r="AA327" s="10">
        <v>860</v>
      </c>
      <c r="AB327" s="10">
        <v>912</v>
      </c>
      <c r="AC327" s="10">
        <v>520</v>
      </c>
      <c r="AD327" s="10">
        <v>405</v>
      </c>
      <c r="AE327" s="10">
        <v>464</v>
      </c>
      <c r="AF327" s="10">
        <v>580</v>
      </c>
      <c r="AG327" s="10">
        <v>376</v>
      </c>
      <c r="AH327" s="10">
        <v>782</v>
      </c>
      <c r="AI327" s="10">
        <v>760</v>
      </c>
      <c r="AJ327" s="10">
        <v>760</v>
      </c>
      <c r="AK327" s="10">
        <v>989</v>
      </c>
      <c r="AL327" s="10">
        <v>962</v>
      </c>
      <c r="AM327" s="10">
        <v>365</v>
      </c>
      <c r="AN327" s="10">
        <v>902</v>
      </c>
      <c r="AO327" s="10">
        <v>677</v>
      </c>
      <c r="AP327" s="10">
        <v>745</v>
      </c>
      <c r="AQ327" s="10">
        <v>1945</v>
      </c>
      <c r="AR327" s="10">
        <v>591</v>
      </c>
      <c r="AS327" s="10">
        <v>999</v>
      </c>
      <c r="AT327" s="10">
        <v>704</v>
      </c>
      <c r="AU327" s="10">
        <v>314</v>
      </c>
      <c r="AV327" s="10">
        <v>905</v>
      </c>
      <c r="AW327" s="10">
        <v>673</v>
      </c>
      <c r="AX327" s="10">
        <v>643</v>
      </c>
      <c r="AY327" s="10">
        <v>616</v>
      </c>
      <c r="AZ327" s="10">
        <v>612</v>
      </c>
      <c r="BA327" s="10">
        <v>618</v>
      </c>
      <c r="BB327" s="10">
        <v>609</v>
      </c>
      <c r="BC327" s="10">
        <v>778</v>
      </c>
      <c r="BD327" s="10">
        <v>716</v>
      </c>
      <c r="BE327" s="10">
        <v>698</v>
      </c>
      <c r="BF327" s="10">
        <v>545</v>
      </c>
      <c r="BG327" s="10">
        <v>757</v>
      </c>
      <c r="BH327" s="10">
        <v>589</v>
      </c>
      <c r="BI327" s="10">
        <v>1000</v>
      </c>
      <c r="BJ327" s="10">
        <v>730</v>
      </c>
      <c r="BK327" s="10">
        <v>1030</v>
      </c>
      <c r="BL327" s="10">
        <v>632</v>
      </c>
    </row>
    <row r="328" spans="1:64">
      <c r="A328" s="15">
        <v>214201</v>
      </c>
      <c r="B328" s="14">
        <v>436111</v>
      </c>
      <c r="C328" s="14">
        <v>205</v>
      </c>
      <c r="D328" s="2" t="str">
        <f>HYPERLINK("http://128.120.136.21:8080/binbase-compound/bin/show/214201?db=rtx5","214201")</f>
        <v>214201</v>
      </c>
      <c r="E328" s="2" t="s">
        <v>472</v>
      </c>
      <c r="F328" s="16" t="s">
        <v>563</v>
      </c>
      <c r="G328" s="16" t="s">
        <v>563</v>
      </c>
      <c r="H328" s="10">
        <v>318</v>
      </c>
      <c r="I328" s="10">
        <v>261</v>
      </c>
      <c r="J328" s="10">
        <v>412</v>
      </c>
      <c r="K328" s="10">
        <v>1300</v>
      </c>
      <c r="L328" s="10">
        <v>239</v>
      </c>
      <c r="M328" s="10">
        <v>117</v>
      </c>
      <c r="N328" s="10">
        <v>489</v>
      </c>
      <c r="O328" s="10">
        <v>643</v>
      </c>
      <c r="P328" s="10">
        <v>229</v>
      </c>
      <c r="Q328" s="10">
        <v>327</v>
      </c>
      <c r="R328" s="10">
        <v>265</v>
      </c>
      <c r="S328" s="10">
        <v>1003</v>
      </c>
      <c r="T328" s="10">
        <v>413</v>
      </c>
      <c r="U328" s="10">
        <v>373</v>
      </c>
      <c r="V328" s="10">
        <v>369</v>
      </c>
      <c r="W328" s="10">
        <v>327</v>
      </c>
      <c r="X328" s="10">
        <v>91</v>
      </c>
      <c r="Y328" s="10">
        <v>587</v>
      </c>
      <c r="Z328" s="10">
        <v>261</v>
      </c>
      <c r="AA328" s="10">
        <v>274</v>
      </c>
      <c r="AB328" s="10">
        <v>486</v>
      </c>
      <c r="AC328" s="10">
        <v>323</v>
      </c>
      <c r="AD328" s="10">
        <v>164</v>
      </c>
      <c r="AE328" s="10">
        <v>102</v>
      </c>
      <c r="AF328" s="10">
        <v>288</v>
      </c>
      <c r="AG328" s="10">
        <v>96</v>
      </c>
      <c r="AH328" s="10">
        <v>627</v>
      </c>
      <c r="AI328" s="10">
        <v>312</v>
      </c>
      <c r="AJ328" s="10">
        <v>331</v>
      </c>
      <c r="AK328" s="10">
        <v>328</v>
      </c>
      <c r="AL328" s="10">
        <v>320</v>
      </c>
      <c r="AM328" s="10">
        <v>488</v>
      </c>
      <c r="AN328" s="10">
        <v>314</v>
      </c>
      <c r="AO328" s="10">
        <v>331</v>
      </c>
      <c r="AP328" s="10">
        <v>298</v>
      </c>
      <c r="AQ328" s="10">
        <v>751</v>
      </c>
      <c r="AR328" s="10">
        <v>417</v>
      </c>
      <c r="AS328" s="10">
        <v>456</v>
      </c>
      <c r="AT328" s="10">
        <v>306</v>
      </c>
      <c r="AU328" s="10">
        <v>270</v>
      </c>
      <c r="AV328" s="10">
        <v>350</v>
      </c>
      <c r="AW328" s="10">
        <v>377</v>
      </c>
      <c r="AX328" s="10">
        <v>343</v>
      </c>
      <c r="AY328" s="10">
        <v>311</v>
      </c>
      <c r="AZ328" s="10">
        <v>410</v>
      </c>
      <c r="BA328" s="10">
        <v>166</v>
      </c>
      <c r="BB328" s="10">
        <v>273</v>
      </c>
      <c r="BC328" s="10">
        <v>275</v>
      </c>
      <c r="BD328" s="10">
        <v>335</v>
      </c>
      <c r="BE328" s="10">
        <v>299</v>
      </c>
      <c r="BF328" s="10">
        <v>457</v>
      </c>
      <c r="BG328" s="10">
        <v>364</v>
      </c>
      <c r="BH328" s="10">
        <v>330</v>
      </c>
      <c r="BI328" s="10">
        <v>354</v>
      </c>
      <c r="BJ328" s="10">
        <v>208</v>
      </c>
      <c r="BK328" s="10">
        <v>371</v>
      </c>
      <c r="BL328" s="10">
        <v>164</v>
      </c>
    </row>
    <row r="329" spans="1:64">
      <c r="A329" s="15">
        <v>224632</v>
      </c>
      <c r="B329" s="14">
        <v>755977</v>
      </c>
      <c r="C329" s="14">
        <v>290</v>
      </c>
      <c r="D329" s="2" t="str">
        <f>HYPERLINK("http://128.120.136.21:8080/binbase-compound/bin/show/224632?db=rtx5","224632")</f>
        <v>224632</v>
      </c>
      <c r="E329" s="2" t="s">
        <v>456</v>
      </c>
      <c r="F329" s="2" t="s">
        <v>57</v>
      </c>
      <c r="G329" s="2" t="s">
        <v>57</v>
      </c>
      <c r="H329" s="10">
        <v>266</v>
      </c>
      <c r="I329" s="10">
        <v>1170</v>
      </c>
      <c r="J329" s="10">
        <v>933</v>
      </c>
      <c r="K329" s="10">
        <v>358</v>
      </c>
      <c r="L329" s="10">
        <v>696</v>
      </c>
      <c r="M329" s="10">
        <v>217</v>
      </c>
      <c r="N329" s="10">
        <v>830</v>
      </c>
      <c r="O329" s="10">
        <v>353</v>
      </c>
      <c r="P329" s="10">
        <v>435</v>
      </c>
      <c r="Q329" s="10">
        <v>390</v>
      </c>
      <c r="R329" s="10">
        <v>364</v>
      </c>
      <c r="S329" s="10">
        <v>955</v>
      </c>
      <c r="T329" s="10">
        <v>162</v>
      </c>
      <c r="U329" s="10">
        <v>877</v>
      </c>
      <c r="V329" s="10">
        <v>538</v>
      </c>
      <c r="W329" s="10">
        <v>276</v>
      </c>
      <c r="X329" s="10">
        <v>373</v>
      </c>
      <c r="Y329" s="10">
        <v>290</v>
      </c>
      <c r="Z329" s="10">
        <v>358</v>
      </c>
      <c r="AA329" s="10">
        <v>604</v>
      </c>
      <c r="AB329" s="10">
        <v>277</v>
      </c>
      <c r="AC329" s="10">
        <v>295</v>
      </c>
      <c r="AD329" s="10">
        <v>261</v>
      </c>
      <c r="AE329" s="10">
        <v>235</v>
      </c>
      <c r="AF329" s="10">
        <v>410</v>
      </c>
      <c r="AG329" s="10">
        <v>152</v>
      </c>
      <c r="AH329" s="10">
        <v>712</v>
      </c>
      <c r="AI329" s="10">
        <v>360</v>
      </c>
      <c r="AJ329" s="10">
        <v>614</v>
      </c>
      <c r="AK329" s="10">
        <v>648</v>
      </c>
      <c r="AL329" s="10">
        <v>694</v>
      </c>
      <c r="AM329" s="10">
        <v>184</v>
      </c>
      <c r="AN329" s="10">
        <v>654</v>
      </c>
      <c r="AO329" s="10">
        <v>626</v>
      </c>
      <c r="AP329" s="10">
        <v>310</v>
      </c>
      <c r="AQ329" s="10">
        <v>611</v>
      </c>
      <c r="AR329" s="10">
        <v>516</v>
      </c>
      <c r="AS329" s="10">
        <v>724</v>
      </c>
      <c r="AT329" s="10">
        <v>406</v>
      </c>
      <c r="AU329" s="10">
        <v>491</v>
      </c>
      <c r="AV329" s="10">
        <v>1416</v>
      </c>
      <c r="AW329" s="10">
        <v>698</v>
      </c>
      <c r="AX329" s="10">
        <v>869</v>
      </c>
      <c r="AY329" s="10">
        <v>508</v>
      </c>
      <c r="AZ329" s="10">
        <v>919</v>
      </c>
      <c r="BA329" s="10">
        <v>335</v>
      </c>
      <c r="BB329" s="10">
        <v>278</v>
      </c>
      <c r="BC329" s="10">
        <v>671</v>
      </c>
      <c r="BD329" s="10">
        <v>391</v>
      </c>
      <c r="BE329" s="10">
        <v>603</v>
      </c>
      <c r="BF329" s="10">
        <v>598</v>
      </c>
      <c r="BG329" s="10">
        <v>832</v>
      </c>
      <c r="BH329" s="10">
        <v>572</v>
      </c>
      <c r="BI329" s="10">
        <v>352</v>
      </c>
      <c r="BJ329" s="10">
        <v>795</v>
      </c>
      <c r="BK329" s="10">
        <v>501</v>
      </c>
      <c r="BL329" s="10">
        <v>220</v>
      </c>
    </row>
    <row r="330" spans="1:64">
      <c r="A330" s="15">
        <v>354038</v>
      </c>
      <c r="B330" s="14">
        <v>319018</v>
      </c>
      <c r="C330" s="14">
        <v>178</v>
      </c>
      <c r="D330" s="2" t="str">
        <f>HYPERLINK("http://128.120.136.21:8080/binbase-compound/bin/show/354038?db=rtx5","354038")</f>
        <v>354038</v>
      </c>
      <c r="E330" s="2" t="s">
        <v>351</v>
      </c>
      <c r="F330" s="2" t="s">
        <v>57</v>
      </c>
      <c r="G330" s="2" t="s">
        <v>57</v>
      </c>
      <c r="H330" s="10">
        <v>339</v>
      </c>
      <c r="I330" s="10">
        <v>711</v>
      </c>
      <c r="J330" s="10">
        <v>783</v>
      </c>
      <c r="K330" s="10">
        <v>405</v>
      </c>
      <c r="L330" s="10">
        <v>694</v>
      </c>
      <c r="M330" s="10">
        <v>329</v>
      </c>
      <c r="N330" s="10">
        <v>777</v>
      </c>
      <c r="O330" s="10">
        <v>395</v>
      </c>
      <c r="P330" s="10">
        <v>268</v>
      </c>
      <c r="Q330" s="10">
        <v>817</v>
      </c>
      <c r="R330" s="10">
        <v>382</v>
      </c>
      <c r="S330" s="10">
        <v>2030</v>
      </c>
      <c r="T330" s="10">
        <v>146</v>
      </c>
      <c r="U330" s="10">
        <v>474</v>
      </c>
      <c r="V330" s="10">
        <v>428</v>
      </c>
      <c r="W330" s="10">
        <v>246</v>
      </c>
      <c r="X330" s="10">
        <v>527</v>
      </c>
      <c r="Y330" s="10">
        <v>436</v>
      </c>
      <c r="Z330" s="10">
        <v>320</v>
      </c>
      <c r="AA330" s="10">
        <v>807</v>
      </c>
      <c r="AB330" s="10">
        <v>605</v>
      </c>
      <c r="AC330" s="10">
        <v>304</v>
      </c>
      <c r="AD330" s="10">
        <v>334</v>
      </c>
      <c r="AE330" s="10">
        <v>328</v>
      </c>
      <c r="AF330" s="10">
        <v>277</v>
      </c>
      <c r="AG330" s="10">
        <v>425</v>
      </c>
      <c r="AH330" s="10">
        <v>936</v>
      </c>
      <c r="AI330" s="10">
        <v>527</v>
      </c>
      <c r="AJ330" s="10">
        <v>690</v>
      </c>
      <c r="AK330" s="10">
        <v>631</v>
      </c>
      <c r="AL330" s="10">
        <v>601</v>
      </c>
      <c r="AM330" s="10">
        <v>497</v>
      </c>
      <c r="AN330" s="10">
        <v>967</v>
      </c>
      <c r="AO330" s="10">
        <v>938</v>
      </c>
      <c r="AP330" s="10">
        <v>466</v>
      </c>
      <c r="AQ330" s="10">
        <v>2497</v>
      </c>
      <c r="AR330" s="10">
        <v>428</v>
      </c>
      <c r="AS330" s="10">
        <v>856</v>
      </c>
      <c r="AT330" s="10">
        <v>554</v>
      </c>
      <c r="AU330" s="10">
        <v>154</v>
      </c>
      <c r="AV330" s="10">
        <v>555</v>
      </c>
      <c r="AW330" s="10">
        <v>719</v>
      </c>
      <c r="AX330" s="10">
        <v>739</v>
      </c>
      <c r="AY330" s="10">
        <v>698</v>
      </c>
      <c r="AZ330" s="10">
        <v>851</v>
      </c>
      <c r="BA330" s="10">
        <v>532</v>
      </c>
      <c r="BB330" s="10">
        <v>523</v>
      </c>
      <c r="BC330" s="10">
        <v>620</v>
      </c>
      <c r="BD330" s="10">
        <v>612</v>
      </c>
      <c r="BE330" s="10">
        <v>541</v>
      </c>
      <c r="BF330" s="10">
        <v>1036</v>
      </c>
      <c r="BG330" s="10">
        <v>833</v>
      </c>
      <c r="BH330" s="10">
        <v>498</v>
      </c>
      <c r="BI330" s="10">
        <v>798</v>
      </c>
      <c r="BJ330" s="10">
        <v>593</v>
      </c>
      <c r="BK330" s="10">
        <v>658</v>
      </c>
      <c r="BL330" s="10">
        <v>446</v>
      </c>
    </row>
    <row r="331" spans="1:64">
      <c r="A331" s="15">
        <v>362105</v>
      </c>
      <c r="B331" s="14">
        <v>319553</v>
      </c>
      <c r="C331" s="14">
        <v>160</v>
      </c>
      <c r="D331" s="2" t="str">
        <f>HYPERLINK("http://128.120.136.21:8080/binbase-compound/bin/show/362105?db=rtx5","362105")</f>
        <v>362105</v>
      </c>
      <c r="E331" s="2" t="s">
        <v>337</v>
      </c>
      <c r="F331" s="2" t="s">
        <v>57</v>
      </c>
      <c r="G331" s="2" t="s">
        <v>57</v>
      </c>
      <c r="H331" s="10">
        <v>418</v>
      </c>
      <c r="I331" s="10">
        <v>507</v>
      </c>
      <c r="J331" s="10">
        <v>498</v>
      </c>
      <c r="K331" s="10">
        <v>480</v>
      </c>
      <c r="L331" s="10">
        <v>484</v>
      </c>
      <c r="M331" s="10">
        <v>204</v>
      </c>
      <c r="N331" s="10">
        <v>631</v>
      </c>
      <c r="O331" s="10">
        <v>166</v>
      </c>
      <c r="P331" s="10">
        <v>366</v>
      </c>
      <c r="Q331" s="10">
        <v>391</v>
      </c>
      <c r="R331" s="10">
        <v>433</v>
      </c>
      <c r="S331" s="10">
        <v>931</v>
      </c>
      <c r="T331" s="10">
        <v>549</v>
      </c>
      <c r="U331" s="10">
        <v>674</v>
      </c>
      <c r="V331" s="10">
        <v>404</v>
      </c>
      <c r="W331" s="10">
        <v>372</v>
      </c>
      <c r="X331" s="10">
        <v>375</v>
      </c>
      <c r="Y331" s="10">
        <v>403</v>
      </c>
      <c r="Z331" s="10">
        <v>344</v>
      </c>
      <c r="AA331" s="10">
        <v>807</v>
      </c>
      <c r="AB331" s="10">
        <v>417</v>
      </c>
      <c r="AC331" s="10">
        <v>245</v>
      </c>
      <c r="AD331" s="10">
        <v>268</v>
      </c>
      <c r="AE331" s="10">
        <v>462</v>
      </c>
      <c r="AF331" s="10">
        <v>443</v>
      </c>
      <c r="AG331" s="10">
        <v>391</v>
      </c>
      <c r="AH331" s="10">
        <v>687</v>
      </c>
      <c r="AI331" s="10">
        <v>538</v>
      </c>
      <c r="AJ331" s="10">
        <v>755</v>
      </c>
      <c r="AK331" s="10">
        <v>382</v>
      </c>
      <c r="AL331" s="10">
        <v>709</v>
      </c>
      <c r="AM331" s="10">
        <v>344</v>
      </c>
      <c r="AN331" s="10">
        <v>405</v>
      </c>
      <c r="AO331" s="10">
        <v>456</v>
      </c>
      <c r="AP331" s="10">
        <v>537</v>
      </c>
      <c r="AQ331" s="10">
        <v>1127</v>
      </c>
      <c r="AR331" s="10">
        <v>555</v>
      </c>
      <c r="AS331" s="10">
        <v>706</v>
      </c>
      <c r="AT331" s="10">
        <v>650</v>
      </c>
      <c r="AU331" s="10">
        <v>381</v>
      </c>
      <c r="AV331" s="10">
        <v>846</v>
      </c>
      <c r="AW331" s="10">
        <v>409</v>
      </c>
      <c r="AX331" s="10">
        <v>510</v>
      </c>
      <c r="AY331" s="10">
        <v>745</v>
      </c>
      <c r="AZ331" s="10">
        <v>908</v>
      </c>
      <c r="BA331" s="10">
        <v>757</v>
      </c>
      <c r="BB331" s="10">
        <v>915</v>
      </c>
      <c r="BC331" s="10">
        <v>799</v>
      </c>
      <c r="BD331" s="10">
        <v>120</v>
      </c>
      <c r="BE331" s="10">
        <v>759</v>
      </c>
      <c r="BF331" s="10">
        <v>751</v>
      </c>
      <c r="BG331" s="10">
        <v>1083</v>
      </c>
      <c r="BH331" s="10">
        <v>838</v>
      </c>
      <c r="BI331" s="10">
        <v>885</v>
      </c>
      <c r="BJ331" s="10">
        <v>488</v>
      </c>
      <c r="BK331" s="10">
        <v>522</v>
      </c>
      <c r="BL331" s="10">
        <v>446</v>
      </c>
    </row>
    <row r="332" spans="1:64">
      <c r="A332" s="15">
        <v>288818</v>
      </c>
      <c r="B332" s="14">
        <v>471123</v>
      </c>
      <c r="C332" s="14">
        <v>244</v>
      </c>
      <c r="D332" s="2" t="str">
        <f>HYPERLINK("http://128.120.136.21:8080/binbase-compound/bin/show/288818?db=rtx5","288818")</f>
        <v>288818</v>
      </c>
      <c r="E332" s="2" t="s">
        <v>388</v>
      </c>
      <c r="F332" s="2" t="s">
        <v>57</v>
      </c>
      <c r="G332" s="2" t="s">
        <v>57</v>
      </c>
      <c r="H332" s="10">
        <v>138</v>
      </c>
      <c r="I332" s="10">
        <v>1240</v>
      </c>
      <c r="J332" s="10">
        <v>1163</v>
      </c>
      <c r="K332" s="10">
        <v>212</v>
      </c>
      <c r="L332" s="10">
        <v>336</v>
      </c>
      <c r="M332" s="10">
        <v>140</v>
      </c>
      <c r="N332" s="10">
        <v>340</v>
      </c>
      <c r="O332" s="10">
        <v>150</v>
      </c>
      <c r="P332" s="10">
        <v>145</v>
      </c>
      <c r="Q332" s="10">
        <v>163</v>
      </c>
      <c r="R332" s="10">
        <v>133</v>
      </c>
      <c r="S332" s="10">
        <v>775</v>
      </c>
      <c r="T332" s="10">
        <v>156</v>
      </c>
      <c r="U332" s="10">
        <v>920</v>
      </c>
      <c r="V332" s="10">
        <v>275</v>
      </c>
      <c r="W332" s="10">
        <v>121</v>
      </c>
      <c r="X332" s="10">
        <v>221</v>
      </c>
      <c r="Y332" s="10">
        <v>116</v>
      </c>
      <c r="Z332" s="10">
        <v>172</v>
      </c>
      <c r="AA332" s="10">
        <v>1194</v>
      </c>
      <c r="AB332" s="10">
        <v>192</v>
      </c>
      <c r="AC332" s="10">
        <v>100</v>
      </c>
      <c r="AD332" s="10">
        <v>97</v>
      </c>
      <c r="AE332" s="10">
        <v>398</v>
      </c>
      <c r="AF332" s="10">
        <v>163</v>
      </c>
      <c r="AG332" s="10">
        <v>134</v>
      </c>
      <c r="AH332" s="10">
        <v>534</v>
      </c>
      <c r="AI332" s="10">
        <v>568</v>
      </c>
      <c r="AJ332" s="10">
        <v>159</v>
      </c>
      <c r="AK332" s="10">
        <v>473</v>
      </c>
      <c r="AL332" s="10">
        <v>782</v>
      </c>
      <c r="AM332" s="10">
        <v>144</v>
      </c>
      <c r="AN332" s="10">
        <v>1076</v>
      </c>
      <c r="AO332" s="10">
        <v>1118</v>
      </c>
      <c r="AP332" s="10">
        <v>185</v>
      </c>
      <c r="AQ332" s="10">
        <v>611</v>
      </c>
      <c r="AR332" s="10">
        <v>203</v>
      </c>
      <c r="AS332" s="10">
        <v>1106</v>
      </c>
      <c r="AT332" s="10">
        <v>205</v>
      </c>
      <c r="AU332" s="10">
        <v>205</v>
      </c>
      <c r="AV332" s="10">
        <v>1538</v>
      </c>
      <c r="AW332" s="10">
        <v>239</v>
      </c>
      <c r="AX332" s="10">
        <v>707</v>
      </c>
      <c r="AY332" s="10">
        <v>368</v>
      </c>
      <c r="AZ332" s="10">
        <v>761</v>
      </c>
      <c r="BA332" s="10">
        <v>199</v>
      </c>
      <c r="BB332" s="10">
        <v>170</v>
      </c>
      <c r="BC332" s="10">
        <v>220</v>
      </c>
      <c r="BD332" s="10">
        <v>163</v>
      </c>
      <c r="BE332" s="10">
        <v>111</v>
      </c>
      <c r="BF332" s="10">
        <v>315</v>
      </c>
      <c r="BG332" s="10">
        <v>330</v>
      </c>
      <c r="BH332" s="10">
        <v>174</v>
      </c>
      <c r="BI332" s="10">
        <v>206</v>
      </c>
      <c r="BJ332" s="10">
        <v>159</v>
      </c>
      <c r="BK332" s="10">
        <v>165</v>
      </c>
      <c r="BL332" s="10">
        <v>149</v>
      </c>
    </row>
    <row r="333" spans="1:64">
      <c r="A333" s="15">
        <v>213697</v>
      </c>
      <c r="B333" s="14">
        <v>456893</v>
      </c>
      <c r="C333" s="14">
        <v>232</v>
      </c>
      <c r="D333" s="2" t="str">
        <f>HYPERLINK("http://128.120.136.21:8080/binbase-compound/bin/show/213697?db=rtx5","213697")</f>
        <v>213697</v>
      </c>
      <c r="E333" s="2" t="s">
        <v>479</v>
      </c>
      <c r="F333" s="2" t="s">
        <v>57</v>
      </c>
      <c r="G333" s="2" t="s">
        <v>57</v>
      </c>
      <c r="H333" s="10">
        <v>600</v>
      </c>
      <c r="I333" s="10">
        <v>526</v>
      </c>
      <c r="J333" s="10">
        <v>239</v>
      </c>
      <c r="K333" s="10">
        <v>452</v>
      </c>
      <c r="L333" s="10">
        <v>698</v>
      </c>
      <c r="M333" s="10">
        <v>567</v>
      </c>
      <c r="N333" s="10">
        <v>758</v>
      </c>
      <c r="O333" s="10">
        <v>447</v>
      </c>
      <c r="P333" s="10">
        <v>641</v>
      </c>
      <c r="Q333" s="10">
        <v>690</v>
      </c>
      <c r="R333" s="10">
        <v>652</v>
      </c>
      <c r="S333" s="10">
        <v>991</v>
      </c>
      <c r="T333" s="10">
        <v>274</v>
      </c>
      <c r="U333" s="10">
        <v>673</v>
      </c>
      <c r="V333" s="10">
        <v>591</v>
      </c>
      <c r="W333" s="10">
        <v>301</v>
      </c>
      <c r="X333" s="10">
        <v>405</v>
      </c>
      <c r="Y333" s="10">
        <v>335</v>
      </c>
      <c r="Z333" s="10">
        <v>461</v>
      </c>
      <c r="AA333" s="10">
        <v>771</v>
      </c>
      <c r="AB333" s="10">
        <v>282</v>
      </c>
      <c r="AC333" s="10">
        <v>523</v>
      </c>
      <c r="AD333" s="10">
        <v>185</v>
      </c>
      <c r="AE333" s="10">
        <v>641</v>
      </c>
      <c r="AF333" s="10">
        <v>475</v>
      </c>
      <c r="AG333" s="10">
        <v>156</v>
      </c>
      <c r="AH333" s="10">
        <v>718</v>
      </c>
      <c r="AI333" s="10">
        <v>360</v>
      </c>
      <c r="AJ333" s="10">
        <v>312</v>
      </c>
      <c r="AK333" s="10">
        <v>665</v>
      </c>
      <c r="AL333" s="10">
        <v>304</v>
      </c>
      <c r="AM333" s="10">
        <v>177</v>
      </c>
      <c r="AN333" s="10">
        <v>484</v>
      </c>
      <c r="AO333" s="10">
        <v>358</v>
      </c>
      <c r="AP333" s="10">
        <v>319</v>
      </c>
      <c r="AQ333" s="10">
        <v>559</v>
      </c>
      <c r="AR333" s="10">
        <v>621</v>
      </c>
      <c r="AS333" s="10">
        <v>614</v>
      </c>
      <c r="AT333" s="10">
        <v>596</v>
      </c>
      <c r="AU333" s="10">
        <v>640</v>
      </c>
      <c r="AV333" s="10">
        <v>918</v>
      </c>
      <c r="AW333" s="10">
        <v>692</v>
      </c>
      <c r="AX333" s="10">
        <v>267</v>
      </c>
      <c r="AY333" s="10">
        <v>357</v>
      </c>
      <c r="AZ333" s="10">
        <v>836</v>
      </c>
      <c r="BA333" s="10">
        <v>301</v>
      </c>
      <c r="BB333" s="10">
        <v>221</v>
      </c>
      <c r="BC333" s="10">
        <v>376</v>
      </c>
      <c r="BD333" s="10">
        <v>314</v>
      </c>
      <c r="BE333" s="10">
        <v>326</v>
      </c>
      <c r="BF333" s="10">
        <v>382</v>
      </c>
      <c r="BG333" s="10">
        <v>324</v>
      </c>
      <c r="BH333" s="10">
        <v>329</v>
      </c>
      <c r="BI333" s="10">
        <v>248</v>
      </c>
      <c r="BJ333" s="10">
        <v>375</v>
      </c>
      <c r="BK333" s="10">
        <v>721</v>
      </c>
      <c r="BL333" s="10">
        <v>334</v>
      </c>
    </row>
    <row r="334" spans="1:64">
      <c r="A334" s="15">
        <v>233108</v>
      </c>
      <c r="B334" s="14">
        <v>642183</v>
      </c>
      <c r="C334" s="14">
        <v>170</v>
      </c>
      <c r="D334" s="2" t="str">
        <f>HYPERLINK("http://128.120.136.21:8080/binbase-compound/bin/show/233108?db=rtx5","233108")</f>
        <v>233108</v>
      </c>
      <c r="E334" s="2" t="s">
        <v>440</v>
      </c>
      <c r="F334" s="2" t="s">
        <v>57</v>
      </c>
      <c r="G334" s="2" t="s">
        <v>57</v>
      </c>
      <c r="H334" s="10">
        <v>133</v>
      </c>
      <c r="I334" s="10">
        <v>315</v>
      </c>
      <c r="J334" s="10">
        <v>551</v>
      </c>
      <c r="K334" s="10">
        <v>117</v>
      </c>
      <c r="L334" s="10">
        <v>457</v>
      </c>
      <c r="M334" s="10">
        <v>277</v>
      </c>
      <c r="N334" s="10">
        <v>442</v>
      </c>
      <c r="O334" s="10">
        <v>446</v>
      </c>
      <c r="P334" s="10">
        <v>270</v>
      </c>
      <c r="Q334" s="10">
        <v>342</v>
      </c>
      <c r="R334" s="10">
        <v>384</v>
      </c>
      <c r="S334" s="10">
        <v>1057</v>
      </c>
      <c r="T334" s="10">
        <v>82</v>
      </c>
      <c r="U334" s="10">
        <v>403</v>
      </c>
      <c r="V334" s="10">
        <v>319</v>
      </c>
      <c r="W334" s="10">
        <v>151</v>
      </c>
      <c r="X334" s="10">
        <v>61</v>
      </c>
      <c r="Y334" s="10">
        <v>275</v>
      </c>
      <c r="Z334" s="10">
        <v>499</v>
      </c>
      <c r="AA334" s="10">
        <v>379</v>
      </c>
      <c r="AB334" s="10">
        <v>381</v>
      </c>
      <c r="AC334" s="10">
        <v>296</v>
      </c>
      <c r="AD334" s="10">
        <v>198</v>
      </c>
      <c r="AE334" s="10">
        <v>378</v>
      </c>
      <c r="AF334" s="10">
        <v>294</v>
      </c>
      <c r="AG334" s="10">
        <v>339</v>
      </c>
      <c r="AH334" s="10">
        <v>789</v>
      </c>
      <c r="AI334" s="10">
        <v>405</v>
      </c>
      <c r="AJ334" s="10">
        <v>551</v>
      </c>
      <c r="AK334" s="10">
        <v>711</v>
      </c>
      <c r="AL334" s="10">
        <v>715</v>
      </c>
      <c r="AM334" s="10">
        <v>62</v>
      </c>
      <c r="AN334" s="10">
        <v>374</v>
      </c>
      <c r="AO334" s="10">
        <v>706</v>
      </c>
      <c r="AP334" s="10">
        <v>206</v>
      </c>
      <c r="AQ334" s="10">
        <v>1945</v>
      </c>
      <c r="AR334" s="10">
        <v>382</v>
      </c>
      <c r="AS334" s="10">
        <v>356</v>
      </c>
      <c r="AT334" s="10">
        <v>247</v>
      </c>
      <c r="AU334" s="10">
        <v>450</v>
      </c>
      <c r="AV334" s="10">
        <v>363</v>
      </c>
      <c r="AW334" s="10">
        <v>509</v>
      </c>
      <c r="AX334" s="10">
        <v>164</v>
      </c>
      <c r="AY334" s="10">
        <v>702</v>
      </c>
      <c r="AZ334" s="10">
        <v>437</v>
      </c>
      <c r="BA334" s="10">
        <v>555</v>
      </c>
      <c r="BB334" s="10">
        <v>555</v>
      </c>
      <c r="BC334" s="10">
        <v>568</v>
      </c>
      <c r="BD334" s="10">
        <v>612</v>
      </c>
      <c r="BE334" s="10">
        <v>468</v>
      </c>
      <c r="BF334" s="10">
        <v>817</v>
      </c>
      <c r="BG334" s="10">
        <v>773</v>
      </c>
      <c r="BH334" s="10">
        <v>486</v>
      </c>
      <c r="BI334" s="10">
        <v>392</v>
      </c>
      <c r="BJ334" s="10">
        <v>572</v>
      </c>
      <c r="BK334" s="10">
        <v>199</v>
      </c>
      <c r="BL334" s="10">
        <v>410</v>
      </c>
    </row>
    <row r="335" spans="1:64">
      <c r="A335" s="15">
        <v>241090</v>
      </c>
      <c r="B335" s="14">
        <v>1067805</v>
      </c>
      <c r="C335" s="14">
        <v>264</v>
      </c>
      <c r="D335" s="2" t="str">
        <f>HYPERLINK("http://128.120.136.21:8080/binbase-compound/bin/show/241090?db=rtx5","241090")</f>
        <v>241090</v>
      </c>
      <c r="E335" s="2" t="s">
        <v>416</v>
      </c>
      <c r="F335" s="2" t="s">
        <v>57</v>
      </c>
      <c r="G335" s="2" t="s">
        <v>57</v>
      </c>
      <c r="H335" s="10">
        <v>176</v>
      </c>
      <c r="I335" s="10">
        <v>359</v>
      </c>
      <c r="J335" s="10">
        <v>238</v>
      </c>
      <c r="K335" s="10">
        <v>243</v>
      </c>
      <c r="L335" s="10">
        <v>328</v>
      </c>
      <c r="M335" s="10">
        <v>143</v>
      </c>
      <c r="N335" s="10">
        <v>505</v>
      </c>
      <c r="O335" s="10">
        <v>233</v>
      </c>
      <c r="P335" s="10">
        <v>133</v>
      </c>
      <c r="Q335" s="10">
        <v>229</v>
      </c>
      <c r="R335" s="10">
        <v>136</v>
      </c>
      <c r="S335" s="10">
        <v>763</v>
      </c>
      <c r="T335" s="10">
        <v>78</v>
      </c>
      <c r="U335" s="10">
        <v>195</v>
      </c>
      <c r="V335" s="10">
        <v>313</v>
      </c>
      <c r="W335" s="10">
        <v>141</v>
      </c>
      <c r="X335" s="10">
        <v>203</v>
      </c>
      <c r="Y335" s="10">
        <v>179</v>
      </c>
      <c r="Z335" s="10">
        <v>295</v>
      </c>
      <c r="AA335" s="10">
        <v>302</v>
      </c>
      <c r="AB335" s="10">
        <v>407</v>
      </c>
      <c r="AC335" s="10">
        <v>74</v>
      </c>
      <c r="AD335" s="10">
        <v>67</v>
      </c>
      <c r="AE335" s="10">
        <v>97</v>
      </c>
      <c r="AF335" s="10">
        <v>226</v>
      </c>
      <c r="AG335" s="10">
        <v>60</v>
      </c>
      <c r="AH335" s="10">
        <v>501</v>
      </c>
      <c r="AI335" s="10">
        <v>375</v>
      </c>
      <c r="AJ335" s="10">
        <v>300</v>
      </c>
      <c r="AK335" s="10">
        <v>342</v>
      </c>
      <c r="AL335" s="10">
        <v>475</v>
      </c>
      <c r="AM335" s="10">
        <v>160</v>
      </c>
      <c r="AN335" s="10">
        <v>490</v>
      </c>
      <c r="AO335" s="10">
        <v>481</v>
      </c>
      <c r="AP335" s="10">
        <v>384</v>
      </c>
      <c r="AQ335" s="10">
        <v>727</v>
      </c>
      <c r="AR335" s="10">
        <v>297</v>
      </c>
      <c r="AS335" s="10">
        <v>394</v>
      </c>
      <c r="AT335" s="10">
        <v>334</v>
      </c>
      <c r="AU335" s="10">
        <v>127</v>
      </c>
      <c r="AV335" s="10">
        <v>412</v>
      </c>
      <c r="AW335" s="10">
        <v>228</v>
      </c>
      <c r="AX335" s="10">
        <v>140</v>
      </c>
      <c r="AY335" s="10">
        <v>187</v>
      </c>
      <c r="AZ335" s="10">
        <v>342</v>
      </c>
      <c r="BA335" s="10">
        <v>213</v>
      </c>
      <c r="BB335" s="10">
        <v>276</v>
      </c>
      <c r="BC335" s="10">
        <v>342</v>
      </c>
      <c r="BD335" s="10">
        <v>109</v>
      </c>
      <c r="BE335" s="10">
        <v>255</v>
      </c>
      <c r="BF335" s="10">
        <v>356</v>
      </c>
      <c r="BG335" s="10">
        <v>618</v>
      </c>
      <c r="BH335" s="10">
        <v>253</v>
      </c>
      <c r="BI335" s="10">
        <v>731</v>
      </c>
      <c r="BJ335" s="10">
        <v>180</v>
      </c>
      <c r="BK335" s="10">
        <v>430</v>
      </c>
      <c r="BL335" s="10">
        <v>192</v>
      </c>
    </row>
    <row r="336" spans="1:64">
      <c r="A336" s="15">
        <v>309532</v>
      </c>
      <c r="B336" s="14">
        <v>291982</v>
      </c>
      <c r="C336" s="14">
        <v>129</v>
      </c>
      <c r="D336" s="2" t="str">
        <f>HYPERLINK("http://128.120.136.21:8080/binbase-compound/bin/show/309532?db=rtx5","309532")</f>
        <v>309532</v>
      </c>
      <c r="E336" s="2" t="s">
        <v>368</v>
      </c>
      <c r="F336" s="2" t="s">
        <v>57</v>
      </c>
      <c r="G336" s="2" t="s">
        <v>57</v>
      </c>
      <c r="H336" s="10">
        <v>446</v>
      </c>
      <c r="I336" s="10">
        <v>1180</v>
      </c>
      <c r="J336" s="10">
        <v>707</v>
      </c>
      <c r="K336" s="10">
        <v>626</v>
      </c>
      <c r="L336" s="10">
        <v>859</v>
      </c>
      <c r="M336" s="10">
        <v>410</v>
      </c>
      <c r="N336" s="10">
        <v>928</v>
      </c>
      <c r="O336" s="10">
        <v>672</v>
      </c>
      <c r="P336" s="10">
        <v>635</v>
      </c>
      <c r="Q336" s="10">
        <v>1338</v>
      </c>
      <c r="R336" s="10">
        <v>1033</v>
      </c>
      <c r="S336" s="10">
        <v>3531</v>
      </c>
      <c r="T336" s="10">
        <v>240</v>
      </c>
      <c r="U336" s="10">
        <v>917</v>
      </c>
      <c r="V336" s="10">
        <v>935</v>
      </c>
      <c r="W336" s="10">
        <v>460</v>
      </c>
      <c r="X336" s="10">
        <v>763</v>
      </c>
      <c r="Y336" s="10">
        <v>543</v>
      </c>
      <c r="Z336" s="10">
        <v>496</v>
      </c>
      <c r="AA336" s="10">
        <v>1372</v>
      </c>
      <c r="AB336" s="10">
        <v>980</v>
      </c>
      <c r="AC336" s="10">
        <v>462</v>
      </c>
      <c r="AD336" s="10">
        <v>432</v>
      </c>
      <c r="AE336" s="10">
        <v>697</v>
      </c>
      <c r="AF336" s="10">
        <v>782</v>
      </c>
      <c r="AG336" s="10">
        <v>619</v>
      </c>
      <c r="AH336" s="10">
        <v>2494</v>
      </c>
      <c r="AI336" s="10">
        <v>1347</v>
      </c>
      <c r="AJ336" s="10">
        <v>1083</v>
      </c>
      <c r="AK336" s="10">
        <v>1586</v>
      </c>
      <c r="AL336" s="10">
        <v>1633</v>
      </c>
      <c r="AM336" s="10">
        <v>619</v>
      </c>
      <c r="AN336" s="10">
        <v>1805</v>
      </c>
      <c r="AO336" s="10">
        <v>1263</v>
      </c>
      <c r="AP336" s="10">
        <v>1037</v>
      </c>
      <c r="AQ336" s="10">
        <v>4262</v>
      </c>
      <c r="AR336" s="10">
        <v>805</v>
      </c>
      <c r="AS336" s="10">
        <v>1275</v>
      </c>
      <c r="AT336" s="10">
        <v>1133</v>
      </c>
      <c r="AU336" s="10">
        <v>334</v>
      </c>
      <c r="AV336" s="10">
        <v>1479</v>
      </c>
      <c r="AW336" s="10">
        <v>1182</v>
      </c>
      <c r="AX336" s="10">
        <v>1431</v>
      </c>
      <c r="AY336" s="10">
        <v>795</v>
      </c>
      <c r="AZ336" s="10">
        <v>1543</v>
      </c>
      <c r="BA336" s="10">
        <v>971</v>
      </c>
      <c r="BB336" s="10">
        <v>786</v>
      </c>
      <c r="BC336" s="10">
        <v>1462</v>
      </c>
      <c r="BD336" s="10">
        <v>675</v>
      </c>
      <c r="BE336" s="10">
        <v>921</v>
      </c>
      <c r="BF336" s="10">
        <v>1686</v>
      </c>
      <c r="BG336" s="10">
        <v>2138</v>
      </c>
      <c r="BH336" s="10">
        <v>1132</v>
      </c>
      <c r="BI336" s="10">
        <v>1289</v>
      </c>
      <c r="BJ336" s="10">
        <v>844</v>
      </c>
      <c r="BK336" s="10">
        <v>1195</v>
      </c>
      <c r="BL336" s="10">
        <v>721</v>
      </c>
    </row>
    <row r="337" spans="1:64">
      <c r="A337" s="15">
        <v>200624</v>
      </c>
      <c r="B337" s="14">
        <v>421877</v>
      </c>
      <c r="C337" s="14">
        <v>373</v>
      </c>
      <c r="D337" s="2" t="str">
        <f>HYPERLINK("http://128.120.136.21:8080/binbase-compound/bin/show/200624?db=rtx5","200624")</f>
        <v>200624</v>
      </c>
      <c r="E337" s="2" t="s">
        <v>500</v>
      </c>
      <c r="F337" s="2" t="s">
        <v>57</v>
      </c>
      <c r="G337" s="2" t="s">
        <v>57</v>
      </c>
      <c r="H337" s="10">
        <v>225</v>
      </c>
      <c r="I337" s="10">
        <v>425</v>
      </c>
      <c r="J337" s="10">
        <v>351</v>
      </c>
      <c r="K337" s="10">
        <v>231</v>
      </c>
      <c r="L337" s="10">
        <v>239</v>
      </c>
      <c r="M337" s="10">
        <v>313</v>
      </c>
      <c r="N337" s="10">
        <v>612</v>
      </c>
      <c r="O337" s="10">
        <v>151</v>
      </c>
      <c r="P337" s="10">
        <v>336</v>
      </c>
      <c r="Q337" s="10">
        <v>441</v>
      </c>
      <c r="R337" s="10">
        <v>183</v>
      </c>
      <c r="S337" s="10">
        <v>1459</v>
      </c>
      <c r="T337" s="10">
        <v>406</v>
      </c>
      <c r="U337" s="10">
        <v>458</v>
      </c>
      <c r="V337" s="10">
        <v>269</v>
      </c>
      <c r="W337" s="10">
        <v>190</v>
      </c>
      <c r="X337" s="10">
        <v>183</v>
      </c>
      <c r="Y337" s="10">
        <v>98</v>
      </c>
      <c r="Z337" s="10">
        <v>104</v>
      </c>
      <c r="AA337" s="10">
        <v>218</v>
      </c>
      <c r="AB337" s="10">
        <v>1041</v>
      </c>
      <c r="AC337" s="10">
        <v>212</v>
      </c>
      <c r="AD337" s="10">
        <v>225</v>
      </c>
      <c r="AE337" s="10">
        <v>236</v>
      </c>
      <c r="AF337" s="10">
        <v>552</v>
      </c>
      <c r="AG337" s="10">
        <v>127</v>
      </c>
      <c r="AH337" s="10">
        <v>455</v>
      </c>
      <c r="AI337" s="10">
        <v>435</v>
      </c>
      <c r="AJ337" s="10">
        <v>298</v>
      </c>
      <c r="AK337" s="10">
        <v>619</v>
      </c>
      <c r="AL337" s="10">
        <v>651</v>
      </c>
      <c r="AM337" s="10">
        <v>450</v>
      </c>
      <c r="AN337" s="10">
        <v>492</v>
      </c>
      <c r="AO337" s="10">
        <v>526</v>
      </c>
      <c r="AP337" s="10">
        <v>423</v>
      </c>
      <c r="AQ337" s="10">
        <v>1027</v>
      </c>
      <c r="AR337" s="10">
        <v>341</v>
      </c>
      <c r="AS337" s="10">
        <v>220</v>
      </c>
      <c r="AT337" s="10">
        <v>443</v>
      </c>
      <c r="AU337" s="10">
        <v>208</v>
      </c>
      <c r="AV337" s="10">
        <v>375</v>
      </c>
      <c r="AW337" s="10">
        <v>565</v>
      </c>
      <c r="AX337" s="10">
        <v>338</v>
      </c>
      <c r="AY337" s="10">
        <v>336</v>
      </c>
      <c r="AZ337" s="10">
        <v>537</v>
      </c>
      <c r="BA337" s="10">
        <v>498</v>
      </c>
      <c r="BB337" s="10">
        <v>538</v>
      </c>
      <c r="BC337" s="10">
        <v>540</v>
      </c>
      <c r="BD337" s="10">
        <v>263</v>
      </c>
      <c r="BE337" s="10">
        <v>520</v>
      </c>
      <c r="BF337" s="10">
        <v>611</v>
      </c>
      <c r="BG337" s="10">
        <v>470</v>
      </c>
      <c r="BH337" s="10">
        <v>407</v>
      </c>
      <c r="BI337" s="10">
        <v>607</v>
      </c>
      <c r="BJ337" s="10">
        <v>442</v>
      </c>
      <c r="BK337" s="10">
        <v>302</v>
      </c>
      <c r="BL337" s="10">
        <v>258</v>
      </c>
    </row>
    <row r="338" spans="1:64">
      <c r="A338" s="15">
        <v>402237</v>
      </c>
      <c r="B338" s="14">
        <v>302264</v>
      </c>
      <c r="C338" s="14">
        <v>89</v>
      </c>
      <c r="D338" s="2" t="str">
        <f>HYPERLINK("http://128.120.136.21:8080/binbase-compound/bin/show/402237?db=rtx5","402237")</f>
        <v>402237</v>
      </c>
      <c r="E338" s="2" t="s">
        <v>324</v>
      </c>
      <c r="F338" s="2" t="s">
        <v>57</v>
      </c>
      <c r="G338" s="2" t="s">
        <v>57</v>
      </c>
      <c r="H338" s="10">
        <v>620</v>
      </c>
      <c r="I338" s="10">
        <v>852</v>
      </c>
      <c r="J338" s="10">
        <v>1224</v>
      </c>
      <c r="K338" s="10">
        <v>441</v>
      </c>
      <c r="L338" s="10">
        <v>2377</v>
      </c>
      <c r="M338" s="10">
        <v>598</v>
      </c>
      <c r="N338" s="10">
        <v>1675</v>
      </c>
      <c r="O338" s="10">
        <v>918</v>
      </c>
      <c r="P338" s="10">
        <v>612</v>
      </c>
      <c r="Q338" s="10">
        <v>871</v>
      </c>
      <c r="R338" s="10">
        <v>575</v>
      </c>
      <c r="S338" s="10">
        <v>3111</v>
      </c>
      <c r="T338" s="10">
        <v>252</v>
      </c>
      <c r="U338" s="10">
        <v>789</v>
      </c>
      <c r="V338" s="10">
        <v>537</v>
      </c>
      <c r="W338" s="10">
        <v>506</v>
      </c>
      <c r="X338" s="10">
        <v>447</v>
      </c>
      <c r="Y338" s="10">
        <v>833</v>
      </c>
      <c r="Z338" s="10">
        <v>310</v>
      </c>
      <c r="AA338" s="10">
        <v>1485</v>
      </c>
      <c r="AB338" s="10">
        <v>971</v>
      </c>
      <c r="AC338" s="10">
        <v>440</v>
      </c>
      <c r="AD338" s="10">
        <v>380</v>
      </c>
      <c r="AE338" s="10">
        <v>424</v>
      </c>
      <c r="AF338" s="10">
        <v>516</v>
      </c>
      <c r="AG338" s="10">
        <v>355</v>
      </c>
      <c r="AH338" s="10">
        <v>1064</v>
      </c>
      <c r="AI338" s="10">
        <v>1755</v>
      </c>
      <c r="AJ338" s="10">
        <v>1127</v>
      </c>
      <c r="AK338" s="10">
        <v>1321</v>
      </c>
      <c r="AL338" s="10">
        <v>1852</v>
      </c>
      <c r="AM338" s="10">
        <v>737</v>
      </c>
      <c r="AN338" s="10">
        <v>1805</v>
      </c>
      <c r="AO338" s="10">
        <v>1609</v>
      </c>
      <c r="AP338" s="10">
        <v>890</v>
      </c>
      <c r="AQ338" s="10">
        <v>2625</v>
      </c>
      <c r="AR338" s="10">
        <v>1107</v>
      </c>
      <c r="AS338" s="10">
        <v>2047</v>
      </c>
      <c r="AT338" s="10">
        <v>1133</v>
      </c>
      <c r="AU338" s="10">
        <v>677</v>
      </c>
      <c r="AV338" s="10">
        <v>1864</v>
      </c>
      <c r="AW338" s="10">
        <v>771</v>
      </c>
      <c r="AX338" s="10">
        <v>1514</v>
      </c>
      <c r="AY338" s="10">
        <v>1415</v>
      </c>
      <c r="AZ338" s="10">
        <v>1581</v>
      </c>
      <c r="BA338" s="10">
        <v>1016</v>
      </c>
      <c r="BB338" s="10">
        <v>1183</v>
      </c>
      <c r="BC338" s="10">
        <v>2010</v>
      </c>
      <c r="BD338" s="10">
        <v>1378</v>
      </c>
      <c r="BE338" s="10">
        <v>1539</v>
      </c>
      <c r="BF338" s="10">
        <v>1784</v>
      </c>
      <c r="BG338" s="10">
        <v>2097</v>
      </c>
      <c r="BH338" s="10">
        <v>1068</v>
      </c>
      <c r="BI338" s="10">
        <v>1395</v>
      </c>
      <c r="BJ338" s="10">
        <v>952</v>
      </c>
      <c r="BK338" s="10">
        <v>1081</v>
      </c>
      <c r="BL338" s="10">
        <v>934</v>
      </c>
    </row>
    <row r="339" spans="1:64">
      <c r="A339" s="15">
        <v>242417</v>
      </c>
      <c r="B339" s="14">
        <v>374883</v>
      </c>
      <c r="C339" s="14">
        <v>283</v>
      </c>
      <c r="D339" s="2" t="str">
        <f>HYPERLINK("http://128.120.136.21:8080/binbase-compound/bin/show/242417?db=rtx5","242417")</f>
        <v>242417</v>
      </c>
      <c r="E339" s="2" t="s">
        <v>411</v>
      </c>
      <c r="F339" s="2" t="s">
        <v>57</v>
      </c>
      <c r="G339" s="2" t="s">
        <v>57</v>
      </c>
      <c r="H339" s="10">
        <v>451</v>
      </c>
      <c r="I339" s="10">
        <v>685</v>
      </c>
      <c r="J339" s="10">
        <v>505</v>
      </c>
      <c r="K339" s="10">
        <v>533</v>
      </c>
      <c r="L339" s="10">
        <v>658</v>
      </c>
      <c r="M339" s="10">
        <v>416</v>
      </c>
      <c r="N339" s="10">
        <v>846</v>
      </c>
      <c r="O339" s="10">
        <v>522</v>
      </c>
      <c r="P339" s="10">
        <v>375</v>
      </c>
      <c r="Q339" s="10">
        <v>740</v>
      </c>
      <c r="R339" s="10">
        <v>471</v>
      </c>
      <c r="S339" s="10">
        <v>1634</v>
      </c>
      <c r="T339" s="10">
        <v>322</v>
      </c>
      <c r="U339" s="10">
        <v>751</v>
      </c>
      <c r="V339" s="10">
        <v>557</v>
      </c>
      <c r="W339" s="10">
        <v>398</v>
      </c>
      <c r="X339" s="10">
        <v>485</v>
      </c>
      <c r="Y339" s="10">
        <v>487</v>
      </c>
      <c r="Z339" s="10">
        <v>395</v>
      </c>
      <c r="AA339" s="10">
        <v>734</v>
      </c>
      <c r="AB339" s="10">
        <v>445</v>
      </c>
      <c r="AC339" s="10">
        <v>407</v>
      </c>
      <c r="AD339" s="10">
        <v>348</v>
      </c>
      <c r="AE339" s="10">
        <v>379</v>
      </c>
      <c r="AF339" s="10">
        <v>571</v>
      </c>
      <c r="AG339" s="10">
        <v>372</v>
      </c>
      <c r="AH339" s="10">
        <v>979</v>
      </c>
      <c r="AI339" s="10">
        <v>553</v>
      </c>
      <c r="AJ339" s="10">
        <v>614</v>
      </c>
      <c r="AK339" s="10">
        <v>644</v>
      </c>
      <c r="AL339" s="10">
        <v>726</v>
      </c>
      <c r="AM339" s="10">
        <v>431</v>
      </c>
      <c r="AN339" s="10">
        <v>900</v>
      </c>
      <c r="AO339" s="10">
        <v>1067</v>
      </c>
      <c r="AP339" s="10">
        <v>706</v>
      </c>
      <c r="AQ339" s="10">
        <v>1590</v>
      </c>
      <c r="AR339" s="10">
        <v>802</v>
      </c>
      <c r="AS339" s="10">
        <v>770</v>
      </c>
      <c r="AT339" s="10">
        <v>585</v>
      </c>
      <c r="AU339" s="10">
        <v>315</v>
      </c>
      <c r="AV339" s="10">
        <v>650</v>
      </c>
      <c r="AW339" s="10">
        <v>700</v>
      </c>
      <c r="AX339" s="10">
        <v>647</v>
      </c>
      <c r="AY339" s="10">
        <v>519</v>
      </c>
      <c r="AZ339" s="10">
        <v>566</v>
      </c>
      <c r="BA339" s="10">
        <v>635</v>
      </c>
      <c r="BB339" s="10">
        <v>375</v>
      </c>
      <c r="BC339" s="10">
        <v>593</v>
      </c>
      <c r="BD339" s="10">
        <v>727</v>
      </c>
      <c r="BE339" s="10">
        <v>612</v>
      </c>
      <c r="BF339" s="10">
        <v>684</v>
      </c>
      <c r="BG339" s="10">
        <v>886</v>
      </c>
      <c r="BH339" s="10">
        <v>640</v>
      </c>
      <c r="BI339" s="10">
        <v>515</v>
      </c>
      <c r="BJ339" s="10">
        <v>552</v>
      </c>
      <c r="BK339" s="10">
        <v>916</v>
      </c>
      <c r="BL339" s="10">
        <v>464</v>
      </c>
    </row>
    <row r="340" spans="1:64">
      <c r="A340" s="15">
        <v>223973</v>
      </c>
      <c r="B340" s="14">
        <v>1028825</v>
      </c>
      <c r="C340" s="14">
        <v>243</v>
      </c>
      <c r="D340" s="2" t="str">
        <f>HYPERLINK("http://128.120.136.21:8080/binbase-compound/bin/show/223973?db=rtx5","223973")</f>
        <v>223973</v>
      </c>
      <c r="E340" s="2" t="s">
        <v>460</v>
      </c>
      <c r="F340" s="2" t="s">
        <v>57</v>
      </c>
      <c r="G340" s="2" t="s">
        <v>57</v>
      </c>
      <c r="H340" s="10">
        <v>301</v>
      </c>
      <c r="I340" s="10">
        <v>795</v>
      </c>
      <c r="J340" s="10">
        <v>380</v>
      </c>
      <c r="K340" s="10">
        <v>357</v>
      </c>
      <c r="L340" s="10">
        <v>499</v>
      </c>
      <c r="M340" s="10">
        <v>284</v>
      </c>
      <c r="N340" s="10">
        <v>870</v>
      </c>
      <c r="O340" s="10">
        <v>180</v>
      </c>
      <c r="P340" s="10">
        <v>421</v>
      </c>
      <c r="Q340" s="10">
        <v>204</v>
      </c>
      <c r="R340" s="10">
        <v>211</v>
      </c>
      <c r="S340" s="10">
        <v>913</v>
      </c>
      <c r="T340" s="10">
        <v>193</v>
      </c>
      <c r="U340" s="10">
        <v>885</v>
      </c>
      <c r="V340" s="10">
        <v>527</v>
      </c>
      <c r="W340" s="10">
        <v>159</v>
      </c>
      <c r="X340" s="10">
        <v>279</v>
      </c>
      <c r="Y340" s="10">
        <v>335</v>
      </c>
      <c r="Z340" s="10">
        <v>369</v>
      </c>
      <c r="AA340" s="10">
        <v>694</v>
      </c>
      <c r="AB340" s="10">
        <v>524</v>
      </c>
      <c r="AC340" s="10">
        <v>361</v>
      </c>
      <c r="AD340" s="10">
        <v>200</v>
      </c>
      <c r="AE340" s="10">
        <v>319</v>
      </c>
      <c r="AF340" s="10">
        <v>459</v>
      </c>
      <c r="AG340" s="10">
        <v>122</v>
      </c>
      <c r="AH340" s="10">
        <v>457</v>
      </c>
      <c r="AI340" s="10">
        <v>473</v>
      </c>
      <c r="AJ340" s="10">
        <v>633</v>
      </c>
      <c r="AK340" s="10">
        <v>1100</v>
      </c>
      <c r="AL340" s="10">
        <v>581</v>
      </c>
      <c r="AM340" s="10">
        <v>195</v>
      </c>
      <c r="AN340" s="10">
        <v>688</v>
      </c>
      <c r="AO340" s="10">
        <v>532</v>
      </c>
      <c r="AP340" s="10">
        <v>460</v>
      </c>
      <c r="AQ340" s="10">
        <v>855</v>
      </c>
      <c r="AR340" s="10">
        <v>220</v>
      </c>
      <c r="AS340" s="10">
        <v>669</v>
      </c>
      <c r="AT340" s="10">
        <v>553</v>
      </c>
      <c r="AU340" s="10">
        <v>293</v>
      </c>
      <c r="AV340" s="10">
        <v>348</v>
      </c>
      <c r="AW340" s="10">
        <v>354</v>
      </c>
      <c r="AX340" s="10">
        <v>516</v>
      </c>
      <c r="AY340" s="10">
        <v>348</v>
      </c>
      <c r="AZ340" s="10">
        <v>614</v>
      </c>
      <c r="BA340" s="10">
        <v>418</v>
      </c>
      <c r="BB340" s="10">
        <v>386</v>
      </c>
      <c r="BC340" s="10">
        <v>562</v>
      </c>
      <c r="BD340" s="10">
        <v>324</v>
      </c>
      <c r="BE340" s="10">
        <v>446</v>
      </c>
      <c r="BF340" s="10">
        <v>630</v>
      </c>
      <c r="BG340" s="10">
        <v>1192</v>
      </c>
      <c r="BH340" s="10">
        <v>359</v>
      </c>
      <c r="BI340" s="10">
        <v>523</v>
      </c>
      <c r="BJ340" s="10">
        <v>383</v>
      </c>
      <c r="BK340" s="10">
        <v>402</v>
      </c>
      <c r="BL340" s="10">
        <v>58</v>
      </c>
    </row>
    <row r="341" spans="1:64">
      <c r="A341" s="15">
        <v>319227</v>
      </c>
      <c r="B341" s="14">
        <v>745382</v>
      </c>
      <c r="C341" s="14">
        <v>315</v>
      </c>
      <c r="D341" s="2" t="str">
        <f>HYPERLINK("http://128.120.136.21:8080/binbase-compound/bin/show/319227?db=rtx5","319227")</f>
        <v>319227</v>
      </c>
      <c r="E341" s="2" t="s">
        <v>360</v>
      </c>
      <c r="F341" s="2" t="s">
        <v>57</v>
      </c>
      <c r="G341" s="2" t="s">
        <v>57</v>
      </c>
      <c r="H341" s="10">
        <v>469</v>
      </c>
      <c r="I341" s="10">
        <v>665</v>
      </c>
      <c r="J341" s="10">
        <v>253</v>
      </c>
      <c r="K341" s="10">
        <v>464</v>
      </c>
      <c r="L341" s="10">
        <v>483</v>
      </c>
      <c r="M341" s="10">
        <v>225</v>
      </c>
      <c r="N341" s="10">
        <v>691</v>
      </c>
      <c r="O341" s="10">
        <v>388</v>
      </c>
      <c r="P341" s="10">
        <v>330</v>
      </c>
      <c r="Q341" s="10">
        <v>190</v>
      </c>
      <c r="R341" s="10">
        <v>121</v>
      </c>
      <c r="S341" s="10">
        <v>607</v>
      </c>
      <c r="T341" s="10">
        <v>541</v>
      </c>
      <c r="U341" s="10">
        <v>398</v>
      </c>
      <c r="V341" s="10">
        <v>279</v>
      </c>
      <c r="W341" s="10">
        <v>423</v>
      </c>
      <c r="X341" s="10">
        <v>374</v>
      </c>
      <c r="Y341" s="10">
        <v>438</v>
      </c>
      <c r="Z341" s="10">
        <v>496</v>
      </c>
      <c r="AA341" s="10">
        <v>291</v>
      </c>
      <c r="AB341" s="10">
        <v>357</v>
      </c>
      <c r="AC341" s="10">
        <v>454</v>
      </c>
      <c r="AD341" s="10">
        <v>454</v>
      </c>
      <c r="AE341" s="10">
        <v>269</v>
      </c>
      <c r="AF341" s="10">
        <v>670</v>
      </c>
      <c r="AG341" s="10">
        <v>261</v>
      </c>
      <c r="AH341" s="10">
        <v>524</v>
      </c>
      <c r="AI341" s="10">
        <v>659</v>
      </c>
      <c r="AJ341" s="10">
        <v>875</v>
      </c>
      <c r="AK341" s="10">
        <v>580</v>
      </c>
      <c r="AL341" s="10">
        <v>307</v>
      </c>
      <c r="AM341" s="10">
        <v>384</v>
      </c>
      <c r="AN341" s="10">
        <v>1550</v>
      </c>
      <c r="AO341" s="10">
        <v>1690</v>
      </c>
      <c r="AP341" s="10">
        <v>485</v>
      </c>
      <c r="AQ341" s="10">
        <v>1047</v>
      </c>
      <c r="AR341" s="10">
        <v>271</v>
      </c>
      <c r="AS341" s="10">
        <v>721</v>
      </c>
      <c r="AT341" s="10">
        <v>787</v>
      </c>
      <c r="AU341" s="10">
        <v>242</v>
      </c>
      <c r="AV341" s="10">
        <v>742</v>
      </c>
      <c r="AW341" s="10">
        <v>516</v>
      </c>
      <c r="AX341" s="10">
        <v>254</v>
      </c>
      <c r="AY341" s="10">
        <v>1156</v>
      </c>
      <c r="AZ341" s="10">
        <v>659</v>
      </c>
      <c r="BA341" s="10">
        <v>708</v>
      </c>
      <c r="BB341" s="10">
        <v>548</v>
      </c>
      <c r="BC341" s="10">
        <v>1641</v>
      </c>
      <c r="BD341" s="10">
        <v>345</v>
      </c>
      <c r="BE341" s="10">
        <v>501</v>
      </c>
      <c r="BF341" s="10">
        <v>1327</v>
      </c>
      <c r="BG341" s="10">
        <v>2013</v>
      </c>
      <c r="BH341" s="10">
        <v>827</v>
      </c>
      <c r="BI341" s="10">
        <v>2638</v>
      </c>
      <c r="BJ341" s="10">
        <v>280</v>
      </c>
      <c r="BK341" s="10">
        <v>312</v>
      </c>
      <c r="BL341" s="10">
        <v>335</v>
      </c>
    </row>
    <row r="342" spans="1:64">
      <c r="A342" s="15">
        <v>237133</v>
      </c>
      <c r="B342" s="14">
        <v>777730</v>
      </c>
      <c r="C342" s="14">
        <v>262</v>
      </c>
      <c r="D342" s="2" t="str">
        <f>HYPERLINK("http://128.120.136.21:8080/binbase-compound/bin/show/237133?db=rtx5","237133")</f>
        <v>237133</v>
      </c>
      <c r="E342" s="2" t="s">
        <v>431</v>
      </c>
      <c r="F342" s="2" t="s">
        <v>57</v>
      </c>
      <c r="G342" s="2" t="s">
        <v>57</v>
      </c>
      <c r="H342" s="10">
        <v>163</v>
      </c>
      <c r="I342" s="10">
        <v>399</v>
      </c>
      <c r="J342" s="10">
        <v>339</v>
      </c>
      <c r="K342" s="10">
        <v>213</v>
      </c>
      <c r="L342" s="10">
        <v>373</v>
      </c>
      <c r="M342" s="10">
        <v>259</v>
      </c>
      <c r="N342" s="10">
        <v>611</v>
      </c>
      <c r="O342" s="10">
        <v>250</v>
      </c>
      <c r="P342" s="10">
        <v>340</v>
      </c>
      <c r="Q342" s="10">
        <v>690</v>
      </c>
      <c r="R342" s="10">
        <v>766</v>
      </c>
      <c r="S342" s="10">
        <v>1309</v>
      </c>
      <c r="T342" s="10">
        <v>104</v>
      </c>
      <c r="U342" s="10">
        <v>483</v>
      </c>
      <c r="V342" s="10">
        <v>259</v>
      </c>
      <c r="W342" s="10">
        <v>356</v>
      </c>
      <c r="X342" s="10">
        <v>421</v>
      </c>
      <c r="Y342" s="10">
        <v>547</v>
      </c>
      <c r="Z342" s="10">
        <v>141</v>
      </c>
      <c r="AA342" s="10">
        <v>483</v>
      </c>
      <c r="AB342" s="10">
        <v>362</v>
      </c>
      <c r="AC342" s="10">
        <v>401</v>
      </c>
      <c r="AD342" s="10">
        <v>290</v>
      </c>
      <c r="AE342" s="10">
        <v>352</v>
      </c>
      <c r="AF342" s="10">
        <v>646</v>
      </c>
      <c r="AG342" s="10">
        <v>442</v>
      </c>
      <c r="AH342" s="10">
        <v>724</v>
      </c>
      <c r="AI342" s="10">
        <v>1216</v>
      </c>
      <c r="AJ342" s="10">
        <v>259</v>
      </c>
      <c r="AK342" s="10">
        <v>789</v>
      </c>
      <c r="AL342" s="10">
        <v>717</v>
      </c>
      <c r="AM342" s="10">
        <v>217</v>
      </c>
      <c r="AN342" s="10">
        <v>1309</v>
      </c>
      <c r="AO342" s="10">
        <v>1176</v>
      </c>
      <c r="AP342" s="10">
        <v>372</v>
      </c>
      <c r="AQ342" s="10">
        <v>775</v>
      </c>
      <c r="AR342" s="10">
        <v>222</v>
      </c>
      <c r="AS342" s="10">
        <v>253</v>
      </c>
      <c r="AT342" s="10">
        <v>308</v>
      </c>
      <c r="AU342" s="10">
        <v>191</v>
      </c>
      <c r="AV342" s="10">
        <v>293</v>
      </c>
      <c r="AW342" s="10">
        <v>313</v>
      </c>
      <c r="AX342" s="10">
        <v>362</v>
      </c>
      <c r="AY342" s="10">
        <v>365</v>
      </c>
      <c r="AZ342" s="10">
        <v>455</v>
      </c>
      <c r="BA342" s="10">
        <v>296</v>
      </c>
      <c r="BB342" s="10">
        <v>229</v>
      </c>
      <c r="BC342" s="10">
        <v>392</v>
      </c>
      <c r="BD342" s="10">
        <v>298</v>
      </c>
      <c r="BE342" s="10">
        <v>298</v>
      </c>
      <c r="BF342" s="10">
        <v>523</v>
      </c>
      <c r="BG342" s="10">
        <v>700</v>
      </c>
      <c r="BH342" s="10">
        <v>347</v>
      </c>
      <c r="BI342" s="10">
        <v>468</v>
      </c>
      <c r="BJ342" s="10">
        <v>237</v>
      </c>
      <c r="BK342" s="10">
        <v>334</v>
      </c>
      <c r="BL342" s="10">
        <v>544</v>
      </c>
    </row>
    <row r="343" spans="1:64">
      <c r="A343" s="15">
        <v>231947</v>
      </c>
      <c r="B343" s="14">
        <v>451475</v>
      </c>
      <c r="C343" s="14">
        <v>229</v>
      </c>
      <c r="D343" s="2" t="str">
        <f>HYPERLINK("http://128.120.136.21:8080/binbase-compound/bin/show/231947?db=rtx5","231947")</f>
        <v>231947</v>
      </c>
      <c r="E343" s="2" t="s">
        <v>441</v>
      </c>
      <c r="F343" s="2" t="s">
        <v>57</v>
      </c>
      <c r="G343" s="2" t="s">
        <v>57</v>
      </c>
      <c r="H343" s="10">
        <v>435</v>
      </c>
      <c r="I343" s="10">
        <v>377</v>
      </c>
      <c r="J343" s="10">
        <v>501</v>
      </c>
      <c r="K343" s="10">
        <v>541</v>
      </c>
      <c r="L343" s="10">
        <v>563</v>
      </c>
      <c r="M343" s="10">
        <v>426</v>
      </c>
      <c r="N343" s="10">
        <v>789</v>
      </c>
      <c r="O343" s="10">
        <v>372</v>
      </c>
      <c r="P343" s="10">
        <v>288</v>
      </c>
      <c r="Q343" s="10">
        <v>1079</v>
      </c>
      <c r="R343" s="10">
        <v>854</v>
      </c>
      <c r="S343" s="10">
        <v>3267</v>
      </c>
      <c r="T343" s="10">
        <v>258</v>
      </c>
      <c r="U343" s="10">
        <v>801</v>
      </c>
      <c r="V343" s="10">
        <v>709</v>
      </c>
      <c r="W343" s="10">
        <v>323</v>
      </c>
      <c r="X343" s="10">
        <v>422</v>
      </c>
      <c r="Y343" s="10">
        <v>355</v>
      </c>
      <c r="Z343" s="10">
        <v>338</v>
      </c>
      <c r="AA343" s="10">
        <v>975</v>
      </c>
      <c r="AB343" s="10">
        <v>1216</v>
      </c>
      <c r="AC343" s="10">
        <v>347</v>
      </c>
      <c r="AD343" s="10">
        <v>368</v>
      </c>
      <c r="AE343" s="10">
        <v>444</v>
      </c>
      <c r="AF343" s="10">
        <v>533</v>
      </c>
      <c r="AG343" s="10">
        <v>252</v>
      </c>
      <c r="AH343" s="10">
        <v>1039</v>
      </c>
      <c r="AI343" s="10">
        <v>978</v>
      </c>
      <c r="AJ343" s="10">
        <v>514</v>
      </c>
      <c r="AK343" s="10">
        <v>1069</v>
      </c>
      <c r="AL343" s="10">
        <v>683</v>
      </c>
      <c r="AM343" s="10">
        <v>408</v>
      </c>
      <c r="AN343" s="10">
        <v>1091</v>
      </c>
      <c r="AO343" s="10">
        <v>1017</v>
      </c>
      <c r="AP343" s="10">
        <v>426</v>
      </c>
      <c r="AQ343" s="10">
        <v>2425</v>
      </c>
      <c r="AR343" s="10">
        <v>893</v>
      </c>
      <c r="AS343" s="10">
        <v>702</v>
      </c>
      <c r="AT343" s="10">
        <v>520</v>
      </c>
      <c r="AU343" s="10">
        <v>343</v>
      </c>
      <c r="AV343" s="10">
        <v>738</v>
      </c>
      <c r="AW343" s="10">
        <v>552</v>
      </c>
      <c r="AX343" s="10">
        <v>505</v>
      </c>
      <c r="AY343" s="10">
        <v>456</v>
      </c>
      <c r="AZ343" s="10">
        <v>1045</v>
      </c>
      <c r="BA343" s="10">
        <v>700</v>
      </c>
      <c r="BB343" s="10">
        <v>557</v>
      </c>
      <c r="BC343" s="10">
        <v>1039</v>
      </c>
      <c r="BD343" s="10">
        <v>840</v>
      </c>
      <c r="BE343" s="10">
        <v>839</v>
      </c>
      <c r="BF343" s="10">
        <v>997</v>
      </c>
      <c r="BG343" s="10">
        <v>949</v>
      </c>
      <c r="BH343" s="10">
        <v>763</v>
      </c>
      <c r="BI343" s="10">
        <v>989</v>
      </c>
      <c r="BJ343" s="10">
        <v>617</v>
      </c>
      <c r="BK343" s="10">
        <v>670</v>
      </c>
      <c r="BL343" s="10">
        <v>504</v>
      </c>
    </row>
    <row r="344" spans="1:64">
      <c r="A344" s="15">
        <v>241661</v>
      </c>
      <c r="B344" s="14">
        <v>656922</v>
      </c>
      <c r="C344" s="14">
        <v>225</v>
      </c>
      <c r="D344" s="2" t="str">
        <f>HYPERLINK("http://128.120.136.21:8080/binbase-compound/bin/show/241661?db=rtx5","241661")</f>
        <v>241661</v>
      </c>
      <c r="E344" s="2" t="s">
        <v>413</v>
      </c>
      <c r="F344" s="2" t="s">
        <v>57</v>
      </c>
      <c r="G344" s="2" t="s">
        <v>57</v>
      </c>
      <c r="H344" s="10">
        <v>438</v>
      </c>
      <c r="I344" s="10">
        <v>322</v>
      </c>
      <c r="J344" s="10">
        <v>323</v>
      </c>
      <c r="K344" s="10">
        <v>320</v>
      </c>
      <c r="L344" s="10">
        <v>251</v>
      </c>
      <c r="M344" s="10">
        <v>388</v>
      </c>
      <c r="N344" s="10">
        <v>383</v>
      </c>
      <c r="O344" s="10">
        <v>385</v>
      </c>
      <c r="P344" s="10">
        <v>359</v>
      </c>
      <c r="Q344" s="10">
        <v>331</v>
      </c>
      <c r="R344" s="10">
        <v>660</v>
      </c>
      <c r="S344" s="10">
        <v>925</v>
      </c>
      <c r="T344" s="10">
        <v>463</v>
      </c>
      <c r="U344" s="10">
        <v>245</v>
      </c>
      <c r="V344" s="10">
        <v>345</v>
      </c>
      <c r="W344" s="10">
        <v>269</v>
      </c>
      <c r="X344" s="10">
        <v>261</v>
      </c>
      <c r="Y344" s="10">
        <v>318</v>
      </c>
      <c r="Z344" s="10">
        <v>292</v>
      </c>
      <c r="AA344" s="10">
        <v>349</v>
      </c>
      <c r="AB344" s="10">
        <v>293</v>
      </c>
      <c r="AC344" s="10">
        <v>163</v>
      </c>
      <c r="AD344" s="10">
        <v>202</v>
      </c>
      <c r="AE344" s="10">
        <v>315</v>
      </c>
      <c r="AF344" s="10">
        <v>271</v>
      </c>
      <c r="AG344" s="10">
        <v>237</v>
      </c>
      <c r="AH344" s="10">
        <v>300</v>
      </c>
      <c r="AI344" s="10">
        <v>514</v>
      </c>
      <c r="AJ344" s="10">
        <v>429</v>
      </c>
      <c r="AK344" s="10">
        <v>360</v>
      </c>
      <c r="AL344" s="10">
        <v>368</v>
      </c>
      <c r="AM344" s="10">
        <v>204</v>
      </c>
      <c r="AN344" s="10">
        <v>405</v>
      </c>
      <c r="AO344" s="10">
        <v>398</v>
      </c>
      <c r="AP344" s="10">
        <v>485</v>
      </c>
      <c r="AQ344" s="10">
        <v>447</v>
      </c>
      <c r="AR344" s="10">
        <v>260</v>
      </c>
      <c r="AS344" s="10">
        <v>334</v>
      </c>
      <c r="AT344" s="10">
        <v>266</v>
      </c>
      <c r="AU344" s="10">
        <v>472</v>
      </c>
      <c r="AV344" s="10">
        <v>254</v>
      </c>
      <c r="AW344" s="10">
        <v>406</v>
      </c>
      <c r="AX344" s="10">
        <v>214</v>
      </c>
      <c r="AY344" s="10">
        <v>329</v>
      </c>
      <c r="AZ344" s="10">
        <v>279</v>
      </c>
      <c r="BA344" s="10">
        <v>410</v>
      </c>
      <c r="BB344" s="10">
        <v>382</v>
      </c>
      <c r="BC344" s="10">
        <v>302</v>
      </c>
      <c r="BD344" s="10">
        <v>192</v>
      </c>
      <c r="BE344" s="10">
        <v>382</v>
      </c>
      <c r="BF344" s="10">
        <v>457</v>
      </c>
      <c r="BG344" s="10">
        <v>302</v>
      </c>
      <c r="BH344" s="10">
        <v>336</v>
      </c>
      <c r="BI344" s="10">
        <v>334</v>
      </c>
      <c r="BJ344" s="10">
        <v>204</v>
      </c>
      <c r="BK344" s="10">
        <v>347</v>
      </c>
      <c r="BL344" s="10">
        <v>316</v>
      </c>
    </row>
    <row r="345" spans="1:64">
      <c r="A345" s="15">
        <v>210557</v>
      </c>
      <c r="B345" s="14">
        <v>502297</v>
      </c>
      <c r="C345" s="14">
        <v>217</v>
      </c>
      <c r="D345" s="2" t="str">
        <f>HYPERLINK("http://128.120.136.21:8080/binbase-compound/bin/show/210557?db=rtx5","210557")</f>
        <v>210557</v>
      </c>
      <c r="E345" s="2" t="s">
        <v>485</v>
      </c>
      <c r="F345" s="2" t="s">
        <v>57</v>
      </c>
      <c r="G345" s="2" t="s">
        <v>57</v>
      </c>
      <c r="H345" s="10">
        <v>268</v>
      </c>
      <c r="I345" s="10">
        <v>496</v>
      </c>
      <c r="J345" s="10">
        <v>434</v>
      </c>
      <c r="K345" s="10">
        <v>345</v>
      </c>
      <c r="L345" s="10">
        <v>536</v>
      </c>
      <c r="M345" s="10">
        <v>158</v>
      </c>
      <c r="N345" s="10">
        <v>531</v>
      </c>
      <c r="O345" s="10">
        <v>426</v>
      </c>
      <c r="P345" s="10">
        <v>274</v>
      </c>
      <c r="Q345" s="10">
        <v>212</v>
      </c>
      <c r="R345" s="10">
        <v>104</v>
      </c>
      <c r="S345" s="10">
        <v>715</v>
      </c>
      <c r="T345" s="10">
        <v>225</v>
      </c>
      <c r="U345" s="10">
        <v>646</v>
      </c>
      <c r="V345" s="10">
        <v>364</v>
      </c>
      <c r="W345" s="10">
        <v>273</v>
      </c>
      <c r="X345" s="10">
        <v>295</v>
      </c>
      <c r="Y345" s="10">
        <v>190</v>
      </c>
      <c r="Z345" s="10">
        <v>224</v>
      </c>
      <c r="AA345" s="10">
        <v>599</v>
      </c>
      <c r="AB345" s="10">
        <v>611</v>
      </c>
      <c r="AC345" s="10">
        <v>231</v>
      </c>
      <c r="AD345" s="10">
        <v>247</v>
      </c>
      <c r="AE345" s="10">
        <v>303</v>
      </c>
      <c r="AF345" s="10">
        <v>251</v>
      </c>
      <c r="AG345" s="10">
        <v>192</v>
      </c>
      <c r="AH345" s="10">
        <v>468</v>
      </c>
      <c r="AI345" s="10">
        <v>720</v>
      </c>
      <c r="AJ345" s="10">
        <v>547</v>
      </c>
      <c r="AK345" s="10">
        <v>841</v>
      </c>
      <c r="AL345" s="10">
        <v>880</v>
      </c>
      <c r="AM345" s="10">
        <v>283</v>
      </c>
      <c r="AN345" s="10">
        <v>1034</v>
      </c>
      <c r="AO345" s="10">
        <v>924</v>
      </c>
      <c r="AP345" s="10">
        <v>624</v>
      </c>
      <c r="AQ345" s="10">
        <v>1222</v>
      </c>
      <c r="AR345" s="10">
        <v>535</v>
      </c>
      <c r="AS345" s="10">
        <v>573</v>
      </c>
      <c r="AT345" s="10">
        <v>551</v>
      </c>
      <c r="AU345" s="10">
        <v>198</v>
      </c>
      <c r="AV345" s="10">
        <v>594</v>
      </c>
      <c r="AW345" s="10">
        <v>522</v>
      </c>
      <c r="AX345" s="10">
        <v>805</v>
      </c>
      <c r="AY345" s="10">
        <v>664</v>
      </c>
      <c r="AZ345" s="10">
        <v>865</v>
      </c>
      <c r="BA345" s="10">
        <v>474</v>
      </c>
      <c r="BB345" s="10">
        <v>605</v>
      </c>
      <c r="BC345" s="10">
        <v>1315</v>
      </c>
      <c r="BD345" s="10">
        <v>503</v>
      </c>
      <c r="BE345" s="10">
        <v>599</v>
      </c>
      <c r="BF345" s="10">
        <v>1681</v>
      </c>
      <c r="BG345" s="10">
        <v>1381</v>
      </c>
      <c r="BH345" s="10">
        <v>886</v>
      </c>
      <c r="BI345" s="10">
        <v>1266</v>
      </c>
      <c r="BJ345" s="10">
        <v>384</v>
      </c>
      <c r="BK345" s="10">
        <v>433</v>
      </c>
      <c r="BL345" s="10">
        <v>168</v>
      </c>
    </row>
    <row r="346" spans="1:64">
      <c r="A346" s="15">
        <v>379862</v>
      </c>
      <c r="B346" s="14">
        <v>538900</v>
      </c>
      <c r="C346" s="14">
        <v>291</v>
      </c>
      <c r="D346" s="2" t="str">
        <f>HYPERLINK("http://128.120.136.21:8080/binbase-compound/bin/show/379862?db=rtx5","379862")</f>
        <v>379862</v>
      </c>
      <c r="E346" s="2" t="s">
        <v>331</v>
      </c>
      <c r="F346" s="2" t="s">
        <v>57</v>
      </c>
      <c r="G346" s="2" t="s">
        <v>57</v>
      </c>
      <c r="H346" s="10">
        <v>517</v>
      </c>
      <c r="I346" s="10">
        <v>374</v>
      </c>
      <c r="J346" s="10">
        <v>85</v>
      </c>
      <c r="K346" s="10">
        <v>352</v>
      </c>
      <c r="L346" s="10">
        <v>337</v>
      </c>
      <c r="M346" s="10">
        <v>353</v>
      </c>
      <c r="N346" s="10">
        <v>720</v>
      </c>
      <c r="O346" s="10">
        <v>425</v>
      </c>
      <c r="P346" s="10">
        <v>221</v>
      </c>
      <c r="Q346" s="10">
        <v>333</v>
      </c>
      <c r="R346" s="10">
        <v>350</v>
      </c>
      <c r="S346" s="10">
        <v>751</v>
      </c>
      <c r="T346" s="10">
        <v>308</v>
      </c>
      <c r="U346" s="10">
        <v>63</v>
      </c>
      <c r="V346" s="10">
        <v>398</v>
      </c>
      <c r="W346" s="10">
        <v>205</v>
      </c>
      <c r="X346" s="10">
        <v>224</v>
      </c>
      <c r="Y346" s="10">
        <v>363</v>
      </c>
      <c r="Z346" s="10">
        <v>544</v>
      </c>
      <c r="AA346" s="10">
        <v>598</v>
      </c>
      <c r="AB346" s="10">
        <v>387</v>
      </c>
      <c r="AC346" s="10">
        <v>183</v>
      </c>
      <c r="AD346" s="10">
        <v>294</v>
      </c>
      <c r="AE346" s="10">
        <v>179</v>
      </c>
      <c r="AF346" s="10">
        <v>403</v>
      </c>
      <c r="AG346" s="10">
        <v>299</v>
      </c>
      <c r="AH346" s="10">
        <v>377</v>
      </c>
      <c r="AI346" s="10">
        <v>421</v>
      </c>
      <c r="AJ346" s="10">
        <v>328</v>
      </c>
      <c r="AK346" s="10">
        <v>525</v>
      </c>
      <c r="AL346" s="10">
        <v>425</v>
      </c>
      <c r="AM346" s="10">
        <v>220</v>
      </c>
      <c r="AN346" s="10">
        <v>263</v>
      </c>
      <c r="AO346" s="10">
        <v>497</v>
      </c>
      <c r="AP346" s="10">
        <v>637</v>
      </c>
      <c r="AQ346" s="10">
        <v>471</v>
      </c>
      <c r="AR346" s="10">
        <v>332</v>
      </c>
      <c r="AS346" s="10">
        <v>385</v>
      </c>
      <c r="AT346" s="10">
        <v>597</v>
      </c>
      <c r="AU346" s="10">
        <v>519</v>
      </c>
      <c r="AV346" s="10">
        <v>348</v>
      </c>
      <c r="AW346" s="10">
        <v>644</v>
      </c>
      <c r="AX346" s="10">
        <v>325</v>
      </c>
      <c r="AY346" s="10">
        <v>656</v>
      </c>
      <c r="AZ346" s="10">
        <v>252</v>
      </c>
      <c r="BA346" s="10">
        <v>817</v>
      </c>
      <c r="BB346" s="10">
        <v>549</v>
      </c>
      <c r="BC346" s="10">
        <v>377</v>
      </c>
      <c r="BD346" s="10">
        <v>277</v>
      </c>
      <c r="BE346" s="10">
        <v>597</v>
      </c>
      <c r="BF346" s="10">
        <v>459</v>
      </c>
      <c r="BG346" s="10">
        <v>557</v>
      </c>
      <c r="BH346" s="10">
        <v>469</v>
      </c>
      <c r="BI346" s="10">
        <v>468</v>
      </c>
      <c r="BJ346" s="10">
        <v>265</v>
      </c>
      <c r="BK346" s="10">
        <v>718</v>
      </c>
      <c r="BL346" s="10">
        <v>516</v>
      </c>
    </row>
    <row r="347" spans="1:64">
      <c r="A347" s="15">
        <v>237174</v>
      </c>
      <c r="B347" s="14">
        <v>843680</v>
      </c>
      <c r="C347" s="14">
        <v>262</v>
      </c>
      <c r="D347" s="2" t="str">
        <f>HYPERLINK("http://128.120.136.21:8080/binbase-compound/bin/show/237174?db=rtx5","237174")</f>
        <v>237174</v>
      </c>
      <c r="E347" s="2" t="s">
        <v>428</v>
      </c>
      <c r="F347" s="2" t="s">
        <v>57</v>
      </c>
      <c r="G347" s="2" t="s">
        <v>57</v>
      </c>
      <c r="H347" s="10">
        <v>140</v>
      </c>
      <c r="I347" s="10">
        <v>370</v>
      </c>
      <c r="J347" s="10">
        <v>252</v>
      </c>
      <c r="K347" s="10">
        <v>143</v>
      </c>
      <c r="L347" s="10">
        <v>482</v>
      </c>
      <c r="M347" s="10">
        <v>241</v>
      </c>
      <c r="N347" s="10">
        <v>383</v>
      </c>
      <c r="O347" s="10">
        <v>332</v>
      </c>
      <c r="P347" s="10">
        <v>94</v>
      </c>
      <c r="Q347" s="10">
        <v>489</v>
      </c>
      <c r="R347" s="10">
        <v>568</v>
      </c>
      <c r="S347" s="10">
        <v>1339</v>
      </c>
      <c r="T347" s="10">
        <v>71</v>
      </c>
      <c r="U347" s="10">
        <v>322</v>
      </c>
      <c r="V347" s="10">
        <v>232</v>
      </c>
      <c r="W347" s="10">
        <v>315</v>
      </c>
      <c r="X347" s="10">
        <v>371</v>
      </c>
      <c r="Y347" s="10">
        <v>304</v>
      </c>
      <c r="Z347" s="10">
        <v>122</v>
      </c>
      <c r="AA347" s="10">
        <v>356</v>
      </c>
      <c r="AB347" s="10">
        <v>266</v>
      </c>
      <c r="AC347" s="10">
        <v>240</v>
      </c>
      <c r="AD347" s="10">
        <v>290</v>
      </c>
      <c r="AE347" s="10">
        <v>119</v>
      </c>
      <c r="AF347" s="10">
        <v>426</v>
      </c>
      <c r="AG347" s="10">
        <v>248</v>
      </c>
      <c r="AH347" s="10">
        <v>646</v>
      </c>
      <c r="AI347" s="10">
        <v>729</v>
      </c>
      <c r="AJ347" s="10">
        <v>252</v>
      </c>
      <c r="AK347" s="10">
        <v>1122</v>
      </c>
      <c r="AL347" s="10">
        <v>609</v>
      </c>
      <c r="AM347" s="10">
        <v>220</v>
      </c>
      <c r="AN347" s="10">
        <v>726</v>
      </c>
      <c r="AO347" s="10">
        <v>1011</v>
      </c>
      <c r="AP347" s="10">
        <v>393</v>
      </c>
      <c r="AQ347" s="10">
        <v>723</v>
      </c>
      <c r="AR347" s="10">
        <v>233</v>
      </c>
      <c r="AS347" s="10">
        <v>228</v>
      </c>
      <c r="AT347" s="10">
        <v>263</v>
      </c>
      <c r="AU347" s="10">
        <v>113</v>
      </c>
      <c r="AV347" s="10">
        <v>211</v>
      </c>
      <c r="AW347" s="10">
        <v>248</v>
      </c>
      <c r="AX347" s="10">
        <v>223</v>
      </c>
      <c r="AY347" s="10">
        <v>197</v>
      </c>
      <c r="AZ347" s="10">
        <v>321</v>
      </c>
      <c r="BA347" s="10">
        <v>210</v>
      </c>
      <c r="BB347" s="10">
        <v>229</v>
      </c>
      <c r="BC347" s="10">
        <v>329</v>
      </c>
      <c r="BD347" s="10">
        <v>300</v>
      </c>
      <c r="BE347" s="10">
        <v>247</v>
      </c>
      <c r="BF347" s="10">
        <v>358</v>
      </c>
      <c r="BG347" s="10">
        <v>592</v>
      </c>
      <c r="BH347" s="10">
        <v>213</v>
      </c>
      <c r="BI347" s="10">
        <v>438</v>
      </c>
      <c r="BJ347" s="10">
        <v>327</v>
      </c>
      <c r="BK347" s="10">
        <v>341</v>
      </c>
      <c r="BL347" s="10">
        <v>408</v>
      </c>
    </row>
    <row r="348" spans="1:64">
      <c r="A348" s="15">
        <v>317072</v>
      </c>
      <c r="B348" s="14">
        <v>789522</v>
      </c>
      <c r="C348" s="14">
        <v>295</v>
      </c>
      <c r="D348" s="2" t="str">
        <f>HYPERLINK("http://128.120.136.21:8080/binbase-compound/bin/show/317072?db=rtx5","317072")</f>
        <v>317072</v>
      </c>
      <c r="E348" s="2" t="s">
        <v>361</v>
      </c>
      <c r="F348" s="2" t="s">
        <v>57</v>
      </c>
      <c r="G348" s="2" t="s">
        <v>57</v>
      </c>
      <c r="H348" s="10">
        <v>179</v>
      </c>
      <c r="I348" s="10">
        <v>387</v>
      </c>
      <c r="J348" s="10">
        <v>429</v>
      </c>
      <c r="K348" s="10">
        <v>231</v>
      </c>
      <c r="L348" s="10">
        <v>92</v>
      </c>
      <c r="M348" s="10">
        <v>149</v>
      </c>
      <c r="N348" s="10">
        <v>311</v>
      </c>
      <c r="O348" s="10">
        <v>174</v>
      </c>
      <c r="P348" s="10">
        <v>195</v>
      </c>
      <c r="Q348" s="10">
        <v>358</v>
      </c>
      <c r="R348" s="10">
        <v>216</v>
      </c>
      <c r="S348" s="10">
        <v>438</v>
      </c>
      <c r="T348" s="10">
        <v>107</v>
      </c>
      <c r="U348" s="10">
        <v>308</v>
      </c>
      <c r="V348" s="10">
        <v>249</v>
      </c>
      <c r="W348" s="10">
        <v>145</v>
      </c>
      <c r="X348" s="10">
        <v>287</v>
      </c>
      <c r="Y348" s="10">
        <v>232</v>
      </c>
      <c r="Z348" s="10">
        <v>149</v>
      </c>
      <c r="AA348" s="10">
        <v>349</v>
      </c>
      <c r="AB348" s="10">
        <v>991</v>
      </c>
      <c r="AC348" s="10">
        <v>160</v>
      </c>
      <c r="AD348" s="10">
        <v>118</v>
      </c>
      <c r="AE348" s="10">
        <v>143</v>
      </c>
      <c r="AF348" s="10">
        <v>232</v>
      </c>
      <c r="AG348" s="10">
        <v>168</v>
      </c>
      <c r="AH348" s="10">
        <v>161</v>
      </c>
      <c r="AI348" s="10">
        <v>434</v>
      </c>
      <c r="AJ348" s="10">
        <v>309</v>
      </c>
      <c r="AK348" s="10">
        <v>535</v>
      </c>
      <c r="AL348" s="10">
        <v>393</v>
      </c>
      <c r="AM348" s="10">
        <v>278</v>
      </c>
      <c r="AN348" s="10">
        <v>421</v>
      </c>
      <c r="AO348" s="10">
        <v>543</v>
      </c>
      <c r="AP348" s="10">
        <v>486</v>
      </c>
      <c r="AQ348" s="10">
        <v>1742</v>
      </c>
      <c r="AR348" s="10">
        <v>246</v>
      </c>
      <c r="AS348" s="10">
        <v>304</v>
      </c>
      <c r="AT348" s="10">
        <v>251</v>
      </c>
      <c r="AU348" s="10">
        <v>126</v>
      </c>
      <c r="AV348" s="10">
        <v>394</v>
      </c>
      <c r="AW348" s="10">
        <v>375</v>
      </c>
      <c r="AX348" s="10">
        <v>454</v>
      </c>
      <c r="AY348" s="10">
        <v>240</v>
      </c>
      <c r="AZ348" s="10">
        <v>437</v>
      </c>
      <c r="BA348" s="10">
        <v>359</v>
      </c>
      <c r="BB348" s="10">
        <v>295</v>
      </c>
      <c r="BC348" s="10">
        <v>443</v>
      </c>
      <c r="BD348" s="10">
        <v>340</v>
      </c>
      <c r="BE348" s="10">
        <v>368</v>
      </c>
      <c r="BF348" s="10">
        <v>498</v>
      </c>
      <c r="BG348" s="10">
        <v>476</v>
      </c>
      <c r="BH348" s="10">
        <v>92</v>
      </c>
      <c r="BI348" s="10">
        <v>482</v>
      </c>
      <c r="BJ348" s="10">
        <v>413</v>
      </c>
      <c r="BK348" s="10">
        <v>370</v>
      </c>
      <c r="BL348" s="10">
        <v>144</v>
      </c>
    </row>
    <row r="349" spans="1:64">
      <c r="A349" s="15">
        <v>224627</v>
      </c>
      <c r="B349" s="14">
        <v>959263</v>
      </c>
      <c r="C349" s="14">
        <v>295</v>
      </c>
      <c r="D349" s="2" t="str">
        <f>HYPERLINK("http://128.120.136.21:8080/binbase-compound/bin/show/224627?db=rtx5","224627")</f>
        <v>224627</v>
      </c>
      <c r="E349" s="2" t="s">
        <v>457</v>
      </c>
      <c r="F349" s="2" t="s">
        <v>57</v>
      </c>
      <c r="G349" s="2" t="s">
        <v>57</v>
      </c>
      <c r="H349" s="10">
        <v>244</v>
      </c>
      <c r="I349" s="10">
        <v>125</v>
      </c>
      <c r="J349" s="10">
        <v>356</v>
      </c>
      <c r="K349" s="10">
        <v>129</v>
      </c>
      <c r="L349" s="10">
        <v>273</v>
      </c>
      <c r="M349" s="10">
        <v>229</v>
      </c>
      <c r="N349" s="10">
        <v>377</v>
      </c>
      <c r="O349" s="10">
        <v>220</v>
      </c>
      <c r="P349" s="10">
        <v>197</v>
      </c>
      <c r="Q349" s="10">
        <v>202</v>
      </c>
      <c r="R349" s="10">
        <v>344</v>
      </c>
      <c r="S349" s="10">
        <v>1532</v>
      </c>
      <c r="T349" s="10">
        <v>138</v>
      </c>
      <c r="U349" s="10">
        <v>247</v>
      </c>
      <c r="V349" s="10">
        <v>244</v>
      </c>
      <c r="W349" s="10">
        <v>189</v>
      </c>
      <c r="X349" s="10">
        <v>584</v>
      </c>
      <c r="Y349" s="10">
        <v>384</v>
      </c>
      <c r="Z349" s="10">
        <v>208</v>
      </c>
      <c r="AA349" s="10">
        <v>382</v>
      </c>
      <c r="AB349" s="10">
        <v>793</v>
      </c>
      <c r="AC349" s="10">
        <v>255</v>
      </c>
      <c r="AD349" s="10">
        <v>419</v>
      </c>
      <c r="AE349" s="10">
        <v>180</v>
      </c>
      <c r="AF349" s="10">
        <v>269</v>
      </c>
      <c r="AG349" s="10">
        <v>18</v>
      </c>
      <c r="AH349" s="10">
        <v>33</v>
      </c>
      <c r="AI349" s="10">
        <v>51</v>
      </c>
      <c r="AJ349" s="10">
        <v>46</v>
      </c>
      <c r="AK349" s="10">
        <v>206</v>
      </c>
      <c r="AL349" s="10">
        <v>406</v>
      </c>
      <c r="AM349" s="10">
        <v>41</v>
      </c>
      <c r="AN349" s="10">
        <v>431</v>
      </c>
      <c r="AO349" s="10">
        <v>443</v>
      </c>
      <c r="AP349" s="10">
        <v>172</v>
      </c>
      <c r="AQ349" s="10">
        <v>1147</v>
      </c>
      <c r="AR349" s="10">
        <v>61</v>
      </c>
      <c r="AS349" s="10">
        <v>529</v>
      </c>
      <c r="AT349" s="10">
        <v>286</v>
      </c>
      <c r="AU349" s="10">
        <v>126</v>
      </c>
      <c r="AV349" s="10">
        <v>241</v>
      </c>
      <c r="AW349" s="10">
        <v>310</v>
      </c>
      <c r="AX349" s="10">
        <v>277</v>
      </c>
      <c r="AY349" s="10">
        <v>150</v>
      </c>
      <c r="AZ349" s="10">
        <v>421</v>
      </c>
      <c r="BA349" s="10">
        <v>420</v>
      </c>
      <c r="BB349" s="10">
        <v>62</v>
      </c>
      <c r="BC349" s="10">
        <v>391</v>
      </c>
      <c r="BD349" s="10">
        <v>311</v>
      </c>
      <c r="BE349" s="10">
        <v>302</v>
      </c>
      <c r="BF349" s="10">
        <v>427</v>
      </c>
      <c r="BG349" s="10">
        <v>492</v>
      </c>
      <c r="BH349" s="10">
        <v>259</v>
      </c>
      <c r="BI349" s="10">
        <v>522</v>
      </c>
      <c r="BJ349" s="10">
        <v>201</v>
      </c>
      <c r="BK349" s="10">
        <v>497</v>
      </c>
      <c r="BL349" s="10">
        <v>218</v>
      </c>
    </row>
    <row r="350" spans="1:64">
      <c r="A350" s="15">
        <v>231654</v>
      </c>
      <c r="B350" s="14">
        <v>879900</v>
      </c>
      <c r="C350" s="14">
        <v>295</v>
      </c>
      <c r="D350" s="2" t="str">
        <f>HYPERLINK("http://128.120.136.21:8080/binbase-compound/bin/show/231654?db=rtx5","231654")</f>
        <v>231654</v>
      </c>
      <c r="E350" s="2" t="s">
        <v>446</v>
      </c>
      <c r="F350" s="2" t="s">
        <v>57</v>
      </c>
      <c r="G350" s="2" t="s">
        <v>57</v>
      </c>
      <c r="H350" s="10">
        <v>119</v>
      </c>
      <c r="I350" s="10">
        <v>325</v>
      </c>
      <c r="J350" s="10">
        <v>402</v>
      </c>
      <c r="K350" s="10">
        <v>278</v>
      </c>
      <c r="L350" s="10">
        <v>308</v>
      </c>
      <c r="M350" s="10">
        <v>245</v>
      </c>
      <c r="N350" s="10">
        <v>322</v>
      </c>
      <c r="O350" s="10">
        <v>197</v>
      </c>
      <c r="P350" s="10">
        <v>147</v>
      </c>
      <c r="Q350" s="10">
        <v>391</v>
      </c>
      <c r="R350" s="10">
        <v>266</v>
      </c>
      <c r="S350" s="10">
        <v>1087</v>
      </c>
      <c r="T350" s="10">
        <v>69</v>
      </c>
      <c r="U350" s="10">
        <v>331</v>
      </c>
      <c r="V350" s="10">
        <v>234</v>
      </c>
      <c r="W350" s="10">
        <v>157</v>
      </c>
      <c r="X350" s="10">
        <v>184</v>
      </c>
      <c r="Y350" s="10">
        <v>184</v>
      </c>
      <c r="Z350" s="10">
        <v>200</v>
      </c>
      <c r="AA350" s="10">
        <v>116</v>
      </c>
      <c r="AB350" s="10">
        <v>675</v>
      </c>
      <c r="AC350" s="10">
        <v>172</v>
      </c>
      <c r="AD350" s="10">
        <v>175</v>
      </c>
      <c r="AE350" s="10">
        <v>125</v>
      </c>
      <c r="AF350" s="10">
        <v>198</v>
      </c>
      <c r="AG350" s="10">
        <v>150</v>
      </c>
      <c r="AH350" s="10">
        <v>420</v>
      </c>
      <c r="AI350" s="10">
        <v>372</v>
      </c>
      <c r="AJ350" s="10">
        <v>232</v>
      </c>
      <c r="AK350" s="10">
        <v>491</v>
      </c>
      <c r="AL350" s="10">
        <v>347</v>
      </c>
      <c r="AM350" s="10">
        <v>233</v>
      </c>
      <c r="AN350" s="10">
        <v>36</v>
      </c>
      <c r="AO350" s="10">
        <v>309</v>
      </c>
      <c r="AP350" s="10">
        <v>400</v>
      </c>
      <c r="AQ350" s="10">
        <v>1338</v>
      </c>
      <c r="AR350" s="10">
        <v>93</v>
      </c>
      <c r="AS350" s="10">
        <v>309</v>
      </c>
      <c r="AT350" s="10">
        <v>243</v>
      </c>
      <c r="AU350" s="10">
        <v>81</v>
      </c>
      <c r="AV350" s="10">
        <v>286</v>
      </c>
      <c r="AW350" s="10">
        <v>307</v>
      </c>
      <c r="AX350" s="10">
        <v>194</v>
      </c>
      <c r="AY350" s="10">
        <v>166</v>
      </c>
      <c r="AZ350" s="10">
        <v>175</v>
      </c>
      <c r="BA350" s="10">
        <v>230</v>
      </c>
      <c r="BB350" s="10">
        <v>130</v>
      </c>
      <c r="BC350" s="10">
        <v>395</v>
      </c>
      <c r="BD350" s="10">
        <v>280</v>
      </c>
      <c r="BE350" s="10">
        <v>334</v>
      </c>
      <c r="BF350" s="10">
        <v>395</v>
      </c>
      <c r="BG350" s="10">
        <v>395</v>
      </c>
      <c r="BH350" s="10">
        <v>212</v>
      </c>
      <c r="BI350" s="10">
        <v>467</v>
      </c>
      <c r="BJ350" s="10">
        <v>273</v>
      </c>
      <c r="BK350" s="10">
        <v>235</v>
      </c>
      <c r="BL350" s="10">
        <v>197</v>
      </c>
    </row>
    <row r="351" spans="1:64">
      <c r="A351" s="15">
        <v>310336</v>
      </c>
      <c r="B351" s="14">
        <v>1065125</v>
      </c>
      <c r="C351" s="14">
        <v>267</v>
      </c>
      <c r="D351" s="2" t="str">
        <f>HYPERLINK("http://128.120.136.21:8080/binbase-compound/bin/show/310336?db=rtx5","310336")</f>
        <v>310336</v>
      </c>
      <c r="E351" s="2" t="s">
        <v>364</v>
      </c>
      <c r="F351" s="2" t="s">
        <v>57</v>
      </c>
      <c r="G351" s="2" t="s">
        <v>57</v>
      </c>
      <c r="H351" s="10">
        <v>312</v>
      </c>
      <c r="I351" s="10">
        <v>427</v>
      </c>
      <c r="J351" s="10">
        <v>445</v>
      </c>
      <c r="K351" s="10">
        <v>100</v>
      </c>
      <c r="L351" s="10">
        <v>377</v>
      </c>
      <c r="M351" s="10">
        <v>247</v>
      </c>
      <c r="N351" s="10">
        <v>808</v>
      </c>
      <c r="O351" s="10">
        <v>327</v>
      </c>
      <c r="P351" s="10">
        <v>251</v>
      </c>
      <c r="Q351" s="10">
        <v>250</v>
      </c>
      <c r="R351" s="10">
        <v>393</v>
      </c>
      <c r="S351" s="10">
        <v>1802</v>
      </c>
      <c r="T351" s="10">
        <v>140</v>
      </c>
      <c r="U351" s="10">
        <v>420</v>
      </c>
      <c r="V351" s="10">
        <v>336</v>
      </c>
      <c r="W351" s="10">
        <v>309</v>
      </c>
      <c r="X351" s="10">
        <v>276</v>
      </c>
      <c r="Y351" s="10">
        <v>326</v>
      </c>
      <c r="Z351" s="10">
        <v>109</v>
      </c>
      <c r="AA351" s="10">
        <v>543</v>
      </c>
      <c r="AB351" s="10">
        <v>598</v>
      </c>
      <c r="AC351" s="10">
        <v>218</v>
      </c>
      <c r="AD351" s="10">
        <v>212</v>
      </c>
      <c r="AE351" s="10">
        <v>264</v>
      </c>
      <c r="AF351" s="10">
        <v>373</v>
      </c>
      <c r="AG351" s="10">
        <v>196</v>
      </c>
      <c r="AH351" s="10">
        <v>269</v>
      </c>
      <c r="AI351" s="10">
        <v>474</v>
      </c>
      <c r="AJ351" s="10">
        <v>553</v>
      </c>
      <c r="AK351" s="10">
        <v>838</v>
      </c>
      <c r="AL351" s="10">
        <v>414</v>
      </c>
      <c r="AM351" s="10">
        <v>75</v>
      </c>
      <c r="AN351" s="10">
        <v>708</v>
      </c>
      <c r="AO351" s="10">
        <v>675</v>
      </c>
      <c r="AP351" s="10">
        <v>227</v>
      </c>
      <c r="AQ351" s="10">
        <v>1814</v>
      </c>
      <c r="AR351" s="10">
        <v>375</v>
      </c>
      <c r="AS351" s="10">
        <v>475</v>
      </c>
      <c r="AT351" s="10">
        <v>349</v>
      </c>
      <c r="AU351" s="10">
        <v>155</v>
      </c>
      <c r="AV351" s="10">
        <v>547</v>
      </c>
      <c r="AW351" s="10">
        <v>408</v>
      </c>
      <c r="AX351" s="10">
        <v>430</v>
      </c>
      <c r="AY351" s="10">
        <v>351</v>
      </c>
      <c r="AZ351" s="10">
        <v>588</v>
      </c>
      <c r="BA351" s="10">
        <v>343</v>
      </c>
      <c r="BB351" s="10">
        <v>120</v>
      </c>
      <c r="BC351" s="10">
        <v>78</v>
      </c>
      <c r="BD351" s="10">
        <v>508</v>
      </c>
      <c r="BE351" s="10">
        <v>372</v>
      </c>
      <c r="BF351" s="10">
        <v>131</v>
      </c>
      <c r="BG351" s="10">
        <v>321</v>
      </c>
      <c r="BH351" s="10">
        <v>398</v>
      </c>
      <c r="BI351" s="10">
        <v>815</v>
      </c>
      <c r="BJ351" s="10">
        <v>353</v>
      </c>
      <c r="BK351" s="10">
        <v>106</v>
      </c>
      <c r="BL351" s="10">
        <v>293</v>
      </c>
    </row>
    <row r="352" spans="1:64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 spans="1:64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 spans="1:64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 spans="1:64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 spans="1:64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 spans="1:64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 spans="1:64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 spans="1:64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X</dc:creator>
  <cp:lastModifiedBy>SAVANNAH</cp:lastModifiedBy>
  <dcterms:created xsi:type="dcterms:W3CDTF">2012-03-26T20:20:57Z</dcterms:created>
  <dcterms:modified xsi:type="dcterms:W3CDTF">2012-03-26T22:21:33Z</dcterms:modified>
</cp:coreProperties>
</file>