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novo\Documents\Exemplar, LLC\"/>
    </mc:Choice>
  </mc:AlternateContent>
  <xr:revisionPtr revIDLastSave="0" documentId="13_ncr:1_{031AAC3A-8FDB-4DA2-864B-B5A23B692E1E}" xr6:coauthVersionLast="47" xr6:coauthVersionMax="47" xr10:uidLastSave="{00000000-0000-0000-0000-000000000000}"/>
  <bookViews>
    <workbookView xWindow="28680" yWindow="-120" windowWidth="29040" windowHeight="15840" xr2:uid="{7725F9E2-3BFE-44E7-9C16-BDF45C185D2B}"/>
  </bookViews>
  <sheets>
    <sheet name="Bowie Pecan Quick Glance"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3" l="1"/>
  <c r="F27" i="3" s="1"/>
  <c r="G27" i="3" s="1"/>
  <c r="H27" i="3" s="1"/>
  <c r="I27" i="3" s="1"/>
  <c r="J27" i="3" s="1"/>
  <c r="K27" i="3" s="1"/>
  <c r="L27" i="3" s="1"/>
  <c r="D27" i="3"/>
  <c r="C39" i="3"/>
  <c r="C27" i="3"/>
  <c r="D13" i="3"/>
  <c r="E13" i="3" s="1"/>
  <c r="D14" i="3"/>
  <c r="C15" i="3"/>
  <c r="C9" i="3"/>
  <c r="C8" i="3" s="1"/>
  <c r="D7" i="3"/>
  <c r="E7" i="3" s="1"/>
  <c r="F7" i="3" s="1"/>
  <c r="G7" i="3" s="1"/>
  <c r="H7" i="3" s="1"/>
  <c r="I7" i="3" s="1"/>
  <c r="J7" i="3" s="1"/>
  <c r="K7" i="3" s="1"/>
  <c r="L7" i="3" s="1"/>
  <c r="M7" i="3" s="1"/>
  <c r="M9" i="3" s="1"/>
  <c r="F5" i="3"/>
  <c r="D3" i="3"/>
  <c r="E3" i="3" s="1"/>
  <c r="F3" i="3" s="1"/>
  <c r="G3" i="3" s="1"/>
  <c r="H3" i="3" s="1"/>
  <c r="I3" i="3" s="1"/>
  <c r="J3" i="3" s="1"/>
  <c r="K3" i="3" s="1"/>
  <c r="L3" i="3" s="1"/>
  <c r="M3" i="3" s="1"/>
  <c r="M27" i="3" l="1"/>
  <c r="D9" i="3"/>
  <c r="D8" i="3" s="1"/>
  <c r="E14" i="3"/>
  <c r="F14" i="3" s="1"/>
  <c r="G14" i="3" s="1"/>
  <c r="H14" i="3" s="1"/>
  <c r="I14" i="3" s="1"/>
  <c r="J14" i="3" s="1"/>
  <c r="K14" i="3" s="1"/>
  <c r="L14" i="3" s="1"/>
  <c r="M14" i="3" s="1"/>
  <c r="H9" i="3"/>
  <c r="K9" i="3"/>
  <c r="J9" i="3"/>
  <c r="F9" i="3"/>
  <c r="L9" i="3"/>
  <c r="I9" i="3"/>
  <c r="E9" i="3"/>
  <c r="G9" i="3"/>
  <c r="F13" i="3"/>
  <c r="G13" i="3" s="1"/>
  <c r="H13" i="3" s="1"/>
  <c r="G5" i="3"/>
  <c r="I13" i="3" l="1"/>
  <c r="H5" i="3"/>
  <c r="I5" i="3"/>
  <c r="E8" i="3"/>
  <c r="J13" i="3" l="1"/>
  <c r="F8" i="3"/>
  <c r="J5" i="3"/>
  <c r="K13" i="3" l="1"/>
  <c r="K5" i="3"/>
  <c r="G8" i="3"/>
  <c r="L13" i="3" l="1"/>
  <c r="H8" i="3"/>
  <c r="L5" i="3"/>
  <c r="M13" i="3" l="1"/>
  <c r="I8" i="3"/>
  <c r="M5" i="3"/>
  <c r="J8" i="3" l="1"/>
  <c r="K8" i="3" l="1"/>
  <c r="M8" i="3" l="1"/>
  <c r="L8" i="3"/>
  <c r="D12" i="3" l="1"/>
  <c r="D15" i="3" s="1"/>
  <c r="E12" i="3" l="1"/>
  <c r="E15" i="3" s="1"/>
  <c r="F12" i="3" l="1"/>
  <c r="F15" i="3" s="1"/>
  <c r="G12" i="3" l="1"/>
  <c r="G15" i="3" s="1"/>
  <c r="H12" i="3" l="1"/>
  <c r="H15" i="3" s="1"/>
  <c r="I12" i="3" l="1"/>
  <c r="I15" i="3" s="1"/>
  <c r="J12" i="3" l="1"/>
  <c r="J15" i="3" s="1"/>
  <c r="K12" i="3" l="1"/>
  <c r="K15" i="3" s="1"/>
  <c r="L12" i="3" l="1"/>
  <c r="L15" i="3" s="1"/>
  <c r="M12" i="3" l="1"/>
  <c r="M15" i="3" s="1"/>
  <c r="L16" i="3"/>
  <c r="E16" i="3"/>
  <c r="D16" i="3"/>
  <c r="G16" i="3"/>
  <c r="F16" i="3"/>
  <c r="J16" i="3"/>
  <c r="K16" i="3"/>
  <c r="I16" i="3"/>
  <c r="M16" i="3"/>
  <c r="H16" i="3"/>
  <c r="C16" i="3"/>
  <c r="C17" i="3" l="1"/>
  <c r="C19" i="3" s="1"/>
  <c r="C37" i="3"/>
  <c r="C38" i="3"/>
  <c r="K17" i="3"/>
  <c r="K19" i="3" s="1"/>
  <c r="K38" i="3"/>
  <c r="D17" i="3"/>
  <c r="D19" i="3" s="1"/>
  <c r="D38" i="3"/>
  <c r="H17" i="3"/>
  <c r="H19" i="3" s="1"/>
  <c r="H38" i="3"/>
  <c r="J17" i="3"/>
  <c r="J19" i="3" s="1"/>
  <c r="J38" i="3"/>
  <c r="E17" i="3"/>
  <c r="E19" i="3" s="1"/>
  <c r="E38" i="3"/>
  <c r="M17" i="3"/>
  <c r="M19" i="3" s="1"/>
  <c r="M38" i="3"/>
  <c r="F17" i="3"/>
  <c r="F19" i="3" s="1"/>
  <c r="F38" i="3"/>
  <c r="L17" i="3"/>
  <c r="L19" i="3" s="1"/>
  <c r="L38" i="3"/>
  <c r="I17" i="3"/>
  <c r="I19" i="3" s="1"/>
  <c r="I38" i="3"/>
  <c r="G17" i="3"/>
  <c r="G19" i="3" s="1"/>
  <c r="G38" i="3"/>
  <c r="I26" i="3" l="1"/>
  <c r="I39" i="3"/>
  <c r="E26" i="3"/>
  <c r="E39" i="3"/>
  <c r="K26" i="3"/>
  <c r="K39" i="3"/>
  <c r="G26" i="3"/>
  <c r="G39" i="3"/>
  <c r="M26" i="3"/>
  <c r="M39" i="3"/>
  <c r="D26" i="3"/>
  <c r="D39" i="3"/>
  <c r="F26" i="3"/>
  <c r="F39" i="3"/>
  <c r="H26" i="3"/>
  <c r="H39" i="3"/>
  <c r="L26" i="3"/>
  <c r="L39" i="3"/>
  <c r="J26" i="3"/>
  <c r="J39" i="3"/>
  <c r="C26" i="3"/>
  <c r="C29" i="3" s="1"/>
  <c r="C30" i="3" s="1"/>
  <c r="J33" i="3" l="1"/>
  <c r="J29" i="3"/>
  <c r="H33" i="3"/>
  <c r="H29" i="3"/>
  <c r="D29" i="3"/>
  <c r="D33" i="3"/>
  <c r="G33" i="3"/>
  <c r="G29" i="3"/>
  <c r="E29" i="3"/>
  <c r="E33" i="3"/>
  <c r="D30" i="3"/>
  <c r="E30" i="3" s="1"/>
  <c r="F30" i="3" s="1"/>
  <c r="L33" i="3"/>
  <c r="L29" i="3"/>
  <c r="F29" i="3"/>
  <c r="F33" i="3"/>
  <c r="M33" i="3"/>
  <c r="M29" i="3"/>
  <c r="K29" i="3"/>
  <c r="K33" i="3"/>
  <c r="I29" i="3"/>
  <c r="I33" i="3"/>
  <c r="C31" i="3" l="1"/>
  <c r="G30" i="3"/>
  <c r="H30" i="3" s="1"/>
  <c r="I30" i="3" s="1"/>
  <c r="J30" i="3" s="1"/>
  <c r="K30" i="3" s="1"/>
  <c r="L30" i="3" s="1"/>
  <c r="M30" i="3" s="1"/>
  <c r="C33" i="3"/>
  <c r="C32" i="3"/>
</calcChain>
</file>

<file path=xl/sharedStrings.xml><?xml version="1.0" encoding="utf-8"?>
<sst xmlns="http://schemas.openxmlformats.org/spreadsheetml/2006/main" count="32" uniqueCount="30">
  <si>
    <t>INCOME STATEMENT</t>
  </si>
  <si>
    <t>Producing Acres</t>
  </si>
  <si>
    <t>In-Shell Pound/Acre</t>
  </si>
  <si>
    <t>$ / Pound</t>
  </si>
  <si>
    <t>Total Revenue</t>
  </si>
  <si>
    <t>Revenue/Acre</t>
  </si>
  <si>
    <t>Operating Costs/Acre</t>
  </si>
  <si>
    <t>Farming</t>
  </si>
  <si>
    <t>Irrigation</t>
  </si>
  <si>
    <t>Harvest</t>
  </si>
  <si>
    <t>Operating Line Interest</t>
  </si>
  <si>
    <t>Total Operating Costs</t>
  </si>
  <si>
    <t>Net Operating Income</t>
  </si>
  <si>
    <t xml:space="preserve">CASH FLOW </t>
  </si>
  <si>
    <t>Equity for Purchase</t>
  </si>
  <si>
    <t>CAPEX (New Wells)</t>
  </si>
  <si>
    <t>Annual Cash Flow</t>
  </si>
  <si>
    <t>Cummulative Cash Flow</t>
  </si>
  <si>
    <t>Net Present Value at 15% Discount Rate</t>
  </si>
  <si>
    <t>IRR</t>
  </si>
  <si>
    <t>Calendar Year</t>
  </si>
  <si>
    <t>STRESS TEST</t>
  </si>
  <si>
    <t>Breakeven Production Per Acre</t>
  </si>
  <si>
    <t>Breakeven Price Per Acre</t>
  </si>
  <si>
    <t>Overview
After running the Bowie Pistachio Orchard through our financial model we have found that the investment has promising returns. I assume a  4% inflation rate on crop revenues and operating expenses. Further, I assume a real estate appreciation rate of 6%. Since some of the acres are not producing, the appreciation rate is more than achievable. Assuming that the property is purchased with outright cash and no management fees are included, the returns are expected to be substantial. Overall, the Bowie Pistachio Orchard shows strong potential as a profitable venture.
Growing pistachios in Cochise County, Arizona is a widely accepted and profitable practice. The region's arid climate, sandy soil, and abundant sunshine provide ideal growing conditions for pistachio trees. Furthermore, the county's location on the eastern side of Arizona ensures that the trees are not exposed to the harsh weather conditions of the Sonoran Desert.
Additionally, the region has a long history of pistachio cultivation, dating back to the early 1980s when the first commercial pistachio farm was established. This has created a well-established infrastructure of skilled labor, equipment, and processing facilities that make growing pistachios in the area even more convenient.
Moreover, pistachios are known for their nutritional value and increasing demand in the global market. The increasing popularity of pistachios as a healthy snack has led to higher prices and greater profitability for farmers. The drought-resistant nature of the pistachio tree also makes it a suitable crop for the arid conditions prevalent in Cochise County.</t>
  </si>
  <si>
    <t>Project Year</t>
  </si>
  <si>
    <t>Average Operating Margin</t>
  </si>
  <si>
    <t>because crop revenues and expenses grow at same rate this value remains the same.</t>
  </si>
  <si>
    <t>Avg. Return on Investment from Opps</t>
  </si>
  <si>
    <t>Terminal Value (RE Growth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</si>
</sst>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0.0%"/>
    <numFmt numFmtId="165" formatCode="_(* #,##0_);_(* \(#,##0\);_(* &quot;-&quot;??_);_(@_)"/>
    <numFmt numFmtId="166" formatCode="_([$$-409]* #,##0.00_);_([$$-409]* \(#,##0.00\);_([$$-409]* &quot;-&quot;??_);_(@_)"/>
    <numFmt numFmtId="167" formatCode="_([$$-409]* #,##0_);_([$$-409]* \(#,##0\);_([$$-409]* &quot;-&quot;??_);_(@_)"/>
  </numFmts>
  <fonts count="10">
    <font>
      <sz val="11"/>
      <color theme="1"/>
      <name val="Calibri"/>
      <family val="2"/>
      <scheme val="minor"/>
    </font>
    <font>
      <sz val="11"/>
      <color theme="1"/>
      <name val="Calibri"/>
      <family val="2"/>
      <scheme val="minor"/>
    </font>
    <font>
      <sz val="9"/>
      <name val="Arial MT"/>
    </font>
    <font>
      <sz val="11"/>
      <color theme="1"/>
      <name val="Garamond"/>
      <family val="1"/>
    </font>
    <font>
      <sz val="12"/>
      <color theme="1"/>
      <name val="Garamond"/>
      <family val="1"/>
    </font>
    <font>
      <b/>
      <sz val="12"/>
      <color theme="0"/>
      <name val="Garamond"/>
      <family val="1"/>
    </font>
    <font>
      <b/>
      <sz val="12"/>
      <color theme="1"/>
      <name val="Garamond"/>
      <family val="1"/>
    </font>
    <font>
      <u/>
      <sz val="12"/>
      <color theme="1"/>
      <name val="Garamond"/>
      <family val="1"/>
    </font>
    <font>
      <sz val="12"/>
      <color theme="0" tint="-0.34998626667073579"/>
      <name val="Garamond"/>
      <family val="1"/>
    </font>
    <font>
      <b/>
      <sz val="16"/>
      <color theme="1"/>
      <name val="Garamond"/>
      <family val="1"/>
    </font>
  </fonts>
  <fills count="7">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 fontId="2" fillId="0" borderId="0" applyFont="0"/>
  </cellStyleXfs>
  <cellXfs count="38">
    <xf numFmtId="0" fontId="0" fillId="0" borderId="0" xfId="0"/>
    <xf numFmtId="0" fontId="3" fillId="0" borderId="0" xfId="0" applyFont="1"/>
    <xf numFmtId="0" fontId="5" fillId="2" borderId="0" xfId="0" applyFont="1" applyFill="1"/>
    <xf numFmtId="0" fontId="4" fillId="3" borderId="0" xfId="0" applyFont="1" applyFill="1"/>
    <xf numFmtId="0" fontId="6" fillId="3" borderId="0" xfId="0" applyFont="1" applyFill="1"/>
    <xf numFmtId="0" fontId="4" fillId="0" borderId="0" xfId="0" applyFont="1" applyAlignment="1">
      <alignment horizontal="center"/>
    </xf>
    <xf numFmtId="0" fontId="4" fillId="3" borderId="0" xfId="0" applyFont="1" applyFill="1" applyAlignment="1">
      <alignment horizontal="center"/>
    </xf>
    <xf numFmtId="0" fontId="6" fillId="3" borderId="0" xfId="0" applyFont="1" applyFill="1" applyAlignment="1">
      <alignment horizontal="center"/>
    </xf>
    <xf numFmtId="0" fontId="4" fillId="3" borderId="0" xfId="0" applyFont="1" applyFill="1" applyAlignment="1">
      <alignment horizontal="left"/>
    </xf>
    <xf numFmtId="0" fontId="4" fillId="0" borderId="0" xfId="1" applyNumberFormat="1" applyFont="1" applyFill="1" applyAlignment="1">
      <alignment horizontal="center"/>
    </xf>
    <xf numFmtId="0" fontId="4" fillId="3" borderId="0" xfId="1" applyNumberFormat="1" applyFont="1" applyFill="1" applyAlignment="1">
      <alignment horizontal="center"/>
    </xf>
    <xf numFmtId="0" fontId="7" fillId="3" borderId="0" xfId="0" applyFont="1" applyFill="1" applyAlignment="1">
      <alignment horizontal="left"/>
    </xf>
    <xf numFmtId="166" fontId="4" fillId="3" borderId="0" xfId="0" applyNumberFormat="1" applyFont="1" applyFill="1"/>
    <xf numFmtId="0" fontId="6" fillId="3" borderId="0" xfId="0" applyFont="1" applyFill="1" applyAlignment="1">
      <alignment horizontal="left"/>
    </xf>
    <xf numFmtId="167" fontId="6" fillId="3" borderId="0" xfId="0" applyNumberFormat="1" applyFont="1" applyFill="1"/>
    <xf numFmtId="167" fontId="4" fillId="3" borderId="0" xfId="0" applyNumberFormat="1" applyFont="1" applyFill="1"/>
    <xf numFmtId="0" fontId="6" fillId="3" borderId="1" xfId="0" applyFont="1" applyFill="1" applyBorder="1"/>
    <xf numFmtId="167" fontId="4" fillId="3" borderId="1" xfId="0" applyNumberFormat="1" applyFont="1" applyFill="1" applyBorder="1"/>
    <xf numFmtId="0" fontId="4" fillId="0" borderId="0" xfId="0" applyFont="1"/>
    <xf numFmtId="44" fontId="4" fillId="0" borderId="0" xfId="2" applyFont="1"/>
    <xf numFmtId="9" fontId="4" fillId="0" borderId="0" xfId="3" applyFont="1"/>
    <xf numFmtId="44" fontId="8" fillId="0" borderId="0" xfId="2" applyFont="1"/>
    <xf numFmtId="44" fontId="4" fillId="0" borderId="0" xfId="0" applyNumberFormat="1" applyFont="1"/>
    <xf numFmtId="8" fontId="4" fillId="0" borderId="0" xfId="0" applyNumberFormat="1" applyFont="1"/>
    <xf numFmtId="10" fontId="4" fillId="0" borderId="0" xfId="0" applyNumberFormat="1" applyFont="1"/>
    <xf numFmtId="164" fontId="4" fillId="0" borderId="0" xfId="0" applyNumberFormat="1" applyFont="1"/>
    <xf numFmtId="164" fontId="4" fillId="0" borderId="0" xfId="3" applyNumberFormat="1" applyFont="1"/>
    <xf numFmtId="165" fontId="4" fillId="0" borderId="0" xfId="1" applyNumberFormat="1" applyFont="1"/>
    <xf numFmtId="44" fontId="3" fillId="0" borderId="0" xfId="0" applyNumberFormat="1" applyFont="1"/>
    <xf numFmtId="165" fontId="4" fillId="5" borderId="0" xfId="1" applyNumberFormat="1" applyFont="1" applyFill="1" applyAlignment="1">
      <alignment horizontal="center"/>
    </xf>
    <xf numFmtId="166" fontId="4" fillId="5" borderId="0" xfId="0" applyNumberFormat="1" applyFont="1" applyFill="1"/>
    <xf numFmtId="44" fontId="4" fillId="5" borderId="0" xfId="2" applyFont="1" applyFill="1"/>
    <xf numFmtId="0" fontId="4" fillId="4" borderId="0" xfId="0" applyFont="1" applyFill="1" applyAlignment="1">
      <alignment horizontal="center"/>
    </xf>
    <xf numFmtId="0" fontId="9" fillId="6" borderId="0" xfId="0" applyFont="1" applyFill="1" applyAlignment="1">
      <alignment horizontal="left" wrapText="1"/>
    </xf>
    <xf numFmtId="0" fontId="9" fillId="6" borderId="0" xfId="0" applyFont="1" applyFill="1" applyAlignment="1">
      <alignment horizontal="left"/>
    </xf>
    <xf numFmtId="43" fontId="4" fillId="0" borderId="0" xfId="1" applyFont="1" applyAlignment="1">
      <alignment horizontal="left"/>
    </xf>
    <xf numFmtId="0" fontId="4" fillId="0" borderId="0" xfId="0" applyFont="1" applyAlignment="1">
      <alignment horizontal="center"/>
    </xf>
    <xf numFmtId="0" fontId="4" fillId="3" borderId="0" xfId="0" applyFont="1" applyFill="1" applyAlignment="1">
      <alignment horizontal="center"/>
    </xf>
  </cellXfs>
  <cellStyles count="5">
    <cellStyle name="Comma" xfId="1" builtinId="3"/>
    <cellStyle name="Currency" xfId="2" builtinId="4"/>
    <cellStyle name="Normal" xfId="0" builtinId="0"/>
    <cellStyle name="Normal 2" xfId="4" xr:uid="{3CD1277A-712A-4D17-A9C3-D88BF40B4DB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Garamond" panose="02020404030301010803" pitchFamily="18" charset="0"/>
              </a:rPr>
              <a:t>Income Statement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'Bowie Pecan Quick Glance'!$B$5</c:f>
              <c:strCache>
                <c:ptCount val="1"/>
                <c:pt idx="0">
                  <c:v>Producing Acres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'Bowie Pecan Quick Glance'!$C$5:$M$5</c:f>
              <c:numCache>
                <c:formatCode>General</c:formatCode>
                <c:ptCount val="11"/>
                <c:pt idx="0">
                  <c:v>320</c:v>
                </c:pt>
                <c:pt idx="1">
                  <c:v>580</c:v>
                </c:pt>
                <c:pt idx="2">
                  <c:v>900</c:v>
                </c:pt>
                <c:pt idx="3">
                  <c:v>900</c:v>
                </c:pt>
                <c:pt idx="4">
                  <c:v>900</c:v>
                </c:pt>
                <c:pt idx="5">
                  <c:v>900</c:v>
                </c:pt>
                <c:pt idx="6">
                  <c:v>900</c:v>
                </c:pt>
                <c:pt idx="7">
                  <c:v>900</c:v>
                </c:pt>
                <c:pt idx="8">
                  <c:v>900</c:v>
                </c:pt>
                <c:pt idx="9">
                  <c:v>900</c:v>
                </c:pt>
                <c:pt idx="10">
                  <c:v>900</c:v>
                </c:pt>
              </c:numCache>
            </c:numRef>
          </c:val>
          <c:extLst>
            <c:ext xmlns:c16="http://schemas.microsoft.com/office/drawing/2014/chart" uri="{C3380CC4-5D6E-409C-BE32-E72D297353CC}">
              <c16:uniqueId val="{00000000-DDC3-432E-AA1B-A9E0AA1DF968}"/>
            </c:ext>
          </c:extLst>
        </c:ser>
        <c:dLbls>
          <c:showLegendKey val="0"/>
          <c:showVal val="0"/>
          <c:showCatName val="0"/>
          <c:showSerName val="0"/>
          <c:showPercent val="0"/>
          <c:showBubbleSize val="0"/>
        </c:dLbls>
        <c:gapWidth val="219"/>
        <c:overlap val="-27"/>
        <c:axId val="215861279"/>
        <c:axId val="215860863"/>
      </c:barChart>
      <c:lineChart>
        <c:grouping val="standard"/>
        <c:varyColors val="0"/>
        <c:ser>
          <c:idx val="1"/>
          <c:order val="1"/>
          <c:tx>
            <c:strRef>
              <c:f>'Bowie Pecan Quick Glance'!$B$8</c:f>
              <c:strCache>
                <c:ptCount val="1"/>
                <c:pt idx="0">
                  <c:v>Total Revenue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'Bowie Pecan Quick Glance'!$C$8:$M$8</c:f>
              <c:numCache>
                <c:formatCode>_([$$-409]* #,##0_);_([$$-409]* \(#,##0\);_([$$-409]* "-"??_);_(@_)</c:formatCode>
                <c:ptCount val="11"/>
                <c:pt idx="0">
                  <c:v>768000</c:v>
                </c:pt>
                <c:pt idx="1">
                  <c:v>2533440</c:v>
                </c:pt>
                <c:pt idx="2">
                  <c:v>5450485.2479999997</c:v>
                </c:pt>
                <c:pt idx="3">
                  <c:v>7775059.9679999994</c:v>
                </c:pt>
                <c:pt idx="4">
                  <c:v>8844130.7136000022</c:v>
                </c:pt>
                <c:pt idx="5">
                  <c:v>9197895.9421440009</c:v>
                </c:pt>
                <c:pt idx="6">
                  <c:v>9565811.779829761</c:v>
                </c:pt>
                <c:pt idx="7">
                  <c:v>9948444.2510229535</c:v>
                </c:pt>
                <c:pt idx="8">
                  <c:v>10346382.021063872</c:v>
                </c:pt>
                <c:pt idx="9">
                  <c:v>10760237.301906426</c:v>
                </c:pt>
                <c:pt idx="10">
                  <c:v>11190646.793982685</c:v>
                </c:pt>
              </c:numCache>
            </c:numRef>
          </c:val>
          <c:smooth val="0"/>
          <c:extLst>
            <c:ext xmlns:c16="http://schemas.microsoft.com/office/drawing/2014/chart" uri="{C3380CC4-5D6E-409C-BE32-E72D297353CC}">
              <c16:uniqueId val="{00000001-DDC3-432E-AA1B-A9E0AA1DF968}"/>
            </c:ext>
          </c:extLst>
        </c:ser>
        <c:ser>
          <c:idx val="2"/>
          <c:order val="2"/>
          <c:tx>
            <c:strRef>
              <c:f>'Bowie Pecan Quick Glance'!$B$17</c:f>
              <c:strCache>
                <c:ptCount val="1"/>
                <c:pt idx="0">
                  <c:v>Total Operating Costs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'Bowie Pecan Quick Glance'!$C$17:$M$17</c:f>
              <c:numCache>
                <c:formatCode>_([$$-409]* #,##0_);_([$$-409]* \(#,##0\);_([$$-409]* "-"??_);_(@_)</c:formatCode>
                <c:ptCount val="11"/>
                <c:pt idx="0">
                  <c:v>853450</c:v>
                </c:pt>
                <c:pt idx="1">
                  <c:v>1608753.25</c:v>
                </c:pt>
                <c:pt idx="2">
                  <c:v>2596194.9</c:v>
                </c:pt>
                <c:pt idx="3">
                  <c:v>2700042.696</c:v>
                </c:pt>
                <c:pt idx="4">
                  <c:v>2808044.4038400003</c:v>
                </c:pt>
                <c:pt idx="5">
                  <c:v>2920366.1799935997</c:v>
                </c:pt>
                <c:pt idx="6">
                  <c:v>3037180.8271933445</c:v>
                </c:pt>
                <c:pt idx="7">
                  <c:v>3158668.0602810783</c:v>
                </c:pt>
                <c:pt idx="8">
                  <c:v>3285014.7826923216</c:v>
                </c:pt>
                <c:pt idx="9">
                  <c:v>3416415.3740000143</c:v>
                </c:pt>
                <c:pt idx="10">
                  <c:v>3553071.9889600151</c:v>
                </c:pt>
              </c:numCache>
            </c:numRef>
          </c:val>
          <c:smooth val="0"/>
          <c:extLst>
            <c:ext xmlns:c16="http://schemas.microsoft.com/office/drawing/2014/chart" uri="{C3380CC4-5D6E-409C-BE32-E72D297353CC}">
              <c16:uniqueId val="{00000002-DDC3-432E-AA1B-A9E0AA1DF968}"/>
            </c:ext>
          </c:extLst>
        </c:ser>
        <c:dLbls>
          <c:showLegendKey val="0"/>
          <c:showVal val="0"/>
          <c:showCatName val="0"/>
          <c:showSerName val="0"/>
          <c:showPercent val="0"/>
          <c:showBubbleSize val="0"/>
        </c:dLbls>
        <c:marker val="1"/>
        <c:smooth val="0"/>
        <c:axId val="215865855"/>
        <c:axId val="215846719"/>
      </c:lineChart>
      <c:catAx>
        <c:axId val="21586585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5846719"/>
        <c:crosses val="autoZero"/>
        <c:auto val="1"/>
        <c:lblAlgn val="ctr"/>
        <c:lblOffset val="100"/>
        <c:noMultiLvlLbl val="0"/>
      </c:catAx>
      <c:valAx>
        <c:axId val="215846719"/>
        <c:scaling>
          <c:orientation val="minMax"/>
        </c:scaling>
        <c:delete val="0"/>
        <c:axPos val="l"/>
        <c:majorGridlines>
          <c:spPr>
            <a:ln w="9525" cap="flat" cmpd="sng" algn="ctr">
              <a:solidFill>
                <a:schemeClr val="lt1">
                  <a:lumMod val="95000"/>
                  <a:alpha val="10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5865855"/>
        <c:crosses val="autoZero"/>
        <c:crossBetween val="between"/>
      </c:valAx>
      <c:valAx>
        <c:axId val="2158608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5861279"/>
        <c:crosses val="max"/>
        <c:crossBetween val="between"/>
      </c:valAx>
      <c:catAx>
        <c:axId val="215861279"/>
        <c:scaling>
          <c:orientation val="minMax"/>
        </c:scaling>
        <c:delete val="1"/>
        <c:axPos val="b"/>
        <c:majorTickMark val="none"/>
        <c:minorTickMark val="none"/>
        <c:tickLblPos val="nextTo"/>
        <c:crossAx val="215860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atin typeface="Garamond" panose="02020404030301010803" pitchFamily="18" charset="0"/>
              </a:rPr>
              <a:t>Net Operating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spPr>
            <a:ln w="22225" cap="rnd">
              <a:solidFill>
                <a:schemeClr val="accent2"/>
              </a:solidFill>
            </a:ln>
            <a:effectLst>
              <a:glow rad="139700">
                <a:schemeClr val="accent2">
                  <a:satMod val="175000"/>
                  <a:alpha val="14000"/>
                </a:schemeClr>
              </a:glow>
            </a:effectLst>
          </c:spPr>
          <c:marker>
            <c:symbol val="none"/>
          </c:marker>
          <c:cat>
            <c:numRef>
              <c:f>'Bowie Pecan Quick Glance'!$C$3:$M$3</c:f>
              <c:numCache>
                <c:formatCode>General</c:formatCode>
                <c:ptCount val="11"/>
                <c:pt idx="0">
                  <c:v>2023</c:v>
                </c:pt>
                <c:pt idx="1">
                  <c:v>2024</c:v>
                </c:pt>
                <c:pt idx="2">
                  <c:v>2025</c:v>
                </c:pt>
                <c:pt idx="3">
                  <c:v>2026</c:v>
                </c:pt>
                <c:pt idx="4">
                  <c:v>2027</c:v>
                </c:pt>
                <c:pt idx="5">
                  <c:v>2028</c:v>
                </c:pt>
                <c:pt idx="6">
                  <c:v>2029</c:v>
                </c:pt>
                <c:pt idx="7">
                  <c:v>2030</c:v>
                </c:pt>
                <c:pt idx="8">
                  <c:v>2031</c:v>
                </c:pt>
                <c:pt idx="9">
                  <c:v>2032</c:v>
                </c:pt>
                <c:pt idx="10">
                  <c:v>2033</c:v>
                </c:pt>
              </c:numCache>
            </c:numRef>
          </c:cat>
          <c:val>
            <c:numRef>
              <c:f>'Bowie Pecan Quick Glance'!$C$19:$M$19</c:f>
              <c:numCache>
                <c:formatCode>_([$$-409]* #,##0_);_([$$-409]* \(#,##0\);_([$$-409]* "-"??_);_(@_)</c:formatCode>
                <c:ptCount val="11"/>
                <c:pt idx="0">
                  <c:v>-85450</c:v>
                </c:pt>
                <c:pt idx="1">
                  <c:v>924686.75</c:v>
                </c:pt>
                <c:pt idx="2">
                  <c:v>2854290.3479999998</c:v>
                </c:pt>
                <c:pt idx="3">
                  <c:v>5075017.2719999999</c:v>
                </c:pt>
                <c:pt idx="4">
                  <c:v>6036086.3097600024</c:v>
                </c:pt>
                <c:pt idx="5">
                  <c:v>6277529.7621504012</c:v>
                </c:pt>
                <c:pt idx="6">
                  <c:v>6528630.952636417</c:v>
                </c:pt>
                <c:pt idx="7">
                  <c:v>6789776.1907418752</c:v>
                </c:pt>
                <c:pt idx="8">
                  <c:v>7061367.2383715501</c:v>
                </c:pt>
                <c:pt idx="9">
                  <c:v>7343821.9279064108</c:v>
                </c:pt>
                <c:pt idx="10">
                  <c:v>7637574.80502267</c:v>
                </c:pt>
              </c:numCache>
            </c:numRef>
          </c:val>
          <c:smooth val="0"/>
          <c:extLst>
            <c:ext xmlns:c16="http://schemas.microsoft.com/office/drawing/2014/chart" uri="{C3380CC4-5D6E-409C-BE32-E72D297353CC}">
              <c16:uniqueId val="{00000000-DDC6-4196-91F7-483CEF911C55}"/>
            </c:ext>
          </c:extLst>
        </c:ser>
        <c:dLbls>
          <c:showLegendKey val="0"/>
          <c:showVal val="0"/>
          <c:showCatName val="0"/>
          <c:showSerName val="0"/>
          <c:showPercent val="0"/>
          <c:showBubbleSize val="0"/>
        </c:dLbls>
        <c:smooth val="0"/>
        <c:axId val="215865439"/>
        <c:axId val="215855455"/>
      </c:lineChart>
      <c:catAx>
        <c:axId val="21586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55455"/>
        <c:crosses val="autoZero"/>
        <c:auto val="1"/>
        <c:lblAlgn val="ctr"/>
        <c:lblOffset val="100"/>
        <c:noMultiLvlLbl val="0"/>
      </c:catAx>
      <c:valAx>
        <c:axId val="215855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65439"/>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Garamond" panose="02020404030301010803" pitchFamily="18" charset="0"/>
              </a:rPr>
              <a:t>Cash</a:t>
            </a:r>
            <a:r>
              <a:rPr lang="en-US" baseline="0">
                <a:latin typeface="Garamond" panose="02020404030301010803" pitchFamily="18" charset="0"/>
              </a:rPr>
              <a:t> Flow Analysis</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'Bowie Pecan Quick Glance'!$B$29</c:f>
              <c:strCache>
                <c:ptCount val="1"/>
                <c:pt idx="0">
                  <c:v>Annual Cash Flow</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'Bowie Pecan Quick Glance'!$C$3:$M$3</c:f>
              <c:numCache>
                <c:formatCode>General</c:formatCode>
                <c:ptCount val="11"/>
                <c:pt idx="0">
                  <c:v>2023</c:v>
                </c:pt>
                <c:pt idx="1">
                  <c:v>2024</c:v>
                </c:pt>
                <c:pt idx="2">
                  <c:v>2025</c:v>
                </c:pt>
                <c:pt idx="3">
                  <c:v>2026</c:v>
                </c:pt>
                <c:pt idx="4">
                  <c:v>2027</c:v>
                </c:pt>
                <c:pt idx="5">
                  <c:v>2028</c:v>
                </c:pt>
                <c:pt idx="6">
                  <c:v>2029</c:v>
                </c:pt>
                <c:pt idx="7">
                  <c:v>2030</c:v>
                </c:pt>
                <c:pt idx="8">
                  <c:v>2031</c:v>
                </c:pt>
                <c:pt idx="9">
                  <c:v>2032</c:v>
                </c:pt>
                <c:pt idx="10">
                  <c:v>2033</c:v>
                </c:pt>
              </c:numCache>
            </c:numRef>
          </c:cat>
          <c:val>
            <c:numRef>
              <c:f>'Bowie Pecan Quick Glance'!$C$29:$M$29</c:f>
              <c:numCache>
                <c:formatCode>_("$"* #,##0.00_);_("$"* \(#,##0.00\);_("$"* "-"??_);_(@_)</c:formatCode>
                <c:ptCount val="11"/>
                <c:pt idx="0">
                  <c:v>-23569482</c:v>
                </c:pt>
                <c:pt idx="1">
                  <c:v>924686.75</c:v>
                </c:pt>
                <c:pt idx="2">
                  <c:v>2854290.3479999998</c:v>
                </c:pt>
                <c:pt idx="3">
                  <c:v>5075017.2719999999</c:v>
                </c:pt>
                <c:pt idx="4">
                  <c:v>6036086.3097600024</c:v>
                </c:pt>
                <c:pt idx="5">
                  <c:v>6277529.7621504012</c:v>
                </c:pt>
                <c:pt idx="6">
                  <c:v>6528630.952636417</c:v>
                </c:pt>
                <c:pt idx="7">
                  <c:v>6789776.1907418752</c:v>
                </c:pt>
                <c:pt idx="8">
                  <c:v>7061367.2383715501</c:v>
                </c:pt>
                <c:pt idx="9">
                  <c:v>7343821.9279064108</c:v>
                </c:pt>
                <c:pt idx="10">
                  <c:v>38756415.239350162</c:v>
                </c:pt>
              </c:numCache>
            </c:numRef>
          </c:val>
          <c:smooth val="0"/>
          <c:extLst>
            <c:ext xmlns:c16="http://schemas.microsoft.com/office/drawing/2014/chart" uri="{C3380CC4-5D6E-409C-BE32-E72D297353CC}">
              <c16:uniqueId val="{00000000-1782-4091-9108-C135BA964C6A}"/>
            </c:ext>
          </c:extLst>
        </c:ser>
        <c:ser>
          <c:idx val="1"/>
          <c:order val="1"/>
          <c:tx>
            <c:strRef>
              <c:f>'Bowie Pecan Quick Glance'!$B$30</c:f>
              <c:strCache>
                <c:ptCount val="1"/>
                <c:pt idx="0">
                  <c:v>Cummulative Cash Flow</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'Bowie Pecan Quick Glance'!$C$3:$M$3</c:f>
              <c:numCache>
                <c:formatCode>General</c:formatCode>
                <c:ptCount val="11"/>
                <c:pt idx="0">
                  <c:v>2023</c:v>
                </c:pt>
                <c:pt idx="1">
                  <c:v>2024</c:v>
                </c:pt>
                <c:pt idx="2">
                  <c:v>2025</c:v>
                </c:pt>
                <c:pt idx="3">
                  <c:v>2026</c:v>
                </c:pt>
                <c:pt idx="4">
                  <c:v>2027</c:v>
                </c:pt>
                <c:pt idx="5">
                  <c:v>2028</c:v>
                </c:pt>
                <c:pt idx="6">
                  <c:v>2029</c:v>
                </c:pt>
                <c:pt idx="7">
                  <c:v>2030</c:v>
                </c:pt>
                <c:pt idx="8">
                  <c:v>2031</c:v>
                </c:pt>
                <c:pt idx="9">
                  <c:v>2032</c:v>
                </c:pt>
                <c:pt idx="10">
                  <c:v>2033</c:v>
                </c:pt>
              </c:numCache>
            </c:numRef>
          </c:cat>
          <c:val>
            <c:numRef>
              <c:f>'Bowie Pecan Quick Glance'!$C$30:$M$30</c:f>
              <c:numCache>
                <c:formatCode>_("$"* #,##0.00_);_("$"* \(#,##0.00\);_("$"* "-"??_);_(@_)</c:formatCode>
                <c:ptCount val="11"/>
                <c:pt idx="0">
                  <c:v>-23569482</c:v>
                </c:pt>
                <c:pt idx="1">
                  <c:v>-22644795.25</c:v>
                </c:pt>
                <c:pt idx="2">
                  <c:v>-19790504.901999999</c:v>
                </c:pt>
                <c:pt idx="3">
                  <c:v>-14715487.629999999</c:v>
                </c:pt>
                <c:pt idx="4">
                  <c:v>-8679401.3202399965</c:v>
                </c:pt>
                <c:pt idx="5">
                  <c:v>-2401871.5580895953</c:v>
                </c:pt>
                <c:pt idx="6">
                  <c:v>4126759.3945468217</c:v>
                </c:pt>
                <c:pt idx="7">
                  <c:v>10916535.585288696</c:v>
                </c:pt>
                <c:pt idx="8">
                  <c:v>17977902.823660247</c:v>
                </c:pt>
                <c:pt idx="9">
                  <c:v>25321724.751566656</c:v>
                </c:pt>
                <c:pt idx="10">
                  <c:v>64078139.990916818</c:v>
                </c:pt>
              </c:numCache>
            </c:numRef>
          </c:val>
          <c:smooth val="0"/>
          <c:extLst>
            <c:ext xmlns:c16="http://schemas.microsoft.com/office/drawing/2014/chart" uri="{C3380CC4-5D6E-409C-BE32-E72D297353CC}">
              <c16:uniqueId val="{00000001-1782-4091-9108-C135BA964C6A}"/>
            </c:ext>
          </c:extLst>
        </c:ser>
        <c:dLbls>
          <c:showLegendKey val="0"/>
          <c:showVal val="0"/>
          <c:showCatName val="0"/>
          <c:showSerName val="0"/>
          <c:showPercent val="0"/>
          <c:showBubbleSize val="0"/>
        </c:dLbls>
        <c:smooth val="0"/>
        <c:axId val="209570495"/>
        <c:axId val="209561343"/>
      </c:lineChart>
      <c:catAx>
        <c:axId val="209570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561343"/>
        <c:crosses val="autoZero"/>
        <c:auto val="1"/>
        <c:lblAlgn val="ctr"/>
        <c:lblOffset val="100"/>
        <c:noMultiLvlLbl val="0"/>
      </c:catAx>
      <c:valAx>
        <c:axId val="209561343"/>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570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Garamond" panose="02020404030301010803" pitchFamily="18" charset="0"/>
              </a:rPr>
              <a:t>Cash</a:t>
            </a:r>
            <a:r>
              <a:rPr lang="en-US" baseline="0">
                <a:latin typeface="Garamond" panose="02020404030301010803" pitchFamily="18" charset="0"/>
              </a:rPr>
              <a:t> Flow Ratios</a:t>
            </a:r>
            <a:endParaRPr lang="en-US">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'Bowie Pecan Quick Glance'!$B$32</c:f>
              <c:strCache>
                <c:ptCount val="1"/>
                <c:pt idx="0">
                  <c:v>IRR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'Bowie Pecan Quick Glance'!$C$32</c:f>
              <c:numCache>
                <c:formatCode>0.00%</c:formatCode>
                <c:ptCount val="1"/>
                <c:pt idx="0">
                  <c:v>0.20775488531511965</c:v>
                </c:pt>
              </c:numCache>
            </c:numRef>
          </c:val>
          <c:extLst>
            <c:ext xmlns:c16="http://schemas.microsoft.com/office/drawing/2014/chart" uri="{C3380CC4-5D6E-409C-BE32-E72D297353CC}">
              <c16:uniqueId val="{00000000-27B4-4264-A112-2AD5A464178C}"/>
            </c:ext>
          </c:extLst>
        </c:ser>
        <c:ser>
          <c:idx val="1"/>
          <c:order val="1"/>
          <c:tx>
            <c:strRef>
              <c:f>'Bowie Pecan Quick Glance'!$B$33</c:f>
              <c:strCache>
                <c:ptCount val="1"/>
                <c:pt idx="0">
                  <c:v>Avg. Return on Investment from Opps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'Bowie Pecan Quick Glance'!$C$33</c:f>
              <c:numCache>
                <c:formatCode>0.0%</c:formatCode>
                <c:ptCount val="1"/>
                <c:pt idx="0">
                  <c:v>0.23983887960112713</c:v>
                </c:pt>
              </c:numCache>
            </c:numRef>
          </c:val>
          <c:extLst>
            <c:ext xmlns:c16="http://schemas.microsoft.com/office/drawing/2014/chart" uri="{C3380CC4-5D6E-409C-BE32-E72D297353CC}">
              <c16:uniqueId val="{00000001-27B4-4264-A112-2AD5A464178C}"/>
            </c:ext>
          </c:extLst>
        </c:ser>
        <c:dLbls>
          <c:dLblPos val="outEnd"/>
          <c:showLegendKey val="0"/>
          <c:showVal val="1"/>
          <c:showCatName val="0"/>
          <c:showSerName val="0"/>
          <c:showPercent val="0"/>
          <c:showBubbleSize val="0"/>
        </c:dLbls>
        <c:gapWidth val="100"/>
        <c:overlap val="-24"/>
        <c:axId val="352700671"/>
        <c:axId val="352693183"/>
      </c:barChart>
      <c:catAx>
        <c:axId val="352700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693183"/>
        <c:crosses val="autoZero"/>
        <c:auto val="1"/>
        <c:lblAlgn val="ctr"/>
        <c:lblOffset val="100"/>
        <c:noMultiLvlLbl val="0"/>
      </c:catAx>
      <c:valAx>
        <c:axId val="35269318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70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27669</xdr:colOff>
      <xdr:row>40</xdr:row>
      <xdr:rowOff>25625</xdr:rowOff>
    </xdr:from>
    <xdr:to>
      <xdr:col>2</xdr:col>
      <xdr:colOff>1211037</xdr:colOff>
      <xdr:row>67</xdr:row>
      <xdr:rowOff>122465</xdr:rowOff>
    </xdr:to>
    <xdr:graphicFrame macro="">
      <xdr:nvGraphicFramePr>
        <xdr:cNvPr id="2" name="Chart 1">
          <a:extLst>
            <a:ext uri="{FF2B5EF4-FFF2-40B4-BE49-F238E27FC236}">
              <a16:creationId xmlns:a16="http://schemas.microsoft.com/office/drawing/2014/main" id="{594620A8-6951-5DD0-0C01-674F312F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xdr:colOff>
      <xdr:row>40</xdr:row>
      <xdr:rowOff>48759</xdr:rowOff>
    </xdr:from>
    <xdr:to>
      <xdr:col>6</xdr:col>
      <xdr:colOff>1131093</xdr:colOff>
      <xdr:row>67</xdr:row>
      <xdr:rowOff>122465</xdr:rowOff>
    </xdr:to>
    <xdr:graphicFrame macro="">
      <xdr:nvGraphicFramePr>
        <xdr:cNvPr id="3" name="Chart 2">
          <a:extLst>
            <a:ext uri="{FF2B5EF4-FFF2-40B4-BE49-F238E27FC236}">
              <a16:creationId xmlns:a16="http://schemas.microsoft.com/office/drawing/2014/main" id="{9CA2A417-F230-ED68-9344-9C10F2A3E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1211339</xdr:colOff>
      <xdr:row>40</xdr:row>
      <xdr:rowOff>37231</xdr:rowOff>
    </xdr:from>
    <xdr:to>
      <xdr:col>10</xdr:col>
      <xdr:colOff>666749</xdr:colOff>
      <xdr:row>67</xdr:row>
      <xdr:rowOff>154781</xdr:rowOff>
    </xdr:to>
    <xdr:graphicFrame macro="">
      <xdr:nvGraphicFramePr>
        <xdr:cNvPr id="4" name="Chart 3">
          <a:extLst>
            <a:ext uri="{FF2B5EF4-FFF2-40B4-BE49-F238E27FC236}">
              <a16:creationId xmlns:a16="http://schemas.microsoft.com/office/drawing/2014/main" id="{89F650CE-D971-2DA6-A087-9428C2E74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726280</xdr:colOff>
      <xdr:row>40</xdr:row>
      <xdr:rowOff>13608</xdr:rowOff>
    </xdr:from>
    <xdr:to>
      <xdr:col>12</xdr:col>
      <xdr:colOff>1154906</xdr:colOff>
      <xdr:row>67</xdr:row>
      <xdr:rowOff>154781</xdr:rowOff>
    </xdr:to>
    <xdr:graphicFrame macro="">
      <xdr:nvGraphicFramePr>
        <xdr:cNvPr id="5" name="Chart 4">
          <a:extLst>
            <a:ext uri="{FF2B5EF4-FFF2-40B4-BE49-F238E27FC236}">
              <a16:creationId xmlns:a16="http://schemas.microsoft.com/office/drawing/2014/main" id="{8184CDCE-E626-A462-B5FD-EC8FBE09E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8EE16-DCD9-4FB3-97EE-DA0E282C245A}">
  <sheetPr codeName="Sheet1">
    <pageSetUpPr fitToPage="1"/>
  </sheetPr>
  <dimension ref="A2:N70"/>
  <sheetViews>
    <sheetView tabSelected="1" zoomScale="80" zoomScaleNormal="80" workbookViewId="0">
      <selection activeCell="O32" sqref="O32"/>
    </sheetView>
  </sheetViews>
  <sheetFormatPr defaultColWidth="8.7265625" defaultRowHeight="14.5"/>
  <cols>
    <col min="1" max="1" width="8.7265625" style="1"/>
    <col min="2" max="2" width="38" style="1" bestFit="1" customWidth="1"/>
    <col min="3" max="13" width="18.1796875" style="1" customWidth="1"/>
    <col min="14" max="14" width="12.1796875" style="1" bestFit="1" customWidth="1"/>
    <col min="15" max="16384" width="8.7265625" style="1"/>
  </cols>
  <sheetData>
    <row r="2" spans="1:13" ht="15.5">
      <c r="A2" s="2" t="s">
        <v>0</v>
      </c>
      <c r="B2" s="2"/>
      <c r="C2" s="2"/>
      <c r="D2" s="2"/>
      <c r="E2" s="2"/>
      <c r="F2" s="2"/>
      <c r="G2" s="2"/>
      <c r="H2" s="2"/>
      <c r="I2" s="2"/>
      <c r="J2" s="2"/>
      <c r="K2" s="2"/>
      <c r="L2" s="2"/>
      <c r="M2" s="2"/>
    </row>
    <row r="3" spans="1:13" ht="15.5">
      <c r="A3" s="3"/>
      <c r="B3" s="4" t="s">
        <v>20</v>
      </c>
      <c r="C3" s="5">
        <v>2023</v>
      </c>
      <c r="D3" s="6">
        <f>C3+1</f>
        <v>2024</v>
      </c>
      <c r="E3" s="6">
        <f t="shared" ref="E3:L3" si="0">D3+1</f>
        <v>2025</v>
      </c>
      <c r="F3" s="6">
        <f t="shared" si="0"/>
        <v>2026</v>
      </c>
      <c r="G3" s="6">
        <f t="shared" si="0"/>
        <v>2027</v>
      </c>
      <c r="H3" s="6">
        <f t="shared" si="0"/>
        <v>2028</v>
      </c>
      <c r="I3" s="6">
        <f t="shared" si="0"/>
        <v>2029</v>
      </c>
      <c r="J3" s="6">
        <f t="shared" si="0"/>
        <v>2030</v>
      </c>
      <c r="K3" s="6">
        <f t="shared" si="0"/>
        <v>2031</v>
      </c>
      <c r="L3" s="6">
        <f t="shared" si="0"/>
        <v>2032</v>
      </c>
      <c r="M3" s="6">
        <f>L3+1</f>
        <v>2033</v>
      </c>
    </row>
    <row r="4" spans="1:13" ht="15.5">
      <c r="A4" s="3"/>
      <c r="B4" s="4" t="s">
        <v>25</v>
      </c>
      <c r="C4" s="7">
        <v>0</v>
      </c>
      <c r="D4" s="7">
        <v>1</v>
      </c>
      <c r="E4" s="7">
        <v>2</v>
      </c>
      <c r="F4" s="7">
        <v>3</v>
      </c>
      <c r="G4" s="7">
        <v>4</v>
      </c>
      <c r="H4" s="7">
        <v>5</v>
      </c>
      <c r="I4" s="7">
        <v>6</v>
      </c>
      <c r="J4" s="7">
        <v>7</v>
      </c>
      <c r="K4" s="7">
        <v>8</v>
      </c>
      <c r="L4" s="7">
        <v>9</v>
      </c>
      <c r="M4" s="7">
        <v>10</v>
      </c>
    </row>
    <row r="5" spans="1:13" ht="15.5">
      <c r="A5" s="3"/>
      <c r="B5" s="8" t="s">
        <v>1</v>
      </c>
      <c r="C5" s="9">
        <v>320</v>
      </c>
      <c r="D5" s="10">
        <v>580</v>
      </c>
      <c r="E5" s="10">
        <v>900</v>
      </c>
      <c r="F5" s="10">
        <f t="shared" ref="F5:M5" si="1">E5</f>
        <v>900</v>
      </c>
      <c r="G5" s="10">
        <f t="shared" si="1"/>
        <v>900</v>
      </c>
      <c r="H5" s="10">
        <f t="shared" si="1"/>
        <v>900</v>
      </c>
      <c r="I5" s="10">
        <f t="shared" si="1"/>
        <v>900</v>
      </c>
      <c r="J5" s="10">
        <f t="shared" si="1"/>
        <v>900</v>
      </c>
      <c r="K5" s="10">
        <f t="shared" si="1"/>
        <v>900</v>
      </c>
      <c r="L5" s="10">
        <f t="shared" si="1"/>
        <v>900</v>
      </c>
      <c r="M5" s="10">
        <f t="shared" si="1"/>
        <v>900</v>
      </c>
    </row>
    <row r="6" spans="1:13" ht="15.5">
      <c r="A6" s="3"/>
      <c r="B6" s="8" t="s">
        <v>2</v>
      </c>
      <c r="C6" s="29">
        <v>1000</v>
      </c>
      <c r="D6" s="29">
        <v>1750</v>
      </c>
      <c r="E6" s="29">
        <v>2333</v>
      </c>
      <c r="F6" s="29">
        <v>3200</v>
      </c>
      <c r="G6" s="29">
        <v>3500</v>
      </c>
      <c r="H6" s="29">
        <v>3500</v>
      </c>
      <c r="I6" s="29">
        <v>3500</v>
      </c>
      <c r="J6" s="29">
        <v>3500</v>
      </c>
      <c r="K6" s="29">
        <v>3500</v>
      </c>
      <c r="L6" s="29">
        <v>3500</v>
      </c>
      <c r="M6" s="29">
        <v>3500</v>
      </c>
    </row>
    <row r="7" spans="1:13" ht="15.5">
      <c r="A7" s="3"/>
      <c r="B7" s="11" t="s">
        <v>3</v>
      </c>
      <c r="C7" s="30">
        <v>2.4</v>
      </c>
      <c r="D7" s="12">
        <f>C7*(1+0.04)</f>
        <v>2.496</v>
      </c>
      <c r="E7" s="12">
        <f t="shared" ref="E7:M7" si="2">D7*(1+0.04)</f>
        <v>2.5958399999999999</v>
      </c>
      <c r="F7" s="12">
        <f t="shared" si="2"/>
        <v>2.6996736000000001</v>
      </c>
      <c r="G7" s="12">
        <f t="shared" si="2"/>
        <v>2.8076605440000004</v>
      </c>
      <c r="H7" s="12">
        <f t="shared" si="2"/>
        <v>2.9199669657600005</v>
      </c>
      <c r="I7" s="12">
        <f t="shared" si="2"/>
        <v>3.0367656443904005</v>
      </c>
      <c r="J7" s="12">
        <f t="shared" si="2"/>
        <v>3.1582362701660167</v>
      </c>
      <c r="K7" s="12">
        <f t="shared" si="2"/>
        <v>3.2845657209726573</v>
      </c>
      <c r="L7" s="12">
        <f t="shared" si="2"/>
        <v>3.4159483498115639</v>
      </c>
      <c r="M7" s="12">
        <f t="shared" si="2"/>
        <v>3.5525862838040267</v>
      </c>
    </row>
    <row r="8" spans="1:13" ht="15.5">
      <c r="A8" s="3"/>
      <c r="B8" s="13" t="s">
        <v>4</v>
      </c>
      <c r="C8" s="14">
        <f t="shared" ref="C8:M8" si="3">C9*C5</f>
        <v>768000</v>
      </c>
      <c r="D8" s="14">
        <f t="shared" si="3"/>
        <v>2533440</v>
      </c>
      <c r="E8" s="14">
        <f t="shared" si="3"/>
        <v>5450485.2479999997</v>
      </c>
      <c r="F8" s="14">
        <f t="shared" si="3"/>
        <v>7775059.9679999994</v>
      </c>
      <c r="G8" s="14">
        <f t="shared" si="3"/>
        <v>8844130.7136000022</v>
      </c>
      <c r="H8" s="14">
        <f t="shared" si="3"/>
        <v>9197895.9421440009</v>
      </c>
      <c r="I8" s="14">
        <f t="shared" si="3"/>
        <v>9565811.779829761</v>
      </c>
      <c r="J8" s="14">
        <f t="shared" si="3"/>
        <v>9948444.2510229535</v>
      </c>
      <c r="K8" s="14">
        <f t="shared" si="3"/>
        <v>10346382.021063872</v>
      </c>
      <c r="L8" s="14">
        <f t="shared" si="3"/>
        <v>10760237.301906426</v>
      </c>
      <c r="M8" s="14">
        <f t="shared" si="3"/>
        <v>11190646.793982685</v>
      </c>
    </row>
    <row r="9" spans="1:13" ht="15.5">
      <c r="A9" s="3"/>
      <c r="B9" s="4" t="s">
        <v>5</v>
      </c>
      <c r="C9" s="14">
        <f>C7*C6</f>
        <v>2400</v>
      </c>
      <c r="D9" s="14">
        <f t="shared" ref="D9:M9" si="4">D7*D6</f>
        <v>4368</v>
      </c>
      <c r="E9" s="14">
        <f t="shared" si="4"/>
        <v>6056.0947200000001</v>
      </c>
      <c r="F9" s="14">
        <f t="shared" si="4"/>
        <v>8638.9555199999995</v>
      </c>
      <c r="G9" s="14">
        <f t="shared" si="4"/>
        <v>9826.811904000002</v>
      </c>
      <c r="H9" s="14">
        <f t="shared" si="4"/>
        <v>10219.884380160001</v>
      </c>
      <c r="I9" s="14">
        <f t="shared" si="4"/>
        <v>10628.679755366402</v>
      </c>
      <c r="J9" s="14">
        <f t="shared" si="4"/>
        <v>11053.826945581059</v>
      </c>
      <c r="K9" s="14">
        <f t="shared" si="4"/>
        <v>11495.980023404301</v>
      </c>
      <c r="L9" s="14">
        <f t="shared" si="4"/>
        <v>11955.819224340474</v>
      </c>
      <c r="M9" s="14">
        <f t="shared" si="4"/>
        <v>12434.051993314093</v>
      </c>
    </row>
    <row r="10" spans="1:13" ht="15.5">
      <c r="A10" s="3"/>
      <c r="B10" s="3"/>
      <c r="C10" s="3"/>
      <c r="D10" s="3"/>
      <c r="E10" s="3"/>
      <c r="F10" s="3"/>
      <c r="G10" s="3"/>
      <c r="H10" s="3"/>
      <c r="I10" s="3"/>
      <c r="J10" s="3"/>
      <c r="K10" s="3"/>
      <c r="L10" s="3"/>
      <c r="M10" s="3"/>
    </row>
    <row r="11" spans="1:13" ht="15.5">
      <c r="A11" s="3"/>
      <c r="B11" s="13" t="s">
        <v>6</v>
      </c>
      <c r="C11" s="32"/>
      <c r="D11" s="32"/>
      <c r="E11" s="32"/>
      <c r="F11" s="32"/>
      <c r="G11" s="32"/>
      <c r="H11" s="32"/>
      <c r="I11" s="32"/>
      <c r="J11" s="32"/>
      <c r="K11" s="3"/>
      <c r="L11" s="3"/>
      <c r="M11" s="3"/>
    </row>
    <row r="12" spans="1:13" ht="15.5">
      <c r="A12" s="3"/>
      <c r="B12" s="8" t="s">
        <v>7</v>
      </c>
      <c r="C12" s="15">
        <v>1750</v>
      </c>
      <c r="D12" s="15">
        <f>C12*(1+0.04)</f>
        <v>1820</v>
      </c>
      <c r="E12" s="15">
        <f t="shared" ref="D12:M13" si="5">D12*(1+0.04)</f>
        <v>1892.8</v>
      </c>
      <c r="F12" s="15">
        <f t="shared" si="5"/>
        <v>1968.5119999999999</v>
      </c>
      <c r="G12" s="15">
        <f t="shared" si="5"/>
        <v>2047.2524800000001</v>
      </c>
      <c r="H12" s="15">
        <f t="shared" si="5"/>
        <v>2129.1425792</v>
      </c>
      <c r="I12" s="15">
        <f t="shared" si="5"/>
        <v>2214.3082823680002</v>
      </c>
      <c r="J12" s="15">
        <f t="shared" si="5"/>
        <v>2302.8806136627204</v>
      </c>
      <c r="K12" s="15">
        <f t="shared" si="5"/>
        <v>2394.9958382092291</v>
      </c>
      <c r="L12" s="15">
        <f t="shared" si="5"/>
        <v>2490.7956717375982</v>
      </c>
      <c r="M12" s="15">
        <f t="shared" si="5"/>
        <v>2590.4274986071023</v>
      </c>
    </row>
    <row r="13" spans="1:13" ht="15.5">
      <c r="A13" s="3"/>
      <c r="B13" s="3" t="s">
        <v>8</v>
      </c>
      <c r="C13" s="15">
        <v>400</v>
      </c>
      <c r="D13" s="15">
        <f t="shared" si="5"/>
        <v>416</v>
      </c>
      <c r="E13" s="15">
        <f t="shared" si="5"/>
        <v>432.64</v>
      </c>
      <c r="F13" s="15">
        <f t="shared" si="5"/>
        <v>449.94560000000001</v>
      </c>
      <c r="G13" s="15">
        <f t="shared" si="5"/>
        <v>467.94342400000005</v>
      </c>
      <c r="H13" s="15">
        <f t="shared" si="5"/>
        <v>486.66116096000007</v>
      </c>
      <c r="I13" s="15">
        <f t="shared" si="5"/>
        <v>506.12760739840007</v>
      </c>
      <c r="J13" s="15">
        <f t="shared" si="5"/>
        <v>526.37271169433609</v>
      </c>
      <c r="K13" s="15">
        <f t="shared" si="5"/>
        <v>547.42762016210952</v>
      </c>
      <c r="L13" s="15">
        <f t="shared" si="5"/>
        <v>569.32472496859396</v>
      </c>
      <c r="M13" s="15">
        <f t="shared" si="5"/>
        <v>592.09771396733777</v>
      </c>
    </row>
    <row r="14" spans="1:13" ht="15.5">
      <c r="A14" s="3"/>
      <c r="B14" s="3" t="s">
        <v>9</v>
      </c>
      <c r="C14" s="15">
        <v>375</v>
      </c>
      <c r="D14" s="15">
        <f>C14*(1+0.04)</f>
        <v>390</v>
      </c>
      <c r="E14" s="15">
        <f t="shared" ref="E14:M14" si="6">D14*(1+0.04)</f>
        <v>405.6</v>
      </c>
      <c r="F14" s="15">
        <f t="shared" si="6"/>
        <v>421.82400000000001</v>
      </c>
      <c r="G14" s="15">
        <f t="shared" si="6"/>
        <v>438.69696000000005</v>
      </c>
      <c r="H14" s="15">
        <f t="shared" si="6"/>
        <v>456.24483840000005</v>
      </c>
      <c r="I14" s="15">
        <f t="shared" si="6"/>
        <v>474.49463193600008</v>
      </c>
      <c r="J14" s="15">
        <f t="shared" si="6"/>
        <v>493.47441721344012</v>
      </c>
      <c r="K14" s="15">
        <f t="shared" si="6"/>
        <v>513.21339390197772</v>
      </c>
      <c r="L14" s="15">
        <f t="shared" si="6"/>
        <v>533.74192965805685</v>
      </c>
      <c r="M14" s="15">
        <f t="shared" si="6"/>
        <v>555.09160684437916</v>
      </c>
    </row>
    <row r="15" spans="1:13" ht="15.5">
      <c r="A15" s="3"/>
      <c r="B15" s="3" t="s">
        <v>10</v>
      </c>
      <c r="C15" s="15">
        <f>(SUM(C12:C14)*0.75)*0.075</f>
        <v>142.03125</v>
      </c>
      <c r="D15" s="15">
        <f t="shared" ref="D15:M15" si="7">(SUM(D12:D14)*0.75)*0.075</f>
        <v>147.71250000000001</v>
      </c>
      <c r="E15" s="15">
        <f t="shared" si="7"/>
        <v>153.62099999999998</v>
      </c>
      <c r="F15" s="15">
        <f t="shared" si="7"/>
        <v>159.76583999999997</v>
      </c>
      <c r="G15" s="15">
        <f t="shared" si="7"/>
        <v>166.1564736</v>
      </c>
      <c r="H15" s="15">
        <f t="shared" si="7"/>
        <v>172.80273254400001</v>
      </c>
      <c r="I15" s="15">
        <f t="shared" si="7"/>
        <v>179.71484184575999</v>
      </c>
      <c r="J15" s="15">
        <f t="shared" si="7"/>
        <v>186.90343551959043</v>
      </c>
      <c r="K15" s="15">
        <f t="shared" si="7"/>
        <v>194.37957294037403</v>
      </c>
      <c r="L15" s="15">
        <f t="shared" si="7"/>
        <v>202.15475585798899</v>
      </c>
      <c r="M15" s="15">
        <f t="shared" si="7"/>
        <v>210.24094609230858</v>
      </c>
    </row>
    <row r="16" spans="1:13" ht="15.5">
      <c r="A16" s="3"/>
      <c r="B16" s="13" t="s">
        <v>6</v>
      </c>
      <c r="C16" s="14">
        <f t="shared" ref="C16:J16" si="8">SUM(C12:C15)</f>
        <v>2667.03125</v>
      </c>
      <c r="D16" s="14">
        <f t="shared" si="8"/>
        <v>2773.7125000000001</v>
      </c>
      <c r="E16" s="14">
        <f t="shared" si="8"/>
        <v>2884.6610000000001</v>
      </c>
      <c r="F16" s="14">
        <f t="shared" si="8"/>
        <v>3000.0474399999998</v>
      </c>
      <c r="G16" s="14">
        <f t="shared" si="8"/>
        <v>3120.0493376000004</v>
      </c>
      <c r="H16" s="14">
        <f t="shared" si="8"/>
        <v>3244.8513111039997</v>
      </c>
      <c r="I16" s="14">
        <f t="shared" si="8"/>
        <v>3374.6453635481603</v>
      </c>
      <c r="J16" s="14">
        <f t="shared" si="8"/>
        <v>3509.6311780900869</v>
      </c>
      <c r="K16" s="14">
        <f>SUM(K12:K15)</f>
        <v>3650.0164252136906</v>
      </c>
      <c r="L16" s="14">
        <f t="shared" ref="L16:M16" si="9">SUM(L12:L15)</f>
        <v>3796.0170822222381</v>
      </c>
      <c r="M16" s="14">
        <f t="shared" si="9"/>
        <v>3947.857765511128</v>
      </c>
    </row>
    <row r="17" spans="1:14" ht="15.5">
      <c r="A17" s="3"/>
      <c r="B17" s="4" t="s">
        <v>11</v>
      </c>
      <c r="C17" s="14">
        <f t="shared" ref="C17:M17" si="10">C16*C5</f>
        <v>853450</v>
      </c>
      <c r="D17" s="14">
        <f t="shared" si="10"/>
        <v>1608753.25</v>
      </c>
      <c r="E17" s="14">
        <f t="shared" si="10"/>
        <v>2596194.9</v>
      </c>
      <c r="F17" s="14">
        <f t="shared" si="10"/>
        <v>2700042.696</v>
      </c>
      <c r="G17" s="14">
        <f t="shared" si="10"/>
        <v>2808044.4038400003</v>
      </c>
      <c r="H17" s="14">
        <f t="shared" si="10"/>
        <v>2920366.1799935997</v>
      </c>
      <c r="I17" s="14">
        <f t="shared" si="10"/>
        <v>3037180.8271933445</v>
      </c>
      <c r="J17" s="14">
        <f t="shared" si="10"/>
        <v>3158668.0602810783</v>
      </c>
      <c r="K17" s="14">
        <f t="shared" si="10"/>
        <v>3285014.7826923216</v>
      </c>
      <c r="L17" s="14">
        <f t="shared" si="10"/>
        <v>3416415.3740000143</v>
      </c>
      <c r="M17" s="14">
        <f t="shared" si="10"/>
        <v>3553071.9889600151</v>
      </c>
    </row>
    <row r="18" spans="1:14" ht="15.5">
      <c r="A18" s="3"/>
      <c r="B18" s="3"/>
      <c r="C18" s="3"/>
      <c r="D18" s="3"/>
      <c r="E18" s="3"/>
      <c r="F18" s="3"/>
      <c r="G18" s="3"/>
      <c r="H18" s="3"/>
      <c r="I18" s="3"/>
      <c r="J18" s="3"/>
      <c r="K18" s="3"/>
      <c r="L18" s="3"/>
      <c r="M18" s="3"/>
    </row>
    <row r="19" spans="1:14" ht="15.5">
      <c r="A19" s="3"/>
      <c r="B19" s="16" t="s">
        <v>12</v>
      </c>
      <c r="C19" s="17">
        <f>C8-C17</f>
        <v>-85450</v>
      </c>
      <c r="D19" s="17">
        <f t="shared" ref="D19:M19" si="11">D8-D17</f>
        <v>924686.75</v>
      </c>
      <c r="E19" s="17">
        <f t="shared" si="11"/>
        <v>2854290.3479999998</v>
      </c>
      <c r="F19" s="17">
        <f t="shared" si="11"/>
        <v>5075017.2719999999</v>
      </c>
      <c r="G19" s="17">
        <f>G8-G17</f>
        <v>6036086.3097600024</v>
      </c>
      <c r="H19" s="17">
        <f t="shared" si="11"/>
        <v>6277529.7621504012</v>
      </c>
      <c r="I19" s="17">
        <f t="shared" si="11"/>
        <v>6528630.952636417</v>
      </c>
      <c r="J19" s="17">
        <f t="shared" si="11"/>
        <v>6789776.1907418752</v>
      </c>
      <c r="K19" s="17">
        <f t="shared" si="11"/>
        <v>7061367.2383715501</v>
      </c>
      <c r="L19" s="17">
        <f t="shared" si="11"/>
        <v>7343821.9279064108</v>
      </c>
      <c r="M19" s="17">
        <f t="shared" si="11"/>
        <v>7637574.80502267</v>
      </c>
    </row>
    <row r="20" spans="1:14" ht="15.5">
      <c r="A20" s="3"/>
      <c r="B20" s="3"/>
      <c r="C20" s="3"/>
      <c r="D20" s="3"/>
      <c r="E20" s="3"/>
      <c r="F20" s="3"/>
      <c r="G20" s="3"/>
      <c r="H20" s="3"/>
      <c r="I20" s="3"/>
      <c r="J20" s="3"/>
      <c r="K20" s="3"/>
      <c r="L20" s="3"/>
      <c r="M20" s="3"/>
    </row>
    <row r="21" spans="1:14" ht="15.5">
      <c r="A21" s="18"/>
      <c r="B21" s="18"/>
      <c r="C21" s="18"/>
      <c r="D21" s="18"/>
      <c r="E21" s="18"/>
      <c r="F21" s="18"/>
      <c r="G21" s="18"/>
      <c r="H21" s="18"/>
      <c r="I21" s="18"/>
      <c r="J21" s="18"/>
      <c r="K21" s="18"/>
      <c r="L21" s="18"/>
      <c r="M21" s="18"/>
    </row>
    <row r="22" spans="1:14" ht="15.5">
      <c r="A22" s="2" t="s">
        <v>13</v>
      </c>
      <c r="B22" s="2"/>
      <c r="C22" s="2"/>
      <c r="D22" s="2"/>
      <c r="E22" s="2"/>
      <c r="F22" s="2"/>
      <c r="G22" s="2"/>
      <c r="H22" s="2"/>
      <c r="I22" s="2"/>
      <c r="J22" s="2"/>
      <c r="K22" s="2"/>
      <c r="L22" s="2"/>
      <c r="M22" s="2"/>
    </row>
    <row r="23" spans="1:14" ht="15.5">
      <c r="A23" s="37"/>
      <c r="B23" s="37"/>
      <c r="C23" s="37"/>
      <c r="D23" s="36"/>
      <c r="E23" s="36"/>
      <c r="F23" s="36"/>
      <c r="G23" s="36"/>
      <c r="H23" s="36"/>
      <c r="I23" s="36"/>
      <c r="J23" s="36"/>
      <c r="K23" s="36"/>
      <c r="L23" s="36"/>
      <c r="M23" s="36"/>
    </row>
    <row r="24" spans="1:14" ht="15.5">
      <c r="A24" s="37"/>
      <c r="B24" s="18" t="s">
        <v>14</v>
      </c>
      <c r="C24" s="31">
        <v>-22500000</v>
      </c>
      <c r="D24" s="36"/>
      <c r="E24" s="36"/>
      <c r="F24" s="36"/>
      <c r="G24" s="36"/>
      <c r="H24" s="36"/>
      <c r="I24" s="36"/>
      <c r="J24" s="36"/>
      <c r="K24" s="36"/>
      <c r="L24" s="36"/>
      <c r="M24" s="36"/>
    </row>
    <row r="25" spans="1:14" ht="15.5">
      <c r="A25" s="37"/>
      <c r="B25" s="18" t="s">
        <v>15</v>
      </c>
      <c r="C25" s="31">
        <v>-984032</v>
      </c>
      <c r="D25" s="36"/>
      <c r="E25" s="36"/>
      <c r="F25" s="36"/>
      <c r="G25" s="36"/>
      <c r="H25" s="36"/>
      <c r="I25" s="36"/>
      <c r="J25" s="36"/>
      <c r="K25" s="36"/>
      <c r="L25" s="36"/>
      <c r="M25" s="36"/>
    </row>
    <row r="26" spans="1:14" ht="15.5">
      <c r="A26" s="37"/>
      <c r="B26" s="18" t="s">
        <v>12</v>
      </c>
      <c r="C26" s="19">
        <f>C19</f>
        <v>-85450</v>
      </c>
      <c r="D26" s="19">
        <f t="shared" ref="D26:M26" si="12">D19</f>
        <v>924686.75</v>
      </c>
      <c r="E26" s="19">
        <f t="shared" si="12"/>
        <v>2854290.3479999998</v>
      </c>
      <c r="F26" s="19">
        <f t="shared" si="12"/>
        <v>5075017.2719999999</v>
      </c>
      <c r="G26" s="19">
        <f t="shared" si="12"/>
        <v>6036086.3097600024</v>
      </c>
      <c r="H26" s="19">
        <f t="shared" si="12"/>
        <v>6277529.7621504012</v>
      </c>
      <c r="I26" s="19">
        <f t="shared" si="12"/>
        <v>6528630.952636417</v>
      </c>
      <c r="J26" s="19">
        <f t="shared" si="12"/>
        <v>6789776.1907418752</v>
      </c>
      <c r="K26" s="19">
        <f t="shared" si="12"/>
        <v>7061367.2383715501</v>
      </c>
      <c r="L26" s="19">
        <f t="shared" si="12"/>
        <v>7343821.9279064108</v>
      </c>
      <c r="M26" s="19">
        <f t="shared" si="12"/>
        <v>7637574.80502267</v>
      </c>
    </row>
    <row r="27" spans="1:14" ht="15.5">
      <c r="A27" s="37"/>
      <c r="B27" s="18" t="s">
        <v>29</v>
      </c>
      <c r="C27" s="21">
        <f>-C24</f>
        <v>22500000</v>
      </c>
      <c r="D27" s="21">
        <f>C27*(1.03)</f>
        <v>23175000</v>
      </c>
      <c r="E27" s="21">
        <f t="shared" ref="E27:L27" si="13">D27*(1.03)</f>
        <v>23870250</v>
      </c>
      <c r="F27" s="21">
        <f t="shared" si="13"/>
        <v>24586357.5</v>
      </c>
      <c r="G27" s="21">
        <f t="shared" si="13"/>
        <v>25323948.225000001</v>
      </c>
      <c r="H27" s="21">
        <f t="shared" si="13"/>
        <v>26083666.671750002</v>
      </c>
      <c r="I27" s="21">
        <f t="shared" si="13"/>
        <v>26866176.671902504</v>
      </c>
      <c r="J27" s="21">
        <f t="shared" si="13"/>
        <v>27672161.972059581</v>
      </c>
      <c r="K27" s="21">
        <f t="shared" si="13"/>
        <v>28502326.831221368</v>
      </c>
      <c r="L27" s="21">
        <f t="shared" si="13"/>
        <v>29357396.636158008</v>
      </c>
      <c r="M27" s="19">
        <f t="shared" ref="E27:M27" si="14">L27*(1.06)</f>
        <v>31118840.434327491</v>
      </c>
      <c r="N27" s="28"/>
    </row>
    <row r="28" spans="1:14" ht="15.5">
      <c r="A28" s="37"/>
      <c r="B28" s="37"/>
      <c r="C28" s="37"/>
      <c r="D28" s="37"/>
      <c r="E28" s="37"/>
      <c r="F28" s="37"/>
      <c r="G28" s="37"/>
      <c r="H28" s="37"/>
      <c r="I28" s="37"/>
      <c r="J28" s="37"/>
      <c r="K28" s="37"/>
      <c r="L28" s="37"/>
      <c r="M28" s="37"/>
    </row>
    <row r="29" spans="1:14" ht="15.5">
      <c r="A29" s="36"/>
      <c r="B29" s="18" t="s">
        <v>16</v>
      </c>
      <c r="C29" s="22">
        <f>C24+C25+C26</f>
        <v>-23569482</v>
      </c>
      <c r="D29" s="22">
        <f t="shared" ref="D29:L29" si="15">D24+D25+D26</f>
        <v>924686.75</v>
      </c>
      <c r="E29" s="22">
        <f t="shared" si="15"/>
        <v>2854290.3479999998</v>
      </c>
      <c r="F29" s="22">
        <f t="shared" si="15"/>
        <v>5075017.2719999999</v>
      </c>
      <c r="G29" s="22">
        <f t="shared" si="15"/>
        <v>6036086.3097600024</v>
      </c>
      <c r="H29" s="22">
        <f t="shared" si="15"/>
        <v>6277529.7621504012</v>
      </c>
      <c r="I29" s="22">
        <f t="shared" si="15"/>
        <v>6528630.952636417</v>
      </c>
      <c r="J29" s="22">
        <f t="shared" si="15"/>
        <v>6789776.1907418752</v>
      </c>
      <c r="K29" s="22">
        <f t="shared" si="15"/>
        <v>7061367.2383715501</v>
      </c>
      <c r="L29" s="22">
        <f t="shared" si="15"/>
        <v>7343821.9279064108</v>
      </c>
      <c r="M29" s="22">
        <f>M24+M25+M26+M27</f>
        <v>38756415.239350162</v>
      </c>
    </row>
    <row r="30" spans="1:14" ht="15.5">
      <c r="A30" s="36"/>
      <c r="B30" s="18" t="s">
        <v>17</v>
      </c>
      <c r="C30" s="22">
        <f>C29</f>
        <v>-23569482</v>
      </c>
      <c r="D30" s="22">
        <f>C30+D29</f>
        <v>-22644795.25</v>
      </c>
      <c r="E30" s="22">
        <f t="shared" ref="E30:M30" si="16">D30+E29</f>
        <v>-19790504.901999999</v>
      </c>
      <c r="F30" s="22">
        <f t="shared" si="16"/>
        <v>-14715487.629999999</v>
      </c>
      <c r="G30" s="22">
        <f t="shared" si="16"/>
        <v>-8679401.3202399965</v>
      </c>
      <c r="H30" s="22">
        <f t="shared" si="16"/>
        <v>-2401871.5580895953</v>
      </c>
      <c r="I30" s="22">
        <f t="shared" si="16"/>
        <v>4126759.3945468217</v>
      </c>
      <c r="J30" s="22">
        <f t="shared" si="16"/>
        <v>10916535.585288696</v>
      </c>
      <c r="K30" s="22">
        <f t="shared" si="16"/>
        <v>17977902.823660247</v>
      </c>
      <c r="L30" s="22">
        <f t="shared" si="16"/>
        <v>25321724.751566656</v>
      </c>
      <c r="M30" s="22">
        <f t="shared" si="16"/>
        <v>64078139.990916818</v>
      </c>
    </row>
    <row r="31" spans="1:14" ht="15.5">
      <c r="A31" s="36"/>
      <c r="B31" s="18" t="s">
        <v>18</v>
      </c>
      <c r="C31" s="23">
        <f>NPV(0.15,C29:M29)</f>
        <v>7524279.776316613</v>
      </c>
      <c r="D31" s="37"/>
      <c r="E31" s="37"/>
      <c r="F31" s="37"/>
      <c r="G31" s="37"/>
      <c r="H31" s="37"/>
      <c r="I31" s="37"/>
      <c r="J31" s="37"/>
      <c r="K31" s="37"/>
      <c r="L31" s="37"/>
      <c r="M31" s="37"/>
    </row>
    <row r="32" spans="1:14" ht="15.5">
      <c r="A32" s="36"/>
      <c r="B32" s="18" t="s">
        <v>19</v>
      </c>
      <c r="C32" s="24">
        <f>IRR(C29:M29)</f>
        <v>0.20775488531511965</v>
      </c>
      <c r="D32" s="37"/>
      <c r="E32" s="37"/>
      <c r="F32" s="37"/>
      <c r="G32" s="37"/>
      <c r="H32" s="37"/>
      <c r="I32" s="37"/>
      <c r="J32" s="37"/>
      <c r="K32" s="37"/>
      <c r="L32" s="37"/>
      <c r="M32" s="37"/>
    </row>
    <row r="33" spans="1:13" ht="15.5">
      <c r="A33" s="36"/>
      <c r="B33" s="18" t="s">
        <v>28</v>
      </c>
      <c r="C33" s="25">
        <f>AVERAGE(D33:M33)</f>
        <v>0.23983887960112713</v>
      </c>
      <c r="D33" s="26">
        <f>D26/-$C$29</f>
        <v>3.923237472932159E-2</v>
      </c>
      <c r="E33" s="26">
        <f t="shared" ref="E33:M33" si="17">E26/-$C$29</f>
        <v>0.12110110642227945</v>
      </c>
      <c r="F33" s="26">
        <f t="shared" si="17"/>
        <v>0.21532154469920042</v>
      </c>
      <c r="G33" s="26">
        <f t="shared" si="17"/>
        <v>0.2560975378992208</v>
      </c>
      <c r="H33" s="26">
        <f t="shared" si="17"/>
        <v>0.26634143941518956</v>
      </c>
      <c r="I33" s="26">
        <f t="shared" si="17"/>
        <v>0.27699509699179714</v>
      </c>
      <c r="J33" s="26">
        <f t="shared" si="17"/>
        <v>0.28807490087146909</v>
      </c>
      <c r="K33" s="26">
        <f t="shared" si="17"/>
        <v>0.29959789690632788</v>
      </c>
      <c r="L33" s="26">
        <f t="shared" si="17"/>
        <v>0.3115818127825809</v>
      </c>
      <c r="M33" s="26">
        <f t="shared" si="17"/>
        <v>0.32404508529388426</v>
      </c>
    </row>
    <row r="34" spans="1:13" ht="15.5">
      <c r="A34" s="36"/>
      <c r="B34" s="37"/>
      <c r="C34" s="37"/>
      <c r="D34" s="37"/>
      <c r="E34" s="37"/>
      <c r="F34" s="37"/>
      <c r="G34" s="37"/>
      <c r="H34" s="37"/>
      <c r="I34" s="37"/>
      <c r="J34" s="37"/>
      <c r="K34" s="37"/>
      <c r="L34" s="37"/>
      <c r="M34" s="37"/>
    </row>
    <row r="35" spans="1:13" ht="15.5">
      <c r="A35" s="2" t="s">
        <v>21</v>
      </c>
      <c r="B35" s="2"/>
      <c r="C35" s="2"/>
      <c r="D35" s="2"/>
      <c r="E35" s="2"/>
      <c r="F35" s="2"/>
      <c r="G35" s="2"/>
      <c r="H35" s="2"/>
      <c r="I35" s="2"/>
      <c r="J35" s="2"/>
      <c r="K35" s="2"/>
      <c r="L35" s="2"/>
      <c r="M35" s="2"/>
    </row>
    <row r="36" spans="1:13" ht="15.5">
      <c r="A36" s="36"/>
      <c r="B36" s="18"/>
      <c r="C36" s="25"/>
      <c r="D36" s="26"/>
      <c r="E36" s="26"/>
      <c r="F36" s="26"/>
      <c r="G36" s="26"/>
      <c r="H36" s="26"/>
      <c r="I36" s="26"/>
      <c r="J36" s="26"/>
      <c r="K36" s="26"/>
      <c r="L36" s="26"/>
      <c r="M36" s="26"/>
    </row>
    <row r="37" spans="1:13" ht="15.5">
      <c r="A37" s="36"/>
      <c r="B37" s="18" t="s">
        <v>22</v>
      </c>
      <c r="C37" s="27">
        <f>C16/C7</f>
        <v>1111.2630208333335</v>
      </c>
      <c r="D37" s="35" t="s">
        <v>27</v>
      </c>
      <c r="E37" s="35"/>
      <c r="F37" s="35"/>
      <c r="G37" s="35"/>
      <c r="H37" s="35"/>
      <c r="I37" s="35"/>
      <c r="J37" s="35"/>
      <c r="K37" s="35"/>
      <c r="L37" s="35"/>
      <c r="M37" s="35"/>
    </row>
    <row r="38" spans="1:13" ht="15.5">
      <c r="A38" s="36"/>
      <c r="B38" s="18" t="s">
        <v>23</v>
      </c>
      <c r="C38" s="19">
        <f>C16/C6</f>
        <v>2.66703125</v>
      </c>
      <c r="D38" s="19">
        <f t="shared" ref="D38:M38" si="18">D16/D6</f>
        <v>1.5849785714285716</v>
      </c>
      <c r="E38" s="19">
        <f t="shared" si="18"/>
        <v>1.2364599228461208</v>
      </c>
      <c r="F38" s="19">
        <f t="shared" si="18"/>
        <v>0.93751482499999994</v>
      </c>
      <c r="G38" s="19">
        <f t="shared" si="18"/>
        <v>0.89144266788571436</v>
      </c>
      <c r="H38" s="19">
        <f t="shared" si="18"/>
        <v>0.92710037460114281</v>
      </c>
      <c r="I38" s="19">
        <f t="shared" si="18"/>
        <v>0.96418438958518859</v>
      </c>
      <c r="J38" s="19">
        <f t="shared" si="18"/>
        <v>1.0027517651685962</v>
      </c>
      <c r="K38" s="19">
        <f t="shared" si="18"/>
        <v>1.0428618357753401</v>
      </c>
      <c r="L38" s="19">
        <f t="shared" si="18"/>
        <v>1.0845763092063538</v>
      </c>
      <c r="M38" s="19">
        <f t="shared" si="18"/>
        <v>1.127959361574608</v>
      </c>
    </row>
    <row r="39" spans="1:13" ht="15.5">
      <c r="A39" s="36"/>
      <c r="B39" s="18" t="s">
        <v>26</v>
      </c>
      <c r="C39" s="20">
        <f>AVERAGE(D39:M39)</f>
        <v>0.63188731972572132</v>
      </c>
      <c r="D39" s="20">
        <f t="shared" ref="D39:M39" si="19">D19/D8</f>
        <v>0.36499255952380955</v>
      </c>
      <c r="E39" s="20">
        <f t="shared" si="19"/>
        <v>0.52367637341048723</v>
      </c>
      <c r="F39" s="20">
        <f t="shared" si="19"/>
        <v>0.65273030598958337</v>
      </c>
      <c r="G39" s="20">
        <f t="shared" si="19"/>
        <v>0.68249627976190486</v>
      </c>
      <c r="H39" s="20">
        <f t="shared" si="19"/>
        <v>0.68249627976190486</v>
      </c>
      <c r="I39" s="20">
        <f t="shared" si="19"/>
        <v>0.68249627976190474</v>
      </c>
      <c r="J39" s="20">
        <f t="shared" si="19"/>
        <v>0.68249627976190486</v>
      </c>
      <c r="K39" s="20">
        <f t="shared" si="19"/>
        <v>0.68249627976190474</v>
      </c>
      <c r="L39" s="20">
        <f t="shared" si="19"/>
        <v>0.68249627976190474</v>
      </c>
      <c r="M39" s="20">
        <f t="shared" si="19"/>
        <v>0.68249627976190486</v>
      </c>
    </row>
    <row r="40" spans="1:13">
      <c r="A40" s="36"/>
    </row>
    <row r="70" spans="1:13" ht="207.75" customHeight="1">
      <c r="A70" s="33" t="s">
        <v>24</v>
      </c>
      <c r="B70" s="34"/>
      <c r="C70" s="34"/>
      <c r="D70" s="34"/>
      <c r="E70" s="34"/>
      <c r="F70" s="34"/>
      <c r="G70" s="34"/>
      <c r="H70" s="34"/>
      <c r="I70" s="34"/>
      <c r="J70" s="34"/>
      <c r="K70" s="34"/>
      <c r="L70" s="34"/>
      <c r="M70" s="34"/>
    </row>
  </sheetData>
  <mergeCells count="11">
    <mergeCell ref="C11:J11"/>
    <mergeCell ref="A70:M70"/>
    <mergeCell ref="D37:M37"/>
    <mergeCell ref="D23:M25"/>
    <mergeCell ref="A28:M28"/>
    <mergeCell ref="A23:A27"/>
    <mergeCell ref="A29:A34"/>
    <mergeCell ref="B34:M34"/>
    <mergeCell ref="D31:M32"/>
    <mergeCell ref="B23:C23"/>
    <mergeCell ref="A36:A40"/>
  </mergeCells>
  <pageMargins left="0.7" right="0.7" top="0.75" bottom="0.75" header="0.3" footer="0.3"/>
  <pageSetup scale="4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Bowie Pecan Quick Glance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2023-03-07T06:28:58Z</cp:lastPrinted>
  <dcterms:created xsi:type="dcterms:W3CDTF">2023-03-04T05:19:58Z</dcterms:created>
  <dcterms:modified xsi:type="dcterms:W3CDTF">2023-03-08T16:55:14Z</dcterms:modified>
</cp:coreProperties>
</file>