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piotr\OneDrive\Pulpit\GitHub_modele\"/>
    </mc:Choice>
  </mc:AlternateContent>
  <xr:revisionPtr revIDLastSave="0" documentId="13_ncr:1_{18B07A52-0ED1-4C0E-9514-33E39AF8925A}" xr6:coauthVersionLast="47" xr6:coauthVersionMax="47" xr10:uidLastSave="{00000000-0000-0000-0000-000000000000}"/>
  <bookViews>
    <workbookView xWindow="384" yWindow="384" windowWidth="18408" windowHeight="11664" tabRatio="901" activeTab="3" xr2:uid="{00000000-000D-0000-FFFF-FFFF00000000}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8" i="132" l="1"/>
  <c r="F8" i="136"/>
  <c r="H8" i="136" s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F9" i="136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11" i="132" l="1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D9" i="136" l="1"/>
  <c r="E9" i="136"/>
  <c r="C9" i="136"/>
  <c r="B9" i="136"/>
  <c r="C8" i="136"/>
  <c r="B8" i="136"/>
  <c r="E13" i="132"/>
  <c r="E9" i="132"/>
  <c r="E12" i="132"/>
  <c r="E9" i="129"/>
  <c r="E8" i="129"/>
  <c r="C11" i="132"/>
  <c r="B11" i="132"/>
  <c r="E8" i="137"/>
  <c r="C8" i="137"/>
  <c r="B8" i="137"/>
  <c r="E8" i="136"/>
  <c r="D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 xr:uid="{FEC38342-FAFB-468E-B86C-E896F94E4F07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Produkcja energii elektrycznej netto w pełnej kondensacji</t>
      </text>
    </comment>
    <comment ref="AA5" authorId="2" shapeId="0" xr:uid="{00000000-0006-0000-0500-000003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<sst xmlns="http://schemas.openxmlformats.org/spreadsheetml/2006/main" count="665" uniqueCount="311">
  <si>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</si>
  <si>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</si>
  <si>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</si>
  <si>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</si>
  <si>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</si>
  <si>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</si>
  <si>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</si>
  <si>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</si>
  <si>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</si>
  <si>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</si>
  <si>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</si>
  <si>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</si>
  <si>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</si>
  <si>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</si>
  <si>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</si>
  <si>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</si>
  <si>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</si>
  <si>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</si>
  <si>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</si>
  <si>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</si>
  <si>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</si>
  <si>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</si>
  <si>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</si>
  <si>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</si>
  <si>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</si>
  <si>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</si>
  <si>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</si>
  <si>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</si>
  <si>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</si>
  <si>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</si>
  <si>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</si>
  <si>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</si>
  <si>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</si>
  <si>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</si>
  <si>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</si>
  <si>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</si>
  <si>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</si>
  <si>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</si>
  <si>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</si>
  <si>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</si>
  <si>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</si>
  <si>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</si>
  <si>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</si>
  <si>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</si>
  <si>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</si>
  <si>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</si>
  <si>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</si>
  <si>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</si>
  <si>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</si>
  <si>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</si>
  <si>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</si>
  <si>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</si>
  <si>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</si>
  <si>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</si>
  <si>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</si>
  <si>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</si>
  <si>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</si>
  <si>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</si>
  <si>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</si>
  <si>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</si>
  <si>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</si>
  <si>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</si>
  <si>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</si>
  <si>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</si>
  <si>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</si>
  <si>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</si>
  <si>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</si>
  <si>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</si>
  <si>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</si>
  <si>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</si>
  <si>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</si>
  <si>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</si>
  <si>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</si>
  <si>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</si>
  <si>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</si>
  <si>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</si>
  <si>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</si>
  <si>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</si>
  <si>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</si>
  <si>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</si>
  <si>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</si>
  <si>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</si>
  <si>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</si>
  <si>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</si>
  <si>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</si>
  <si>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</si>
  <si>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</si>
  <si>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</si>
  <si>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</si>
  <si>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</si>
  <si>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</si>
  <si>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</si>
  <si>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</si>
  <si>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</si>
  <si>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</si>
  <si>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</si>
  <si>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</si>
  <si>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</si>
  <si>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</si>
  <si>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</si>
  <si>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</si>
  <si>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</si>
  <si>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</si>
  <si>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</si>
  <si>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</si>
  <si>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</si>
  <si>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</si>
  <si>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TRANSF_HV-LV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</si>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</sst>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0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3" fillId="0" borderId="0"/>
    <xf numFmtId="9" fontId="36" fillId="0" borderId="0" applyFont="0" applyFill="0" applyBorder="0" applyAlignment="0" applyProtection="0"/>
    <xf numFmtId="0" fontId="25" fillId="0" borderId="0"/>
    <xf numFmtId="0" fontId="26" fillId="0" borderId="0"/>
  </cellStyleXfs>
  <cellXfs count="312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3" fillId="5" borderId="99" xfId="7" applyFill="1" applyBorder="1"/>
    <xf numFmtId="0" fontId="39" fillId="5" borderId="87" xfId="7" applyFont="1" applyFill="1" applyBorder="1"/>
    <xf numFmtId="0" fontId="23" fillId="5" borderId="98" xfId="7" applyFill="1" applyBorder="1"/>
    <xf numFmtId="3" fontId="23" fillId="5" borderId="63" xfId="7" applyNumberFormat="1" applyFill="1" applyBorder="1"/>
    <xf numFmtId="0" fontId="23" fillId="5" borderId="97" xfId="7" applyFill="1" applyBorder="1"/>
    <xf numFmtId="0" fontId="39" fillId="5" borderId="96" xfId="7" applyFont="1" applyFill="1" applyBorder="1"/>
    <xf numFmtId="0" fontId="23" fillId="5" borderId="93" xfId="7" applyFill="1" applyBorder="1"/>
    <xf numFmtId="0" fontId="23" fillId="5" borderId="95" xfId="7" applyFill="1" applyBorder="1"/>
    <xf numFmtId="0" fontId="23" fillId="5" borderId="87" xfId="7" applyFill="1" applyBorder="1"/>
    <xf numFmtId="0" fontId="39" fillId="5" borderId="94" xfId="7" applyFont="1" applyFill="1" applyBorder="1"/>
    <xf numFmtId="3" fontId="15" fillId="5" borderId="87" xfId="5" applyNumberFormat="1" applyFill="1" applyBorder="1"/>
    <xf numFmtId="3" fontId="23" fillId="5" borderId="93" xfId="7" applyNumberFormat="1" applyFill="1" applyBorder="1"/>
    <xf numFmtId="0" fontId="39" fillId="5" borderId="0" xfId="7" applyFont="1" applyFill="1" applyAlignment="1">
      <alignment horizontal="right"/>
    </xf>
    <xf numFmtId="3" fontId="23" fillId="5" borderId="43" xfId="7" applyNumberFormat="1" applyFill="1" applyBorder="1"/>
    <xf numFmtId="0" fontId="23" fillId="5" borderId="92" xfId="7" applyFill="1" applyBorder="1"/>
    <xf numFmtId="0" fontId="23" fillId="5" borderId="77" xfId="7" applyFill="1" applyBorder="1"/>
    <xf numFmtId="0" fontId="23" fillId="5" borderId="91" xfId="7" applyFill="1" applyBorder="1"/>
    <xf numFmtId="0" fontId="23" fillId="5" borderId="69" xfId="7" applyFill="1" applyBorder="1"/>
    <xf numFmtId="0" fontId="23" fillId="5" borderId="90" xfId="7" applyFill="1" applyBorder="1"/>
    <xf numFmtId="0" fontId="23" fillId="5" borderId="60" xfId="7" applyFill="1" applyBorder="1"/>
    <xf numFmtId="0" fontId="39" fillId="5" borderId="59" xfId="7" applyFont="1" applyFill="1" applyBorder="1" applyAlignment="1">
      <alignment horizontal="right"/>
    </xf>
    <xf numFmtId="0" fontId="39" fillId="5" borderId="59" xfId="7" applyFont="1" applyFill="1" applyBorder="1"/>
    <xf numFmtId="0" fontId="23" fillId="5" borderId="89" xfId="7" applyFill="1" applyBorder="1"/>
    <xf numFmtId="3" fontId="23" fillId="5" borderId="88" xfId="7" applyNumberFormat="1" applyFill="1" applyBorder="1"/>
    <xf numFmtId="0" fontId="39" fillId="21" borderId="87" xfId="5" applyFont="1" applyFill="1" applyBorder="1"/>
    <xf numFmtId="0" fontId="39" fillId="5" borderId="87" xfId="7" applyFont="1" applyFill="1" applyBorder="1" applyAlignment="1">
      <alignment horizontal="right"/>
    </xf>
    <xf numFmtId="0" fontId="23" fillId="5" borderId="86" xfId="7" applyFill="1" applyBorder="1"/>
    <xf numFmtId="3" fontId="23" fillId="5" borderId="85" xfId="7" applyNumberFormat="1" applyFill="1" applyBorder="1"/>
    <xf numFmtId="0" fontId="39" fillId="5" borderId="77" xfId="7" applyFont="1" applyFill="1" applyBorder="1"/>
    <xf numFmtId="3" fontId="23" fillId="5" borderId="84" xfId="7" applyNumberFormat="1" applyFill="1" applyBorder="1"/>
    <xf numFmtId="3" fontId="23" fillId="5" borderId="83" xfId="7" applyNumberFormat="1" applyFill="1" applyBorder="1"/>
    <xf numFmtId="0" fontId="23" fillId="5" borderId="82" xfId="7" applyFill="1" applyBorder="1"/>
    <xf numFmtId="0" fontId="23" fillId="5" borderId="81" xfId="7" applyFill="1" applyBorder="1"/>
    <xf numFmtId="0" fontId="23" fillId="5" borderId="80" xfId="7" applyFill="1" applyBorder="1"/>
    <xf numFmtId="0" fontId="23" fillId="5" borderId="79" xfId="7" applyFill="1" applyBorder="1"/>
    <xf numFmtId="3" fontId="23" fillId="5" borderId="78" xfId="7" applyNumberFormat="1" applyFill="1" applyBorder="1"/>
    <xf numFmtId="0" fontId="39" fillId="20" borderId="77" xfId="5" applyFont="1" applyFill="1" applyBorder="1"/>
    <xf numFmtId="0" fontId="39" fillId="5" borderId="77" xfId="7" applyFont="1" applyFill="1" applyBorder="1" applyAlignment="1">
      <alignment horizontal="right"/>
    </xf>
    <xf numFmtId="0" fontId="23" fillId="5" borderId="76" xfId="7" applyFill="1" applyBorder="1"/>
    <xf numFmtId="0" fontId="23" fillId="5" borderId="75" xfId="7" applyFill="1" applyBorder="1"/>
    <xf numFmtId="0" fontId="23" fillId="5" borderId="74" xfId="7" applyFill="1" applyBorder="1"/>
    <xf numFmtId="0" fontId="23" fillId="5" borderId="73" xfId="7" applyFill="1" applyBorder="1"/>
    <xf numFmtId="0" fontId="23" fillId="5" borderId="72" xfId="7" applyFill="1" applyBorder="1"/>
    <xf numFmtId="0" fontId="23" fillId="5" borderId="71" xfId="7" applyFill="1" applyBorder="1"/>
    <xf numFmtId="0" fontId="23" fillId="5" borderId="70" xfId="7" applyFill="1" applyBorder="1"/>
    <xf numFmtId="0" fontId="23" fillId="7" borderId="0" xfId="7" applyFill="1"/>
    <xf numFmtId="0" fontId="39" fillId="5" borderId="0" xfId="7" applyFont="1" applyFill="1"/>
    <xf numFmtId="3" fontId="23" fillId="5" borderId="69" xfId="7" applyNumberFormat="1" applyFill="1" applyBorder="1"/>
    <xf numFmtId="0" fontId="39" fillId="5" borderId="56" xfId="7" applyFont="1" applyFill="1" applyBorder="1" applyAlignment="1">
      <alignment horizontal="right"/>
    </xf>
    <xf numFmtId="0" fontId="23" fillId="5" borderId="68" xfId="7" applyFill="1" applyBorder="1"/>
    <xf numFmtId="0" fontId="23" fillId="5" borderId="67" xfId="7" applyFill="1" applyBorder="1"/>
    <xf numFmtId="3" fontId="23" fillId="5" borderId="66" xfId="7" applyNumberFormat="1" applyFill="1" applyBorder="1"/>
    <xf numFmtId="0" fontId="39" fillId="5" borderId="43" xfId="7" applyFont="1" applyFill="1" applyBorder="1" applyAlignment="1">
      <alignment horizontal="right"/>
    </xf>
    <xf numFmtId="0" fontId="23" fillId="5" borderId="65" xfId="7" applyFill="1" applyBorder="1"/>
    <xf numFmtId="0" fontId="23" fillId="5" borderId="64" xfId="7" applyFill="1" applyBorder="1"/>
    <xf numFmtId="0" fontId="23" fillId="5" borderId="63" xfId="7" applyFill="1" applyBorder="1"/>
    <xf numFmtId="0" fontId="23" fillId="5" borderId="62" xfId="7" applyFill="1" applyBorder="1"/>
    <xf numFmtId="0" fontId="23" fillId="5" borderId="61" xfId="7" applyFill="1" applyBorder="1"/>
    <xf numFmtId="0" fontId="39" fillId="5" borderId="60" xfId="7" applyFont="1" applyFill="1" applyBorder="1"/>
    <xf numFmtId="0" fontId="39" fillId="19" borderId="59" xfId="7" applyFont="1" applyFill="1" applyBorder="1"/>
    <xf numFmtId="0" fontId="23" fillId="5" borderId="58" xfId="7" applyFill="1" applyBorder="1"/>
    <xf numFmtId="3" fontId="23" fillId="5" borderId="57" xfId="7" applyNumberFormat="1" applyFill="1" applyBorder="1"/>
    <xf numFmtId="0" fontId="23" fillId="5" borderId="56" xfId="7" applyFill="1" applyBorder="1"/>
    <xf numFmtId="0" fontId="39" fillId="5" borderId="56" xfId="7" applyFont="1" applyFill="1" applyBorder="1"/>
    <xf numFmtId="0" fontId="39" fillId="18" borderId="56" xfId="5" applyFont="1" applyFill="1" applyBorder="1"/>
    <xf numFmtId="3" fontId="23" fillId="5" borderId="55" xfId="7" applyNumberFormat="1" applyFill="1" applyBorder="1"/>
    <xf numFmtId="3" fontId="23" fillId="5" borderId="31" xfId="7" applyNumberFormat="1" applyFill="1" applyBorder="1"/>
    <xf numFmtId="0" fontId="39" fillId="5" borderId="54" xfId="7" applyFont="1" applyFill="1" applyBorder="1" applyAlignment="1">
      <alignment horizontal="right"/>
    </xf>
    <xf numFmtId="0" fontId="39" fillId="5" borderId="53" xfId="7" applyFont="1" applyFill="1" applyBorder="1"/>
    <xf numFmtId="0" fontId="23" fillId="5" borderId="52" xfId="7" applyFill="1" applyBorder="1"/>
    <xf numFmtId="0" fontId="23" fillId="5" borderId="51" xfId="7" applyFill="1" applyBorder="1"/>
    <xf numFmtId="0" fontId="23" fillId="5" borderId="50" xfId="7" applyFill="1" applyBorder="1"/>
    <xf numFmtId="0" fontId="23" fillId="5" borderId="49" xfId="7" applyFill="1" applyBorder="1"/>
    <xf numFmtId="0" fontId="23" fillId="5" borderId="48" xfId="7" applyFill="1" applyBorder="1"/>
    <xf numFmtId="3" fontId="23" fillId="5" borderId="0" xfId="7" applyNumberFormat="1" applyFill="1"/>
    <xf numFmtId="3" fontId="23" fillId="5" borderId="47" xfId="7" applyNumberFormat="1" applyFill="1" applyBorder="1"/>
    <xf numFmtId="0" fontId="23" fillId="5" borderId="46" xfId="7" applyFill="1" applyBorder="1"/>
    <xf numFmtId="0" fontId="23" fillId="5" borderId="45" xfId="7" applyFill="1" applyBorder="1"/>
    <xf numFmtId="0" fontId="23" fillId="5" borderId="43" xfId="7" applyFill="1" applyBorder="1"/>
    <xf numFmtId="0" fontId="39" fillId="5" borderId="44" xfId="7" applyFont="1" applyFill="1" applyBorder="1"/>
    <xf numFmtId="0" fontId="39" fillId="17" borderId="43" xfId="7" applyFont="1" applyFill="1" applyBorder="1"/>
    <xf numFmtId="169" fontId="23" fillId="5" borderId="43" xfId="6" applyNumberFormat="1" applyFont="1" applyFill="1" applyBorder="1"/>
    <xf numFmtId="0" fontId="23" fillId="5" borderId="42" xfId="7" applyFill="1" applyBorder="1"/>
    <xf numFmtId="0" fontId="23" fillId="5" borderId="41" xfId="7" applyFill="1" applyBorder="1"/>
    <xf numFmtId="0" fontId="23" fillId="5" borderId="40" xfId="7" applyFill="1" applyBorder="1"/>
    <xf numFmtId="0" fontId="23" fillId="5" borderId="39" xfId="7" applyFill="1" applyBorder="1"/>
    <xf numFmtId="0" fontId="23" fillId="5" borderId="37" xfId="7" applyFill="1" applyBorder="1"/>
    <xf numFmtId="0" fontId="23" fillId="5" borderId="38" xfId="7" applyFill="1" applyBorder="1"/>
    <xf numFmtId="0" fontId="15" fillId="5" borderId="37" xfId="5" applyFill="1" applyBorder="1"/>
    <xf numFmtId="0" fontId="15" fillId="5" borderId="0" xfId="5" applyFill="1"/>
    <xf numFmtId="0" fontId="39" fillId="5" borderId="0" xfId="7" applyFont="1" applyFill="1" applyAlignment="1">
      <alignment wrapText="1"/>
    </xf>
    <xf numFmtId="0" fontId="23" fillId="5" borderId="36" xfId="7" applyFill="1" applyBorder="1"/>
    <xf numFmtId="169" fontId="23" fillId="5" borderId="0" xfId="6" applyNumberFormat="1" applyFont="1" applyFill="1" applyBorder="1"/>
    <xf numFmtId="0" fontId="23" fillId="5" borderId="35" xfId="7" applyFill="1" applyBorder="1"/>
    <xf numFmtId="0" fontId="39" fillId="5" borderId="0" xfId="7" applyFont="1" applyFill="1" applyAlignment="1">
      <alignment vertical="center"/>
    </xf>
    <xf numFmtId="0" fontId="23" fillId="5" borderId="34" xfId="7" applyFill="1" applyBorder="1"/>
    <xf numFmtId="3" fontId="23" fillId="5" borderId="33" xfId="7" applyNumberFormat="1" applyFill="1" applyBorder="1"/>
    <xf numFmtId="0" fontId="39" fillId="5" borderId="31" xfId="7" applyFont="1" applyFill="1" applyBorder="1" applyAlignment="1">
      <alignment horizontal="right"/>
    </xf>
    <xf numFmtId="0" fontId="23" fillId="5" borderId="31" xfId="7" applyFill="1" applyBorder="1"/>
    <xf numFmtId="0" fontId="39" fillId="5" borderId="32" xfId="7" applyFont="1" applyFill="1" applyBorder="1"/>
    <xf numFmtId="0" fontId="39" fillId="16" borderId="31" xfId="5" applyFont="1" applyFill="1" applyBorder="1"/>
    <xf numFmtId="0" fontId="15" fillId="5" borderId="31" xfId="5" applyFill="1" applyBorder="1"/>
    <xf numFmtId="3" fontId="23" fillId="5" borderId="30" xfId="7" applyNumberFormat="1" applyFill="1" applyBorder="1"/>
    <xf numFmtId="0" fontId="39" fillId="5" borderId="30" xfId="7" applyFont="1" applyFill="1" applyBorder="1" applyAlignment="1">
      <alignment horizontal="right"/>
    </xf>
    <xf numFmtId="0" fontId="23" fillId="5" borderId="30" xfId="7" applyFill="1" applyBorder="1"/>
    <xf numFmtId="0" fontId="39" fillId="5" borderId="30" xfId="7" applyFont="1" applyFill="1" applyBorder="1"/>
    <xf numFmtId="0" fontId="39" fillId="15" borderId="30" xfId="7" applyFont="1" applyFill="1" applyBorder="1"/>
    <xf numFmtId="169" fontId="23" fillId="5" borderId="30" xfId="6" applyNumberFormat="1" applyFont="1" applyFill="1" applyBorder="1"/>
    <xf numFmtId="0" fontId="23" fillId="5" borderId="29" xfId="7" applyFill="1" applyBorder="1"/>
    <xf numFmtId="0" fontId="23" fillId="5" borderId="28" xfId="7" applyFill="1" applyBorder="1"/>
    <xf numFmtId="0" fontId="23" fillId="5" borderId="27" xfId="7" applyFill="1" applyBorder="1"/>
    <xf numFmtId="0" fontId="38" fillId="5" borderId="0" xfId="7" applyFont="1" applyFill="1"/>
    <xf numFmtId="0" fontId="23" fillId="5" borderId="0" xfId="7" applyFill="1"/>
    <xf numFmtId="0" fontId="37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1" fillId="13" borderId="24" xfId="0" applyNumberFormat="1" applyFont="1" applyFill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/>
    </xf>
    <xf numFmtId="166" fontId="21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2" fillId="0" borderId="0" xfId="0" applyFont="1"/>
    <xf numFmtId="0" fontId="20" fillId="0" borderId="0" xfId="0" applyFont="1" applyAlignment="1">
      <alignment wrapText="1"/>
    </xf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1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2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4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4" fillId="5" borderId="0" xfId="0" applyNumberFormat="1" applyFont="1" applyFill="1"/>
    <xf numFmtId="0" fontId="21" fillId="0" borderId="0" xfId="4" applyFont="1"/>
    <xf numFmtId="0" fontId="28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4" fillId="7" borderId="0" xfId="0" applyFont="1" applyFill="1"/>
    <xf numFmtId="164" fontId="24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4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30" fillId="0" borderId="1" xfId="9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6" fillId="0" borderId="0" xfId="0" applyFont="1"/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/>
    </xf>
    <xf numFmtId="0" fontId="27" fillId="0" borderId="10" xfId="10" applyFont="1" applyBorder="1" applyAlignment="1">
      <alignment horizontal="left" vertical="center"/>
    </xf>
    <xf numFmtId="167" fontId="30" fillId="0" borderId="11" xfId="9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167" fontId="30" fillId="0" borderId="2" xfId="9" applyNumberFormat="1" applyFont="1" applyBorder="1" applyAlignment="1">
      <alignment horizontal="center" vertical="center"/>
    </xf>
    <xf numFmtId="167" fontId="27" fillId="0" borderId="2" xfId="9" applyNumberFormat="1" applyFont="1" applyBorder="1" applyAlignment="1">
      <alignment horizontal="center" vertical="center"/>
    </xf>
    <xf numFmtId="167" fontId="30" fillId="0" borderId="13" xfId="9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0" fillId="0" borderId="10" xfId="0" applyFont="1" applyBorder="1"/>
    <xf numFmtId="164" fontId="30" fillId="0" borderId="11" xfId="0" applyNumberFormat="1" applyFont="1" applyBorder="1" applyAlignment="1">
      <alignment horizontal="center" vertical="center"/>
    </xf>
    <xf numFmtId="0" fontId="30" fillId="0" borderId="12" xfId="0" applyFont="1" applyBorder="1"/>
    <xf numFmtId="0" fontId="30" fillId="0" borderId="2" xfId="0" applyFont="1" applyBorder="1" applyAlignment="1">
      <alignment horizontal="center"/>
    </xf>
    <xf numFmtId="164" fontId="30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8" fontId="30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1" fillId="5" borderId="0" xfId="0" applyNumberFormat="1" applyFont="1" applyFill="1"/>
    <xf numFmtId="2" fontId="31" fillId="5" borderId="0" xfId="0" applyNumberFormat="1" applyFont="1" applyFill="1"/>
    <xf numFmtId="0" fontId="31" fillId="5" borderId="0" xfId="0" applyFont="1" applyFill="1"/>
    <xf numFmtId="0" fontId="31" fillId="7" borderId="0" xfId="0" applyFont="1" applyFill="1"/>
    <xf numFmtId="164" fontId="31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1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7" borderId="0" xfId="0" applyNumberFormat="1" applyFill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1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1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4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7" fillId="0" borderId="15" xfId="10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30" fillId="0" borderId="15" xfId="0" applyFont="1" applyBorder="1"/>
    <xf numFmtId="0" fontId="30" fillId="0" borderId="16" xfId="0" applyFont="1" applyBorder="1"/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35" fillId="0" borderId="0" xfId="0" applyFont="1"/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33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/>
    </xf>
    <xf numFmtId="3" fontId="23" fillId="5" borderId="0" xfId="7" applyNumberFormat="1" applyFill="1" applyAlignment="1">
      <alignment horizontal="right"/>
    </xf>
    <xf numFmtId="169" fontId="23" fillId="5" borderId="0" xfId="6" applyNumberFormat="1" applyFont="1" applyFill="1" applyAlignment="1">
      <alignment horizontal="right"/>
    </xf>
  </cellXfs>
  <cellStyles count="11">
    <cellStyle name="Normal 10" xfId="1" xr:uid="{00000000-0005-0000-0000-000016030000}"/>
    <cellStyle name="Normal 2" xfId="5" xr:uid="{A7260F85-B5B3-45B4-BDA7-1B7692316576}"/>
    <cellStyle name="Normal 3" xfId="2" xr:uid="{00000000-0005-0000-0000-00001B030000}"/>
    <cellStyle name="Normal 4" xfId="3" xr:uid="{00000000-0005-0000-0000-00001F030000}"/>
    <cellStyle name="Normalny" xfId="0" builtinId="0"/>
    <cellStyle name="Normalny 2" xfId="4" xr:uid="{00000000-0005-0000-0000-000091030000}"/>
    <cellStyle name="Normalny 43" xfId="7" xr:uid="{25509E4F-049A-4BCD-9F3D-F29DF0A232D3}"/>
    <cellStyle name="Normalny_S301-339-05" xfId="9" xr:uid="{00000000-0005-0000-0000-00009D030000}"/>
    <cellStyle name="Normalny_T206" xfId="10" xr:uid="{00000000-0005-0000-0000-00009E030000}"/>
    <cellStyle name="Per cent 2" xfId="6" xr:uid="{16AEAEF0-BCF7-4E92-A003-70F2F7EBC894}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P50"/>
  <sheetViews>
    <sheetView topLeftCell="B3" zoomScale="130" zoomScaleNormal="130" workbookViewId="0">
      <selection activeCell="C13" sqref="C13"/>
    </sheetView>
  </sheetViews>
  <sheetFormatPr defaultRowHeight="13.2" x14ac:dyDescent="0.25"/>
  <cols>
    <col min="1" max="1" width="2.88671875" customWidth="1"/>
    <col min="2" max="2" width="36.5546875" customWidth="1"/>
    <col min="3" max="3" width="49.44140625" customWidth="1"/>
    <col min="4" max="4" width="15" customWidth="1"/>
    <col min="5" max="5" width="14.88671875" customWidth="1"/>
    <col min="6" max="6" width="10.6640625" customWidth="1"/>
    <col min="7" max="7" width="10" customWidth="1"/>
    <col min="8" max="8" width="12" customWidth="1"/>
    <col min="9" max="9" width="11" customWidth="1"/>
    <col min="10" max="10" width="10.5546875" customWidth="1"/>
  </cols>
  <sheetData>
    <row r="2" spans="2:10" ht="15" x14ac:dyDescent="0.25">
      <c r="B2" s="188" t="s">
        <v>266</v>
      </c>
      <c r="C2" s="188"/>
    </row>
    <row r="4" spans="2:10" x14ac:dyDescent="0.25">
      <c r="B4" s="209" t="s">
        <v>238</v>
      </c>
      <c r="C4" s="209"/>
    </row>
    <row r="5" spans="2:10" ht="13.8" thickBot="1" x14ac:dyDescent="0.3">
      <c r="B5" s="209" t="s">
        <v>239</v>
      </c>
      <c r="C5" s="209"/>
    </row>
    <row r="6" spans="2:10" ht="52.8" x14ac:dyDescent="0.25">
      <c r="B6" s="296" t="s">
        <v>0</v>
      </c>
      <c r="C6" s="299" t="s">
        <v>223</v>
      </c>
      <c r="D6" s="212" t="s">
        <v>1</v>
      </c>
      <c r="E6" s="212" t="s">
        <v>2</v>
      </c>
      <c r="F6" s="212" t="s">
        <v>3</v>
      </c>
      <c r="G6" s="212" t="s">
        <v>4</v>
      </c>
      <c r="H6" s="212" t="s">
        <v>5</v>
      </c>
      <c r="I6" s="212" t="s">
        <v>4</v>
      </c>
      <c r="J6" s="213" t="s">
        <v>5</v>
      </c>
    </row>
    <row r="7" spans="2:10" ht="52.8" x14ac:dyDescent="0.25">
      <c r="B7" s="297"/>
      <c r="C7" s="300"/>
      <c r="D7" s="139" t="s">
        <v>224</v>
      </c>
      <c r="E7" s="139" t="s">
        <v>225</v>
      </c>
      <c r="F7" s="139" t="s">
        <v>226</v>
      </c>
      <c r="G7" s="139" t="s">
        <v>227</v>
      </c>
      <c r="H7" s="139" t="s">
        <v>228</v>
      </c>
      <c r="I7" s="139" t="s">
        <v>227</v>
      </c>
      <c r="J7" s="139" t="s">
        <v>228</v>
      </c>
    </row>
    <row r="8" spans="2:10" ht="15.6" x14ac:dyDescent="0.25">
      <c r="B8" s="298"/>
      <c r="C8" s="301"/>
      <c r="D8" s="208" t="s">
        <v>6</v>
      </c>
      <c r="E8" s="208" t="s">
        <v>7</v>
      </c>
      <c r="F8" s="208" t="s">
        <v>8</v>
      </c>
      <c r="G8" s="208" t="s">
        <v>63</v>
      </c>
      <c r="H8" s="208" t="s">
        <v>9</v>
      </c>
      <c r="I8" s="208" t="s">
        <v>10</v>
      </c>
      <c r="J8" s="214" t="s">
        <v>11</v>
      </c>
    </row>
    <row r="9" spans="2:10" ht="15.6" x14ac:dyDescent="0.25">
      <c r="B9" s="215" t="s">
        <v>12</v>
      </c>
      <c r="C9" s="284" t="s">
        <v>229</v>
      </c>
      <c r="D9" s="207">
        <v>17023.8</v>
      </c>
      <c r="E9" s="207">
        <v>47860</v>
      </c>
      <c r="F9" s="207"/>
      <c r="G9" s="207">
        <v>20996.9</v>
      </c>
      <c r="H9" s="207">
        <v>21688.2</v>
      </c>
      <c r="I9" s="207"/>
      <c r="J9" s="216"/>
    </row>
    <row r="10" spans="2:10" ht="15.6" x14ac:dyDescent="0.25">
      <c r="B10" s="215" t="s">
        <v>13</v>
      </c>
      <c r="C10" s="284" t="s">
        <v>230</v>
      </c>
      <c r="D10" s="207">
        <v>7391.2</v>
      </c>
      <c r="E10" s="207">
        <v>34351.700000000004</v>
      </c>
      <c r="F10" s="207"/>
      <c r="G10" s="207">
        <v>45266.6</v>
      </c>
      <c r="H10" s="207">
        <v>7935.8</v>
      </c>
      <c r="I10" s="207"/>
      <c r="J10" s="216"/>
    </row>
    <row r="11" spans="2:10" ht="15.6" x14ac:dyDescent="0.25">
      <c r="B11" s="215" t="s">
        <v>14</v>
      </c>
      <c r="C11" s="284" t="s">
        <v>231</v>
      </c>
      <c r="D11" s="207">
        <v>4094.6000000000022</v>
      </c>
      <c r="E11" s="207">
        <v>16259.8</v>
      </c>
      <c r="F11" s="207">
        <v>137017.29999999999</v>
      </c>
      <c r="G11" s="207">
        <v>11204.8</v>
      </c>
      <c r="H11" s="207">
        <v>21089.599999999999</v>
      </c>
      <c r="I11" s="207"/>
      <c r="J11" s="216"/>
    </row>
    <row r="12" spans="2:10" ht="15.6" x14ac:dyDescent="0.25">
      <c r="B12" s="215" t="s">
        <v>15</v>
      </c>
      <c r="C12" s="284" t="s">
        <v>232</v>
      </c>
      <c r="D12" s="207">
        <v>1656.5</v>
      </c>
      <c r="E12" s="207">
        <v>7464.6</v>
      </c>
      <c r="F12" s="207">
        <v>17571.3</v>
      </c>
      <c r="G12" s="207"/>
      <c r="H12" s="207"/>
      <c r="I12" s="207">
        <v>2109.5030000000002</v>
      </c>
      <c r="J12" s="216">
        <v>32467</v>
      </c>
    </row>
    <row r="13" spans="2:10" ht="15.6" x14ac:dyDescent="0.25">
      <c r="B13" s="215" t="s">
        <v>16</v>
      </c>
      <c r="C13" s="284" t="s">
        <v>233</v>
      </c>
      <c r="D13" s="207">
        <v>6227.6934486274804</v>
      </c>
      <c r="E13" s="207">
        <v>15623.048922000018</v>
      </c>
      <c r="F13" s="207"/>
      <c r="G13" s="207"/>
      <c r="H13" s="207"/>
      <c r="I13" s="207"/>
      <c r="J13" s="216"/>
    </row>
    <row r="14" spans="2:10" ht="15.6" x14ac:dyDescent="0.25">
      <c r="B14" s="215" t="s">
        <v>17</v>
      </c>
      <c r="C14" s="284" t="s">
        <v>234</v>
      </c>
      <c r="D14" s="207">
        <v>3954.96</v>
      </c>
      <c r="E14" s="207">
        <v>1957.92</v>
      </c>
      <c r="F14" s="207"/>
      <c r="G14" s="207"/>
      <c r="H14" s="207"/>
      <c r="I14" s="207"/>
      <c r="J14" s="216"/>
    </row>
    <row r="15" spans="2:10" ht="15.6" x14ac:dyDescent="0.25">
      <c r="B15" s="217" t="s">
        <v>18</v>
      </c>
      <c r="C15" s="285" t="s">
        <v>235</v>
      </c>
      <c r="D15" s="229">
        <v>19.806000000000001</v>
      </c>
      <c r="E15" s="207"/>
      <c r="F15" s="207">
        <v>81695</v>
      </c>
      <c r="G15" s="207">
        <v>4227</v>
      </c>
      <c r="H15" s="207">
        <v>22840</v>
      </c>
      <c r="I15" s="207"/>
      <c r="J15" s="216"/>
    </row>
    <row r="16" spans="2:10" ht="13.8" thickBot="1" x14ac:dyDescent="0.3">
      <c r="B16" s="218" t="s">
        <v>19</v>
      </c>
      <c r="C16" s="286" t="s">
        <v>236</v>
      </c>
      <c r="D16" s="219"/>
      <c r="E16" s="220">
        <f>SUM(E9:E15)</f>
        <v>123517.06892200003</v>
      </c>
      <c r="F16" s="220">
        <f>SUM(F9:F15)</f>
        <v>236283.59999999998</v>
      </c>
      <c r="G16" s="219"/>
      <c r="H16" s="219"/>
      <c r="I16" s="219"/>
      <c r="J16" s="221"/>
    </row>
    <row r="17" spans="2:7" ht="15.6" customHeight="1" x14ac:dyDescent="0.25">
      <c r="B17" s="211" t="s">
        <v>237</v>
      </c>
      <c r="C17" s="211"/>
    </row>
    <row r="18" spans="2:7" x14ac:dyDescent="0.25">
      <c r="B18" s="211" t="s">
        <v>20</v>
      </c>
      <c r="C18" s="211"/>
    </row>
    <row r="19" spans="2:7" x14ac:dyDescent="0.25">
      <c r="B19" s="291" t="s">
        <v>268</v>
      </c>
      <c r="C19" s="211"/>
    </row>
    <row r="20" spans="2:7" x14ac:dyDescent="0.25">
      <c r="B20" s="211" t="s">
        <v>269</v>
      </c>
      <c r="C20" s="211"/>
    </row>
    <row r="21" spans="2:7" x14ac:dyDescent="0.25">
      <c r="B21" s="209"/>
      <c r="C21" s="209"/>
      <c r="D21" s="209"/>
      <c r="E21" s="209"/>
      <c r="F21" s="209"/>
    </row>
    <row r="22" spans="2:7" x14ac:dyDescent="0.25">
      <c r="B22" s="209"/>
      <c r="C22" s="209"/>
      <c r="D22" s="209"/>
      <c r="E22" s="209"/>
      <c r="F22" s="209"/>
    </row>
    <row r="23" spans="2:7" ht="15" x14ac:dyDescent="0.25">
      <c r="B23" s="188" t="s">
        <v>310</v>
      </c>
      <c r="C23" s="188"/>
      <c r="D23" s="209"/>
      <c r="E23" s="209"/>
      <c r="F23" s="209"/>
    </row>
    <row r="25" spans="2:7" x14ac:dyDescent="0.25">
      <c r="B25" s="209" t="s">
        <v>247</v>
      </c>
      <c r="C25" s="209"/>
      <c r="D25" s="209"/>
      <c r="E25" s="209"/>
      <c r="F25" s="209"/>
    </row>
    <row r="26" spans="2:7" ht="13.8" thickBot="1" x14ac:dyDescent="0.3">
      <c r="B26" s="209" t="s">
        <v>246</v>
      </c>
      <c r="C26" s="209"/>
      <c r="D26" s="209"/>
      <c r="E26" s="209"/>
      <c r="F26" s="209"/>
    </row>
    <row r="27" spans="2:7" ht="31.65" customHeight="1" x14ac:dyDescent="0.25">
      <c r="B27" s="294" t="s">
        <v>21</v>
      </c>
      <c r="C27" s="292" t="s">
        <v>240</v>
      </c>
      <c r="D27" s="212" t="s">
        <v>22</v>
      </c>
      <c r="E27" s="222" t="s">
        <v>23</v>
      </c>
      <c r="F27" s="209"/>
    </row>
    <row r="28" spans="2:7" ht="31.65" customHeight="1" x14ac:dyDescent="0.25">
      <c r="B28" s="295"/>
      <c r="C28" s="293"/>
      <c r="D28" s="139" t="s">
        <v>245</v>
      </c>
      <c r="E28" s="290" t="s">
        <v>143</v>
      </c>
      <c r="F28" s="209"/>
    </row>
    <row r="29" spans="2:7" x14ac:dyDescent="0.25">
      <c r="B29" s="223" t="s">
        <v>24</v>
      </c>
      <c r="C29" s="287" t="s">
        <v>241</v>
      </c>
      <c r="D29" s="208" t="s">
        <v>278</v>
      </c>
      <c r="E29" s="224">
        <v>0.97706171756374371</v>
      </c>
      <c r="F29" s="209"/>
      <c r="G29" s="2"/>
    </row>
    <row r="30" spans="2:7" x14ac:dyDescent="0.25">
      <c r="B30" s="223" t="s">
        <v>24</v>
      </c>
      <c r="C30" s="287" t="s">
        <v>241</v>
      </c>
      <c r="D30" s="208" t="s">
        <v>309</v>
      </c>
      <c r="E30" s="224">
        <v>0.9764416403645515</v>
      </c>
      <c r="F30" s="209"/>
      <c r="G30" s="2"/>
    </row>
    <row r="31" spans="2:7" x14ac:dyDescent="0.25">
      <c r="B31" s="223" t="s">
        <v>24</v>
      </c>
      <c r="C31" s="287" t="s">
        <v>241</v>
      </c>
      <c r="D31" s="208" t="s">
        <v>243</v>
      </c>
      <c r="E31" s="224">
        <v>0.9515253427786764</v>
      </c>
      <c r="F31" s="209"/>
      <c r="G31" s="143"/>
    </row>
    <row r="32" spans="2:7" ht="13.8" thickBot="1" x14ac:dyDescent="0.3">
      <c r="B32" s="225" t="s">
        <v>25</v>
      </c>
      <c r="C32" s="288" t="s">
        <v>242</v>
      </c>
      <c r="D32" s="226" t="s">
        <v>244</v>
      </c>
      <c r="E32" s="227">
        <v>0.85899999999999999</v>
      </c>
      <c r="F32" s="209"/>
    </row>
    <row r="33" spans="2:16" x14ac:dyDescent="0.25">
      <c r="B33" s="211" t="s">
        <v>237</v>
      </c>
      <c r="C33" s="209"/>
      <c r="D33" s="209"/>
      <c r="E33" s="210"/>
      <c r="F33" s="209"/>
      <c r="O33" s="143"/>
      <c r="P33" s="143"/>
    </row>
    <row r="34" spans="2:16" x14ac:dyDescent="0.25">
      <c r="B34" s="291" t="s">
        <v>20</v>
      </c>
      <c r="C34" s="209"/>
      <c r="D34" s="209"/>
      <c r="E34" s="210"/>
      <c r="F34" s="209"/>
    </row>
    <row r="35" spans="2:16" x14ac:dyDescent="0.25">
      <c r="B35" s="291" t="s">
        <v>268</v>
      </c>
      <c r="C35" s="209"/>
      <c r="D35" s="209"/>
      <c r="E35" s="210"/>
      <c r="F35" s="209"/>
    </row>
    <row r="36" spans="2:16" x14ac:dyDescent="0.25">
      <c r="B36" s="209"/>
      <c r="C36" s="209"/>
      <c r="D36" s="209"/>
      <c r="E36" s="210"/>
      <c r="F36" s="209"/>
    </row>
    <row r="37" spans="2:16" x14ac:dyDescent="0.25">
      <c r="B37" s="209"/>
      <c r="C37" s="209"/>
      <c r="D37" s="209"/>
      <c r="E37" s="210"/>
      <c r="F37" s="209"/>
    </row>
    <row r="38" spans="2:16" ht="15" x14ac:dyDescent="0.25">
      <c r="B38" s="188" t="s">
        <v>267</v>
      </c>
      <c r="C38" s="188"/>
      <c r="D38" s="209"/>
      <c r="E38" s="210"/>
      <c r="F38" s="209"/>
    </row>
    <row r="39" spans="2:16" x14ac:dyDescent="0.25">
      <c r="B39" s="209"/>
      <c r="C39" s="209"/>
      <c r="D39" s="209"/>
      <c r="E39" s="210"/>
      <c r="F39" s="209"/>
    </row>
    <row r="40" spans="2:16" x14ac:dyDescent="0.25">
      <c r="B40" s="209" t="s">
        <v>249</v>
      </c>
      <c r="C40" s="209"/>
      <c r="D40" s="209"/>
      <c r="E40" s="210"/>
      <c r="F40" s="209"/>
    </row>
    <row r="41" spans="2:16" ht="13.8" thickBot="1" x14ac:dyDescent="0.3">
      <c r="B41" s="209" t="s">
        <v>248</v>
      </c>
      <c r="C41" s="209"/>
      <c r="D41" s="209"/>
      <c r="E41" s="210"/>
      <c r="F41" s="209"/>
    </row>
    <row r="42" spans="2:16" ht="24.75" customHeight="1" x14ac:dyDescent="0.25">
      <c r="B42" s="294" t="s">
        <v>21</v>
      </c>
      <c r="C42" s="292" t="s">
        <v>240</v>
      </c>
      <c r="D42" s="228" t="s">
        <v>26</v>
      </c>
      <c r="E42" s="213" t="s">
        <v>27</v>
      </c>
      <c r="F42" s="209"/>
    </row>
    <row r="43" spans="2:16" ht="24.75" customHeight="1" x14ac:dyDescent="0.25">
      <c r="B43" s="295"/>
      <c r="C43" s="293"/>
      <c r="D43" s="140" t="s">
        <v>35</v>
      </c>
      <c r="E43" s="289" t="s">
        <v>250</v>
      </c>
      <c r="F43" s="209"/>
    </row>
    <row r="44" spans="2:16" x14ac:dyDescent="0.25">
      <c r="B44" s="223" t="s">
        <v>24</v>
      </c>
      <c r="C44" s="287" t="s">
        <v>241</v>
      </c>
      <c r="D44" s="208" t="s">
        <v>28</v>
      </c>
      <c r="E44" s="224">
        <f>SUM(E9:E14)*E29/1000</f>
        <v>120.68379950936867</v>
      </c>
      <c r="F44" s="209"/>
    </row>
    <row r="45" spans="2:16" ht="13.8" thickBot="1" x14ac:dyDescent="0.3">
      <c r="B45" s="225" t="s">
        <v>25</v>
      </c>
      <c r="C45" s="288" t="s">
        <v>242</v>
      </c>
      <c r="D45" s="226" t="s">
        <v>29</v>
      </c>
      <c r="E45" s="227">
        <f>SUM(F9:F15)*E32/1000</f>
        <v>202.96761239999998</v>
      </c>
      <c r="F45" s="209"/>
    </row>
    <row r="46" spans="2:16" x14ac:dyDescent="0.25">
      <c r="B46" s="211" t="s">
        <v>237</v>
      </c>
      <c r="C46" s="209"/>
      <c r="D46" s="209"/>
      <c r="E46" s="209"/>
      <c r="F46" s="209"/>
    </row>
    <row r="47" spans="2:16" x14ac:dyDescent="0.25">
      <c r="B47" s="291" t="s">
        <v>20</v>
      </c>
      <c r="C47" s="209"/>
      <c r="D47" s="209"/>
      <c r="E47" s="209"/>
      <c r="F47" s="209"/>
    </row>
    <row r="48" spans="2:16" x14ac:dyDescent="0.25">
      <c r="B48" s="291" t="s">
        <v>268</v>
      </c>
    </row>
    <row r="50" spans="2:3" x14ac:dyDescent="0.25">
      <c r="B50" s="209"/>
      <c r="C50" s="209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5AD-C265-4BE6-9DA6-D03BC206A38C}">
  <sheetPr>
    <tabColor theme="3" tint="0.59999389629810485"/>
    <pageSetUpPr fitToPage="1"/>
  </sheetPr>
  <dimension ref="B1:AL35"/>
  <sheetViews>
    <sheetView topLeftCell="A6" zoomScale="85" zoomScaleNormal="85" workbookViewId="0">
      <selection activeCell="Q30" sqref="Q30"/>
    </sheetView>
  </sheetViews>
  <sheetFormatPr defaultColWidth="9.21875" defaultRowHeight="14.4" x14ac:dyDescent="0.3"/>
  <cols>
    <col min="1" max="1" width="2.77734375" style="115" customWidth="1"/>
    <col min="2" max="4" width="6.44140625" style="115" customWidth="1"/>
    <col min="5" max="5" width="7.21875" style="115" customWidth="1"/>
    <col min="6" max="6" width="9.21875" style="115" customWidth="1"/>
    <col min="7" max="8" width="7.21875" style="115" customWidth="1"/>
    <col min="9" max="10" width="3.44140625" style="115" customWidth="1"/>
    <col min="11" max="11" width="7.21875" style="115" customWidth="1"/>
    <col min="12" max="12" width="12" style="115" customWidth="1"/>
    <col min="13" max="13" width="8.88671875" style="115" customWidth="1"/>
    <col min="14" max="16" width="7.21875" style="115" customWidth="1"/>
    <col min="17" max="17" width="8.21875" style="115" customWidth="1"/>
    <col min="18" max="18" width="12.21875" style="115" customWidth="1"/>
    <col min="19" max="19" width="7.44140625" style="115" customWidth="1"/>
    <col min="20" max="21" width="7.21875" style="115" customWidth="1"/>
    <col min="22" max="22" width="5" style="115" customWidth="1"/>
    <col min="23" max="23" width="7.21875" style="115" customWidth="1"/>
    <col min="24" max="24" width="12.77734375" style="115" customWidth="1"/>
    <col min="25" max="25" width="7.21875" style="115" customWidth="1"/>
    <col min="26" max="26" width="5.44140625" style="115" customWidth="1"/>
    <col min="27" max="27" width="6.44140625" style="115" customWidth="1"/>
    <col min="28" max="28" width="5.44140625" style="115" customWidth="1"/>
    <col min="29" max="29" width="7" style="115" customWidth="1"/>
    <col min="30" max="30" width="12" style="115" customWidth="1"/>
    <col min="31" max="31" width="7" style="115" customWidth="1"/>
    <col min="32" max="32" width="5.77734375" style="115" customWidth="1"/>
    <col min="33" max="33" width="13" style="115" customWidth="1"/>
    <col min="34" max="34" width="5.77734375" style="115" customWidth="1"/>
    <col min="35" max="35" width="4.21875" style="115" customWidth="1"/>
    <col min="36" max="36" width="12.77734375" style="115" customWidth="1"/>
    <col min="37" max="38" width="4.21875" style="115" customWidth="1"/>
    <col min="39" max="16384" width="9.21875" style="115"/>
  </cols>
  <sheetData>
    <row r="1" spans="2:35" ht="18" x14ac:dyDescent="0.35">
      <c r="B1" s="116" t="s">
        <v>279</v>
      </c>
    </row>
    <row r="2" spans="2:35" ht="15.6" x14ac:dyDescent="0.3">
      <c r="B2" s="114" t="s">
        <v>280</v>
      </c>
    </row>
    <row r="3" spans="2:35" x14ac:dyDescent="0.3">
      <c r="B3" s="115" t="s">
        <v>281</v>
      </c>
    </row>
    <row r="5" spans="2:35" ht="15" thickBot="1" x14ac:dyDescent="0.35"/>
    <row r="6" spans="2:35" ht="15.6" thickTop="1" thickBot="1" x14ac:dyDescent="0.35">
      <c r="B6" s="113"/>
      <c r="C6" s="112"/>
      <c r="D6" s="111"/>
      <c r="E6" s="110"/>
      <c r="F6" s="109" t="s">
        <v>282</v>
      </c>
      <c r="G6" s="108" t="s">
        <v>283</v>
      </c>
      <c r="H6" s="107"/>
      <c r="I6" s="107"/>
      <c r="J6" s="107"/>
      <c r="K6" s="106" t="s">
        <v>283</v>
      </c>
      <c r="L6" s="109" t="s">
        <v>282</v>
      </c>
      <c r="M6" s="105">
        <v>144879.37399999998</v>
      </c>
      <c r="N6" s="113"/>
      <c r="O6" s="112"/>
      <c r="P6" s="111"/>
      <c r="Q6" s="104"/>
      <c r="R6" s="103" t="s">
        <v>284</v>
      </c>
      <c r="S6" s="102" t="s">
        <v>283</v>
      </c>
      <c r="T6" s="101"/>
      <c r="U6" s="101"/>
      <c r="V6" s="101"/>
      <c r="W6" s="100" t="s">
        <v>283</v>
      </c>
      <c r="X6" s="103" t="s">
        <v>284</v>
      </c>
      <c r="Y6" s="99">
        <v>7209.7110000000002</v>
      </c>
      <c r="Z6" s="113"/>
      <c r="AA6" s="112"/>
      <c r="AB6" s="111"/>
    </row>
    <row r="7" spans="2:35" ht="29.4" thickTop="1" x14ac:dyDescent="0.3">
      <c r="B7" s="98"/>
      <c r="C7" s="97" t="s">
        <v>91</v>
      </c>
      <c r="D7" s="96"/>
      <c r="E7" s="95"/>
      <c r="G7" s="94"/>
      <c r="N7" s="98"/>
      <c r="O7" s="93" t="s">
        <v>285</v>
      </c>
      <c r="P7" s="96"/>
      <c r="Q7" s="92"/>
      <c r="R7" s="91"/>
      <c r="S7" s="90"/>
      <c r="T7" s="89"/>
      <c r="V7" s="88"/>
      <c r="Z7" s="98"/>
      <c r="AA7" s="93" t="s">
        <v>122</v>
      </c>
      <c r="AB7" s="96"/>
    </row>
    <row r="8" spans="2:35" ht="15" thickBot="1" x14ac:dyDescent="0.35">
      <c r="B8" s="87"/>
      <c r="C8" s="86"/>
      <c r="D8" s="85"/>
      <c r="E8" s="84"/>
      <c r="F8" s="83" t="s">
        <v>286</v>
      </c>
      <c r="G8" s="82" t="s">
        <v>283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5.6" thickTop="1" thickBot="1" x14ac:dyDescent="0.35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5.6" thickTop="1" thickBot="1" x14ac:dyDescent="0.35">
      <c r="G10" s="80"/>
      <c r="H10" s="79"/>
      <c r="K10" s="76"/>
      <c r="V10" s="90"/>
    </row>
    <row r="11" spans="2:35" ht="15" thickBot="1" x14ac:dyDescent="0.35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5.6" thickTop="1" thickBot="1" x14ac:dyDescent="0.35">
      <c r="B12" s="113"/>
      <c r="C12" s="112"/>
      <c r="D12" s="111"/>
      <c r="E12" s="107"/>
      <c r="F12" s="109" t="s">
        <v>282</v>
      </c>
      <c r="G12" s="71" t="s">
        <v>283</v>
      </c>
      <c r="H12" s="79"/>
      <c r="K12" s="70" t="s">
        <v>283</v>
      </c>
      <c r="L12" s="103" t="s">
        <v>284</v>
      </c>
      <c r="M12" s="69">
        <v>105527.87399999998</v>
      </c>
      <c r="N12" s="113"/>
      <c r="O12" s="112"/>
      <c r="P12" s="111"/>
      <c r="Q12" s="68">
        <v>109718.511</v>
      </c>
      <c r="R12" s="67" t="s">
        <v>287</v>
      </c>
      <c r="S12" s="66" t="s">
        <v>283</v>
      </c>
      <c r="T12" s="65"/>
      <c r="U12" s="77">
        <v>51822.235000000001</v>
      </c>
      <c r="V12" s="90"/>
      <c r="W12" s="100" t="s">
        <v>283</v>
      </c>
      <c r="X12" s="103" t="s">
        <v>284</v>
      </c>
      <c r="Y12" s="64"/>
      <c r="Z12" s="113"/>
      <c r="AA12" s="112"/>
      <c r="AB12" s="111"/>
      <c r="AC12" s="63"/>
      <c r="AD12" s="62" t="s">
        <v>288</v>
      </c>
      <c r="AE12" s="61" t="s">
        <v>283</v>
      </c>
      <c r="AF12" s="113"/>
      <c r="AG12" s="112"/>
      <c r="AH12" s="111"/>
      <c r="AI12" s="60"/>
    </row>
    <row r="13" spans="2:35" ht="29.4" thickTop="1" x14ac:dyDescent="0.3">
      <c r="B13" s="98"/>
      <c r="C13" s="97" t="s">
        <v>98</v>
      </c>
      <c r="D13" s="96"/>
      <c r="G13" s="80"/>
      <c r="H13" s="79"/>
      <c r="N13" s="98"/>
      <c r="O13" s="93" t="s">
        <v>289</v>
      </c>
      <c r="P13" s="96"/>
      <c r="S13" s="59"/>
      <c r="U13" s="59"/>
      <c r="V13" s="90"/>
      <c r="Y13" s="58"/>
      <c r="Z13" s="98"/>
      <c r="AA13" s="93" t="s">
        <v>290</v>
      </c>
      <c r="AB13" s="96"/>
      <c r="AF13" s="98"/>
      <c r="AG13" s="93" t="s">
        <v>291</v>
      </c>
      <c r="AH13" s="96"/>
      <c r="AI13" s="60"/>
    </row>
    <row r="14" spans="2:35" ht="16.5" customHeight="1" thickBot="1" x14ac:dyDescent="0.35">
      <c r="B14" s="87"/>
      <c r="C14" s="86"/>
      <c r="D14" s="85"/>
      <c r="E14" s="81"/>
      <c r="F14" s="83" t="s">
        <v>286</v>
      </c>
      <c r="G14" s="82" t="s">
        <v>283</v>
      </c>
      <c r="H14" s="57"/>
      <c r="I14" s="56"/>
      <c r="J14" s="81"/>
      <c r="K14" s="55" t="s">
        <v>283</v>
      </c>
      <c r="L14" s="83" t="s">
        <v>286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283</v>
      </c>
      <c r="X14" s="67" t="s">
        <v>287</v>
      </c>
      <c r="Y14" s="50"/>
      <c r="AA14" s="49" t="s">
        <v>292</v>
      </c>
      <c r="AB14" s="96"/>
      <c r="AD14" s="48" t="s">
        <v>293</v>
      </c>
      <c r="AF14" s="98"/>
      <c r="AG14" s="93" t="s">
        <v>294</v>
      </c>
      <c r="AH14" s="96"/>
      <c r="AI14" s="60"/>
    </row>
    <row r="15" spans="2:35" ht="15.6" thickTop="1" thickBot="1" x14ac:dyDescent="0.35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295</v>
      </c>
      <c r="AF15" s="98"/>
      <c r="AG15" s="93" t="s">
        <v>296</v>
      </c>
      <c r="AH15" s="96"/>
      <c r="AI15" s="60"/>
    </row>
    <row r="16" spans="2:35" ht="15.6" thickTop="1" thickBot="1" x14ac:dyDescent="0.35">
      <c r="G16" s="80"/>
      <c r="H16" s="79"/>
      <c r="I16" s="44"/>
      <c r="J16" s="53"/>
      <c r="S16" s="43"/>
      <c r="U16" s="42"/>
      <c r="V16" s="41"/>
      <c r="W16" s="40" t="s">
        <v>283</v>
      </c>
      <c r="X16" s="39" t="s">
        <v>297</v>
      </c>
      <c r="Y16" s="38"/>
      <c r="Z16" s="87"/>
      <c r="AA16" s="86"/>
      <c r="AB16" s="85"/>
      <c r="AD16" s="48" t="s">
        <v>298</v>
      </c>
      <c r="AF16" s="87"/>
      <c r="AG16" s="86"/>
      <c r="AH16" s="85"/>
      <c r="AI16" s="60"/>
    </row>
    <row r="17" spans="2:38" ht="15.6" thickTop="1" thickBot="1" x14ac:dyDescent="0.35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5.6" thickTop="1" thickBot="1" x14ac:dyDescent="0.35">
      <c r="B18" s="113"/>
      <c r="C18" s="112"/>
      <c r="D18" s="111"/>
      <c r="E18" s="107"/>
      <c r="F18" s="109" t="s">
        <v>282</v>
      </c>
      <c r="G18" s="71" t="s">
        <v>283</v>
      </c>
      <c r="H18" s="79"/>
      <c r="I18" s="44"/>
      <c r="J18" s="53"/>
      <c r="K18" s="51" t="s">
        <v>283</v>
      </c>
      <c r="L18" s="67" t="s">
        <v>287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297</v>
      </c>
      <c r="S18" s="31" t="s">
        <v>283</v>
      </c>
      <c r="T18" s="30">
        <v>56087.057999999997</v>
      </c>
      <c r="U18" s="53"/>
      <c r="V18" s="90"/>
    </row>
    <row r="19" spans="2:38" ht="15.6" thickTop="1" thickBot="1" x14ac:dyDescent="0.35">
      <c r="B19" s="98"/>
      <c r="C19" s="97" t="s">
        <v>299</v>
      </c>
      <c r="D19" s="96"/>
      <c r="G19" s="94"/>
      <c r="H19" s="79"/>
      <c r="N19" s="98"/>
      <c r="O19" s="93" t="s">
        <v>300</v>
      </c>
      <c r="P19" s="96"/>
      <c r="T19" s="29"/>
      <c r="U19" s="53"/>
      <c r="V19" s="90"/>
    </row>
    <row r="20" spans="2:38" ht="15" thickBot="1" x14ac:dyDescent="0.35">
      <c r="B20" s="87"/>
      <c r="C20" s="86"/>
      <c r="D20" s="85"/>
      <c r="E20" s="81"/>
      <c r="F20" s="83" t="s">
        <v>286</v>
      </c>
      <c r="G20" s="82" t="s">
        <v>283</v>
      </c>
      <c r="H20" s="57"/>
      <c r="K20" s="28" t="s">
        <v>283</v>
      </c>
      <c r="L20" s="27" t="s">
        <v>301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5.6" thickTop="1" thickBot="1" x14ac:dyDescent="0.35">
      <c r="G21" s="80"/>
      <c r="H21" s="79"/>
      <c r="J21" s="25"/>
      <c r="T21" s="37"/>
      <c r="U21" s="53"/>
      <c r="V21" s="90"/>
      <c r="W21" s="100" t="s">
        <v>283</v>
      </c>
      <c r="X21" s="103" t="s">
        <v>284</v>
      </c>
      <c r="Y21" s="64"/>
      <c r="Z21" s="113"/>
      <c r="AA21" s="112"/>
      <c r="AB21" s="111"/>
      <c r="AC21" s="63"/>
      <c r="AD21" s="62" t="s">
        <v>288</v>
      </c>
      <c r="AE21" s="24" t="s">
        <v>283</v>
      </c>
      <c r="AF21" s="23" t="s">
        <v>283</v>
      </c>
      <c r="AG21" s="62" t="s">
        <v>288</v>
      </c>
      <c r="AH21" s="22"/>
      <c r="AI21" s="113"/>
      <c r="AJ21" s="112"/>
      <c r="AK21" s="111"/>
      <c r="AL21" s="60"/>
    </row>
    <row r="22" spans="2:38" ht="15" thickTop="1" x14ac:dyDescent="0.3">
      <c r="G22" s="80"/>
      <c r="H22" s="79"/>
      <c r="J22" s="25"/>
      <c r="T22" s="37"/>
      <c r="U22" s="53"/>
      <c r="Y22" s="58"/>
      <c r="Z22" s="98"/>
      <c r="AA22" s="49" t="s">
        <v>290</v>
      </c>
      <c r="AB22" s="96"/>
      <c r="AE22" s="21"/>
      <c r="AI22" s="98"/>
      <c r="AJ22" s="93" t="s">
        <v>291</v>
      </c>
      <c r="AK22" s="96"/>
      <c r="AL22" s="60"/>
    </row>
    <row r="23" spans="2:38" ht="15" thickBot="1" x14ac:dyDescent="0.35">
      <c r="G23" s="80"/>
      <c r="H23" s="79"/>
      <c r="J23" s="25"/>
      <c r="M23" s="115" t="s">
        <v>302</v>
      </c>
      <c r="P23" s="310">
        <v>154125.60999999996</v>
      </c>
      <c r="Q23" s="310"/>
      <c r="R23" s="115" t="s">
        <v>7</v>
      </c>
      <c r="T23" s="37"/>
      <c r="U23" s="53"/>
      <c r="V23" s="65"/>
      <c r="W23" s="51" t="s">
        <v>283</v>
      </c>
      <c r="X23" s="67" t="s">
        <v>287</v>
      </c>
      <c r="Y23" s="20"/>
      <c r="Z23" s="98"/>
      <c r="AA23" s="49" t="s">
        <v>292</v>
      </c>
      <c r="AB23" s="96"/>
      <c r="AE23" s="19"/>
      <c r="AG23" s="48" t="s">
        <v>303</v>
      </c>
      <c r="AI23" s="98"/>
      <c r="AJ23" s="93" t="s">
        <v>294</v>
      </c>
      <c r="AK23" s="96"/>
      <c r="AL23" s="60"/>
    </row>
    <row r="24" spans="2:38" ht="15.6" thickTop="1" thickBot="1" x14ac:dyDescent="0.35">
      <c r="B24" s="113"/>
      <c r="C24" s="112"/>
      <c r="D24" s="111"/>
      <c r="E24" s="105">
        <v>12579.937</v>
      </c>
      <c r="F24" s="109" t="s">
        <v>282</v>
      </c>
      <c r="G24" s="71" t="s">
        <v>283</v>
      </c>
      <c r="H24" s="79"/>
      <c r="J24" s="25"/>
      <c r="M24" s="115" t="s">
        <v>304</v>
      </c>
      <c r="P24" s="310">
        <v>142240.554</v>
      </c>
      <c r="Q24" s="310"/>
      <c r="R24" s="115" t="s">
        <v>7</v>
      </c>
      <c r="T24" s="37"/>
      <c r="Y24" s="58"/>
      <c r="Z24" s="98"/>
      <c r="AB24" s="96"/>
      <c r="AE24" s="19"/>
      <c r="AG24" s="48" t="s">
        <v>295</v>
      </c>
      <c r="AI24" s="98"/>
      <c r="AJ24" s="93" t="s">
        <v>296</v>
      </c>
      <c r="AK24" s="96"/>
      <c r="AL24" s="60"/>
    </row>
    <row r="25" spans="2:38" ht="15.6" thickTop="1" thickBot="1" x14ac:dyDescent="0.35">
      <c r="B25" s="98"/>
      <c r="D25" s="96"/>
      <c r="F25" s="49"/>
      <c r="G25" s="80"/>
      <c r="H25" s="79"/>
      <c r="J25" s="25"/>
      <c r="M25" s="115" t="s">
        <v>305</v>
      </c>
      <c r="P25" s="310">
        <v>1075.1959999999999</v>
      </c>
      <c r="Q25" s="310"/>
      <c r="R25" s="115" t="s">
        <v>7</v>
      </c>
      <c r="T25" s="37"/>
      <c r="U25" s="18"/>
      <c r="V25" s="18"/>
      <c r="W25" s="40" t="s">
        <v>283</v>
      </c>
      <c r="X25" s="39" t="s">
        <v>297</v>
      </c>
      <c r="Y25" s="17"/>
      <c r="Z25" s="87"/>
      <c r="AA25" s="86"/>
      <c r="AB25" s="85"/>
      <c r="AE25" s="19"/>
      <c r="AG25" s="48" t="s">
        <v>298</v>
      </c>
      <c r="AI25" s="87"/>
      <c r="AJ25" s="86"/>
      <c r="AK25" s="85"/>
      <c r="AL25" s="60"/>
    </row>
    <row r="26" spans="2:38" ht="15.6" thickTop="1" thickBot="1" x14ac:dyDescent="0.35">
      <c r="B26" s="98"/>
      <c r="C26" s="49" t="s">
        <v>306</v>
      </c>
      <c r="D26" s="96"/>
      <c r="E26" s="16">
        <v>5779.1689999999999</v>
      </c>
      <c r="F26" s="83" t="s">
        <v>286</v>
      </c>
      <c r="G26" s="82" t="s">
        <v>283</v>
      </c>
      <c r="H26" s="57"/>
      <c r="J26" s="25"/>
      <c r="M26" s="115" t="s">
        <v>307</v>
      </c>
      <c r="P26" s="310">
        <v>1620.396</v>
      </c>
      <c r="Q26" s="310"/>
      <c r="R26" s="115" t="s">
        <v>7</v>
      </c>
      <c r="W26" s="15"/>
      <c r="Y26" s="58"/>
      <c r="AE26" s="19"/>
      <c r="AL26" s="60"/>
    </row>
    <row r="27" spans="2:38" ht="15.6" thickTop="1" thickBot="1" x14ac:dyDescent="0.35">
      <c r="B27" s="98"/>
      <c r="D27" s="96"/>
      <c r="G27" s="80"/>
      <c r="J27" s="25"/>
      <c r="K27" s="14"/>
      <c r="M27" s="115" t="s">
        <v>308</v>
      </c>
      <c r="P27" s="311">
        <v>5.9623212521267233E-2</v>
      </c>
      <c r="Q27" s="311"/>
      <c r="Y27" s="58"/>
      <c r="AE27" s="19"/>
      <c r="AL27" s="60"/>
    </row>
    <row r="28" spans="2:38" ht="15.6" thickTop="1" thickBot="1" x14ac:dyDescent="0.35">
      <c r="B28" s="87"/>
      <c r="C28" s="86"/>
      <c r="D28" s="85"/>
      <c r="E28" s="13"/>
      <c r="F28" s="27" t="s">
        <v>301</v>
      </c>
      <c r="G28" s="12" t="s">
        <v>283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288</v>
      </c>
      <c r="AE28" s="8" t="s">
        <v>283</v>
      </c>
      <c r="AL28" s="60"/>
    </row>
    <row r="29" spans="2:38" ht="15" thickTop="1" x14ac:dyDescent="0.3">
      <c r="G29" s="80"/>
      <c r="J29" s="7"/>
      <c r="Y29" s="58"/>
      <c r="Z29" s="98"/>
      <c r="AA29" s="49" t="s">
        <v>295</v>
      </c>
      <c r="AB29" s="96"/>
      <c r="AL29" s="60"/>
    </row>
    <row r="30" spans="2:38" x14ac:dyDescent="0.3">
      <c r="G30" s="80"/>
      <c r="J30" s="25"/>
      <c r="Y30" s="58"/>
      <c r="Z30" s="98"/>
      <c r="AA30" s="49" t="s">
        <v>298</v>
      </c>
      <c r="AB30" s="96"/>
      <c r="AL30" s="60"/>
    </row>
    <row r="31" spans="2:38" ht="15" thickBot="1" x14ac:dyDescent="0.35">
      <c r="G31" s="80"/>
      <c r="J31" s="25"/>
      <c r="Y31" s="6"/>
      <c r="Z31" s="87"/>
      <c r="AA31" s="86"/>
      <c r="AB31" s="85"/>
      <c r="AC31" s="5"/>
      <c r="AD31" s="27" t="s">
        <v>301</v>
      </c>
      <c r="AE31" s="4" t="s">
        <v>283</v>
      </c>
      <c r="AL31" s="60"/>
    </row>
    <row r="32" spans="2:38" ht="15.6" thickTop="1" thickBot="1" x14ac:dyDescent="0.35">
      <c r="B32" s="113"/>
      <c r="C32" s="112"/>
      <c r="D32" s="111"/>
      <c r="E32" s="105">
        <v>20432.701999999997</v>
      </c>
      <c r="F32" s="109" t="s">
        <v>282</v>
      </c>
      <c r="G32" s="71" t="s">
        <v>283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" thickTop="1" x14ac:dyDescent="0.3">
      <c r="B33" s="98"/>
      <c r="C33" s="49" t="s">
        <v>119</v>
      </c>
      <c r="D33" s="96"/>
      <c r="J33" s="25"/>
      <c r="AE33" s="25"/>
    </row>
    <row r="34" spans="2:31" ht="15" thickBot="1" x14ac:dyDescent="0.35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" thickTop="1" x14ac:dyDescent="0.3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K24"/>
  <sheetViews>
    <sheetView zoomScaleNormal="100" workbookViewId="0">
      <selection activeCell="K8" sqref="K8"/>
    </sheetView>
  </sheetViews>
  <sheetFormatPr defaultRowHeight="13.2" x14ac:dyDescent="0.25"/>
  <cols>
    <col min="1" max="1" width="2.88671875" customWidth="1"/>
    <col min="2" max="2" width="14.5546875" customWidth="1"/>
    <col min="3" max="3" width="13.6640625" customWidth="1"/>
    <col min="4" max="4" width="42.6640625" customWidth="1"/>
    <col min="5" max="5" width="9.33203125" customWidth="1"/>
    <col min="6" max="6" width="13.44140625" customWidth="1"/>
    <col min="7" max="7" width="11.109375" customWidth="1"/>
    <col min="8" max="8" width="14.109375" customWidth="1"/>
    <col min="9" max="9" width="13.44140625" customWidth="1"/>
    <col min="10" max="10" width="10.44140625" customWidth="1"/>
    <col min="11" max="12" width="10.6640625" bestFit="1" customWidth="1"/>
  </cols>
  <sheetData>
    <row r="2" spans="2:11" ht="17.399999999999999" x14ac:dyDescent="0.3">
      <c r="B2" s="268" t="s">
        <v>30</v>
      </c>
      <c r="C2" s="269"/>
      <c r="D2" s="269"/>
      <c r="E2" s="162"/>
      <c r="F2" s="162"/>
      <c r="G2" s="162"/>
      <c r="H2" s="162"/>
      <c r="I2" s="162"/>
    </row>
    <row r="3" spans="2:11" ht="17.399999999999999" customHeight="1" x14ac:dyDescent="0.25">
      <c r="B3" s="163"/>
      <c r="C3" s="162"/>
      <c r="D3" s="162"/>
      <c r="E3" s="162"/>
      <c r="F3" s="162"/>
      <c r="G3" s="162"/>
      <c r="H3" s="162"/>
      <c r="I3" s="162"/>
    </row>
    <row r="4" spans="2:11" ht="17.399999999999999" customHeight="1" x14ac:dyDescent="0.25">
      <c r="B4" s="163" t="s">
        <v>31</v>
      </c>
      <c r="C4" s="162"/>
      <c r="D4" s="162"/>
      <c r="E4" s="162"/>
      <c r="F4" s="162"/>
      <c r="G4" s="162"/>
      <c r="H4" s="162"/>
      <c r="I4" s="162"/>
    </row>
    <row r="5" spans="2:11" ht="15.75" customHeight="1" x14ac:dyDescent="0.25">
      <c r="B5" s="274" t="s">
        <v>32</v>
      </c>
      <c r="C5" s="274" t="s">
        <v>33</v>
      </c>
      <c r="D5" s="274" t="s">
        <v>34</v>
      </c>
      <c r="E5" s="274" t="s">
        <v>35</v>
      </c>
      <c r="F5" s="274" t="s">
        <v>36</v>
      </c>
      <c r="G5" s="274" t="s">
        <v>37</v>
      </c>
      <c r="H5" s="274" t="s">
        <v>38</v>
      </c>
      <c r="I5" s="274" t="s">
        <v>39</v>
      </c>
    </row>
    <row r="6" spans="2:11" ht="39.75" customHeight="1" x14ac:dyDescent="0.25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6.599999999999994" thickBot="1" x14ac:dyDescent="0.3">
      <c r="B7" s="137" t="s">
        <v>193</v>
      </c>
      <c r="C7" s="137" t="s">
        <v>194</v>
      </c>
      <c r="D7" s="137" t="s">
        <v>195</v>
      </c>
      <c r="E7" s="137" t="s">
        <v>196</v>
      </c>
      <c r="F7" s="275" t="s">
        <v>257</v>
      </c>
      <c r="G7" s="137" t="s">
        <v>197</v>
      </c>
      <c r="H7" s="275" t="s">
        <v>258</v>
      </c>
      <c r="I7" s="137" t="s">
        <v>198</v>
      </c>
    </row>
    <row r="8" spans="2:11" ht="15.75" customHeight="1" x14ac:dyDescent="0.25">
      <c r="B8" s="237" t="s">
        <v>47</v>
      </c>
      <c r="C8" s="238" t="s">
        <v>251</v>
      </c>
      <c r="D8" s="238" t="s">
        <v>48</v>
      </c>
      <c r="E8" s="237" t="s">
        <v>49</v>
      </c>
      <c r="F8" s="237"/>
      <c r="G8" s="237" t="s">
        <v>50</v>
      </c>
      <c r="H8" s="237" t="s">
        <v>51</v>
      </c>
      <c r="I8" s="237" t="s">
        <v>52</v>
      </c>
    </row>
    <row r="9" spans="2:11" ht="15.75" customHeight="1" x14ac:dyDescent="0.25">
      <c r="B9" s="239" t="s">
        <v>47</v>
      </c>
      <c r="C9" s="240" t="s">
        <v>252</v>
      </c>
      <c r="D9" s="240" t="s">
        <v>53</v>
      </c>
      <c r="E9" s="239" t="s">
        <v>49</v>
      </c>
      <c r="F9" s="239"/>
      <c r="G9" s="239" t="s">
        <v>50</v>
      </c>
      <c r="H9" s="239" t="s">
        <v>51</v>
      </c>
      <c r="I9" s="239" t="s">
        <v>52</v>
      </c>
    </row>
    <row r="10" spans="2:11" ht="15.75" customHeight="1" x14ac:dyDescent="0.25">
      <c r="B10" s="237" t="s">
        <v>47</v>
      </c>
      <c r="C10" s="238" t="s">
        <v>253</v>
      </c>
      <c r="D10" s="238" t="s">
        <v>54</v>
      </c>
      <c r="E10" s="237" t="s">
        <v>49</v>
      </c>
      <c r="F10" s="237"/>
      <c r="G10" s="237" t="s">
        <v>50</v>
      </c>
      <c r="H10" s="237" t="s">
        <v>51</v>
      </c>
      <c r="I10" s="237" t="s">
        <v>52</v>
      </c>
    </row>
    <row r="11" spans="2:11" ht="15.75" customHeight="1" x14ac:dyDescent="0.25">
      <c r="B11" s="239" t="s">
        <v>47</v>
      </c>
      <c r="C11" s="240" t="s">
        <v>55</v>
      </c>
      <c r="D11" s="240" t="s">
        <v>56</v>
      </c>
      <c r="E11" s="239" t="s">
        <v>49</v>
      </c>
      <c r="F11" s="239"/>
      <c r="G11" s="239" t="s">
        <v>50</v>
      </c>
      <c r="H11" s="239" t="s">
        <v>51</v>
      </c>
      <c r="I11" s="239"/>
    </row>
    <row r="12" spans="2:11" ht="15.75" customHeight="1" x14ac:dyDescent="0.25">
      <c r="B12" s="237" t="s">
        <v>47</v>
      </c>
      <c r="C12" s="238" t="s">
        <v>57</v>
      </c>
      <c r="D12" s="238" t="s">
        <v>58</v>
      </c>
      <c r="E12" s="237" t="s">
        <v>49</v>
      </c>
      <c r="F12" s="237"/>
      <c r="G12" s="237" t="s">
        <v>50</v>
      </c>
      <c r="H12" s="237" t="s">
        <v>51</v>
      </c>
      <c r="I12" s="237"/>
    </row>
    <row r="13" spans="2:11" ht="15.75" customHeight="1" x14ac:dyDescent="0.25">
      <c r="B13" s="239" t="s">
        <v>59</v>
      </c>
      <c r="C13" s="240" t="s">
        <v>254</v>
      </c>
      <c r="D13" s="240" t="s">
        <v>256</v>
      </c>
      <c r="E13" s="240" t="s">
        <v>49</v>
      </c>
      <c r="F13" s="239"/>
      <c r="G13" s="239"/>
      <c r="H13" s="239"/>
      <c r="I13" s="240" t="s">
        <v>52</v>
      </c>
    </row>
    <row r="14" spans="2:11" ht="15.75" customHeight="1" x14ac:dyDescent="0.25">
      <c r="B14" s="237" t="s">
        <v>59</v>
      </c>
      <c r="C14" s="238" t="s">
        <v>265</v>
      </c>
      <c r="D14" s="238" t="s">
        <v>255</v>
      </c>
      <c r="E14" s="238" t="s">
        <v>49</v>
      </c>
      <c r="F14" s="237"/>
      <c r="G14" s="237"/>
      <c r="H14" s="237"/>
      <c r="I14" s="238"/>
      <c r="K14" s="164"/>
    </row>
    <row r="15" spans="2:11" ht="15.75" customHeight="1" thickBot="1" x14ac:dyDescent="0.3">
      <c r="B15" s="241" t="s">
        <v>60</v>
      </c>
      <c r="C15" s="241" t="s">
        <v>61</v>
      </c>
      <c r="D15" s="264" t="s">
        <v>62</v>
      </c>
      <c r="E15" s="241" t="s">
        <v>63</v>
      </c>
      <c r="F15" s="241"/>
      <c r="G15" s="241"/>
      <c r="H15" s="241"/>
      <c r="I15" s="241"/>
    </row>
    <row r="19" spans="2:3" ht="13.8" thickBot="1" x14ac:dyDescent="0.3">
      <c r="B19" s="302" t="s">
        <v>64</v>
      </c>
      <c r="C19" s="302"/>
    </row>
    <row r="20" spans="2:3" x14ac:dyDescent="0.25">
      <c r="B20" s="267" t="s">
        <v>47</v>
      </c>
      <c r="C20" s="267" t="s">
        <v>65</v>
      </c>
    </row>
    <row r="21" spans="2:3" x14ac:dyDescent="0.25">
      <c r="B21" s="124" t="s">
        <v>60</v>
      </c>
      <c r="C21" s="124" t="s">
        <v>66</v>
      </c>
    </row>
    <row r="22" spans="2:3" x14ac:dyDescent="0.25">
      <c r="B22" s="122" t="s">
        <v>59</v>
      </c>
      <c r="C22" s="122" t="s">
        <v>67</v>
      </c>
    </row>
    <row r="23" spans="2:3" x14ac:dyDescent="0.25">
      <c r="B23" s="124" t="s">
        <v>68</v>
      </c>
      <c r="C23" s="124" t="s">
        <v>69</v>
      </c>
    </row>
    <row r="24" spans="2:3" ht="13.8" thickBot="1" x14ac:dyDescent="0.3">
      <c r="B24" s="118" t="s">
        <v>70</v>
      </c>
      <c r="C24" s="118" t="s">
        <v>71</v>
      </c>
    </row>
  </sheetData>
  <mergeCells count="1">
    <mergeCell ref="B19:C19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29"/>
  <sheetViews>
    <sheetView zoomScaleNormal="100" workbookViewId="0">
      <selection activeCell="D25" sqref="D25"/>
    </sheetView>
  </sheetViews>
  <sheetFormatPr defaultRowHeight="13.2" x14ac:dyDescent="0.25"/>
  <cols>
    <col min="1" max="1" width="1.44140625" customWidth="1"/>
    <col min="2" max="2" width="16.109375" customWidth="1"/>
    <col min="3" max="3" width="13.5546875" customWidth="1"/>
    <col min="4" max="4" width="21.6640625" customWidth="1"/>
    <col min="5" max="5" width="38.44140625" customWidth="1"/>
    <col min="6" max="10" width="21.77734375" customWidth="1"/>
    <col min="12" max="12" width="13.5546875" customWidth="1"/>
  </cols>
  <sheetData>
    <row r="1" spans="1:10" ht="12.75" customHeight="1" x14ac:dyDescent="0.25">
      <c r="B1" s="271"/>
      <c r="C1" s="176"/>
      <c r="D1" s="176"/>
    </row>
    <row r="2" spans="1:10" ht="18.75" customHeight="1" x14ac:dyDescent="0.3">
      <c r="A2" s="153"/>
      <c r="B2" s="272" t="s">
        <v>72</v>
      </c>
      <c r="C2" s="272"/>
      <c r="D2" s="272"/>
      <c r="E2" s="164"/>
      <c r="F2" s="164"/>
      <c r="G2" s="164"/>
      <c r="H2" s="164"/>
      <c r="I2" s="164"/>
      <c r="J2" s="164"/>
    </row>
    <row r="3" spans="1:10" ht="12.75" customHeight="1" x14ac:dyDescent="0.25"/>
    <row r="4" spans="1:10" ht="18" customHeight="1" x14ac:dyDescent="0.25">
      <c r="B4" s="163" t="s">
        <v>73</v>
      </c>
      <c r="C4" s="163"/>
      <c r="D4" s="164"/>
      <c r="E4" s="164"/>
      <c r="F4" s="164"/>
      <c r="G4" s="164"/>
      <c r="H4" s="164"/>
      <c r="I4" s="164"/>
      <c r="J4" s="164"/>
    </row>
    <row r="5" spans="1:10" ht="15.75" customHeight="1" x14ac:dyDescent="0.25">
      <c r="B5" s="274" t="s">
        <v>74</v>
      </c>
      <c r="C5" s="274" t="s">
        <v>75</v>
      </c>
      <c r="D5" s="274" t="s">
        <v>76</v>
      </c>
      <c r="E5" s="274" t="s">
        <v>77</v>
      </c>
      <c r="F5" s="274" t="s">
        <v>78</v>
      </c>
      <c r="G5" s="274" t="s">
        <v>79</v>
      </c>
      <c r="H5" s="274" t="s">
        <v>80</v>
      </c>
      <c r="I5" s="274" t="s">
        <v>81</v>
      </c>
      <c r="J5" s="274" t="s">
        <v>82</v>
      </c>
    </row>
    <row r="6" spans="1:10" ht="30" customHeight="1" x14ac:dyDescent="0.25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40.200000000000003" thickBot="1" x14ac:dyDescent="0.3">
      <c r="B7" s="137" t="s">
        <v>199</v>
      </c>
      <c r="C7" s="137" t="s">
        <v>200</v>
      </c>
      <c r="D7" s="137" t="s">
        <v>201</v>
      </c>
      <c r="E7" s="137" t="s">
        <v>202</v>
      </c>
      <c r="F7" s="137" t="s">
        <v>203</v>
      </c>
      <c r="G7" s="137" t="s">
        <v>204</v>
      </c>
      <c r="H7" s="137" t="s">
        <v>197</v>
      </c>
      <c r="I7" s="276" t="s">
        <v>263</v>
      </c>
      <c r="J7" s="276" t="s">
        <v>264</v>
      </c>
    </row>
    <row r="8" spans="1:10" ht="15.75" customHeight="1" x14ac:dyDescent="0.25">
      <c r="B8" s="242" t="s">
        <v>91</v>
      </c>
      <c r="C8" s="171" t="s">
        <v>92</v>
      </c>
      <c r="D8" s="172" t="s">
        <v>259</v>
      </c>
      <c r="E8" s="172" t="s">
        <v>93</v>
      </c>
      <c r="F8" s="171" t="s">
        <v>49</v>
      </c>
      <c r="G8" s="171" t="s">
        <v>94</v>
      </c>
      <c r="H8" s="171" t="s">
        <v>50</v>
      </c>
      <c r="I8" s="171"/>
      <c r="J8" s="171"/>
    </row>
    <row r="9" spans="1:10" ht="15.75" customHeight="1" x14ac:dyDescent="0.25">
      <c r="B9" s="243" t="s">
        <v>91</v>
      </c>
      <c r="C9" s="199" t="s">
        <v>92</v>
      </c>
      <c r="D9" s="200" t="s">
        <v>260</v>
      </c>
      <c r="E9" s="200" t="s">
        <v>95</v>
      </c>
      <c r="F9" s="199" t="s">
        <v>49</v>
      </c>
      <c r="G9" s="199" t="s">
        <v>94</v>
      </c>
      <c r="H9" s="199" t="s">
        <v>50</v>
      </c>
      <c r="I9" s="199"/>
      <c r="J9" s="199"/>
    </row>
    <row r="10" spans="1:10" ht="15.75" customHeight="1" x14ac:dyDescent="0.25">
      <c r="B10" s="242" t="s">
        <v>91</v>
      </c>
      <c r="C10" s="171" t="s">
        <v>92</v>
      </c>
      <c r="D10" s="172" t="s">
        <v>261</v>
      </c>
      <c r="E10" s="172" t="s">
        <v>96</v>
      </c>
      <c r="F10" s="171" t="s">
        <v>49</v>
      </c>
      <c r="G10" s="171" t="s">
        <v>94</v>
      </c>
      <c r="H10" s="171" t="s">
        <v>50</v>
      </c>
      <c r="I10" s="171"/>
      <c r="J10" s="171"/>
    </row>
    <row r="11" spans="1:10" ht="15.75" customHeight="1" x14ac:dyDescent="0.25">
      <c r="B11" s="243" t="s">
        <v>91</v>
      </c>
      <c r="C11" s="199" t="s">
        <v>92</v>
      </c>
      <c r="D11" s="200" t="s">
        <v>262</v>
      </c>
      <c r="E11" s="200" t="s">
        <v>97</v>
      </c>
      <c r="F11" s="199" t="s">
        <v>49</v>
      </c>
      <c r="G11" s="199" t="s">
        <v>94</v>
      </c>
      <c r="H11" s="199" t="s">
        <v>50</v>
      </c>
      <c r="I11" s="199"/>
      <c r="J11" s="199"/>
    </row>
    <row r="12" spans="1:10" ht="15.75" customHeight="1" x14ac:dyDescent="0.25">
      <c r="B12" s="242" t="s">
        <v>98</v>
      </c>
      <c r="C12" s="171" t="s">
        <v>92</v>
      </c>
      <c r="D12" s="172" t="s">
        <v>99</v>
      </c>
      <c r="E12" s="172" t="s">
        <v>100</v>
      </c>
      <c r="F12" s="171" t="s">
        <v>49</v>
      </c>
      <c r="G12" s="171" t="s">
        <v>94</v>
      </c>
      <c r="H12" s="171" t="s">
        <v>50</v>
      </c>
      <c r="I12" s="171"/>
      <c r="J12" s="171"/>
    </row>
    <row r="13" spans="1:10" ht="15.75" customHeight="1" x14ac:dyDescent="0.25">
      <c r="B13" s="243" t="s">
        <v>98</v>
      </c>
      <c r="C13" s="199" t="s">
        <v>92</v>
      </c>
      <c r="D13" s="200" t="s">
        <v>101</v>
      </c>
      <c r="E13" s="200" t="s">
        <v>102</v>
      </c>
      <c r="F13" s="199" t="s">
        <v>49</v>
      </c>
      <c r="G13" s="199" t="s">
        <v>94</v>
      </c>
      <c r="H13" s="199" t="s">
        <v>50</v>
      </c>
      <c r="I13" s="199"/>
      <c r="J13" s="199"/>
    </row>
    <row r="14" spans="1:10" ht="15.75" customHeight="1" x14ac:dyDescent="0.25">
      <c r="B14" s="242" t="s">
        <v>103</v>
      </c>
      <c r="C14" s="171" t="s">
        <v>92</v>
      </c>
      <c r="D14" s="172" t="s">
        <v>104</v>
      </c>
      <c r="E14" s="172" t="s">
        <v>105</v>
      </c>
      <c r="F14" s="171" t="s">
        <v>49</v>
      </c>
      <c r="G14" s="171" t="s">
        <v>94</v>
      </c>
      <c r="H14" s="171" t="s">
        <v>50</v>
      </c>
      <c r="I14" s="171"/>
      <c r="J14" s="171"/>
    </row>
    <row r="15" spans="1:10" ht="15.75" customHeight="1" x14ac:dyDescent="0.25">
      <c r="B15" s="277" t="s">
        <v>106</v>
      </c>
      <c r="C15" s="278" t="s">
        <v>92</v>
      </c>
      <c r="D15" s="279" t="s">
        <v>107</v>
      </c>
      <c r="E15" s="279" t="s">
        <v>108</v>
      </c>
      <c r="F15" s="278" t="s">
        <v>49</v>
      </c>
      <c r="G15" s="278" t="s">
        <v>222</v>
      </c>
      <c r="H15" s="278" t="s">
        <v>50</v>
      </c>
      <c r="I15" s="278"/>
      <c r="J15" s="278"/>
    </row>
    <row r="16" spans="1:10" ht="15.75" customHeight="1" thickBot="1" x14ac:dyDescent="0.3">
      <c r="B16" s="280" t="s">
        <v>106</v>
      </c>
      <c r="C16" s="280" t="s">
        <v>92</v>
      </c>
      <c r="D16" s="281" t="s">
        <v>109</v>
      </c>
      <c r="E16" s="281" t="s">
        <v>110</v>
      </c>
      <c r="F16" s="280" t="s">
        <v>49</v>
      </c>
      <c r="G16" s="280" t="s">
        <v>222</v>
      </c>
      <c r="H16" s="280" t="s">
        <v>50</v>
      </c>
      <c r="I16" s="280"/>
      <c r="J16" s="280"/>
    </row>
    <row r="17" spans="2:7" ht="15" x14ac:dyDescent="0.25">
      <c r="B17" s="142"/>
    </row>
    <row r="18" spans="2:7" ht="15.6" x14ac:dyDescent="0.3">
      <c r="F18" s="303"/>
      <c r="G18" s="303"/>
    </row>
    <row r="20" spans="2:7" x14ac:dyDescent="0.25">
      <c r="B20" s="304" t="s">
        <v>111</v>
      </c>
      <c r="C20" s="304"/>
      <c r="D20" s="304"/>
    </row>
    <row r="21" spans="2:7" x14ac:dyDescent="0.25">
      <c r="B21" s="122" t="s">
        <v>91</v>
      </c>
      <c r="C21" s="122" t="s">
        <v>112</v>
      </c>
      <c r="D21" s="122"/>
    </row>
    <row r="22" spans="2:7" x14ac:dyDescent="0.25">
      <c r="B22" s="124" t="s">
        <v>98</v>
      </c>
      <c r="C22" s="124" t="s">
        <v>113</v>
      </c>
      <c r="D22" s="124"/>
    </row>
    <row r="23" spans="2:7" x14ac:dyDescent="0.25">
      <c r="B23" s="122" t="s">
        <v>114</v>
      </c>
      <c r="C23" s="122" t="s">
        <v>115</v>
      </c>
      <c r="D23" s="122"/>
    </row>
    <row r="24" spans="2:7" x14ac:dyDescent="0.25">
      <c r="B24" s="124" t="s">
        <v>106</v>
      </c>
      <c r="C24" s="124" t="s">
        <v>116</v>
      </c>
      <c r="D24" s="124"/>
    </row>
    <row r="25" spans="2:7" x14ac:dyDescent="0.25">
      <c r="B25" s="122" t="s">
        <v>117</v>
      </c>
      <c r="C25" s="122" t="s">
        <v>118</v>
      </c>
      <c r="D25" s="122" t="s">
        <v>270</v>
      </c>
    </row>
    <row r="26" spans="2:7" x14ac:dyDescent="0.25">
      <c r="B26" s="124" t="s">
        <v>119</v>
      </c>
      <c r="C26" s="124" t="s">
        <v>120</v>
      </c>
      <c r="D26" s="124" t="s">
        <v>121</v>
      </c>
    </row>
    <row r="27" spans="2:7" x14ac:dyDescent="0.25">
      <c r="B27" s="122" t="s">
        <v>122</v>
      </c>
      <c r="C27" s="122" t="s">
        <v>123</v>
      </c>
      <c r="D27" s="122" t="s">
        <v>124</v>
      </c>
    </row>
    <row r="28" spans="2:7" x14ac:dyDescent="0.25">
      <c r="B28" s="124" t="s">
        <v>125</v>
      </c>
      <c r="C28" s="124" t="s">
        <v>126</v>
      </c>
      <c r="D28" s="124" t="s">
        <v>121</v>
      </c>
    </row>
    <row r="29" spans="2:7" ht="13.8" thickBot="1" x14ac:dyDescent="0.3">
      <c r="B29" s="118" t="s">
        <v>103</v>
      </c>
      <c r="C29" s="118" t="s">
        <v>127</v>
      </c>
      <c r="D29" s="118"/>
    </row>
  </sheetData>
  <mergeCells count="2">
    <mergeCell ref="F18:G18"/>
    <mergeCell ref="B20:D2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D27"/>
  <sheetViews>
    <sheetView tabSelected="1" topLeftCell="A3" zoomScale="115" zoomScaleNormal="115" workbookViewId="0">
      <selection activeCell="E13" sqref="E13"/>
    </sheetView>
  </sheetViews>
  <sheetFormatPr defaultRowHeight="13.2" x14ac:dyDescent="0.25"/>
  <cols>
    <col min="1" max="1" width="2.88671875" customWidth="1"/>
    <col min="2" max="2" width="12.88671875" customWidth="1"/>
    <col min="3" max="3" width="44.33203125" customWidth="1"/>
    <col min="4" max="4" width="10.33203125" customWidth="1"/>
    <col min="5" max="5" width="10.5546875" customWidth="1"/>
    <col min="6" max="6" width="11" customWidth="1"/>
    <col min="7" max="7" width="25.21875" customWidth="1"/>
    <col min="8" max="8" width="7.6640625" customWidth="1"/>
    <col min="9" max="9" width="11" customWidth="1"/>
    <col min="10" max="10" width="15.44140625" customWidth="1"/>
    <col min="11" max="14" width="7.6640625" customWidth="1"/>
    <col min="15" max="15" width="15.88671875" customWidth="1"/>
    <col min="16" max="16" width="10.88671875" customWidth="1"/>
    <col min="17" max="17" width="15" customWidth="1"/>
    <col min="18" max="18" width="13" customWidth="1"/>
    <col min="19" max="19" width="17.88671875" customWidth="1"/>
    <col min="20" max="20" width="15" customWidth="1"/>
    <col min="21" max="21" width="15.33203125" customWidth="1"/>
    <col min="24" max="24" width="12.5546875" bestFit="1" customWidth="1"/>
  </cols>
  <sheetData>
    <row r="2" spans="2:30" ht="16.5" customHeight="1" x14ac:dyDescent="0.3">
      <c r="B2" s="270" t="s">
        <v>128</v>
      </c>
      <c r="C2" s="188"/>
      <c r="E2" s="146"/>
      <c r="H2" s="149"/>
      <c r="I2" s="141"/>
      <c r="J2" s="141"/>
      <c r="K2" s="141"/>
      <c r="L2" s="141"/>
      <c r="M2" s="141"/>
      <c r="N2" s="141"/>
      <c r="O2" s="150"/>
      <c r="P2" s="150"/>
      <c r="Q2" s="152"/>
      <c r="R2" s="147"/>
      <c r="S2" s="148"/>
    </row>
    <row r="3" spans="2:30" x14ac:dyDescent="0.25">
      <c r="B3" s="151"/>
      <c r="C3" s="145"/>
      <c r="E3" s="146"/>
      <c r="H3" s="149"/>
      <c r="I3" s="149"/>
      <c r="J3" s="149"/>
      <c r="K3" s="149"/>
      <c r="L3" s="149"/>
      <c r="M3" s="149"/>
      <c r="N3" s="149"/>
      <c r="O3" s="150"/>
      <c r="P3" s="150"/>
      <c r="Q3" s="152"/>
      <c r="R3" s="147"/>
      <c r="S3" s="148"/>
    </row>
    <row r="4" spans="2:30" ht="15.75" customHeight="1" x14ac:dyDescent="0.25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7"/>
      <c r="P4" s="157"/>
      <c r="Q4" s="155"/>
      <c r="R4" s="155"/>
      <c r="S4" s="155"/>
    </row>
    <row r="5" spans="2:30" s="144" customFormat="1" ht="49.8" customHeight="1" x14ac:dyDescent="0.25">
      <c r="B5" s="136" t="s">
        <v>76</v>
      </c>
      <c r="C5" s="136" t="s">
        <v>130</v>
      </c>
      <c r="D5" s="136" t="s">
        <v>131</v>
      </c>
      <c r="E5" s="136" t="s">
        <v>132</v>
      </c>
      <c r="F5" s="136" t="s">
        <v>133</v>
      </c>
      <c r="G5" s="136" t="s">
        <v>134</v>
      </c>
      <c r="H5" s="134" t="s">
        <v>186</v>
      </c>
      <c r="I5" s="134" t="s">
        <v>187</v>
      </c>
      <c r="J5" s="134" t="s">
        <v>188</v>
      </c>
      <c r="K5" s="134" t="s">
        <v>189</v>
      </c>
      <c r="L5" s="134" t="s">
        <v>190</v>
      </c>
      <c r="M5" s="134" t="s">
        <v>191</v>
      </c>
      <c r="N5" s="134" t="s">
        <v>135</v>
      </c>
      <c r="O5" s="136" t="s">
        <v>136</v>
      </c>
      <c r="P5" s="136" t="s">
        <v>220</v>
      </c>
      <c r="Q5" s="136" t="s">
        <v>137</v>
      </c>
      <c r="R5" s="136" t="s">
        <v>138</v>
      </c>
      <c r="S5" s="136" t="s">
        <v>139</v>
      </c>
      <c r="T5"/>
      <c r="W5"/>
      <c r="X5"/>
    </row>
    <row r="6" spans="2:30" ht="53.1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5" t="s">
        <v>145</v>
      </c>
      <c r="I6" s="305"/>
      <c r="J6" s="305"/>
      <c r="K6" s="305"/>
      <c r="L6" s="305"/>
      <c r="M6" s="305"/>
      <c r="N6" s="305"/>
      <c r="O6" s="138" t="s">
        <v>146</v>
      </c>
      <c r="P6" s="138" t="s">
        <v>147</v>
      </c>
      <c r="Q6" s="138" t="s">
        <v>147</v>
      </c>
      <c r="R6" s="138" t="s">
        <v>148</v>
      </c>
      <c r="S6" s="138" t="s">
        <v>149</v>
      </c>
      <c r="Y6" s="181"/>
      <c r="Z6" s="143"/>
    </row>
    <row r="7" spans="2:30" ht="53.4" customHeight="1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6" t="s">
        <v>205</v>
      </c>
      <c r="I7" s="306"/>
      <c r="J7" s="306"/>
      <c r="K7" s="306"/>
      <c r="L7" s="306"/>
      <c r="M7" s="306"/>
      <c r="N7" s="306"/>
      <c r="O7" s="137" t="s">
        <v>209</v>
      </c>
      <c r="P7" s="137" t="s">
        <v>210</v>
      </c>
      <c r="Q7" s="137" t="s">
        <v>210</v>
      </c>
      <c r="R7" s="137" t="s">
        <v>211</v>
      </c>
      <c r="S7" s="137" t="s">
        <v>212</v>
      </c>
      <c r="Y7" s="181"/>
      <c r="Z7" s="143"/>
    </row>
    <row r="8" spans="2:30" ht="15.75" customHeight="1" x14ac:dyDescent="0.25">
      <c r="B8" s="167" t="str">
        <f>SEC_Processes!D10</f>
        <v>ELE_EX_HC</v>
      </c>
      <c r="C8" s="167" t="str">
        <f>SEC_Processes!E10</f>
        <v>Existing Hard Coal Power Plants</v>
      </c>
      <c r="D8" s="250" t="s">
        <v>150</v>
      </c>
      <c r="E8" s="250" t="str">
        <f>SEC_Comm!C8</f>
        <v>ELEC_HV</v>
      </c>
      <c r="F8" s="244">
        <f>(BALANCE!E9*3.6/10^3)/(BALANCE!G9*BALANCE!H9/10^6)</f>
        <v>0.37835241091502259</v>
      </c>
      <c r="G8" s="245">
        <v>31.536000000000001</v>
      </c>
      <c r="H8" s="244">
        <f>BALANCE!D9/1000</f>
        <v>17.023799999999998</v>
      </c>
      <c r="I8" s="244">
        <v>13.973599999999999</v>
      </c>
      <c r="J8" s="244">
        <v>9.5486000000000004</v>
      </c>
      <c r="K8" s="244">
        <v>7.5076000000000001</v>
      </c>
      <c r="L8" s="244">
        <v>5.294999999999999</v>
      </c>
      <c r="M8" s="244">
        <v>3.5409999999999995</v>
      </c>
      <c r="N8" s="244">
        <v>0</v>
      </c>
      <c r="O8" s="246">
        <v>1</v>
      </c>
      <c r="P8" s="246">
        <f>ROUNDUP((BALANCE!E9/BALANCE!D9*1000/8760),2)</f>
        <v>0.33</v>
      </c>
      <c r="Q8" s="245">
        <f>P8*1.25</f>
        <v>0.41250000000000003</v>
      </c>
      <c r="R8" s="246">
        <f>44*4.5</f>
        <v>198</v>
      </c>
      <c r="S8" s="245">
        <f>3.4/3.6*4.5</f>
        <v>4.25</v>
      </c>
    </row>
    <row r="9" spans="2:30" ht="15.75" customHeight="1" thickBot="1" x14ac:dyDescent="0.3">
      <c r="B9" s="196" t="str">
        <f>SEC_Processes!D11</f>
        <v>ELE_EX_BC</v>
      </c>
      <c r="C9" s="196" t="str">
        <f>SEC_Processes!E11</f>
        <v>Existing Brown Coal Power Plants</v>
      </c>
      <c r="D9" s="265" t="s">
        <v>151</v>
      </c>
      <c r="E9" s="251" t="str">
        <f>SEC_Comm!C8</f>
        <v>ELEC_HV</v>
      </c>
      <c r="F9" s="247">
        <f>(BALANCE!E10*3.6/10^3)/(BALANCE!G10*BALANCE!H10/10^6)</f>
        <v>0.34425649711369494</v>
      </c>
      <c r="G9" s="248">
        <v>31.536000000000001</v>
      </c>
      <c r="H9" s="247">
        <f>BALANCE!D10/1000</f>
        <v>7.3911999999999995</v>
      </c>
      <c r="I9" s="247">
        <v>7.5307599999999999</v>
      </c>
      <c r="J9" s="247">
        <v>7.1887599999999994</v>
      </c>
      <c r="K9" s="247">
        <v>3.145</v>
      </c>
      <c r="L9" s="247">
        <v>1.4890000000000001</v>
      </c>
      <c r="M9" s="247">
        <v>0.89</v>
      </c>
      <c r="N9" s="247">
        <v>0</v>
      </c>
      <c r="O9" s="249">
        <v>1</v>
      </c>
      <c r="P9" s="249">
        <f>ROUNDUP((BALANCE!E10/BALANCE!D10*1000/8760),2)</f>
        <v>0.54</v>
      </c>
      <c r="Q9" s="248">
        <f>P9*1.25</f>
        <v>0.67500000000000004</v>
      </c>
      <c r="R9" s="249">
        <f>49*4.5</f>
        <v>220.5</v>
      </c>
      <c r="S9" s="249">
        <f>3.2/3.6*4.5</f>
        <v>4</v>
      </c>
    </row>
    <row r="13" spans="2:30" ht="15.6" x14ac:dyDescent="0.3">
      <c r="B13" s="270" t="s">
        <v>273</v>
      </c>
      <c r="C13" s="188"/>
      <c r="U13" s="179"/>
      <c r="V13" s="180"/>
      <c r="Y13" s="180"/>
      <c r="Z13" s="180"/>
      <c r="AA13" s="180"/>
      <c r="AB13" s="180"/>
      <c r="AC13" s="180"/>
      <c r="AD13" s="180"/>
    </row>
    <row r="14" spans="2:30" x14ac:dyDescent="0.25">
      <c r="I14" s="174"/>
      <c r="J14" s="174"/>
      <c r="K14" s="174"/>
      <c r="L14" s="174"/>
      <c r="M14" s="174"/>
      <c r="N14" s="174"/>
      <c r="V14" s="181"/>
      <c r="Y14" s="181"/>
      <c r="Z14" s="181"/>
      <c r="AA14" s="181"/>
      <c r="AB14" s="181"/>
      <c r="AC14" s="181"/>
      <c r="AD14" s="181"/>
    </row>
    <row r="15" spans="2:30" x14ac:dyDescent="0.25">
      <c r="T15" s="143"/>
      <c r="U15" s="143"/>
      <c r="V15" s="231"/>
      <c r="Y15" s="182"/>
      <c r="Z15" s="182"/>
      <c r="AA15" s="183"/>
      <c r="AB15" s="143"/>
      <c r="AC15" s="143"/>
      <c r="AD15" s="184"/>
    </row>
    <row r="16" spans="2:30" ht="35.4" customHeight="1" x14ac:dyDescent="0.25">
      <c r="B16" s="136" t="s">
        <v>76</v>
      </c>
      <c r="C16" s="136" t="s">
        <v>130</v>
      </c>
      <c r="D16" s="136" t="s">
        <v>131</v>
      </c>
      <c r="E16" s="136" t="s">
        <v>132</v>
      </c>
      <c r="F16" s="136" t="s">
        <v>133</v>
      </c>
      <c r="G16" s="136" t="s">
        <v>134</v>
      </c>
      <c r="H16" s="135" t="s">
        <v>271</v>
      </c>
      <c r="I16" s="135" t="s">
        <v>36</v>
      </c>
      <c r="J16" s="134" t="s">
        <v>276</v>
      </c>
      <c r="K16" s="136" t="s">
        <v>136</v>
      </c>
      <c r="L16" s="134" t="s">
        <v>137</v>
      </c>
      <c r="M16" s="134" t="s">
        <v>137</v>
      </c>
      <c r="N16" s="136" t="s">
        <v>138</v>
      </c>
      <c r="O16" s="136" t="s">
        <v>139</v>
      </c>
      <c r="V16" s="182"/>
      <c r="Y16" s="182"/>
      <c r="Z16" s="182"/>
      <c r="AA16" s="183"/>
      <c r="AB16" s="143"/>
      <c r="AC16" s="143"/>
      <c r="AD16" s="184"/>
    </row>
    <row r="17" spans="2:30" ht="61.8" customHeight="1" x14ac:dyDescent="0.25">
      <c r="B17" s="133" t="s">
        <v>140</v>
      </c>
      <c r="C17" s="133" t="s">
        <v>86</v>
      </c>
      <c r="D17" s="133" t="s">
        <v>141</v>
      </c>
      <c r="E17" s="133" t="s">
        <v>142</v>
      </c>
      <c r="F17" s="133" t="s">
        <v>143</v>
      </c>
      <c r="G17" s="133" t="s">
        <v>144</v>
      </c>
      <c r="H17" s="132" t="s">
        <v>271</v>
      </c>
      <c r="I17" s="132" t="s">
        <v>274</v>
      </c>
      <c r="J17" s="129" t="s">
        <v>145</v>
      </c>
      <c r="K17" s="133" t="s">
        <v>146</v>
      </c>
      <c r="L17" s="133" t="s">
        <v>147</v>
      </c>
      <c r="M17" s="133" t="s">
        <v>147</v>
      </c>
      <c r="N17" s="133" t="s">
        <v>148</v>
      </c>
      <c r="O17" s="133" t="s">
        <v>149</v>
      </c>
      <c r="Y17" s="182"/>
      <c r="Z17" s="182"/>
      <c r="AD17" s="185"/>
    </row>
    <row r="18" spans="2:30" ht="79.2" customHeight="1" thickBot="1" x14ac:dyDescent="0.3">
      <c r="B18" s="131" t="s">
        <v>213</v>
      </c>
      <c r="C18" s="131" t="s">
        <v>202</v>
      </c>
      <c r="D18" s="131" t="s">
        <v>206</v>
      </c>
      <c r="E18" s="131" t="s">
        <v>207</v>
      </c>
      <c r="F18" s="131" t="s">
        <v>23</v>
      </c>
      <c r="G18" s="131" t="s">
        <v>208</v>
      </c>
      <c r="H18" s="130" t="s">
        <v>272</v>
      </c>
      <c r="I18" s="130" t="s">
        <v>275</v>
      </c>
      <c r="J18" s="128" t="s">
        <v>205</v>
      </c>
      <c r="K18" s="131" t="s">
        <v>209</v>
      </c>
      <c r="L18" s="131" t="s">
        <v>210</v>
      </c>
      <c r="M18" s="131" t="s">
        <v>210</v>
      </c>
      <c r="N18" s="131" t="s">
        <v>211</v>
      </c>
      <c r="O18" s="131" t="s">
        <v>212</v>
      </c>
      <c r="Y18" s="182"/>
      <c r="Z18" s="182"/>
      <c r="AD18" s="185"/>
    </row>
    <row r="19" spans="2:30" ht="18.75" customHeight="1" x14ac:dyDescent="0.25">
      <c r="B19" s="127" t="s">
        <v>261</v>
      </c>
      <c r="C19" s="127" t="s">
        <v>96</v>
      </c>
      <c r="D19" s="127" t="s">
        <v>150</v>
      </c>
      <c r="E19" s="127" t="s">
        <v>251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5">
      <c r="B20" s="124"/>
      <c r="C20" s="124"/>
      <c r="D20" s="124"/>
      <c r="E20" s="124"/>
      <c r="F20" s="124"/>
      <c r="G20" s="124"/>
      <c r="H20" s="124">
        <v>2020</v>
      </c>
      <c r="I20" s="124" t="s">
        <v>277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5">
      <c r="B21" s="122"/>
      <c r="C21" s="122"/>
      <c r="D21" s="122"/>
      <c r="E21" s="122"/>
      <c r="F21" s="122"/>
      <c r="G21" s="122"/>
      <c r="H21" s="122">
        <v>2021</v>
      </c>
      <c r="I21" s="121" t="s">
        <v>277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5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5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5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5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5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3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S16"/>
  <sheetViews>
    <sheetView zoomScaleNormal="100" workbookViewId="0">
      <selection activeCell="H3" sqref="H3"/>
    </sheetView>
  </sheetViews>
  <sheetFormatPr defaultRowHeight="13.2" x14ac:dyDescent="0.25"/>
  <cols>
    <col min="1" max="1" width="2.88671875" customWidth="1"/>
    <col min="2" max="2" width="18.5546875" customWidth="1"/>
    <col min="3" max="3" width="26.44140625" customWidth="1"/>
    <col min="4" max="5" width="11.44140625" customWidth="1"/>
    <col min="6" max="6" width="10.33203125" customWidth="1"/>
    <col min="7" max="7" width="26.33203125" customWidth="1"/>
    <col min="8" max="14" width="7.5546875" customWidth="1"/>
    <col min="15" max="15" width="16.109375" customWidth="1"/>
    <col min="16" max="16" width="13.88671875" customWidth="1"/>
    <col min="17" max="17" width="15.44140625" customWidth="1"/>
    <col min="18" max="18" width="20.109375" customWidth="1"/>
    <col min="19" max="19" width="11.44140625" customWidth="1"/>
  </cols>
  <sheetData>
    <row r="2" spans="2:19" ht="17.399999999999999" x14ac:dyDescent="0.3">
      <c r="B2" s="270" t="s">
        <v>152</v>
      </c>
      <c r="C2" s="161"/>
      <c r="E2" s="146"/>
      <c r="H2" s="149"/>
      <c r="I2" s="149"/>
      <c r="J2" s="149"/>
      <c r="K2" s="149"/>
      <c r="L2" s="149"/>
      <c r="M2" s="149"/>
      <c r="N2" s="149"/>
      <c r="O2" s="149"/>
      <c r="P2" s="150"/>
      <c r="Q2" s="152"/>
      <c r="R2" s="147"/>
      <c r="S2" s="148"/>
    </row>
    <row r="3" spans="2:19" x14ac:dyDescent="0.25">
      <c r="B3" s="211"/>
      <c r="C3" s="145"/>
      <c r="E3" s="146"/>
      <c r="H3" s="149"/>
      <c r="I3" s="149"/>
      <c r="J3" s="149"/>
      <c r="K3" s="149"/>
      <c r="L3" s="149"/>
      <c r="M3" s="149"/>
      <c r="N3" s="149"/>
      <c r="O3" s="149"/>
      <c r="P3" s="150"/>
      <c r="Q3" s="152"/>
      <c r="R3" s="147"/>
      <c r="S3" s="148"/>
    </row>
    <row r="4" spans="2:19" ht="15.75" customHeight="1" x14ac:dyDescent="0.25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7"/>
      <c r="Q4" s="155"/>
      <c r="R4" s="155"/>
    </row>
    <row r="5" spans="2:19" s="144" customFormat="1" ht="26.4" x14ac:dyDescent="0.25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134</v>
      </c>
      <c r="H5" s="282" t="s">
        <v>221</v>
      </c>
      <c r="I5" s="282" t="s">
        <v>187</v>
      </c>
      <c r="J5" s="282" t="s">
        <v>188</v>
      </c>
      <c r="K5" s="282" t="s">
        <v>189</v>
      </c>
      <c r="L5" s="282" t="s">
        <v>190</v>
      </c>
      <c r="M5" s="282" t="s">
        <v>191</v>
      </c>
      <c r="N5" s="282" t="s">
        <v>135</v>
      </c>
      <c r="O5" s="274" t="s">
        <v>136</v>
      </c>
      <c r="P5" s="274" t="s">
        <v>137</v>
      </c>
      <c r="Q5" s="274" t="s">
        <v>138</v>
      </c>
      <c r="R5" s="274" t="s">
        <v>139</v>
      </c>
      <c r="S5"/>
    </row>
    <row r="6" spans="2:19" ht="39.6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5" t="s">
        <v>145</v>
      </c>
      <c r="I6" s="305"/>
      <c r="J6" s="305"/>
      <c r="K6" s="305"/>
      <c r="L6" s="305"/>
      <c r="M6" s="305"/>
      <c r="N6" s="305"/>
      <c r="O6" s="138" t="s">
        <v>146</v>
      </c>
      <c r="P6" s="138" t="s">
        <v>147</v>
      </c>
      <c r="Q6" s="138" t="s">
        <v>148</v>
      </c>
      <c r="R6" s="138" t="s">
        <v>149</v>
      </c>
    </row>
    <row r="7" spans="2:19" ht="40.200000000000003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6" t="s">
        <v>205</v>
      </c>
      <c r="I7" s="306"/>
      <c r="J7" s="306"/>
      <c r="K7" s="306"/>
      <c r="L7" s="306"/>
      <c r="M7" s="306"/>
      <c r="N7" s="306"/>
      <c r="O7" s="137" t="s">
        <v>209</v>
      </c>
      <c r="P7" s="137" t="s">
        <v>210</v>
      </c>
      <c r="Q7" s="137" t="s">
        <v>211</v>
      </c>
      <c r="R7" s="137" t="s">
        <v>212</v>
      </c>
    </row>
    <row r="8" spans="2:19" ht="20.25" customHeight="1" x14ac:dyDescent="0.25">
      <c r="B8" s="166" t="str">
        <f>SEC_Processes!D8</f>
        <v>ELE_EX_WIND-ON</v>
      </c>
      <c r="C8" s="167" t="str">
        <f>SEC_Processes!E8</f>
        <v>Existing Onshore Wind Turbines</v>
      </c>
      <c r="D8" s="167" t="s">
        <v>154</v>
      </c>
      <c r="E8" s="167" t="str">
        <f>SEC_Comm!C8</f>
        <v>ELEC_HV</v>
      </c>
      <c r="F8" s="169">
        <v>1</v>
      </c>
      <c r="G8" s="167">
        <v>31.536000000000001</v>
      </c>
      <c r="H8" s="169">
        <f>BALANCE!D13/1000</f>
        <v>6.2276934486274804</v>
      </c>
      <c r="I8" s="169">
        <v>6.2982500000000003</v>
      </c>
      <c r="J8" s="169">
        <v>5.8289999999999997</v>
      </c>
      <c r="K8" s="169">
        <v>4.3650000000000002</v>
      </c>
      <c r="L8" s="169">
        <v>7.3999999999999996E-2</v>
      </c>
      <c r="M8" s="169">
        <v>0</v>
      </c>
      <c r="N8" s="169">
        <v>0</v>
      </c>
      <c r="O8" s="252">
        <v>0.05</v>
      </c>
      <c r="P8" s="252">
        <f>BALANCE!E13/BALANCE!D13*1000/8760+0.01</f>
        <v>0.29637457639806086</v>
      </c>
      <c r="Q8" s="252">
        <f>50*4.5</f>
        <v>225</v>
      </c>
      <c r="R8" s="252">
        <v>1E-3</v>
      </c>
    </row>
    <row r="9" spans="2:19" ht="20.25" customHeight="1" thickBot="1" x14ac:dyDescent="0.3">
      <c r="B9" s="198" t="str">
        <f>SEC_Processes!D9</f>
        <v>ELE_EX_PV</v>
      </c>
      <c r="C9" s="198" t="str">
        <f>SEC_Processes!E9</f>
        <v>Existing Photovoltaics (all Types)</v>
      </c>
      <c r="D9" s="198" t="s">
        <v>155</v>
      </c>
      <c r="E9" s="198" t="str">
        <f>SEC_Comm!C8</f>
        <v>ELEC_HV</v>
      </c>
      <c r="F9" s="230">
        <v>1</v>
      </c>
      <c r="G9" s="198">
        <v>31.536000000000001</v>
      </c>
      <c r="H9" s="230">
        <f>BALANCE!D14/1000</f>
        <v>3.9549600000000003</v>
      </c>
      <c r="I9" s="230">
        <v>3.9549600000000003</v>
      </c>
      <c r="J9" s="230">
        <v>3.9549600000000003</v>
      </c>
      <c r="K9" s="230">
        <v>3.4839600000000002</v>
      </c>
      <c r="L9" s="230">
        <v>2.197092</v>
      </c>
      <c r="M9" s="230">
        <v>0.91022400000000003</v>
      </c>
      <c r="N9" s="230">
        <v>0</v>
      </c>
      <c r="O9" s="253">
        <v>0.05</v>
      </c>
      <c r="P9" s="253">
        <v>1</v>
      </c>
      <c r="Q9" s="253">
        <f>16*4.5</f>
        <v>72</v>
      </c>
      <c r="R9" s="253">
        <v>1E-3</v>
      </c>
    </row>
    <row r="12" spans="2:19" x14ac:dyDescent="0.25">
      <c r="B12" s="143"/>
    </row>
    <row r="16" spans="2:19" x14ac:dyDescent="0.25">
      <c r="I16" s="273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topLeftCell="U3" zoomScale="115" zoomScaleNormal="115" workbookViewId="0">
      <selection activeCell="AD15" sqref="AD15"/>
    </sheetView>
  </sheetViews>
  <sheetFormatPr defaultRowHeight="13.2" x14ac:dyDescent="0.25"/>
  <cols>
    <col min="1" max="1" width="2.88671875" customWidth="1"/>
    <col min="2" max="2" width="18.6640625" customWidth="1"/>
    <col min="3" max="3" width="32" customWidth="1"/>
    <col min="4" max="6" width="11.44140625" customWidth="1"/>
    <col min="7" max="7" width="18.33203125" customWidth="1"/>
    <col min="8" max="9" width="15.6640625" customWidth="1"/>
    <col min="10" max="10" width="22.5546875" customWidth="1"/>
    <col min="11" max="11" width="13" customWidth="1"/>
    <col min="12" max="13" width="12.6640625" customWidth="1"/>
    <col min="14" max="14" width="16" customWidth="1"/>
    <col min="15" max="15" width="15" customWidth="1"/>
    <col min="16" max="16" width="13.33203125" customWidth="1"/>
    <col min="17" max="17" width="13.6640625" customWidth="1"/>
    <col min="18" max="19" width="15.33203125" customWidth="1"/>
    <col min="21" max="21" width="10.88671875" customWidth="1"/>
    <col min="22" max="22" width="29.6640625" customWidth="1"/>
    <col min="23" max="23" width="11.109375" customWidth="1"/>
    <col min="24" max="24" width="16.6640625" customWidth="1"/>
    <col min="25" max="26" width="13.88671875" customWidth="1"/>
    <col min="27" max="27" width="11.6640625" customWidth="1"/>
    <col min="28" max="28" width="11.88671875" customWidth="1"/>
    <col min="29" max="29" width="16.6640625" customWidth="1"/>
    <col min="30" max="31" width="14.5546875" customWidth="1"/>
    <col min="32" max="32" width="13" customWidth="1"/>
    <col min="33" max="33" width="13.88671875" customWidth="1"/>
    <col min="34" max="34" width="12.6640625" customWidth="1"/>
  </cols>
  <sheetData>
    <row r="2" spans="2:34" ht="17.399999999999999" x14ac:dyDescent="0.3">
      <c r="B2" s="270" t="s">
        <v>156</v>
      </c>
      <c r="C2" s="161"/>
      <c r="E2" s="146"/>
      <c r="L2" s="168"/>
      <c r="M2" s="168"/>
      <c r="N2" s="150"/>
      <c r="O2" s="152"/>
      <c r="P2" s="147"/>
      <c r="Q2" s="148"/>
      <c r="R2" s="148"/>
    </row>
    <row r="3" spans="2:34" ht="15" x14ac:dyDescent="0.25">
      <c r="B3" s="151"/>
      <c r="C3" s="145"/>
      <c r="E3" s="146"/>
      <c r="L3" s="149"/>
      <c r="M3" s="149"/>
      <c r="N3" s="150"/>
      <c r="O3" s="152"/>
      <c r="P3" s="147"/>
      <c r="Q3" s="148"/>
      <c r="R3" s="148"/>
      <c r="W3" s="188" t="s">
        <v>157</v>
      </c>
      <c r="X3" s="188"/>
    </row>
    <row r="4" spans="2:34" ht="15.75" customHeight="1" x14ac:dyDescent="0.25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7"/>
      <c r="O4" s="155"/>
      <c r="P4" s="155"/>
      <c r="Q4" s="155"/>
      <c r="R4" s="148"/>
    </row>
    <row r="5" spans="2:34" s="144" customFormat="1" ht="26.4" x14ac:dyDescent="0.25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158</v>
      </c>
      <c r="H5" s="274" t="s">
        <v>159</v>
      </c>
      <c r="I5" s="274" t="s">
        <v>160</v>
      </c>
      <c r="J5" s="274" t="s">
        <v>161</v>
      </c>
      <c r="K5" s="274" t="s">
        <v>134</v>
      </c>
      <c r="L5" s="282" t="s">
        <v>186</v>
      </c>
      <c r="M5" s="282" t="s">
        <v>135</v>
      </c>
      <c r="N5" s="274" t="s">
        <v>136</v>
      </c>
      <c r="O5" s="274" t="s">
        <v>137</v>
      </c>
      <c r="P5" s="274" t="s">
        <v>138</v>
      </c>
      <c r="Q5" s="274" t="s">
        <v>139</v>
      </c>
      <c r="R5" s="274"/>
      <c r="S5"/>
      <c r="W5" s="203" t="s">
        <v>162</v>
      </c>
      <c r="X5" s="204"/>
      <c r="Y5" s="204"/>
      <c r="Z5" s="204"/>
      <c r="AA5" s="204"/>
      <c r="AB5" s="203"/>
      <c r="AC5" s="204"/>
      <c r="AD5" s="204"/>
      <c r="AE5" s="204"/>
      <c r="AF5" s="205"/>
      <c r="AG5" s="205"/>
      <c r="AH5" s="204"/>
    </row>
    <row r="6" spans="2:34" ht="42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163</v>
      </c>
      <c r="H6" s="138" t="s">
        <v>164</v>
      </c>
      <c r="I6" s="138" t="s">
        <v>165</v>
      </c>
      <c r="J6" s="138" t="s">
        <v>166</v>
      </c>
      <c r="K6" s="138" t="s">
        <v>144</v>
      </c>
      <c r="L6" s="138" t="s">
        <v>145</v>
      </c>
      <c r="M6" s="138" t="s">
        <v>145</v>
      </c>
      <c r="N6" s="138" t="s">
        <v>146</v>
      </c>
      <c r="O6" s="138" t="s">
        <v>147</v>
      </c>
      <c r="P6" s="138" t="s">
        <v>148</v>
      </c>
      <c r="Q6" s="138" t="s">
        <v>149</v>
      </c>
      <c r="R6" s="138"/>
      <c r="W6" s="206" t="s">
        <v>167</v>
      </c>
      <c r="X6" s="206" t="s">
        <v>168</v>
      </c>
      <c r="Y6" s="206" t="s">
        <v>169</v>
      </c>
      <c r="Z6" s="206" t="s">
        <v>170</v>
      </c>
      <c r="AA6" s="206" t="s">
        <v>28</v>
      </c>
      <c r="AB6" s="206" t="s">
        <v>171</v>
      </c>
      <c r="AC6" s="206" t="s">
        <v>172</v>
      </c>
      <c r="AD6" s="206" t="s">
        <v>173</v>
      </c>
      <c r="AE6" s="206" t="s">
        <v>174</v>
      </c>
      <c r="AF6" s="206" t="s">
        <v>175</v>
      </c>
      <c r="AG6" s="206" t="s">
        <v>176</v>
      </c>
      <c r="AH6" s="206" t="s">
        <v>177</v>
      </c>
    </row>
    <row r="7" spans="2:34" ht="79.8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214</v>
      </c>
      <c r="H7" s="137" t="s">
        <v>216</v>
      </c>
      <c r="I7" s="137" t="s">
        <v>215</v>
      </c>
      <c r="J7" s="137" t="s">
        <v>217</v>
      </c>
      <c r="K7" s="137" t="s">
        <v>208</v>
      </c>
      <c r="L7" s="137" t="s">
        <v>205</v>
      </c>
      <c r="M7" s="137" t="s">
        <v>205</v>
      </c>
      <c r="N7" s="137" t="s">
        <v>209</v>
      </c>
      <c r="O7" s="137" t="s">
        <v>210</v>
      </c>
      <c r="P7" s="137" t="s">
        <v>211</v>
      </c>
      <c r="Q7" s="137" t="s">
        <v>212</v>
      </c>
      <c r="R7" s="137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</row>
    <row r="8" spans="2:34" ht="15" customHeight="1" x14ac:dyDescent="0.25">
      <c r="B8" s="167" t="str">
        <f>SEC_Processes!D12</f>
        <v>CHP_EX_HC</v>
      </c>
      <c r="C8" s="167" t="str">
        <f>SEC_Processes!E12</f>
        <v>Existing Hard Coal CHPs</v>
      </c>
      <c r="D8" s="167" t="s">
        <v>150</v>
      </c>
      <c r="E8" s="167"/>
      <c r="F8" s="232">
        <f>(L8*K8*O8)/(BALANCE!G11*BALANCE!H11/10^6)</f>
        <v>0.24771097483306254</v>
      </c>
      <c r="G8" s="233">
        <f>BALANCE!F11/(3.6*BALANCE!E11)</f>
        <v>2.3407644073796177</v>
      </c>
      <c r="H8" s="234"/>
      <c r="I8" s="234"/>
      <c r="J8" s="234"/>
      <c r="K8" s="234">
        <v>31.536000000000001</v>
      </c>
      <c r="L8" s="232">
        <f>BALANCE!D11/1000</f>
        <v>4.0946000000000025</v>
      </c>
      <c r="M8" s="232">
        <v>0</v>
      </c>
      <c r="N8" s="233">
        <v>1</v>
      </c>
      <c r="O8" s="233">
        <f>BALANCE!E11/BALANCE!D11*1000/8760</f>
        <v>0.45331450019816694</v>
      </c>
      <c r="P8" s="233">
        <f>48*4.5</f>
        <v>216</v>
      </c>
      <c r="Q8" s="233">
        <f>3.2/3.6*4.5</f>
        <v>4</v>
      </c>
      <c r="R8" s="234"/>
      <c r="U8" s="307" t="str">
        <f>SEC_Processes!D12</f>
        <v>CHP_EX_HC</v>
      </c>
      <c r="V8" s="308" t="str">
        <f>SEC_Processes!E12</f>
        <v>Existing Hard Coal CHPs</v>
      </c>
      <c r="W8" s="307">
        <f>L8*K8*O8</f>
        <v>58.53528</v>
      </c>
      <c r="X8" s="307"/>
      <c r="Y8" s="309">
        <f>L8*K8*O8/3.6</f>
        <v>16.259799999999998</v>
      </c>
      <c r="Z8" s="307">
        <f>Y8*3.6</f>
        <v>58.535279999999993</v>
      </c>
      <c r="AA8" s="307"/>
      <c r="AB8" s="307"/>
      <c r="AC8" s="309">
        <f>Z8*G8</f>
        <v>137.01729999999998</v>
      </c>
      <c r="AD8" s="307">
        <f>Z8+AC8</f>
        <v>195.55257999999998</v>
      </c>
      <c r="AE8" s="307">
        <f>Z8/AC8</f>
        <v>0.42721087045212541</v>
      </c>
      <c r="AF8" s="307">
        <f>W8/F8</f>
        <v>236.30475007999996</v>
      </c>
      <c r="AG8" s="307">
        <f>AF8*10^6/(BALANCE!H11/1000)/1000</f>
        <v>11204.8</v>
      </c>
      <c r="AH8" s="307">
        <f>AD8/AF8</f>
        <v>0.82754400803960348</v>
      </c>
    </row>
    <row r="9" spans="2:34" ht="15" customHeight="1" x14ac:dyDescent="0.25">
      <c r="B9" s="166"/>
      <c r="C9" s="166"/>
      <c r="D9" s="166"/>
      <c r="E9" s="167" t="str">
        <f>SEC_Comm!C8</f>
        <v>ELEC_HV</v>
      </c>
      <c r="F9" s="178"/>
      <c r="G9" s="178"/>
      <c r="H9" s="178"/>
      <c r="I9" s="178"/>
      <c r="J9" s="178"/>
      <c r="K9" s="166"/>
      <c r="L9" s="186"/>
      <c r="M9" s="186"/>
      <c r="N9" s="255"/>
      <c r="O9" s="255"/>
      <c r="P9" s="255"/>
      <c r="Q9" s="255"/>
      <c r="R9" s="166"/>
      <c r="U9" s="307"/>
      <c r="V9" s="308"/>
      <c r="W9" s="307"/>
      <c r="X9" s="307"/>
      <c r="Y9" s="309"/>
      <c r="Z9" s="307"/>
      <c r="AA9" s="307"/>
      <c r="AB9" s="307"/>
      <c r="AC9" s="309"/>
      <c r="AD9" s="307"/>
      <c r="AE9" s="307"/>
      <c r="AF9" s="307"/>
      <c r="AG9" s="307"/>
      <c r="AH9" s="307"/>
    </row>
    <row r="10" spans="2:34" ht="15" customHeight="1" x14ac:dyDescent="0.25">
      <c r="B10" s="166"/>
      <c r="C10" s="166"/>
      <c r="D10" s="166"/>
      <c r="E10" s="167" t="str">
        <f>SEC_Comm!C11</f>
        <v>HEAT_HT</v>
      </c>
      <c r="F10" s="178"/>
      <c r="G10" s="178"/>
      <c r="H10" s="178"/>
      <c r="I10" s="178"/>
      <c r="J10" s="178"/>
      <c r="K10" s="166"/>
      <c r="L10" s="186"/>
      <c r="M10" s="186"/>
      <c r="N10" s="255"/>
      <c r="O10" s="255"/>
      <c r="P10" s="255"/>
      <c r="Q10" s="255"/>
      <c r="R10" s="166"/>
      <c r="U10" s="307"/>
      <c r="V10" s="308"/>
      <c r="W10" s="307"/>
      <c r="X10" s="307"/>
      <c r="Y10" s="309"/>
      <c r="Z10" s="307"/>
      <c r="AA10" s="307"/>
      <c r="AB10" s="307"/>
      <c r="AC10" s="309"/>
      <c r="AD10" s="307"/>
      <c r="AE10" s="307"/>
      <c r="AF10" s="307"/>
      <c r="AG10" s="307"/>
      <c r="AH10" s="307"/>
    </row>
    <row r="11" spans="2:34" ht="15" customHeight="1" x14ac:dyDescent="0.25">
      <c r="B11" s="190" t="str">
        <f>SEC_Processes!D13</f>
        <v>CHP_EX_NAT-GAS</v>
      </c>
      <c r="C11" s="190" t="str">
        <f>SEC_Processes!E13</f>
        <v>Existing Natural Gas CHPs</v>
      </c>
      <c r="D11" s="190" t="s">
        <v>178</v>
      </c>
      <c r="E11" s="190"/>
      <c r="F11" s="236">
        <v>0.55000000000000004</v>
      </c>
      <c r="G11" s="235"/>
      <c r="H11" s="254">
        <v>0.2</v>
      </c>
      <c r="I11" s="254">
        <v>0.7</v>
      </c>
      <c r="J11" s="235">
        <v>0.25</v>
      </c>
      <c r="K11" s="235">
        <v>31.536000000000001</v>
      </c>
      <c r="L11" s="236">
        <f>BALANCE!D12/1000</f>
        <v>1.6565000000000001</v>
      </c>
      <c r="M11" s="236">
        <f>L11</f>
        <v>1.6565000000000001</v>
      </c>
      <c r="N11" s="254">
        <v>1</v>
      </c>
      <c r="O11" s="254">
        <v>0.59850000000000003</v>
      </c>
      <c r="P11" s="254">
        <v>97.199999999999989</v>
      </c>
      <c r="Q11" s="254">
        <v>2.6999999999999997</v>
      </c>
      <c r="R11" s="235"/>
      <c r="U11" s="307" t="str">
        <f>SEC_Processes!D13</f>
        <v>CHP_EX_NAT-GAS</v>
      </c>
      <c r="V11" s="308" t="str">
        <f>SEC_Processes!E13</f>
        <v>Existing Natural Gas CHPs</v>
      </c>
      <c r="W11" s="307">
        <f>L11*K11*O11</f>
        <v>31.265271324000008</v>
      </c>
      <c r="X11" s="307">
        <f>L11*K11*O11/3.6</f>
        <v>8.6847975900000023</v>
      </c>
      <c r="Y11" s="309">
        <f>BALANCE!E12/1000</f>
        <v>7.4646000000000008</v>
      </c>
      <c r="Z11" s="307">
        <f>Y11*3.6</f>
        <v>26.872560000000004</v>
      </c>
      <c r="AA11" s="307">
        <f>X11-Y11</f>
        <v>1.2201975900000015</v>
      </c>
      <c r="AB11" s="307">
        <f>AA11*3.6</f>
        <v>4.3927113240000057</v>
      </c>
      <c r="AC11" s="309">
        <f>AB11/J11</f>
        <v>17.570845296000023</v>
      </c>
      <c r="AD11" s="307">
        <f>Z11+AC11</f>
        <v>44.443405296000023</v>
      </c>
      <c r="AE11" s="307">
        <f>Z11/AC11</f>
        <v>1.5293834501017149</v>
      </c>
      <c r="AF11" s="307">
        <f>W11/F11</f>
        <v>56.845947861818189</v>
      </c>
      <c r="AG11" s="307">
        <f>AF11*10^6/(BALANCE!J12/1000)/1000</f>
        <v>1750.8839086401019</v>
      </c>
      <c r="AH11" s="307">
        <f>AD11/AF11</f>
        <v>0.78182187064649855</v>
      </c>
    </row>
    <row r="12" spans="2:34" ht="15" customHeight="1" x14ac:dyDescent="0.25">
      <c r="B12" s="192"/>
      <c r="C12" s="192"/>
      <c r="D12" s="192"/>
      <c r="E12" s="190" t="str">
        <f>SEC_Comm!C8</f>
        <v>ELEC_HV</v>
      </c>
      <c r="F12" s="193"/>
      <c r="G12" s="193"/>
      <c r="H12" s="193"/>
      <c r="I12" s="193"/>
      <c r="J12" s="193"/>
      <c r="K12" s="192"/>
      <c r="L12" s="194"/>
      <c r="M12" s="194"/>
      <c r="N12" s="192"/>
      <c r="O12" s="192"/>
      <c r="P12" s="192"/>
      <c r="Q12" s="192"/>
      <c r="R12" s="192"/>
      <c r="U12" s="307"/>
      <c r="V12" s="308"/>
      <c r="W12" s="307"/>
      <c r="X12" s="307"/>
      <c r="Y12" s="309"/>
      <c r="Z12" s="307"/>
      <c r="AA12" s="307"/>
      <c r="AB12" s="307"/>
      <c r="AC12" s="309"/>
      <c r="AD12" s="307"/>
      <c r="AE12" s="307"/>
      <c r="AF12" s="307"/>
      <c r="AG12" s="307"/>
      <c r="AH12" s="307"/>
    </row>
    <row r="13" spans="2:34" ht="15" customHeight="1" thickBot="1" x14ac:dyDescent="0.3">
      <c r="B13" s="195"/>
      <c r="C13" s="195"/>
      <c r="D13" s="195"/>
      <c r="E13" s="196" t="str">
        <f>SEC_Comm!C11</f>
        <v>HEAT_HT</v>
      </c>
      <c r="F13" s="197"/>
      <c r="G13" s="197"/>
      <c r="H13" s="197"/>
      <c r="I13" s="197"/>
      <c r="J13" s="197"/>
      <c r="K13" s="195"/>
      <c r="L13" s="195"/>
      <c r="M13" s="195"/>
      <c r="N13" s="195"/>
      <c r="O13" s="195"/>
      <c r="P13" s="195"/>
      <c r="Q13" s="195"/>
      <c r="R13" s="195"/>
      <c r="U13" s="307"/>
      <c r="V13" s="308"/>
      <c r="W13" s="307"/>
      <c r="X13" s="307"/>
      <c r="Y13" s="309"/>
      <c r="Z13" s="307"/>
      <c r="AA13" s="307"/>
      <c r="AB13" s="307"/>
      <c r="AC13" s="309"/>
      <c r="AD13" s="307"/>
      <c r="AE13" s="307"/>
      <c r="AF13" s="307"/>
      <c r="AG13" s="307"/>
      <c r="AH13" s="307"/>
    </row>
    <row r="18" spans="29:34" x14ac:dyDescent="0.25">
      <c r="AC18" s="143"/>
      <c r="AD18" s="143"/>
      <c r="AE18" s="143"/>
      <c r="AF18" s="182"/>
      <c r="AG18" s="182"/>
      <c r="AH18" s="182"/>
    </row>
    <row r="19" spans="29:34" x14ac:dyDescent="0.25">
      <c r="AC19" s="143"/>
      <c r="AD19" s="143"/>
      <c r="AE19" s="143"/>
      <c r="AF19" s="182"/>
      <c r="AG19" s="182"/>
      <c r="AH19" s="182"/>
    </row>
    <row r="20" spans="29:34" x14ac:dyDescent="0.25">
      <c r="AC20" s="143"/>
      <c r="AD20" s="143"/>
      <c r="AE20" s="143"/>
      <c r="AH20" s="182"/>
    </row>
    <row r="21" spans="29:34" x14ac:dyDescent="0.25">
      <c r="AD21" s="143"/>
      <c r="AE21" s="143"/>
      <c r="AG21" s="182"/>
      <c r="AH21" s="182"/>
    </row>
    <row r="24" spans="29:34" x14ac:dyDescent="0.25">
      <c r="AH24" s="187"/>
    </row>
  </sheetData>
  <mergeCells count="28"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  <mergeCell ref="AH8:AH10"/>
    <mergeCell ref="AH11:AH13"/>
    <mergeCell ref="AE8:AE10"/>
    <mergeCell ref="AF8:AF10"/>
    <mergeCell ref="AG8:AG10"/>
    <mergeCell ref="AG11:AG13"/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6"/>
  <dimension ref="B1:M8"/>
  <sheetViews>
    <sheetView topLeftCell="A3" zoomScaleNormal="100" workbookViewId="0">
      <selection activeCell="M18" sqref="M18"/>
    </sheetView>
  </sheetViews>
  <sheetFormatPr defaultRowHeight="13.2" x14ac:dyDescent="0.25"/>
  <cols>
    <col min="1" max="1" width="2.88671875" customWidth="1"/>
    <col min="2" max="2" width="11.44140625" customWidth="1"/>
    <col min="3" max="3" width="33.88671875" customWidth="1"/>
    <col min="4" max="4" width="12.109375" customWidth="1"/>
    <col min="5" max="5" width="11.6640625" bestFit="1" customWidth="1"/>
    <col min="6" max="6" width="10.5546875" customWidth="1"/>
    <col min="7" max="7" width="19.33203125" customWidth="1"/>
    <col min="8" max="9" width="15" customWidth="1"/>
    <col min="10" max="10" width="13" customWidth="1"/>
    <col min="11" max="11" width="14.88671875" customWidth="1"/>
    <col min="12" max="12" width="13" customWidth="1"/>
    <col min="13" max="13" width="13.6640625" customWidth="1"/>
    <col min="18" max="18" width="12.6640625" bestFit="1" customWidth="1"/>
    <col min="19" max="19" width="13.44140625" customWidth="1"/>
  </cols>
  <sheetData>
    <row r="1" spans="2:13" ht="12.75" customHeight="1" x14ac:dyDescent="0.3">
      <c r="I1" s="141"/>
      <c r="L1" s="141"/>
    </row>
    <row r="2" spans="2:13" ht="17.399999999999999" x14ac:dyDescent="0.3">
      <c r="B2" s="270" t="s">
        <v>179</v>
      </c>
      <c r="C2" s="161"/>
      <c r="E2" s="146"/>
      <c r="H2" s="149"/>
      <c r="I2" s="149"/>
      <c r="J2" s="150"/>
      <c r="K2" s="152"/>
      <c r="L2" s="147"/>
      <c r="M2" s="148"/>
    </row>
    <row r="3" spans="2:13" x14ac:dyDescent="0.25">
      <c r="B3" s="151"/>
      <c r="C3" s="145"/>
      <c r="E3" s="146"/>
      <c r="H3" s="149"/>
      <c r="I3" s="149"/>
      <c r="J3" s="150"/>
      <c r="K3" s="152"/>
      <c r="L3" s="147"/>
      <c r="M3" s="148"/>
    </row>
    <row r="4" spans="2:13" ht="15.75" customHeight="1" x14ac:dyDescent="0.25">
      <c r="E4" s="156" t="s">
        <v>129</v>
      </c>
      <c r="F4" s="154"/>
      <c r="G4" s="154"/>
      <c r="H4" s="154"/>
      <c r="I4" s="154"/>
      <c r="J4" s="157"/>
      <c r="K4" s="155"/>
      <c r="L4" s="155"/>
      <c r="M4" s="155"/>
    </row>
    <row r="5" spans="2:13" ht="26.4" x14ac:dyDescent="0.25">
      <c r="B5" s="274" t="s">
        <v>76</v>
      </c>
      <c r="C5" s="274" t="s">
        <v>153</v>
      </c>
      <c r="D5" s="274" t="s">
        <v>131</v>
      </c>
      <c r="E5" s="274" t="s">
        <v>132</v>
      </c>
      <c r="F5" s="274" t="s">
        <v>133</v>
      </c>
      <c r="G5" s="274" t="s">
        <v>134</v>
      </c>
      <c r="H5" s="282" t="s">
        <v>186</v>
      </c>
      <c r="I5" s="274" t="s">
        <v>135</v>
      </c>
      <c r="J5" s="274" t="s">
        <v>136</v>
      </c>
      <c r="K5" s="274" t="s">
        <v>137</v>
      </c>
      <c r="L5" s="274" t="s">
        <v>138</v>
      </c>
      <c r="M5" s="274" t="s">
        <v>139</v>
      </c>
    </row>
    <row r="6" spans="2:13" ht="45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138" t="s">
        <v>145</v>
      </c>
      <c r="I6" s="138" t="s">
        <v>145</v>
      </c>
      <c r="J6" s="138" t="s">
        <v>146</v>
      </c>
      <c r="K6" s="138" t="s">
        <v>147</v>
      </c>
      <c r="L6" s="138" t="s">
        <v>148</v>
      </c>
      <c r="M6" s="138" t="s">
        <v>149</v>
      </c>
    </row>
    <row r="7" spans="2:13" ht="66.599999999999994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283" t="s">
        <v>205</v>
      </c>
      <c r="I7" s="283" t="s">
        <v>205</v>
      </c>
      <c r="J7" s="137" t="s">
        <v>209</v>
      </c>
      <c r="K7" s="137" t="s">
        <v>210</v>
      </c>
      <c r="L7" s="137" t="s">
        <v>211</v>
      </c>
      <c r="M7" s="137" t="s">
        <v>212</v>
      </c>
    </row>
    <row r="8" spans="2:13" ht="24" customHeight="1" thickBot="1" x14ac:dyDescent="0.3">
      <c r="B8" s="173" t="str">
        <f>SEC_Processes!D14</f>
        <v>HPL_EX_HC</v>
      </c>
      <c r="C8" s="173" t="str">
        <f>SEC_Processes!E14</f>
        <v>Existing Hard Coal Heat Only Plants</v>
      </c>
      <c r="D8" s="173" t="s">
        <v>150</v>
      </c>
      <c r="E8" s="173" t="str">
        <f>SEC_Comm!C11</f>
        <v>HEAT_HT</v>
      </c>
      <c r="F8" s="256">
        <f>(H8*G8*K8)/(BALANCE!G15*BALANCE!H15/10^6)</f>
        <v>0.90573900332985746</v>
      </c>
      <c r="G8" s="202">
        <v>31.536000000000001</v>
      </c>
      <c r="H8" s="173">
        <f>BALANCE!D15</f>
        <v>19.806000000000001</v>
      </c>
      <c r="I8" s="173">
        <f>H8</f>
        <v>19.806000000000001</v>
      </c>
      <c r="J8" s="201">
        <v>1</v>
      </c>
      <c r="K8" s="201">
        <f>ROUNDUP((BALANCE!F15/1000)/(H8*G8),2)</f>
        <v>0.14000000000000001</v>
      </c>
      <c r="L8" s="263">
        <v>14.323</v>
      </c>
      <c r="M8" s="263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5"/>
  <sheetViews>
    <sheetView topLeftCell="A6" zoomScale="190" zoomScaleNormal="190" workbookViewId="0">
      <selection activeCell="I8" sqref="I8"/>
    </sheetView>
  </sheetViews>
  <sheetFormatPr defaultRowHeight="13.2" x14ac:dyDescent="0.25"/>
  <cols>
    <col min="1" max="1" width="2.88671875" customWidth="1"/>
    <col min="2" max="2" width="16.5546875" customWidth="1"/>
    <col min="3" max="3" width="66.109375" customWidth="1"/>
    <col min="4" max="4" width="12.109375" customWidth="1"/>
    <col min="5" max="5" width="13.5546875" customWidth="1"/>
    <col min="6" max="6" width="10" customWidth="1"/>
    <col min="9" max="9" width="53.33203125" customWidth="1"/>
  </cols>
  <sheetData>
    <row r="2" spans="2:9" ht="17.399999999999999" x14ac:dyDescent="0.3">
      <c r="B2" s="270" t="s">
        <v>180</v>
      </c>
      <c r="C2" s="161"/>
      <c r="E2" s="146"/>
    </row>
    <row r="3" spans="2:9" x14ac:dyDescent="0.25">
      <c r="B3" s="151"/>
      <c r="C3" s="145"/>
      <c r="E3" s="146"/>
    </row>
    <row r="4" spans="2:9" ht="15.75" customHeight="1" x14ac:dyDescent="0.25">
      <c r="E4" s="156" t="s">
        <v>129</v>
      </c>
      <c r="F4" s="154"/>
    </row>
    <row r="5" spans="2:9" ht="15.75" customHeight="1" x14ac:dyDescent="0.25">
      <c r="B5" s="274" t="s">
        <v>76</v>
      </c>
      <c r="C5" s="274" t="s">
        <v>130</v>
      </c>
      <c r="D5" s="274" t="s">
        <v>131</v>
      </c>
      <c r="E5" s="274" t="s">
        <v>132</v>
      </c>
      <c r="F5" s="274" t="s">
        <v>133</v>
      </c>
      <c r="I5" s="165"/>
    </row>
    <row r="6" spans="2:9" ht="31.65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</row>
    <row r="7" spans="2:9" ht="31.65" customHeight="1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</row>
    <row r="8" spans="2:9" ht="15.75" customHeight="1" x14ac:dyDescent="0.25">
      <c r="B8" s="192" t="str">
        <f>SEC_Processes!D15</f>
        <v>TRANSF_HV-LV</v>
      </c>
      <c r="C8" s="192" t="str">
        <f>SEC_Processes!E15</f>
        <v>Electricity Transformation and Distribution High Voltage to Low Voltage</v>
      </c>
      <c r="D8" s="192" t="str">
        <f>SEC_Comm!C8</f>
        <v>ELEC_HV</v>
      </c>
      <c r="E8" s="192" t="str">
        <f>SEC_Comm!C10</f>
        <v>ELEC_LV</v>
      </c>
      <c r="F8" s="257">
        <f>BALANCE!E29*BALANCE!E30*BALANCE!E31</f>
        <v>0.90779680266244211</v>
      </c>
      <c r="H8" s="1">
        <f>1-F8</f>
        <v>9.2203197337557885E-2</v>
      </c>
    </row>
    <row r="9" spans="2:9" ht="15.75" customHeight="1" thickBot="1" x14ac:dyDescent="0.3">
      <c r="B9" s="173" t="str">
        <f>SEC_Processes!D16</f>
        <v>TRANSF_HT-LT</v>
      </c>
      <c r="C9" s="173" t="str">
        <f>SEC_Processes!E16</f>
        <v>Heat Transformation and Distribution</v>
      </c>
      <c r="D9" s="177" t="str">
        <f>SEC_Comm!C11</f>
        <v>HEAT_HT</v>
      </c>
      <c r="E9" s="177" t="str">
        <f>SEC_Comm!C12</f>
        <v>HEAT_LT</v>
      </c>
      <c r="F9" s="258">
        <f>BALANCE!E32</f>
        <v>0.85899999999999999</v>
      </c>
    </row>
    <row r="14" spans="2:9" x14ac:dyDescent="0.25">
      <c r="E14" s="143"/>
      <c r="F14" s="143"/>
    </row>
    <row r="15" spans="2:9" x14ac:dyDescent="0.25">
      <c r="E15" s="14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H15"/>
  <sheetViews>
    <sheetView zoomScale="115" zoomScaleNormal="115" workbookViewId="0">
      <selection activeCell="B8" sqref="B8:B12"/>
    </sheetView>
  </sheetViews>
  <sheetFormatPr defaultRowHeight="13.2" x14ac:dyDescent="0.25"/>
  <cols>
    <col min="1" max="1" width="2.88671875" customWidth="1"/>
    <col min="2" max="2" width="20.6640625" customWidth="1"/>
    <col min="3" max="3" width="13.88671875" customWidth="1"/>
    <col min="6" max="6" width="10.6640625" customWidth="1"/>
  </cols>
  <sheetData>
    <row r="2" spans="2:8" ht="15" x14ac:dyDescent="0.25">
      <c r="B2" s="188" t="s">
        <v>181</v>
      </c>
      <c r="C2" s="159"/>
      <c r="D2" s="159"/>
      <c r="E2" s="159"/>
      <c r="F2" s="159"/>
      <c r="G2" s="159"/>
      <c r="H2" s="159"/>
    </row>
    <row r="3" spans="2:8" x14ac:dyDescent="0.25">
      <c r="B3" s="189"/>
      <c r="C3" s="189"/>
      <c r="D3" s="189"/>
      <c r="E3" s="189"/>
      <c r="F3" s="160"/>
      <c r="G3" s="160"/>
      <c r="H3" s="160"/>
    </row>
    <row r="4" spans="2:8" ht="15.75" customHeight="1" x14ac:dyDescent="0.25">
      <c r="B4" s="158"/>
      <c r="C4" s="156" t="s">
        <v>182</v>
      </c>
      <c r="D4" s="160"/>
      <c r="E4" s="160"/>
    </row>
    <row r="5" spans="2:8" ht="15.75" customHeight="1" x14ac:dyDescent="0.25">
      <c r="B5" s="274" t="s">
        <v>76</v>
      </c>
      <c r="C5" s="274" t="s">
        <v>33</v>
      </c>
      <c r="D5" s="274" t="s">
        <v>150</v>
      </c>
      <c r="E5" s="274" t="s">
        <v>151</v>
      </c>
      <c r="F5" s="274" t="s">
        <v>178</v>
      </c>
      <c r="H5" s="266" t="s">
        <v>183</v>
      </c>
    </row>
    <row r="6" spans="2:8" ht="39.6" x14ac:dyDescent="0.25">
      <c r="B6" s="138" t="s">
        <v>140</v>
      </c>
      <c r="C6" s="138" t="s">
        <v>184</v>
      </c>
      <c r="D6" s="305" t="s">
        <v>185</v>
      </c>
      <c r="E6" s="305"/>
      <c r="F6" s="305"/>
    </row>
    <row r="7" spans="2:8" ht="27" thickBot="1" x14ac:dyDescent="0.3">
      <c r="B7" s="137" t="s">
        <v>213</v>
      </c>
      <c r="C7" s="137" t="s">
        <v>218</v>
      </c>
      <c r="D7" s="306" t="s">
        <v>219</v>
      </c>
      <c r="E7" s="306"/>
      <c r="F7" s="306"/>
    </row>
    <row r="8" spans="2:8" ht="15.75" customHeight="1" x14ac:dyDescent="0.25">
      <c r="B8" s="167" t="str">
        <f>SEC_Processes!D10</f>
        <v>ELE_EX_HC</v>
      </c>
      <c r="C8" s="170" t="s">
        <v>61</v>
      </c>
      <c r="D8" s="259">
        <v>94.19</v>
      </c>
      <c r="E8" s="259"/>
      <c r="F8" s="259"/>
    </row>
    <row r="9" spans="2:8" ht="15.75" customHeight="1" x14ac:dyDescent="0.25">
      <c r="B9" s="190" t="str">
        <f>SEC_Processes!D11</f>
        <v>ELE_EX_BC</v>
      </c>
      <c r="C9" s="191" t="s">
        <v>61</v>
      </c>
      <c r="D9" s="260"/>
      <c r="E9" s="260">
        <v>109.08</v>
      </c>
      <c r="F9" s="260"/>
    </row>
    <row r="10" spans="2:8" ht="15.75" customHeight="1" x14ac:dyDescent="0.25">
      <c r="B10" s="167" t="str">
        <f>SEC_Processes!D12</f>
        <v>CHP_EX_HC</v>
      </c>
      <c r="C10" s="170" t="s">
        <v>61</v>
      </c>
      <c r="D10" s="259">
        <v>94.19</v>
      </c>
      <c r="E10" s="259"/>
      <c r="F10" s="259"/>
    </row>
    <row r="11" spans="2:8" ht="15.75" customHeight="1" x14ac:dyDescent="0.25">
      <c r="B11" s="190" t="str">
        <f>SEC_Processes!D13</f>
        <v>CHP_EX_NAT-GAS</v>
      </c>
      <c r="C11" s="191" t="s">
        <v>61</v>
      </c>
      <c r="D11" s="260"/>
      <c r="E11" s="260"/>
      <c r="F11" s="260">
        <v>55.82</v>
      </c>
    </row>
    <row r="12" spans="2:8" ht="15.75" customHeight="1" thickBot="1" x14ac:dyDescent="0.3">
      <c r="B12" s="173" t="str">
        <f>SEC_Processes!D14</f>
        <v>HPL_EX_HC</v>
      </c>
      <c r="C12" s="175" t="s">
        <v>61</v>
      </c>
      <c r="D12" s="261">
        <v>94.19</v>
      </c>
      <c r="E12" s="262"/>
      <c r="F12" s="262"/>
      <c r="H12" s="143"/>
    </row>
    <row r="15" spans="2:8" x14ac:dyDescent="0.25">
      <c r="F15" t="s">
        <v>192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10" ma:contentTypeDescription="Utwórz nowy dokument." ma:contentTypeScope="" ma:versionID="1f21ff8f97de4b789bc4de27e9dfbc93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38343f8cc00e937f4337ead777a5e6c0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6E83CE-21B4-4918-91B4-92697BE70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Piotr Fidyt</cp:lastModifiedBy>
  <cp:revision/>
  <dcterms:created xsi:type="dcterms:W3CDTF">2000-12-13T15:53:11Z</dcterms:created>
  <dcterms:modified xsi:type="dcterms:W3CDTF">2024-06-27T15:07:42Z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