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6FB467CF-7724-49CC-99C4-CE40733839D0}" xr6:coauthVersionLast="47" xr6:coauthVersionMax="47" xr10:uidLastSave="{00000000-0000-0000-0000-000000000000}"/>
  <bookViews>
    <workbookView xWindow="-120" yWindow="-120" windowWidth="29040" windowHeight="15720" activeTab="2" xr2:uid="{768FE421-B595-4713-9FAE-0514A23191D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3" l="1"/>
  <c r="G107" i="3"/>
  <c r="H102" i="3"/>
  <c r="G102" i="3"/>
  <c r="Q29" i="3"/>
  <c r="H17" i="3"/>
  <c r="G17" i="3"/>
  <c r="C103" i="3"/>
  <c r="D103" i="3" s="1"/>
  <c r="E103" i="3"/>
  <c r="F103" i="3" s="1"/>
  <c r="C104" i="3"/>
  <c r="D104" i="3" s="1"/>
  <c r="E104" i="3"/>
  <c r="F104" i="3"/>
  <c r="C105" i="3"/>
  <c r="D105" i="3"/>
  <c r="E105" i="3"/>
  <c r="F105" i="3"/>
  <c r="C106" i="3"/>
  <c r="D106" i="3"/>
  <c r="E106" i="3"/>
  <c r="F106" i="3"/>
  <c r="K9" i="3"/>
  <c r="P11" i="3"/>
  <c r="O11" i="3"/>
  <c r="K8" i="3"/>
  <c r="I24" i="3"/>
  <c r="I23" i="3"/>
  <c r="L4" i="3"/>
  <c r="K4" i="3"/>
  <c r="C14" i="3"/>
  <c r="D14" i="3" s="1"/>
  <c r="E14" i="3"/>
  <c r="F14" i="3"/>
  <c r="C15" i="3"/>
  <c r="D15" i="3" s="1"/>
  <c r="E15" i="3"/>
  <c r="F15" i="3" s="1"/>
  <c r="C16" i="3"/>
  <c r="D16" i="3" s="1"/>
  <c r="E16" i="3"/>
  <c r="F16" i="3"/>
  <c r="C17" i="3"/>
  <c r="D17" i="3"/>
  <c r="E17" i="3"/>
  <c r="F17" i="3"/>
  <c r="C18" i="3"/>
  <c r="D18" i="3" s="1"/>
  <c r="E18" i="3"/>
  <c r="F18" i="3"/>
  <c r="C19" i="3"/>
  <c r="D19" i="3" s="1"/>
  <c r="E19" i="3"/>
  <c r="F19" i="3" s="1"/>
  <c r="C20" i="3"/>
  <c r="D20" i="3"/>
  <c r="E20" i="3"/>
  <c r="F20" i="3"/>
  <c r="C21" i="3"/>
  <c r="D21" i="3"/>
  <c r="E21" i="3"/>
  <c r="F21" i="3"/>
  <c r="C22" i="3"/>
  <c r="D22" i="3" s="1"/>
  <c r="E22" i="3"/>
  <c r="F22" i="3"/>
  <c r="C23" i="3"/>
  <c r="D23" i="3" s="1"/>
  <c r="E23" i="3"/>
  <c r="F23" i="3" s="1"/>
  <c r="C24" i="3"/>
  <c r="D24" i="3"/>
  <c r="E24" i="3"/>
  <c r="F24" i="3"/>
  <c r="C25" i="3"/>
  <c r="D25" i="3"/>
  <c r="E25" i="3"/>
  <c r="F25" i="3"/>
  <c r="C26" i="3"/>
  <c r="D26" i="3" s="1"/>
  <c r="E26" i="3"/>
  <c r="F26" i="3"/>
  <c r="C27" i="3"/>
  <c r="D27" i="3" s="1"/>
  <c r="E27" i="3"/>
  <c r="F27" i="3" s="1"/>
  <c r="C28" i="3"/>
  <c r="D28" i="3"/>
  <c r="E28" i="3"/>
  <c r="F28" i="3"/>
  <c r="C29" i="3"/>
  <c r="D29" i="3"/>
  <c r="E29" i="3"/>
  <c r="F29" i="3"/>
  <c r="C30" i="3"/>
  <c r="D30" i="3" s="1"/>
  <c r="E30" i="3"/>
  <c r="F30" i="3"/>
  <c r="C31" i="3"/>
  <c r="D31" i="3" s="1"/>
  <c r="E31" i="3"/>
  <c r="F31" i="3" s="1"/>
  <c r="C32" i="3"/>
  <c r="D32" i="3"/>
  <c r="E32" i="3"/>
  <c r="F32" i="3"/>
  <c r="C33" i="3"/>
  <c r="D33" i="3"/>
  <c r="E33" i="3"/>
  <c r="F33" i="3"/>
  <c r="C34" i="3"/>
  <c r="D34" i="3" s="1"/>
  <c r="E34" i="3"/>
  <c r="F34" i="3"/>
  <c r="C35" i="3"/>
  <c r="D35" i="3" s="1"/>
  <c r="E35" i="3"/>
  <c r="F35" i="3" s="1"/>
  <c r="C36" i="3"/>
  <c r="D36" i="3"/>
  <c r="E36" i="3"/>
  <c r="F36" i="3"/>
  <c r="C37" i="3"/>
  <c r="D37" i="3"/>
  <c r="E37" i="3"/>
  <c r="F37" i="3"/>
  <c r="C38" i="3"/>
  <c r="D38" i="3" s="1"/>
  <c r="E38" i="3"/>
  <c r="F38" i="3"/>
  <c r="C39" i="3"/>
  <c r="D39" i="3" s="1"/>
  <c r="E39" i="3"/>
  <c r="F39" i="3" s="1"/>
  <c r="C40" i="3"/>
  <c r="D40" i="3"/>
  <c r="E40" i="3"/>
  <c r="F40" i="3"/>
  <c r="C41" i="3"/>
  <c r="D41" i="3"/>
  <c r="E41" i="3"/>
  <c r="F41" i="3"/>
  <c r="C42" i="3"/>
  <c r="D42" i="3" s="1"/>
  <c r="E42" i="3"/>
  <c r="F42" i="3"/>
  <c r="C43" i="3"/>
  <c r="D43" i="3" s="1"/>
  <c r="E43" i="3"/>
  <c r="F43" i="3" s="1"/>
  <c r="C44" i="3"/>
  <c r="D44" i="3"/>
  <c r="E44" i="3"/>
  <c r="F44" i="3"/>
  <c r="C45" i="3"/>
  <c r="D45" i="3"/>
  <c r="E45" i="3"/>
  <c r="F45" i="3"/>
  <c r="C46" i="3"/>
  <c r="D46" i="3" s="1"/>
  <c r="E46" i="3"/>
  <c r="F46" i="3"/>
  <c r="C47" i="3"/>
  <c r="D47" i="3" s="1"/>
  <c r="E47" i="3"/>
  <c r="F47" i="3" s="1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 s="1"/>
  <c r="E51" i="3"/>
  <c r="F51" i="3" s="1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 s="1"/>
  <c r="E55" i="3"/>
  <c r="F55" i="3" s="1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 s="1"/>
  <c r="E59" i="3"/>
  <c r="F59" i="3" s="1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 s="1"/>
  <c r="E63" i="3"/>
  <c r="F63" i="3" s="1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 s="1"/>
  <c r="E67" i="3"/>
  <c r="F67" i="3" s="1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 s="1"/>
  <c r="E71" i="3"/>
  <c r="F71" i="3" s="1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 s="1"/>
  <c r="E75" i="3"/>
  <c r="F75" i="3" s="1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 s="1"/>
  <c r="E79" i="3"/>
  <c r="F79" i="3" s="1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 s="1"/>
  <c r="E83" i="3"/>
  <c r="F83" i="3" s="1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 s="1"/>
  <c r="E87" i="3"/>
  <c r="F87" i="3" s="1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 s="1"/>
  <c r="E91" i="3"/>
  <c r="F91" i="3" s="1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 s="1"/>
  <c r="E95" i="3"/>
  <c r="F95" i="3" s="1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 s="1"/>
  <c r="E99" i="3"/>
  <c r="F99" i="3" s="1"/>
  <c r="C100" i="3"/>
  <c r="D100" i="3"/>
  <c r="E100" i="3"/>
  <c r="F100" i="3"/>
  <c r="C101" i="3"/>
  <c r="D101" i="3"/>
  <c r="E101" i="3"/>
  <c r="F101" i="3"/>
  <c r="C102" i="3"/>
  <c r="D102" i="3"/>
  <c r="E102" i="3"/>
  <c r="F102" i="3"/>
  <c r="C5" i="3"/>
  <c r="D5" i="3" s="1"/>
  <c r="E5" i="3"/>
  <c r="F5" i="3" s="1"/>
  <c r="C6" i="3"/>
  <c r="D6" i="3"/>
  <c r="E6" i="3"/>
  <c r="F6" i="3" s="1"/>
  <c r="C7" i="3"/>
  <c r="D7" i="3" s="1"/>
  <c r="E7" i="3"/>
  <c r="F7" i="3"/>
  <c r="C8" i="3"/>
  <c r="D8" i="3"/>
  <c r="E8" i="3"/>
  <c r="F8" i="3"/>
  <c r="C9" i="3"/>
  <c r="D9" i="3" s="1"/>
  <c r="E9" i="3"/>
  <c r="F9" i="3"/>
  <c r="C10" i="3"/>
  <c r="D10" i="3" s="1"/>
  <c r="E10" i="3"/>
  <c r="F10" i="3"/>
  <c r="C11" i="3"/>
  <c r="D11" i="3"/>
  <c r="E11" i="3"/>
  <c r="F11" i="3" s="1"/>
  <c r="C12" i="3"/>
  <c r="D12" i="3" s="1"/>
  <c r="E12" i="3"/>
  <c r="F12" i="3" s="1"/>
  <c r="C13" i="3"/>
  <c r="D13" i="3" s="1"/>
  <c r="E13" i="3"/>
  <c r="F13" i="3"/>
  <c r="E4" i="3"/>
  <c r="F4" i="3" s="1"/>
  <c r="C4" i="3"/>
  <c r="D4" i="3" s="1"/>
  <c r="F3" i="3"/>
  <c r="D3" i="3"/>
  <c r="F12" i="2" l="1"/>
  <c r="F10" i="2"/>
  <c r="F9" i="2"/>
  <c r="R19" i="2"/>
  <c r="R18" i="2"/>
  <c r="F11" i="2"/>
  <c r="C23" i="2"/>
  <c r="J24" i="2"/>
  <c r="M22" i="2"/>
  <c r="M31" i="2"/>
  <c r="M30" i="2"/>
  <c r="L31" i="2"/>
  <c r="L30" i="2"/>
  <c r="D17" i="2"/>
  <c r="J28" i="2"/>
  <c r="J27" i="2"/>
  <c r="J22" i="2"/>
  <c r="K22" i="2" s="1"/>
  <c r="K28" i="2"/>
  <c r="Q26" i="2"/>
  <c r="Q27" i="2" s="1"/>
  <c r="K27" i="2"/>
  <c r="Q31" i="2"/>
  <c r="Q30" i="2"/>
  <c r="O31" i="2"/>
  <c r="C33" i="2"/>
  <c r="I40" i="2"/>
  <c r="J37" i="2"/>
  <c r="G39" i="2"/>
  <c r="I39" i="2" s="1"/>
  <c r="T15" i="2"/>
  <c r="T14" i="2"/>
  <c r="S14" i="2"/>
  <c r="S15" i="2"/>
  <c r="R15" i="2"/>
  <c r="R14" i="2"/>
  <c r="P14" i="2"/>
  <c r="P15" i="2"/>
  <c r="O15" i="2"/>
  <c r="O14" i="2"/>
  <c r="M15" i="2"/>
  <c r="M14" i="2"/>
  <c r="L15" i="2"/>
  <c r="L14" i="2"/>
  <c r="I24" i="2" l="1"/>
  <c r="K24" i="2" s="1"/>
  <c r="N34" i="1" l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O33" i="1"/>
  <c r="N33" i="1"/>
  <c r="H44" i="1" l="1"/>
  <c r="K44" i="1" s="1"/>
  <c r="G44" i="1"/>
  <c r="J44" i="1" s="1"/>
  <c r="H43" i="1"/>
  <c r="K43" i="1" s="1"/>
  <c r="G43" i="1"/>
  <c r="J43" i="1" s="1"/>
  <c r="H42" i="1"/>
  <c r="K42" i="1" s="1"/>
  <c r="G42" i="1"/>
  <c r="J42" i="1" s="1"/>
  <c r="H41" i="1"/>
  <c r="K41" i="1" s="1"/>
  <c r="G41" i="1"/>
  <c r="J41" i="1" s="1"/>
  <c r="H40" i="1"/>
  <c r="K40" i="1" s="1"/>
  <c r="G40" i="1"/>
  <c r="J40" i="1" s="1"/>
  <c r="H39" i="1"/>
  <c r="K39" i="1" s="1"/>
  <c r="G39" i="1"/>
  <c r="J39" i="1" s="1"/>
  <c r="H38" i="1"/>
  <c r="K38" i="1" s="1"/>
  <c r="G38" i="1"/>
  <c r="J38" i="1" s="1"/>
  <c r="H37" i="1"/>
  <c r="K37" i="1" s="1"/>
  <c r="G37" i="1"/>
  <c r="J37" i="1" s="1"/>
  <c r="K36" i="1"/>
  <c r="J36" i="1"/>
  <c r="H36" i="1"/>
  <c r="G36" i="1"/>
  <c r="H35" i="1"/>
  <c r="K35" i="1" s="1"/>
  <c r="G35" i="1"/>
  <c r="J35" i="1" s="1"/>
  <c r="H34" i="1"/>
  <c r="K34" i="1" s="1"/>
  <c r="G34" i="1"/>
  <c r="J34" i="1" s="1"/>
  <c r="H33" i="1"/>
  <c r="K33" i="1" s="1"/>
  <c r="G33" i="1"/>
  <c r="J33" i="1" s="1"/>
  <c r="R12" i="1"/>
  <c r="R13" i="1"/>
  <c r="R14" i="1"/>
  <c r="R11" i="1"/>
  <c r="S9" i="1"/>
  <c r="M28" i="1"/>
  <c r="M27" i="1"/>
  <c r="M26" i="1"/>
  <c r="M25" i="1"/>
  <c r="M22" i="1"/>
  <c r="M21" i="1"/>
  <c r="M20" i="1"/>
  <c r="M19" i="1"/>
  <c r="M13" i="1"/>
  <c r="M14" i="1"/>
  <c r="M15" i="1"/>
  <c r="M12" i="1"/>
  <c r="N28" i="1"/>
  <c r="N27" i="1"/>
  <c r="N26" i="1"/>
  <c r="N25" i="1"/>
  <c r="N22" i="1"/>
  <c r="N21" i="1"/>
  <c r="N20" i="1"/>
  <c r="N19" i="1"/>
  <c r="N13" i="1"/>
  <c r="N14" i="1"/>
  <c r="N15" i="1"/>
  <c r="N12" i="1"/>
  <c r="I28" i="1"/>
  <c r="H28" i="1"/>
  <c r="I27" i="1"/>
  <c r="H27" i="1"/>
  <c r="I26" i="1"/>
  <c r="H26" i="1"/>
  <c r="I25" i="1"/>
  <c r="H25" i="1"/>
  <c r="I22" i="1"/>
  <c r="H22" i="1"/>
  <c r="I21" i="1"/>
  <c r="H21" i="1"/>
  <c r="I20" i="1"/>
  <c r="H20" i="1"/>
  <c r="I19" i="1"/>
  <c r="H19" i="1"/>
  <c r="I12" i="1"/>
  <c r="I13" i="1"/>
  <c r="I14" i="1"/>
  <c r="I15" i="1"/>
  <c r="H13" i="1"/>
  <c r="H14" i="1"/>
  <c r="H15" i="1"/>
  <c r="H12" i="1"/>
</calcChain>
</file>

<file path=xl/sharedStrings.xml><?xml version="1.0" encoding="utf-8"?>
<sst xmlns="http://schemas.openxmlformats.org/spreadsheetml/2006/main" count="232" uniqueCount="124">
  <si>
    <t>Giampieri</t>
  </si>
  <si>
    <t>j=3</t>
  </si>
  <si>
    <t>j=2</t>
  </si>
  <si>
    <t>j=1</t>
  </si>
  <si>
    <t>j=4</t>
  </si>
  <si>
    <t>ref</t>
  </si>
  <si>
    <t>ii</t>
  </si>
  <si>
    <t>iii</t>
  </si>
  <si>
    <t>iv</t>
  </si>
  <si>
    <t>gh2 pipe</t>
  </si>
  <si>
    <t>lh2 ship</t>
  </si>
  <si>
    <t>ammonia ship</t>
  </si>
  <si>
    <t>ammonia pipe</t>
  </si>
  <si>
    <t>LCOH min pounds</t>
  </si>
  <si>
    <t>LCOH max pounds</t>
  </si>
  <si>
    <t>pounds/eur</t>
  </si>
  <si>
    <t>LCOH min eur</t>
  </si>
  <si>
    <t>LCOH max eur</t>
  </si>
  <si>
    <t>actual</t>
  </si>
  <si>
    <t>2025 values</t>
  </si>
  <si>
    <t>max</t>
  </si>
  <si>
    <t>min</t>
  </si>
  <si>
    <t>does not include solar</t>
  </si>
  <si>
    <t>dollar/eur</t>
  </si>
  <si>
    <t>dollar to make profit</t>
  </si>
  <si>
    <t>eur to profit</t>
  </si>
  <si>
    <t>rios 2024</t>
  </si>
  <si>
    <t>Profit?</t>
  </si>
  <si>
    <t>Year</t>
  </si>
  <si>
    <t>Configuration</t>
  </si>
  <si>
    <t>Literature Scenario</t>
  </si>
  <si>
    <t>Model Scenario</t>
  </si>
  <si>
    <t>LCOH min [£/kg]</t>
  </si>
  <si>
    <t>LCOH max [£/kg]</t>
  </si>
  <si>
    <t>LCOH min [€/kg]</t>
  </si>
  <si>
    <t>LCOH max [€/kg]</t>
  </si>
  <si>
    <t>LCOH Model [€/kg]</t>
  </si>
  <si>
    <t>Exceeds lower bound</t>
  </si>
  <si>
    <t>Exceeds upper bound</t>
  </si>
  <si>
    <t>GH2 pipe</t>
  </si>
  <si>
    <t>LH2 ship</t>
  </si>
  <si>
    <t>NH3 ship</t>
  </si>
  <si>
    <t>NH3 pipe</t>
  </si>
  <si>
    <t>Delivered cost [€/kg]</t>
  </si>
  <si>
    <t>Scope 1</t>
  </si>
  <si>
    <t>Scope 2</t>
  </si>
  <si>
    <t>Scope 3</t>
  </si>
  <si>
    <t>• leakage potential (lower)
• pumping stations (fossil)</t>
  </si>
  <si>
    <t>• leakage potential
• compression (fossil)</t>
  </si>
  <si>
    <t>• shipping fuel</t>
  </si>
  <si>
    <t>• conversion</t>
  </si>
  <si>
    <t>• compression (fossil grid)</t>
  </si>
  <si>
    <t>• pumping (fossil grid)
• conversion</t>
  </si>
  <si>
    <t>• reconversion</t>
  </si>
  <si>
    <t>• pipeline materials</t>
  </si>
  <si>
    <t>• pipeline materials
• reconversion</t>
  </si>
  <si>
    <t>• shipping fuel
• refrigeration (fuel)</t>
  </si>
  <si>
    <t>• liquefaction
• refrigeration (fossil grid)</t>
  </si>
  <si>
    <t>co2 estimation</t>
  </si>
  <si>
    <r>
      <t xml:space="preserve">26.3 ton fuel per trip, and 12 trips per year (or 27 trips if using same ships but accounting for FPSO storage capacity) 0.710kt/y
</t>
    </r>
    <r>
      <rPr>
        <b/>
        <sz val="11"/>
        <color theme="1"/>
        <rFont val="Aptos Narrow"/>
        <family val="2"/>
        <scheme val="minor"/>
      </rPr>
      <t>3.206*0.710= 2.28ktCO2/y</t>
    </r>
  </si>
  <si>
    <r>
      <t>3.35 t/trip, but 1363 trips/y, therefore 4.5kt/y
3.206*4.5=</t>
    </r>
    <r>
      <rPr>
        <b/>
        <sz val="11"/>
        <color theme="1"/>
        <rFont val="Aptos Narrow"/>
        <family val="2"/>
        <scheme val="minor"/>
      </rPr>
      <t>14.4ktCO2/y</t>
    </r>
  </si>
  <si>
    <t>Conversion</t>
  </si>
  <si>
    <t>Storage</t>
  </si>
  <si>
    <t>kwh/tonh2</t>
  </si>
  <si>
    <t>LH2</t>
  </si>
  <si>
    <t>NH3</t>
  </si>
  <si>
    <t>kwh/y</t>
  </si>
  <si>
    <t>demand</t>
  </si>
  <si>
    <t>ton/y</t>
  </si>
  <si>
    <t>kgCO2/y</t>
  </si>
  <si>
    <t>emission factor grey electricity</t>
  </si>
  <si>
    <t>kgCO2/kWh</t>
  </si>
  <si>
    <t>tCO2/y</t>
  </si>
  <si>
    <t>682ktCO2/y</t>
  </si>
  <si>
    <t>277ktCO2/y</t>
  </si>
  <si>
    <t>Reconv</t>
  </si>
  <si>
    <t>(x13/20)</t>
  </si>
  <si>
    <t>total grey</t>
  </si>
  <si>
    <t>total green</t>
  </si>
  <si>
    <t>source</t>
  </si>
  <si>
    <t>https://www.climateneutralgroup.com/wp-content/uploads/2022/01/220131-CNG-methodology-on-emission-factors.pdf</t>
  </si>
  <si>
    <t>GH2</t>
  </si>
  <si>
    <t>kwh/kg</t>
  </si>
  <si>
    <t>1 pumping station for 102 km</t>
  </si>
  <si>
    <t>power</t>
  </si>
  <si>
    <t>18.2 kw</t>
  </si>
  <si>
    <t>Q kg/h</t>
  </si>
  <si>
    <t>W</t>
  </si>
  <si>
    <t>kg/s</t>
  </si>
  <si>
    <t>kg/h</t>
  </si>
  <si>
    <t>MW</t>
  </si>
  <si>
    <t>KW</t>
  </si>
  <si>
    <t>E=p*t [Wh]</t>
  </si>
  <si>
    <t>[kWh/y</t>
  </si>
  <si>
    <t>kWh/kg</t>
  </si>
  <si>
    <t>kJ/kgH2</t>
  </si>
  <si>
    <t>J/kgH2</t>
  </si>
  <si>
    <t>kgm2/s2kgH2</t>
  </si>
  <si>
    <t>Wh/kg</t>
  </si>
  <si>
    <t>based on [4]</t>
  </si>
  <si>
    <t>scaled to distance</t>
  </si>
  <si>
    <t>kg</t>
  </si>
  <si>
    <t>kt</t>
  </si>
  <si>
    <t>32.7 ktCO2/y (TNO 2020)
23.8 ktCO2/y (Bartels 2008)</t>
  </si>
  <si>
    <t>10.1 ktCO2/y</t>
  </si>
  <si>
    <t>-</t>
  </si>
  <si>
    <t>x42-x70 steel (d=0.203m, l = 102km, wt=1mm )</t>
  </si>
  <si>
    <t>x42 steel (d=0.25m, l=102km, wt=1mm)</t>
  </si>
  <si>
    <t>kt steel</t>
  </si>
  <si>
    <t>tCO2/tsteel</t>
  </si>
  <si>
    <t>t steel</t>
  </si>
  <si>
    <t>tCO2</t>
  </si>
  <si>
    <r>
      <t xml:space="preserve">2kt steel
</t>
    </r>
    <r>
      <rPr>
        <b/>
        <sz val="11"/>
        <color theme="1"/>
        <rFont val="Aptos Narrow"/>
        <family val="2"/>
        <scheme val="minor"/>
      </rPr>
      <t>2.8ktCO2</t>
    </r>
  </si>
  <si>
    <t>264ktCO2/y</t>
  </si>
  <si>
    <t>419ktCO2/y</t>
  </si>
  <si>
    <t>171ktCO2/y</t>
  </si>
  <si>
    <r>
      <t xml:space="preserve">2kt steel
</t>
    </r>
    <r>
      <rPr>
        <b/>
        <sz val="11"/>
        <color theme="1"/>
        <rFont val="Aptos Narrow"/>
        <family val="2"/>
        <scheme val="minor"/>
      </rPr>
      <t>2.8ktCO2
171ktCO2/y (reconv)</t>
    </r>
  </si>
  <si>
    <t>A1</t>
  </si>
  <si>
    <t>A2</t>
  </si>
  <si>
    <t>A2 %</t>
  </si>
  <si>
    <t>+</t>
  </si>
  <si>
    <t>j3</t>
  </si>
  <si>
    <t>A1 LCOH %</t>
  </si>
  <si>
    <t>A1 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</si>
</sst>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2" borderId="0" xfId="1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2" fillId="0" borderId="0" xfId="0" applyFont="1" applyAlignment="1">
      <alignment wrapText="1"/>
    </xf>
    <xf numFmtId="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FBD5-944E-48CD-A597-7068BDA6CE08}">
  <dimension ref="A7:T44"/>
  <sheetViews>
    <sheetView topLeftCell="B27" zoomScale="85" zoomScaleNormal="85" workbookViewId="0">
      <selection activeCell="I33" sqref="I33"/>
    </sheetView>
  </sheetViews>
  <sheetFormatPr defaultRowHeight="15" x14ac:dyDescent="0.25"/>
  <sheetData>
    <row r="7" spans="2:20" x14ac:dyDescent="0.25">
      <c r="Q7" t="s">
        <v>26</v>
      </c>
    </row>
    <row r="8" spans="2:20" x14ac:dyDescent="0.25">
      <c r="Q8">
        <v>0.92</v>
      </c>
      <c r="R8" t="s">
        <v>23</v>
      </c>
    </row>
    <row r="9" spans="2:20" x14ac:dyDescent="0.25">
      <c r="C9" t="s">
        <v>22</v>
      </c>
      <c r="I9">
        <v>0.83</v>
      </c>
      <c r="J9" t="s">
        <v>15</v>
      </c>
      <c r="Q9">
        <v>5.5</v>
      </c>
      <c r="R9" t="s">
        <v>24</v>
      </c>
      <c r="S9">
        <f>Q9*Q8</f>
        <v>5.0600000000000005</v>
      </c>
      <c r="T9" t="s">
        <v>25</v>
      </c>
    </row>
    <row r="10" spans="2:20" x14ac:dyDescent="0.25">
      <c r="B10" t="s">
        <v>0</v>
      </c>
      <c r="C10" t="s">
        <v>19</v>
      </c>
      <c r="R10" t="s">
        <v>27</v>
      </c>
    </row>
    <row r="11" spans="2:20" x14ac:dyDescent="0.25">
      <c r="E11" t="s">
        <v>13</v>
      </c>
      <c r="F11" t="s">
        <v>14</v>
      </c>
      <c r="H11" t="s">
        <v>16</v>
      </c>
      <c r="I11" t="s">
        <v>17</v>
      </c>
      <c r="K11" t="s">
        <v>18</v>
      </c>
      <c r="M11" t="s">
        <v>21</v>
      </c>
      <c r="N11" t="s">
        <v>20</v>
      </c>
      <c r="Q11">
        <v>4.05</v>
      </c>
      <c r="R11" t="str">
        <f>IF(Q11&lt;$S$9,"True")</f>
        <v>True</v>
      </c>
    </row>
    <row r="12" spans="2:20" x14ac:dyDescent="0.25">
      <c r="B12" t="s">
        <v>9</v>
      </c>
      <c r="C12" t="s">
        <v>5</v>
      </c>
      <c r="D12" t="s">
        <v>1</v>
      </c>
      <c r="E12">
        <v>5.32</v>
      </c>
      <c r="F12">
        <v>10.99</v>
      </c>
      <c r="H12" s="1">
        <f>E12*$I$9</f>
        <v>4.4156000000000004</v>
      </c>
      <c r="I12" s="1">
        <f>F12*$I$9</f>
        <v>9.1217000000000006</v>
      </c>
      <c r="K12">
        <v>4.05</v>
      </c>
      <c r="M12" s="2" t="str">
        <f>IF(K12&gt;H12,"TRUE","FALSE")</f>
        <v>FALSE</v>
      </c>
      <c r="N12" t="str">
        <f>IF(K12&lt;I12,"TRUE","FALSE")</f>
        <v>TRUE</v>
      </c>
      <c r="Q12">
        <v>6.52</v>
      </c>
      <c r="R12" t="b">
        <f t="shared" ref="R12:R14" si="0">IF(Q12&lt;$S$9,"True")</f>
        <v>0</v>
      </c>
    </row>
    <row r="13" spans="2:20" x14ac:dyDescent="0.25">
      <c r="B13" t="s">
        <v>10</v>
      </c>
      <c r="C13" t="s">
        <v>6</v>
      </c>
      <c r="D13" t="s">
        <v>2</v>
      </c>
      <c r="E13">
        <v>4.8499999999999996</v>
      </c>
      <c r="F13">
        <v>25.27</v>
      </c>
      <c r="H13" s="1">
        <f t="shared" ref="H13:I15" si="1">E13*$I$9</f>
        <v>4.0254999999999992</v>
      </c>
      <c r="I13" s="1">
        <f t="shared" si="1"/>
        <v>20.9741</v>
      </c>
      <c r="K13">
        <v>6.52</v>
      </c>
      <c r="M13" t="str">
        <f t="shared" ref="M13:M15" si="2">IF(K13&gt;H13,"TRUE","FALSE")</f>
        <v>TRUE</v>
      </c>
      <c r="N13" t="str">
        <f>IF(K13&lt;I13,"TRUE","FALSE")</f>
        <v>TRUE</v>
      </c>
      <c r="Q13">
        <v>5.29</v>
      </c>
      <c r="R13" t="b">
        <f t="shared" si="0"/>
        <v>0</v>
      </c>
    </row>
    <row r="14" spans="2:20" x14ac:dyDescent="0.25">
      <c r="B14" t="s">
        <v>11</v>
      </c>
      <c r="C14" t="s">
        <v>7</v>
      </c>
      <c r="D14" t="s">
        <v>3</v>
      </c>
      <c r="E14">
        <v>6.2</v>
      </c>
      <c r="F14">
        <v>13.98</v>
      </c>
      <c r="H14" s="1">
        <f t="shared" si="1"/>
        <v>5.1459999999999999</v>
      </c>
      <c r="I14" s="1">
        <f t="shared" si="1"/>
        <v>11.603400000000001</v>
      </c>
      <c r="K14">
        <v>5.29</v>
      </c>
      <c r="M14" t="str">
        <f t="shared" si="2"/>
        <v>TRUE</v>
      </c>
      <c r="N14" t="str">
        <f>IF(K14&lt;I14,"TRUE","FALSE")</f>
        <v>TRUE</v>
      </c>
      <c r="Q14">
        <v>5.49</v>
      </c>
      <c r="R14" t="b">
        <f t="shared" si="0"/>
        <v>0</v>
      </c>
    </row>
    <row r="15" spans="2:20" x14ac:dyDescent="0.25">
      <c r="B15" t="s">
        <v>12</v>
      </c>
      <c r="C15" t="s">
        <v>8</v>
      </c>
      <c r="D15" t="s">
        <v>4</v>
      </c>
      <c r="E15">
        <v>6.26</v>
      </c>
      <c r="F15">
        <v>13.13</v>
      </c>
      <c r="H15" s="1">
        <f t="shared" si="1"/>
        <v>5.1957999999999993</v>
      </c>
      <c r="I15" s="1">
        <f t="shared" si="1"/>
        <v>10.8979</v>
      </c>
      <c r="K15">
        <v>5.49</v>
      </c>
      <c r="M15" t="str">
        <f t="shared" si="2"/>
        <v>TRUE</v>
      </c>
      <c r="N15" t="str">
        <f>IF(K15&lt;I15,"TRUE","FALSE")</f>
        <v>TRUE</v>
      </c>
    </row>
    <row r="17" spans="1:15" x14ac:dyDescent="0.25">
      <c r="C17">
        <v>2030</v>
      </c>
    </row>
    <row r="18" spans="1:15" x14ac:dyDescent="0.25">
      <c r="E18" t="s">
        <v>13</v>
      </c>
      <c r="F18" t="s">
        <v>14</v>
      </c>
      <c r="H18" t="s">
        <v>16</v>
      </c>
      <c r="I18" t="s">
        <v>17</v>
      </c>
      <c r="K18" t="s">
        <v>18</v>
      </c>
    </row>
    <row r="19" spans="1:15" x14ac:dyDescent="0.25">
      <c r="B19" t="s">
        <v>9</v>
      </c>
      <c r="C19" t="s">
        <v>5</v>
      </c>
      <c r="D19" t="s">
        <v>1</v>
      </c>
      <c r="E19">
        <v>4.1500000000000004</v>
      </c>
      <c r="F19">
        <v>8.56</v>
      </c>
      <c r="H19" s="1">
        <f>E19*$I$9</f>
        <v>3.4445000000000001</v>
      </c>
      <c r="I19" s="1">
        <f>F19*$I$9</f>
        <v>7.1048</v>
      </c>
      <c r="K19">
        <v>4.05</v>
      </c>
      <c r="M19" t="str">
        <f>IF(K19&gt;H19,"TRUE","FALSE")</f>
        <v>TRUE</v>
      </c>
      <c r="N19" t="str">
        <f>IF(K19&lt;I19,"TRUE","FALSE")</f>
        <v>TRUE</v>
      </c>
    </row>
    <row r="20" spans="1:15" x14ac:dyDescent="0.25">
      <c r="B20" t="s">
        <v>10</v>
      </c>
      <c r="C20" t="s">
        <v>6</v>
      </c>
      <c r="D20" t="s">
        <v>2</v>
      </c>
      <c r="E20">
        <v>3.11</v>
      </c>
      <c r="F20">
        <v>11.74</v>
      </c>
      <c r="H20" s="1">
        <f t="shared" ref="H20:H22" si="3">E20*$I$9</f>
        <v>2.5812999999999997</v>
      </c>
      <c r="I20" s="1">
        <f t="shared" ref="I20:I22" si="4">F20*$I$9</f>
        <v>9.7441999999999993</v>
      </c>
      <c r="K20">
        <v>6.52</v>
      </c>
      <c r="M20" t="str">
        <f t="shared" ref="M20:M22" si="5">IF(K20&gt;H20,"TRUE","FALSE")</f>
        <v>TRUE</v>
      </c>
      <c r="N20" t="str">
        <f>IF(K20&lt;I20,"TRUE","FALSE")</f>
        <v>TRUE</v>
      </c>
    </row>
    <row r="21" spans="1:15" x14ac:dyDescent="0.25">
      <c r="B21" t="s">
        <v>11</v>
      </c>
      <c r="C21" t="s">
        <v>7</v>
      </c>
      <c r="D21" t="s">
        <v>3</v>
      </c>
      <c r="E21">
        <v>4.09</v>
      </c>
      <c r="F21">
        <v>9.9499999999999993</v>
      </c>
      <c r="H21" s="1">
        <f t="shared" si="3"/>
        <v>3.3946999999999998</v>
      </c>
      <c r="I21" s="1">
        <f t="shared" si="4"/>
        <v>8.2584999999999997</v>
      </c>
      <c r="K21">
        <v>5.29</v>
      </c>
      <c r="M21" t="str">
        <f t="shared" si="5"/>
        <v>TRUE</v>
      </c>
      <c r="N21" t="str">
        <f>IF(K21&lt;I21,"TRUE","FALSE")</f>
        <v>TRUE</v>
      </c>
    </row>
    <row r="22" spans="1:15" x14ac:dyDescent="0.25">
      <c r="B22" t="s">
        <v>12</v>
      </c>
      <c r="C22" t="s">
        <v>8</v>
      </c>
      <c r="D22" t="s">
        <v>4</v>
      </c>
      <c r="E22">
        <v>4.1500000000000004</v>
      </c>
      <c r="F22">
        <v>9.24</v>
      </c>
      <c r="H22" s="1">
        <f t="shared" si="3"/>
        <v>3.4445000000000001</v>
      </c>
      <c r="I22" s="1">
        <f t="shared" si="4"/>
        <v>7.6692</v>
      </c>
      <c r="K22">
        <v>5.49</v>
      </c>
      <c r="M22" t="str">
        <f t="shared" si="5"/>
        <v>TRUE</v>
      </c>
      <c r="N22" t="str">
        <f>IF(K22&lt;I22,"TRUE","FALSE")</f>
        <v>TRUE</v>
      </c>
    </row>
    <row r="24" spans="1:15" x14ac:dyDescent="0.25">
      <c r="C24">
        <v>2050</v>
      </c>
      <c r="E24" t="s">
        <v>13</v>
      </c>
      <c r="F24" t="s">
        <v>14</v>
      </c>
      <c r="H24" t="s">
        <v>16</v>
      </c>
      <c r="I24" t="s">
        <v>17</v>
      </c>
      <c r="K24" t="s">
        <v>18</v>
      </c>
    </row>
    <row r="25" spans="1:15" x14ac:dyDescent="0.25">
      <c r="B25" t="s">
        <v>9</v>
      </c>
      <c r="C25" t="s">
        <v>5</v>
      </c>
      <c r="D25" t="s">
        <v>1</v>
      </c>
      <c r="E25">
        <v>2.81</v>
      </c>
      <c r="F25">
        <v>7.55</v>
      </c>
      <c r="H25" s="1">
        <f>E25*$I$9</f>
        <v>2.3323</v>
      </c>
      <c r="I25" s="1">
        <f>F25*$I$9</f>
        <v>6.2664999999999997</v>
      </c>
      <c r="K25">
        <v>4.05</v>
      </c>
      <c r="M25" t="str">
        <f>IF(K25&gt;H25,"TRUE","FALSE")</f>
        <v>TRUE</v>
      </c>
      <c r="N25" t="str">
        <f>IF(K25&lt;I25,"TRUE","FALSE")</f>
        <v>TRUE</v>
      </c>
    </row>
    <row r="26" spans="1:15" x14ac:dyDescent="0.25">
      <c r="B26" t="s">
        <v>10</v>
      </c>
      <c r="C26" t="s">
        <v>6</v>
      </c>
      <c r="D26" t="s">
        <v>2</v>
      </c>
      <c r="E26">
        <v>1.59</v>
      </c>
      <c r="F26">
        <v>6.66</v>
      </c>
      <c r="H26" s="1">
        <f t="shared" ref="H26:H28" si="6">E26*$I$9</f>
        <v>1.3197000000000001</v>
      </c>
      <c r="I26" s="1">
        <f t="shared" ref="I26:I28" si="7">F26*$I$9</f>
        <v>5.5278</v>
      </c>
      <c r="K26">
        <v>6.52</v>
      </c>
      <c r="M26" t="str">
        <f t="shared" ref="M26:M28" si="8">IF(K26&gt;H26,"TRUE","FALSE")</f>
        <v>TRUE</v>
      </c>
      <c r="N26" s="2" t="str">
        <f>IF(K26&lt;I26,"TRUE","FALSE")</f>
        <v>FALSE</v>
      </c>
    </row>
    <row r="27" spans="1:15" x14ac:dyDescent="0.25">
      <c r="B27" t="s">
        <v>11</v>
      </c>
      <c r="C27" t="s">
        <v>7</v>
      </c>
      <c r="D27" t="s">
        <v>3</v>
      </c>
      <c r="E27">
        <v>2.17</v>
      </c>
      <c r="F27">
        <v>7.72</v>
      </c>
      <c r="H27" s="1">
        <f t="shared" si="6"/>
        <v>1.8010999999999999</v>
      </c>
      <c r="I27" s="1">
        <f t="shared" si="7"/>
        <v>6.4075999999999995</v>
      </c>
      <c r="K27">
        <v>5.29</v>
      </c>
      <c r="M27" t="str">
        <f t="shared" si="8"/>
        <v>TRUE</v>
      </c>
      <c r="N27" t="str">
        <f>IF(K27&lt;I27,"TRUE","FALSE")</f>
        <v>TRUE</v>
      </c>
    </row>
    <row r="28" spans="1:15" x14ac:dyDescent="0.25">
      <c r="B28" t="s">
        <v>12</v>
      </c>
      <c r="C28" t="s">
        <v>8</v>
      </c>
      <c r="D28" t="s">
        <v>4</v>
      </c>
      <c r="E28">
        <v>2.2000000000000002</v>
      </c>
      <c r="F28">
        <v>7.2</v>
      </c>
      <c r="H28" s="1">
        <f t="shared" si="6"/>
        <v>1.8260000000000001</v>
      </c>
      <c r="I28" s="1">
        <f t="shared" si="7"/>
        <v>5.976</v>
      </c>
      <c r="K28">
        <v>5.49</v>
      </c>
      <c r="M28" t="str">
        <f t="shared" si="8"/>
        <v>TRUE</v>
      </c>
      <c r="N28" t="str">
        <f>IF(K28&lt;I28,"TRUE","FALSE")</f>
        <v>TRUE</v>
      </c>
    </row>
    <row r="32" spans="1:15" x14ac:dyDescent="0.25">
      <c r="A32" s="8" t="s">
        <v>28</v>
      </c>
      <c r="B32" s="8" t="s">
        <v>29</v>
      </c>
      <c r="C32" s="8" t="s">
        <v>30</v>
      </c>
      <c r="D32" s="8" t="s">
        <v>31</v>
      </c>
      <c r="E32" s="9" t="s">
        <v>32</v>
      </c>
      <c r="F32" s="10" t="s">
        <v>33</v>
      </c>
      <c r="G32" s="9" t="s">
        <v>34</v>
      </c>
      <c r="H32" s="10" t="s">
        <v>35</v>
      </c>
      <c r="I32" s="11" t="s">
        <v>36</v>
      </c>
      <c r="J32" s="8" t="s">
        <v>37</v>
      </c>
      <c r="K32" s="8" t="s">
        <v>38</v>
      </c>
      <c r="M32" s="8" t="s">
        <v>43</v>
      </c>
      <c r="N32" s="8" t="s">
        <v>37</v>
      </c>
      <c r="O32" s="8" t="s">
        <v>38</v>
      </c>
    </row>
    <row r="33" spans="1:15" x14ac:dyDescent="0.25">
      <c r="A33">
        <v>2025</v>
      </c>
      <c r="B33" t="s">
        <v>39</v>
      </c>
      <c r="C33" t="s">
        <v>5</v>
      </c>
      <c r="D33" t="s">
        <v>1</v>
      </c>
      <c r="E33" s="3">
        <v>5.32</v>
      </c>
      <c r="F33" s="4">
        <v>10.99</v>
      </c>
      <c r="G33" s="5">
        <f t="shared" ref="G33:G44" si="9">E33*$I$9</f>
        <v>4.4156000000000004</v>
      </c>
      <c r="H33" s="6">
        <f t="shared" ref="H33:H44" si="10">F33*$I$9</f>
        <v>9.1217000000000006</v>
      </c>
      <c r="I33" s="7">
        <v>4.05</v>
      </c>
      <c r="J33" s="2" t="str">
        <f t="shared" ref="J33:J44" si="11">IF(I33&gt;G33,"TRUE","FALSE")</f>
        <v>FALSE</v>
      </c>
      <c r="K33" t="str">
        <f t="shared" ref="K33:K44" si="12">IF(I33&lt;H33,"TRUE","FALSE")</f>
        <v>TRUE</v>
      </c>
      <c r="M33">
        <v>4.0599999999999996</v>
      </c>
      <c r="N33" t="str">
        <f>IF(M33&gt;G33,"TRUE","FALSE")</f>
        <v>FALSE</v>
      </c>
      <c r="O33" t="str">
        <f>IF(M33&lt;H33,"TRUE","FALSE")</f>
        <v>TRUE</v>
      </c>
    </row>
    <row r="34" spans="1:15" x14ac:dyDescent="0.25">
      <c r="B34" t="s">
        <v>40</v>
      </c>
      <c r="C34" t="s">
        <v>6</v>
      </c>
      <c r="D34" t="s">
        <v>2</v>
      </c>
      <c r="E34" s="3">
        <v>4.8499999999999996</v>
      </c>
      <c r="F34" s="4">
        <v>25.27</v>
      </c>
      <c r="G34" s="5">
        <f t="shared" si="9"/>
        <v>4.0254999999999992</v>
      </c>
      <c r="H34" s="6">
        <f t="shared" si="10"/>
        <v>20.9741</v>
      </c>
      <c r="I34" s="7">
        <v>6.52</v>
      </c>
      <c r="J34" t="str">
        <f t="shared" si="11"/>
        <v>TRUE</v>
      </c>
      <c r="K34" t="str">
        <f t="shared" si="12"/>
        <v>TRUE</v>
      </c>
      <c r="M34">
        <v>6.64</v>
      </c>
      <c r="N34" t="str">
        <f t="shared" ref="N34:N44" si="13">IF(M34&gt;G34,"TRUE","FALSE")</f>
        <v>TRUE</v>
      </c>
      <c r="O34" t="str">
        <f t="shared" ref="O34:O44" si="14">IF(M34&lt;H34,"TRUE","FALSE")</f>
        <v>TRUE</v>
      </c>
    </row>
    <row r="35" spans="1:15" x14ac:dyDescent="0.25">
      <c r="B35" t="s">
        <v>41</v>
      </c>
      <c r="C35" t="s">
        <v>7</v>
      </c>
      <c r="D35" t="s">
        <v>3</v>
      </c>
      <c r="E35" s="3">
        <v>6.2</v>
      </c>
      <c r="F35" s="4">
        <v>13.98</v>
      </c>
      <c r="G35" s="5">
        <f t="shared" si="9"/>
        <v>5.1459999999999999</v>
      </c>
      <c r="H35" s="6">
        <f t="shared" si="10"/>
        <v>11.603400000000001</v>
      </c>
      <c r="I35" s="7">
        <v>5.29</v>
      </c>
      <c r="J35" t="str">
        <f t="shared" si="11"/>
        <v>TRUE</v>
      </c>
      <c r="K35" t="str">
        <f t="shared" si="12"/>
        <v>TRUE</v>
      </c>
      <c r="M35">
        <v>5.3</v>
      </c>
      <c r="N35" t="str">
        <f t="shared" si="13"/>
        <v>TRUE</v>
      </c>
      <c r="O35" t="str">
        <f t="shared" si="14"/>
        <v>TRUE</v>
      </c>
    </row>
    <row r="36" spans="1:15" x14ac:dyDescent="0.25">
      <c r="B36" t="s">
        <v>42</v>
      </c>
      <c r="C36" t="s">
        <v>8</v>
      </c>
      <c r="D36" t="s">
        <v>4</v>
      </c>
      <c r="E36" s="3">
        <v>6.26</v>
      </c>
      <c r="F36" s="4">
        <v>13.13</v>
      </c>
      <c r="G36" s="5">
        <f t="shared" si="9"/>
        <v>5.1957999999999993</v>
      </c>
      <c r="H36" s="6">
        <f t="shared" si="10"/>
        <v>10.8979</v>
      </c>
      <c r="I36" s="7">
        <v>5.49</v>
      </c>
      <c r="J36" t="str">
        <f t="shared" si="11"/>
        <v>TRUE</v>
      </c>
      <c r="K36" t="str">
        <f t="shared" si="12"/>
        <v>TRUE</v>
      </c>
      <c r="M36">
        <v>5.5</v>
      </c>
      <c r="N36" t="str">
        <f t="shared" si="13"/>
        <v>TRUE</v>
      </c>
      <c r="O36" t="str">
        <f t="shared" si="14"/>
        <v>TRUE</v>
      </c>
    </row>
    <row r="37" spans="1:15" x14ac:dyDescent="0.25">
      <c r="A37">
        <v>2035</v>
      </c>
      <c r="B37" t="s">
        <v>39</v>
      </c>
      <c r="C37" t="s">
        <v>5</v>
      </c>
      <c r="D37" t="s">
        <v>1</v>
      </c>
      <c r="E37" s="3">
        <v>4.1500000000000004</v>
      </c>
      <c r="F37" s="4">
        <v>8.56</v>
      </c>
      <c r="G37" s="5">
        <f t="shared" si="9"/>
        <v>3.4445000000000001</v>
      </c>
      <c r="H37" s="6">
        <f t="shared" si="10"/>
        <v>7.1048</v>
      </c>
      <c r="I37" s="7">
        <v>4.05</v>
      </c>
      <c r="J37" t="str">
        <f t="shared" si="11"/>
        <v>TRUE</v>
      </c>
      <c r="K37" t="str">
        <f t="shared" si="12"/>
        <v>TRUE</v>
      </c>
      <c r="M37">
        <v>3.57</v>
      </c>
      <c r="N37" t="str">
        <f t="shared" si="13"/>
        <v>TRUE</v>
      </c>
      <c r="O37" t="str">
        <f t="shared" si="14"/>
        <v>TRUE</v>
      </c>
    </row>
    <row r="38" spans="1:15" x14ac:dyDescent="0.25">
      <c r="B38" t="s">
        <v>40</v>
      </c>
      <c r="C38" t="s">
        <v>6</v>
      </c>
      <c r="D38" t="s">
        <v>2</v>
      </c>
      <c r="E38" s="3">
        <v>3.11</v>
      </c>
      <c r="F38" s="4">
        <v>11.74</v>
      </c>
      <c r="G38" s="5">
        <f t="shared" si="9"/>
        <v>2.5812999999999997</v>
      </c>
      <c r="H38" s="6">
        <f t="shared" si="10"/>
        <v>9.7441999999999993</v>
      </c>
      <c r="I38" s="7">
        <v>6.52</v>
      </c>
      <c r="J38" t="str">
        <f t="shared" si="11"/>
        <v>TRUE</v>
      </c>
      <c r="K38" t="str">
        <f t="shared" si="12"/>
        <v>TRUE</v>
      </c>
      <c r="M38">
        <v>5.87</v>
      </c>
      <c r="N38" t="str">
        <f t="shared" si="13"/>
        <v>TRUE</v>
      </c>
      <c r="O38" t="str">
        <f t="shared" si="14"/>
        <v>TRUE</v>
      </c>
    </row>
    <row r="39" spans="1:15" x14ac:dyDescent="0.25">
      <c r="B39" t="s">
        <v>41</v>
      </c>
      <c r="C39" t="s">
        <v>7</v>
      </c>
      <c r="D39" t="s">
        <v>3</v>
      </c>
      <c r="E39" s="3">
        <v>4.09</v>
      </c>
      <c r="F39" s="4">
        <v>9.9499999999999993</v>
      </c>
      <c r="G39" s="5">
        <f t="shared" si="9"/>
        <v>3.3946999999999998</v>
      </c>
      <c r="H39" s="6">
        <f t="shared" si="10"/>
        <v>8.2584999999999997</v>
      </c>
      <c r="I39" s="7">
        <v>5.29</v>
      </c>
      <c r="J39" t="str">
        <f t="shared" si="11"/>
        <v>TRUE</v>
      </c>
      <c r="K39" t="str">
        <f t="shared" si="12"/>
        <v>TRUE</v>
      </c>
      <c r="M39">
        <v>4.8</v>
      </c>
      <c r="N39" t="str">
        <f t="shared" si="13"/>
        <v>TRUE</v>
      </c>
      <c r="O39" t="str">
        <f t="shared" si="14"/>
        <v>TRUE</v>
      </c>
    </row>
    <row r="40" spans="1:15" x14ac:dyDescent="0.25">
      <c r="B40" t="s">
        <v>42</v>
      </c>
      <c r="C40" t="s">
        <v>8</v>
      </c>
      <c r="D40" t="s">
        <v>4</v>
      </c>
      <c r="E40" s="3">
        <v>4.1500000000000004</v>
      </c>
      <c r="F40" s="4">
        <v>9.24</v>
      </c>
      <c r="G40" s="5">
        <f t="shared" si="9"/>
        <v>3.4445000000000001</v>
      </c>
      <c r="H40" s="6">
        <f t="shared" si="10"/>
        <v>7.6692</v>
      </c>
      <c r="I40" s="7">
        <v>5.49</v>
      </c>
      <c r="J40" t="str">
        <f t="shared" si="11"/>
        <v>TRUE</v>
      </c>
      <c r="K40" t="str">
        <f t="shared" si="12"/>
        <v>TRUE</v>
      </c>
      <c r="M40">
        <v>4.9800000000000004</v>
      </c>
      <c r="N40" t="str">
        <f t="shared" si="13"/>
        <v>TRUE</v>
      </c>
      <c r="O40" t="str">
        <f t="shared" si="14"/>
        <v>TRUE</v>
      </c>
    </row>
    <row r="41" spans="1:15" x14ac:dyDescent="0.25">
      <c r="A41">
        <v>2050</v>
      </c>
      <c r="B41" t="s">
        <v>39</v>
      </c>
      <c r="C41" t="s">
        <v>5</v>
      </c>
      <c r="D41" t="s">
        <v>1</v>
      </c>
      <c r="E41" s="3">
        <v>2.81</v>
      </c>
      <c r="F41" s="4">
        <v>7.55</v>
      </c>
      <c r="G41" s="5">
        <f t="shared" si="9"/>
        <v>2.3323</v>
      </c>
      <c r="H41" s="6">
        <f t="shared" si="10"/>
        <v>6.2664999999999997</v>
      </c>
      <c r="I41" s="7">
        <v>4.05</v>
      </c>
      <c r="J41" t="str">
        <f t="shared" si="11"/>
        <v>TRUE</v>
      </c>
      <c r="K41" t="str">
        <f t="shared" si="12"/>
        <v>TRUE</v>
      </c>
      <c r="M41">
        <v>3.19</v>
      </c>
      <c r="N41" t="str">
        <f t="shared" si="13"/>
        <v>TRUE</v>
      </c>
      <c r="O41" t="str">
        <f t="shared" si="14"/>
        <v>TRUE</v>
      </c>
    </row>
    <row r="42" spans="1:15" x14ac:dyDescent="0.25">
      <c r="B42" t="s">
        <v>40</v>
      </c>
      <c r="C42" t="s">
        <v>6</v>
      </c>
      <c r="D42" t="s">
        <v>2</v>
      </c>
      <c r="E42" s="3">
        <v>1.59</v>
      </c>
      <c r="F42" s="4">
        <v>6.66</v>
      </c>
      <c r="G42" s="5">
        <f t="shared" si="9"/>
        <v>1.3197000000000001</v>
      </c>
      <c r="H42" s="6">
        <f t="shared" si="10"/>
        <v>5.5278</v>
      </c>
      <c r="I42" s="7">
        <v>6.52</v>
      </c>
      <c r="J42" t="str">
        <f t="shared" si="11"/>
        <v>TRUE</v>
      </c>
      <c r="K42" s="2" t="str">
        <f t="shared" si="12"/>
        <v>FALSE</v>
      </c>
      <c r="M42">
        <v>4.8899999999999997</v>
      </c>
      <c r="N42" t="str">
        <f t="shared" si="13"/>
        <v>TRUE</v>
      </c>
      <c r="O42" t="str">
        <f t="shared" si="14"/>
        <v>TRUE</v>
      </c>
    </row>
    <row r="43" spans="1:15" x14ac:dyDescent="0.25">
      <c r="B43" t="s">
        <v>41</v>
      </c>
      <c r="C43" t="s">
        <v>7</v>
      </c>
      <c r="D43" t="s">
        <v>3</v>
      </c>
      <c r="E43" s="3">
        <v>2.17</v>
      </c>
      <c r="F43" s="4">
        <v>7.72</v>
      </c>
      <c r="G43" s="5">
        <f t="shared" si="9"/>
        <v>1.8010999999999999</v>
      </c>
      <c r="H43" s="6">
        <f t="shared" si="10"/>
        <v>6.4075999999999995</v>
      </c>
      <c r="I43" s="7">
        <v>5.29</v>
      </c>
      <c r="J43" t="str">
        <f t="shared" si="11"/>
        <v>TRUE</v>
      </c>
      <c r="K43" t="str">
        <f t="shared" si="12"/>
        <v>TRUE</v>
      </c>
      <c r="M43">
        <v>4.41</v>
      </c>
      <c r="N43" t="str">
        <f t="shared" si="13"/>
        <v>TRUE</v>
      </c>
      <c r="O43" t="str">
        <f t="shared" si="14"/>
        <v>TRUE</v>
      </c>
    </row>
    <row r="44" spans="1:15" x14ac:dyDescent="0.25">
      <c r="B44" t="s">
        <v>42</v>
      </c>
      <c r="C44" t="s">
        <v>8</v>
      </c>
      <c r="D44" t="s">
        <v>4</v>
      </c>
      <c r="E44" s="3">
        <v>2.2000000000000002</v>
      </c>
      <c r="F44" s="4">
        <v>7.2</v>
      </c>
      <c r="G44" s="5">
        <f t="shared" si="9"/>
        <v>1.8260000000000001</v>
      </c>
      <c r="H44" s="6">
        <f t="shared" si="10"/>
        <v>5.976</v>
      </c>
      <c r="I44" s="7">
        <v>5.49</v>
      </c>
      <c r="J44" t="str">
        <f t="shared" si="11"/>
        <v>TRUE</v>
      </c>
      <c r="K44" t="str">
        <f t="shared" si="12"/>
        <v>TRUE</v>
      </c>
      <c r="M44">
        <v>4.58</v>
      </c>
      <c r="N44" t="str">
        <f t="shared" si="13"/>
        <v>TRUE</v>
      </c>
      <c r="O44" t="str">
        <f t="shared" si="14"/>
        <v>TRUE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8F47-7E6E-4834-8D61-6C3FD2C638D9}">
  <dimension ref="A2:U47"/>
  <sheetViews>
    <sheetView topLeftCell="A4" zoomScale="89" workbookViewId="0">
      <selection activeCell="H11" sqref="H11"/>
    </sheetView>
  </sheetViews>
  <sheetFormatPr defaultRowHeight="15" x14ac:dyDescent="0.25"/>
  <cols>
    <col min="3" max="3" width="24" customWidth="1"/>
    <col min="4" max="4" width="23.28515625" customWidth="1"/>
    <col min="5" max="5" width="18" customWidth="1"/>
    <col min="7" max="7" width="14" bestFit="1" customWidth="1"/>
    <col min="9" max="9" width="12.7109375" bestFit="1" customWidth="1"/>
    <col min="10" max="10" width="13.42578125" bestFit="1" customWidth="1"/>
    <col min="12" max="12" width="11" bestFit="1" customWidth="1"/>
    <col min="15" max="15" width="10" bestFit="1" customWidth="1"/>
  </cols>
  <sheetData>
    <row r="2" spans="1:21" x14ac:dyDescent="0.25">
      <c r="C2" t="s">
        <v>44</v>
      </c>
      <c r="D2" t="s">
        <v>45</v>
      </c>
      <c r="E2" t="s">
        <v>46</v>
      </c>
    </row>
    <row r="3" spans="1:21" x14ac:dyDescent="0.25">
      <c r="A3" t="s">
        <v>3</v>
      </c>
      <c r="B3" t="s">
        <v>41</v>
      </c>
      <c r="C3" t="s">
        <v>49</v>
      </c>
      <c r="D3" t="s">
        <v>50</v>
      </c>
      <c r="E3" t="s">
        <v>53</v>
      </c>
    </row>
    <row r="4" spans="1:21" ht="45" x14ac:dyDescent="0.25">
      <c r="A4" t="s">
        <v>2</v>
      </c>
      <c r="B4" t="s">
        <v>40</v>
      </c>
      <c r="C4" s="12" t="s">
        <v>56</v>
      </c>
      <c r="D4" s="12" t="s">
        <v>57</v>
      </c>
      <c r="E4" s="12" t="s">
        <v>53</v>
      </c>
    </row>
    <row r="5" spans="1:21" ht="30" x14ac:dyDescent="0.25">
      <c r="A5" t="s">
        <v>1</v>
      </c>
      <c r="B5" t="s">
        <v>39</v>
      </c>
      <c r="C5" s="12" t="s">
        <v>48</v>
      </c>
      <c r="D5" t="s">
        <v>51</v>
      </c>
      <c r="E5" s="12" t="s">
        <v>54</v>
      </c>
    </row>
    <row r="6" spans="1:21" ht="60" x14ac:dyDescent="0.25">
      <c r="A6" t="s">
        <v>4</v>
      </c>
      <c r="B6" t="s">
        <v>42</v>
      </c>
      <c r="C6" s="12" t="s">
        <v>47</v>
      </c>
      <c r="D6" s="12" t="s">
        <v>52</v>
      </c>
      <c r="E6" s="12" t="s">
        <v>55</v>
      </c>
    </row>
    <row r="8" spans="1:21" x14ac:dyDescent="0.25">
      <c r="A8" t="s">
        <v>58</v>
      </c>
      <c r="C8" t="s">
        <v>44</v>
      </c>
      <c r="D8" t="s">
        <v>45</v>
      </c>
      <c r="E8" t="s">
        <v>46</v>
      </c>
      <c r="F8" t="s">
        <v>77</v>
      </c>
      <c r="G8" t="s">
        <v>78</v>
      </c>
    </row>
    <row r="9" spans="1:21" ht="128.25" customHeight="1" x14ac:dyDescent="0.25">
      <c r="A9" t="s">
        <v>3</v>
      </c>
      <c r="B9" t="s">
        <v>41</v>
      </c>
      <c r="C9" s="12" t="s">
        <v>59</v>
      </c>
      <c r="D9" s="8" t="s">
        <v>74</v>
      </c>
      <c r="E9" s="16" t="s">
        <v>115</v>
      </c>
      <c r="F9">
        <f>2.28+277+171</f>
        <v>450.28</v>
      </c>
      <c r="G9">
        <v>2.2799999999999998</v>
      </c>
      <c r="H9">
        <v>2</v>
      </c>
    </row>
    <row r="10" spans="1:21" ht="68.25" customHeight="1" x14ac:dyDescent="0.25">
      <c r="A10" t="s">
        <v>2</v>
      </c>
      <c r="B10" t="s">
        <v>40</v>
      </c>
      <c r="C10" s="12" t="s">
        <v>60</v>
      </c>
      <c r="D10" s="8" t="s">
        <v>73</v>
      </c>
      <c r="E10" s="16" t="s">
        <v>114</v>
      </c>
      <c r="F10">
        <f>14.4+682+419</f>
        <v>1115.4000000000001</v>
      </c>
      <c r="G10">
        <v>14.4</v>
      </c>
      <c r="H10">
        <v>4</v>
      </c>
    </row>
    <row r="11" spans="1:21" ht="45" x14ac:dyDescent="0.25">
      <c r="A11" t="s">
        <v>1</v>
      </c>
      <c r="B11" t="s">
        <v>39</v>
      </c>
      <c r="C11" s="12" t="s">
        <v>103</v>
      </c>
      <c r="D11" t="s">
        <v>105</v>
      </c>
      <c r="E11" s="12" t="s">
        <v>112</v>
      </c>
      <c r="F11">
        <f>32.7+2.8</f>
        <v>35.5</v>
      </c>
      <c r="G11">
        <v>2.8</v>
      </c>
      <c r="H11">
        <v>1</v>
      </c>
    </row>
    <row r="12" spans="1:21" ht="75" x14ac:dyDescent="0.25">
      <c r="A12" t="s">
        <v>4</v>
      </c>
      <c r="B12" t="s">
        <v>42</v>
      </c>
      <c r="C12" s="8" t="s">
        <v>104</v>
      </c>
      <c r="D12" s="13" t="s">
        <v>113</v>
      </c>
      <c r="E12" s="12" t="s">
        <v>116</v>
      </c>
      <c r="F12">
        <f>10.1+264+2.8+171</f>
        <v>447.90000000000003</v>
      </c>
      <c r="G12">
        <v>2.8</v>
      </c>
      <c r="H12">
        <v>3</v>
      </c>
      <c r="I12" t="s">
        <v>63</v>
      </c>
      <c r="L12" t="s">
        <v>66</v>
      </c>
      <c r="O12" t="s">
        <v>69</v>
      </c>
      <c r="R12" t="s">
        <v>72</v>
      </c>
    </row>
    <row r="13" spans="1:21" x14ac:dyDescent="0.25">
      <c r="I13" t="s">
        <v>61</v>
      </c>
      <c r="J13" t="s">
        <v>62</v>
      </c>
    </row>
    <row r="14" spans="1:21" x14ac:dyDescent="0.25">
      <c r="E14" s="15" t="s">
        <v>106</v>
      </c>
      <c r="H14" t="s">
        <v>64</v>
      </c>
      <c r="I14">
        <v>10180</v>
      </c>
      <c r="J14">
        <v>600</v>
      </c>
      <c r="L14">
        <f>I14*$M$18</f>
        <v>1231780000</v>
      </c>
      <c r="M14">
        <f>J14*$M$18</f>
        <v>72600000</v>
      </c>
      <c r="O14">
        <f>L14*$M$19</f>
        <v>644220940</v>
      </c>
      <c r="P14">
        <f>M14*$M$19</f>
        <v>37969800</v>
      </c>
      <c r="R14" s="13">
        <f>O14/1000</f>
        <v>644220.93999999994</v>
      </c>
      <c r="S14" s="13">
        <f>P14/1000</f>
        <v>37969.800000000003</v>
      </c>
      <c r="T14" s="13">
        <f>SUM(R14:S14)</f>
        <v>682190.74</v>
      </c>
      <c r="U14">
        <v>682190.74</v>
      </c>
    </row>
    <row r="15" spans="1:21" x14ac:dyDescent="0.25">
      <c r="E15" s="15" t="s">
        <v>107</v>
      </c>
      <c r="H15" t="s">
        <v>65</v>
      </c>
      <c r="I15">
        <v>4166.666666666667</v>
      </c>
      <c r="J15">
        <v>210</v>
      </c>
      <c r="L15">
        <f>I15*$M$18</f>
        <v>504166666.66666669</v>
      </c>
      <c r="M15">
        <f>J15*$M$18</f>
        <v>25410000</v>
      </c>
      <c r="O15">
        <f>L15*$M$19</f>
        <v>263679166.66666669</v>
      </c>
      <c r="P15">
        <f>M15*$M$19</f>
        <v>13289430</v>
      </c>
      <c r="R15" s="13">
        <f>O15/1000</f>
        <v>263679.16666666669</v>
      </c>
      <c r="S15" s="13">
        <f>P15/1000</f>
        <v>13289.43</v>
      </c>
      <c r="T15" s="13">
        <f>SUM(R15:S15)</f>
        <v>276968.59666666668</v>
      </c>
    </row>
    <row r="17" spans="3:19" x14ac:dyDescent="0.25">
      <c r="D17">
        <f>1610/102</f>
        <v>15.784313725490197</v>
      </c>
      <c r="R17" t="s">
        <v>75</v>
      </c>
      <c r="S17" t="s">
        <v>76</v>
      </c>
    </row>
    <row r="18" spans="3:19" x14ac:dyDescent="0.25">
      <c r="L18" t="s">
        <v>67</v>
      </c>
      <c r="M18">
        <v>121000</v>
      </c>
      <c r="N18" t="s">
        <v>68</v>
      </c>
      <c r="Q18" t="s">
        <v>64</v>
      </c>
      <c r="R18">
        <f>R14*(13/20)</f>
        <v>418743.61099999998</v>
      </c>
    </row>
    <row r="19" spans="3:19" x14ac:dyDescent="0.25">
      <c r="L19" t="s">
        <v>70</v>
      </c>
      <c r="M19">
        <v>0.52300000000000002</v>
      </c>
      <c r="N19" t="s">
        <v>71</v>
      </c>
      <c r="Q19" t="s">
        <v>65</v>
      </c>
      <c r="R19">
        <f>R15*(13/20)</f>
        <v>171391.45833333334</v>
      </c>
    </row>
    <row r="20" spans="3:19" x14ac:dyDescent="0.25">
      <c r="C20">
        <v>2</v>
      </c>
      <c r="D20" t="s">
        <v>108</v>
      </c>
      <c r="L20" t="s">
        <v>79</v>
      </c>
      <c r="M20" t="s">
        <v>80</v>
      </c>
    </row>
    <row r="21" spans="3:19" x14ac:dyDescent="0.25">
      <c r="C21">
        <v>2000</v>
      </c>
      <c r="D21" t="s">
        <v>110</v>
      </c>
      <c r="I21" t="s">
        <v>82</v>
      </c>
      <c r="J21" t="s">
        <v>66</v>
      </c>
      <c r="K21" t="s">
        <v>69</v>
      </c>
    </row>
    <row r="22" spans="3:19" x14ac:dyDescent="0.25">
      <c r="C22">
        <v>1.4</v>
      </c>
      <c r="D22" t="s">
        <v>109</v>
      </c>
      <c r="H22" t="s">
        <v>81</v>
      </c>
      <c r="I22">
        <v>0.51700000000000002</v>
      </c>
      <c r="J22">
        <f>I22*M18*1000</f>
        <v>62557000</v>
      </c>
      <c r="K22">
        <f>J22*M19</f>
        <v>32717311</v>
      </c>
      <c r="L22">
        <v>32717311</v>
      </c>
      <c r="M22">
        <f>L22/1000000</f>
        <v>32.717311000000002</v>
      </c>
    </row>
    <row r="23" spans="3:19" x14ac:dyDescent="0.25">
      <c r="C23">
        <f>C21*C22</f>
        <v>2800</v>
      </c>
      <c r="D23" t="s">
        <v>111</v>
      </c>
      <c r="I23" t="s">
        <v>92</v>
      </c>
      <c r="J23" t="s">
        <v>93</v>
      </c>
    </row>
    <row r="24" spans="3:19" x14ac:dyDescent="0.25">
      <c r="H24" t="s">
        <v>81</v>
      </c>
      <c r="I24">
        <f>G39*8760</f>
        <v>63587547006.507324</v>
      </c>
      <c r="J24">
        <f>I24/1000</f>
        <v>63587547.006507322</v>
      </c>
      <c r="K24">
        <f>J24*M19</f>
        <v>33256287.084403332</v>
      </c>
    </row>
    <row r="25" spans="3:19" x14ac:dyDescent="0.25">
      <c r="H25" t="s">
        <v>83</v>
      </c>
      <c r="O25" t="s">
        <v>81</v>
      </c>
    </row>
    <row r="26" spans="3:19" x14ac:dyDescent="0.25">
      <c r="I26" t="s">
        <v>82</v>
      </c>
      <c r="J26" t="s">
        <v>66</v>
      </c>
      <c r="L26" t="s">
        <v>101</v>
      </c>
      <c r="O26">
        <v>21402</v>
      </c>
      <c r="P26" t="s">
        <v>95</v>
      </c>
      <c r="Q26">
        <f>O26/3.6</f>
        <v>5945</v>
      </c>
      <c r="R26" t="s">
        <v>98</v>
      </c>
    </row>
    <row r="27" spans="3:19" x14ac:dyDescent="0.25">
      <c r="G27" t="s">
        <v>99</v>
      </c>
      <c r="H27" t="s">
        <v>65</v>
      </c>
      <c r="I27">
        <v>2.5099999999999998</v>
      </c>
      <c r="J27">
        <f>I27*M18*1000</f>
        <v>303710000</v>
      </c>
      <c r="K27">
        <f>J27*M19</f>
        <v>158840330</v>
      </c>
      <c r="L27">
        <v>158840330</v>
      </c>
      <c r="Q27">
        <f>Q26/1000</f>
        <v>5.9450000000000003</v>
      </c>
      <c r="R27" t="s">
        <v>94</v>
      </c>
    </row>
    <row r="28" spans="3:19" x14ac:dyDescent="0.25">
      <c r="H28" t="s">
        <v>81</v>
      </c>
      <c r="I28">
        <v>5.95</v>
      </c>
      <c r="J28">
        <f>I28*M18*1000</f>
        <v>719950000</v>
      </c>
      <c r="K28">
        <f>J28*M19</f>
        <v>376533850</v>
      </c>
      <c r="L28">
        <v>376533850</v>
      </c>
      <c r="O28" t="s">
        <v>65</v>
      </c>
    </row>
    <row r="29" spans="3:19" x14ac:dyDescent="0.25">
      <c r="M29" t="s">
        <v>102</v>
      </c>
    </row>
    <row r="30" spans="3:19" x14ac:dyDescent="0.25">
      <c r="J30" t="s">
        <v>100</v>
      </c>
      <c r="L30">
        <f>L27/15.8</f>
        <v>10053185.443037974</v>
      </c>
      <c r="M30">
        <f>L30/1000000</f>
        <v>10.053185443037973</v>
      </c>
      <c r="O30">
        <v>9028</v>
      </c>
      <c r="P30" t="s">
        <v>95</v>
      </c>
      <c r="Q30">
        <f>O30/3.6</f>
        <v>2507.7777777777778</v>
      </c>
      <c r="R30" t="s">
        <v>98</v>
      </c>
    </row>
    <row r="31" spans="3:19" x14ac:dyDescent="0.25">
      <c r="L31">
        <f>L28/15.8</f>
        <v>23831256.329113923</v>
      </c>
      <c r="M31">
        <f>L31/1000000</f>
        <v>23.831256329113923</v>
      </c>
      <c r="O31">
        <f>O30*1000</f>
        <v>9028000</v>
      </c>
      <c r="P31" t="s">
        <v>96</v>
      </c>
      <c r="Q31">
        <f>Q30/1000</f>
        <v>2.5077777777777777</v>
      </c>
      <c r="R31" t="s">
        <v>94</v>
      </c>
    </row>
    <row r="32" spans="3:19" x14ac:dyDescent="0.25">
      <c r="C32" t="s">
        <v>94</v>
      </c>
      <c r="P32" t="s">
        <v>97</v>
      </c>
    </row>
    <row r="33" spans="3:11" x14ac:dyDescent="0.25">
      <c r="C33">
        <f>940.95/1820</f>
        <v>0.51700549450549449</v>
      </c>
    </row>
    <row r="36" spans="3:11" x14ac:dyDescent="0.25">
      <c r="G36">
        <v>14040</v>
      </c>
      <c r="H36" t="s">
        <v>86</v>
      </c>
      <c r="J36">
        <v>3.9</v>
      </c>
      <c r="K36" t="s">
        <v>88</v>
      </c>
    </row>
    <row r="37" spans="3:11" x14ac:dyDescent="0.25">
      <c r="G37" t="s">
        <v>85</v>
      </c>
      <c r="H37" t="s">
        <v>84</v>
      </c>
      <c r="J37">
        <f>J36*3600</f>
        <v>14040</v>
      </c>
      <c r="K37" t="s">
        <v>89</v>
      </c>
    </row>
    <row r="39" spans="3:11" x14ac:dyDescent="0.25">
      <c r="G39">
        <f>(G36/3600)*(8314*333.15/2.016)*(1.4/0.4)*((1+1)/2)*(1/(0.8*0.98))*((7585/3000)^(0.4/1.4)-1)</f>
        <v>7258852.398003119</v>
      </c>
      <c r="H39" t="s">
        <v>87</v>
      </c>
      <c r="I39">
        <f>G39/1000</f>
        <v>7258.8523980031187</v>
      </c>
      <c r="J39" t="s">
        <v>91</v>
      </c>
    </row>
    <row r="40" spans="3:11" x14ac:dyDescent="0.25">
      <c r="I40">
        <f>I39/1000</f>
        <v>7.2588523980031185</v>
      </c>
      <c r="J40" t="s">
        <v>90</v>
      </c>
    </row>
    <row r="45" spans="3:11" x14ac:dyDescent="0.25">
      <c r="G45" s="14">
        <v>50500</v>
      </c>
      <c r="H45" t="s">
        <v>63</v>
      </c>
    </row>
    <row r="47" spans="3:11" x14ac:dyDescent="0.25">
      <c r="G47">
        <v>55</v>
      </c>
      <c r="H4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71EC-21D9-4A0E-B054-1ACE920C170E}">
  <dimension ref="B1:Q108"/>
  <sheetViews>
    <sheetView tabSelected="1" topLeftCell="A88" workbookViewId="0">
      <selection activeCell="G109" sqref="G109"/>
    </sheetView>
  </sheetViews>
  <sheetFormatPr defaultRowHeight="15" x14ac:dyDescent="0.25"/>
  <sheetData>
    <row r="1" spans="2:16" x14ac:dyDescent="0.25">
      <c r="D1">
        <v>5.29</v>
      </c>
    </row>
    <row r="2" spans="2:16" x14ac:dyDescent="0.25">
      <c r="C2" t="s">
        <v>122</v>
      </c>
      <c r="D2" t="s">
        <v>123</v>
      </c>
      <c r="E2" t="s">
        <v>119</v>
      </c>
      <c r="F2" t="s">
        <v>118</v>
      </c>
      <c r="K2" t="s">
        <v>117</v>
      </c>
      <c r="L2" t="s">
        <v>118</v>
      </c>
    </row>
    <row r="3" spans="2:16" x14ac:dyDescent="0.25">
      <c r="B3">
        <v>1</v>
      </c>
      <c r="C3">
        <v>2.3E-3</v>
      </c>
      <c r="D3">
        <f>$D$1-(C3*$D$1)</f>
        <v>5.2778330000000002</v>
      </c>
      <c r="E3">
        <v>2.7E-4</v>
      </c>
      <c r="F3">
        <f>$D$1-(E3*$D$1)</f>
        <v>5.2885717000000003</v>
      </c>
      <c r="K3" s="17">
        <v>0.01</v>
      </c>
      <c r="L3" s="17">
        <v>0.01</v>
      </c>
    </row>
    <row r="4" spans="2:16" x14ac:dyDescent="0.25">
      <c r="B4">
        <v>2</v>
      </c>
      <c r="C4">
        <f>$C$3*B4</f>
        <v>4.5999999999999999E-3</v>
      </c>
      <c r="D4">
        <f>$D$1-(C4*$D$1)</f>
        <v>5.2656660000000004</v>
      </c>
      <c r="E4">
        <f>$E$3*B4</f>
        <v>5.4000000000000001E-4</v>
      </c>
      <c r="F4">
        <f>$D$1-(E4*$D$1)</f>
        <v>5.2871433999999997</v>
      </c>
      <c r="J4">
        <v>5.29</v>
      </c>
      <c r="K4">
        <f>0.0023*J4</f>
        <v>1.2167000000000001E-2</v>
      </c>
      <c r="L4">
        <f>J4*0.00027</f>
        <v>1.4283E-3</v>
      </c>
    </row>
    <row r="5" spans="2:16" x14ac:dyDescent="0.25">
      <c r="B5">
        <v>3</v>
      </c>
      <c r="C5">
        <f t="shared" ref="C5:C68" si="0">$C$3*B5</f>
        <v>6.8999999999999999E-3</v>
      </c>
      <c r="D5">
        <f t="shared" ref="D5:D68" si="1">$D$1-(C5*$D$1)</f>
        <v>5.2534989999999997</v>
      </c>
      <c r="E5">
        <f t="shared" ref="E5:E13" si="2">$E$3*B5</f>
        <v>8.0999999999999996E-4</v>
      </c>
      <c r="F5">
        <f t="shared" ref="F5:F68" si="3">$D$1-(E5*$D$1)</f>
        <v>5.2857151</v>
      </c>
    </row>
    <row r="6" spans="2:16" x14ac:dyDescent="0.25">
      <c r="B6">
        <v>4</v>
      </c>
      <c r="C6">
        <f t="shared" si="0"/>
        <v>9.1999999999999998E-3</v>
      </c>
      <c r="D6">
        <f t="shared" si="1"/>
        <v>5.2413319999999999</v>
      </c>
      <c r="E6">
        <f t="shared" si="2"/>
        <v>1.08E-3</v>
      </c>
      <c r="F6">
        <f t="shared" si="3"/>
        <v>5.2842868000000003</v>
      </c>
    </row>
    <row r="7" spans="2:16" x14ac:dyDescent="0.25">
      <c r="B7">
        <v>5</v>
      </c>
      <c r="C7">
        <f t="shared" si="0"/>
        <v>1.15E-2</v>
      </c>
      <c r="D7">
        <f t="shared" si="1"/>
        <v>5.2291650000000001</v>
      </c>
      <c r="E7">
        <f t="shared" si="2"/>
        <v>1.3500000000000001E-3</v>
      </c>
      <c r="F7">
        <f t="shared" si="3"/>
        <v>5.2828584999999997</v>
      </c>
    </row>
    <row r="8" spans="2:16" x14ac:dyDescent="0.25">
      <c r="B8">
        <v>6</v>
      </c>
      <c r="C8">
        <f t="shared" si="0"/>
        <v>1.38E-2</v>
      </c>
      <c r="D8">
        <f t="shared" si="1"/>
        <v>5.2169980000000002</v>
      </c>
      <c r="E8">
        <f t="shared" si="2"/>
        <v>1.6199999999999999E-3</v>
      </c>
      <c r="F8">
        <f t="shared" si="3"/>
        <v>5.2814302</v>
      </c>
      <c r="H8">
        <v>1.2167000000000001E-2</v>
      </c>
      <c r="I8" t="s">
        <v>118</v>
      </c>
      <c r="J8" t="s">
        <v>120</v>
      </c>
      <c r="K8">
        <f>0.001428</f>
        <v>1.428E-3</v>
      </c>
      <c r="L8" t="s">
        <v>117</v>
      </c>
      <c r="P8">
        <v>5.29</v>
      </c>
    </row>
    <row r="9" spans="2:16" x14ac:dyDescent="0.25">
      <c r="B9">
        <v>7</v>
      </c>
      <c r="C9">
        <f t="shared" si="0"/>
        <v>1.61E-2</v>
      </c>
      <c r="D9">
        <f t="shared" si="1"/>
        <v>5.2048310000000004</v>
      </c>
      <c r="E9">
        <f t="shared" si="2"/>
        <v>1.89E-3</v>
      </c>
      <c r="F9">
        <f t="shared" si="3"/>
        <v>5.2800019000000002</v>
      </c>
      <c r="K9">
        <f>K8/H8</f>
        <v>0.11736664748910988</v>
      </c>
    </row>
    <row r="10" spans="2:16" x14ac:dyDescent="0.25">
      <c r="B10">
        <v>8</v>
      </c>
      <c r="C10">
        <f t="shared" si="0"/>
        <v>1.84E-2</v>
      </c>
      <c r="D10">
        <f t="shared" si="1"/>
        <v>5.1926639999999997</v>
      </c>
      <c r="E10">
        <f t="shared" si="2"/>
        <v>2.16E-3</v>
      </c>
      <c r="F10">
        <f t="shared" si="3"/>
        <v>5.2785735999999996</v>
      </c>
      <c r="K10">
        <v>0.11736664748910988</v>
      </c>
    </row>
    <row r="11" spans="2:16" x14ac:dyDescent="0.25">
      <c r="B11">
        <v>9</v>
      </c>
      <c r="C11">
        <f t="shared" si="0"/>
        <v>2.07E-2</v>
      </c>
      <c r="D11">
        <f t="shared" si="1"/>
        <v>5.1804969999999999</v>
      </c>
      <c r="E11">
        <f t="shared" si="2"/>
        <v>2.4299999999999999E-3</v>
      </c>
      <c r="F11">
        <f t="shared" si="3"/>
        <v>5.2771452999999999</v>
      </c>
      <c r="M11" t="s">
        <v>121</v>
      </c>
      <c r="N11">
        <v>4.0519999999999996</v>
      </c>
      <c r="O11">
        <f>P8-N11</f>
        <v>1.2380000000000004</v>
      </c>
      <c r="P11">
        <f>O11/H8</f>
        <v>101.7506369688502</v>
      </c>
    </row>
    <row r="12" spans="2:16" x14ac:dyDescent="0.25">
      <c r="B12">
        <v>10</v>
      </c>
      <c r="C12">
        <f t="shared" si="0"/>
        <v>2.3E-2</v>
      </c>
      <c r="D12">
        <f t="shared" si="1"/>
        <v>5.1683300000000001</v>
      </c>
      <c r="E12">
        <f t="shared" si="2"/>
        <v>2.7000000000000001E-3</v>
      </c>
      <c r="F12">
        <f t="shared" si="3"/>
        <v>5.2757170000000002</v>
      </c>
      <c r="P12">
        <v>101.7506369688502</v>
      </c>
    </row>
    <row r="13" spans="2:16" x14ac:dyDescent="0.25">
      <c r="B13">
        <v>11</v>
      </c>
      <c r="C13">
        <f t="shared" si="0"/>
        <v>2.53E-2</v>
      </c>
      <c r="D13">
        <f t="shared" si="1"/>
        <v>5.1561630000000003</v>
      </c>
      <c r="E13">
        <f t="shared" si="2"/>
        <v>2.97E-3</v>
      </c>
      <c r="F13">
        <f t="shared" si="3"/>
        <v>5.2742886999999996</v>
      </c>
    </row>
    <row r="14" spans="2:16" x14ac:dyDescent="0.25">
      <c r="B14">
        <v>12</v>
      </c>
      <c r="C14">
        <f t="shared" si="0"/>
        <v>2.76E-2</v>
      </c>
      <c r="D14">
        <f t="shared" si="1"/>
        <v>5.1439960000000005</v>
      </c>
      <c r="E14">
        <f t="shared" ref="E14:E77" si="4">$E$3*B14</f>
        <v>3.2399999999999998E-3</v>
      </c>
      <c r="F14">
        <f t="shared" si="3"/>
        <v>5.2728603999999999</v>
      </c>
    </row>
    <row r="15" spans="2:16" x14ac:dyDescent="0.25">
      <c r="B15">
        <v>13</v>
      </c>
      <c r="C15">
        <f t="shared" si="0"/>
        <v>2.9899999999999999E-2</v>
      </c>
      <c r="D15">
        <f t="shared" si="1"/>
        <v>5.1318289999999998</v>
      </c>
      <c r="E15">
        <f t="shared" si="4"/>
        <v>3.5100000000000001E-3</v>
      </c>
      <c r="F15">
        <f t="shared" si="3"/>
        <v>5.2714321000000002</v>
      </c>
    </row>
    <row r="16" spans="2:16" x14ac:dyDescent="0.25">
      <c r="B16">
        <v>14</v>
      </c>
      <c r="C16">
        <f t="shared" si="0"/>
        <v>3.2199999999999999E-2</v>
      </c>
      <c r="D16">
        <f t="shared" si="1"/>
        <v>5.1196619999999999</v>
      </c>
      <c r="E16">
        <f t="shared" si="4"/>
        <v>3.7799999999999999E-3</v>
      </c>
      <c r="F16">
        <f t="shared" si="3"/>
        <v>5.2700038000000005</v>
      </c>
    </row>
    <row r="17" spans="2:17" x14ac:dyDescent="0.25">
      <c r="B17">
        <v>15</v>
      </c>
      <c r="C17">
        <f t="shared" si="0"/>
        <v>3.4500000000000003E-2</v>
      </c>
      <c r="D17">
        <f t="shared" si="1"/>
        <v>5.1074950000000001</v>
      </c>
      <c r="E17">
        <f t="shared" si="4"/>
        <v>4.0499999999999998E-3</v>
      </c>
      <c r="F17">
        <f t="shared" si="3"/>
        <v>5.2685754999999999</v>
      </c>
      <c r="G17">
        <f>C17*$D$1</f>
        <v>0.18250500000000003</v>
      </c>
      <c r="H17">
        <f>E17*$D$1</f>
        <v>2.1424499999999999E-2</v>
      </c>
    </row>
    <row r="18" spans="2:17" x14ac:dyDescent="0.25">
      <c r="B18">
        <v>16</v>
      </c>
      <c r="C18">
        <f t="shared" si="0"/>
        <v>3.6799999999999999E-2</v>
      </c>
      <c r="D18">
        <f t="shared" si="1"/>
        <v>5.0953280000000003</v>
      </c>
      <c r="E18">
        <f t="shared" si="4"/>
        <v>4.3200000000000001E-3</v>
      </c>
      <c r="F18">
        <f t="shared" si="3"/>
        <v>5.2671472000000001</v>
      </c>
    </row>
    <row r="19" spans="2:17" x14ac:dyDescent="0.25">
      <c r="B19">
        <v>17</v>
      </c>
      <c r="C19">
        <f t="shared" si="0"/>
        <v>3.9099999999999996E-2</v>
      </c>
      <c r="D19">
        <f t="shared" si="1"/>
        <v>5.0831610000000005</v>
      </c>
      <c r="E19">
        <f t="shared" si="4"/>
        <v>4.5900000000000003E-3</v>
      </c>
      <c r="F19">
        <f t="shared" si="3"/>
        <v>5.2657189000000004</v>
      </c>
    </row>
    <row r="20" spans="2:17" x14ac:dyDescent="0.25">
      <c r="B20">
        <v>18</v>
      </c>
      <c r="C20">
        <f t="shared" si="0"/>
        <v>4.1399999999999999E-2</v>
      </c>
      <c r="D20">
        <f t="shared" si="1"/>
        <v>5.0709939999999998</v>
      </c>
      <c r="E20">
        <f t="shared" si="4"/>
        <v>4.8599999999999997E-3</v>
      </c>
      <c r="F20">
        <f t="shared" si="3"/>
        <v>5.2642905999999998</v>
      </c>
    </row>
    <row r="21" spans="2:17" x14ac:dyDescent="0.25">
      <c r="B21">
        <v>19</v>
      </c>
      <c r="C21">
        <f t="shared" si="0"/>
        <v>4.3700000000000003E-2</v>
      </c>
      <c r="D21">
        <f t="shared" si="1"/>
        <v>5.058827</v>
      </c>
      <c r="E21">
        <f t="shared" si="4"/>
        <v>5.13E-3</v>
      </c>
      <c r="F21">
        <f t="shared" si="3"/>
        <v>5.2628623000000001</v>
      </c>
      <c r="I21">
        <v>6.5209999999999999</v>
      </c>
    </row>
    <row r="22" spans="2:17" x14ac:dyDescent="0.25">
      <c r="B22">
        <v>20</v>
      </c>
      <c r="C22">
        <f t="shared" si="0"/>
        <v>4.5999999999999999E-2</v>
      </c>
      <c r="D22">
        <f t="shared" si="1"/>
        <v>5.0466600000000001</v>
      </c>
      <c r="E22">
        <f t="shared" si="4"/>
        <v>5.4000000000000003E-3</v>
      </c>
      <c r="F22">
        <f t="shared" si="3"/>
        <v>5.2614340000000004</v>
      </c>
      <c r="I22">
        <v>0.107</v>
      </c>
    </row>
    <row r="23" spans="2:17" x14ac:dyDescent="0.25">
      <c r="B23">
        <v>21</v>
      </c>
      <c r="C23">
        <f t="shared" si="0"/>
        <v>4.8299999999999996E-2</v>
      </c>
      <c r="D23">
        <f t="shared" si="1"/>
        <v>5.0344930000000003</v>
      </c>
      <c r="E23">
        <f t="shared" si="4"/>
        <v>5.6699999999999997E-3</v>
      </c>
      <c r="F23">
        <f t="shared" si="3"/>
        <v>5.2600056999999998</v>
      </c>
      <c r="I23">
        <f>I22/100</f>
        <v>1.07E-3</v>
      </c>
    </row>
    <row r="24" spans="2:17" x14ac:dyDescent="0.25">
      <c r="B24">
        <v>22</v>
      </c>
      <c r="C24">
        <f t="shared" si="0"/>
        <v>5.0599999999999999E-2</v>
      </c>
      <c r="D24">
        <f t="shared" si="1"/>
        <v>5.0223259999999996</v>
      </c>
      <c r="E24">
        <f t="shared" si="4"/>
        <v>5.94E-3</v>
      </c>
      <c r="F24">
        <f t="shared" si="3"/>
        <v>5.2585774000000001</v>
      </c>
      <c r="I24">
        <f>I23*I21</f>
        <v>6.9774699999999995E-3</v>
      </c>
    </row>
    <row r="25" spans="2:17" x14ac:dyDescent="0.25">
      <c r="B25">
        <v>23</v>
      </c>
      <c r="C25">
        <f t="shared" si="0"/>
        <v>5.2900000000000003E-2</v>
      </c>
      <c r="D25">
        <f t="shared" si="1"/>
        <v>5.0101589999999998</v>
      </c>
      <c r="E25">
        <f t="shared" si="4"/>
        <v>6.2100000000000002E-3</v>
      </c>
      <c r="F25">
        <f t="shared" si="3"/>
        <v>5.2571491000000004</v>
      </c>
    </row>
    <row r="26" spans="2:17" x14ac:dyDescent="0.25">
      <c r="B26">
        <v>24</v>
      </c>
      <c r="C26">
        <f t="shared" si="0"/>
        <v>5.5199999999999999E-2</v>
      </c>
      <c r="D26">
        <f t="shared" si="1"/>
        <v>4.997992</v>
      </c>
      <c r="E26">
        <f t="shared" si="4"/>
        <v>6.4799999999999996E-3</v>
      </c>
      <c r="F26">
        <f t="shared" si="3"/>
        <v>5.2557207999999997</v>
      </c>
    </row>
    <row r="27" spans="2:17" x14ac:dyDescent="0.25">
      <c r="B27">
        <v>25</v>
      </c>
      <c r="C27">
        <f t="shared" si="0"/>
        <v>5.7499999999999996E-2</v>
      </c>
      <c r="D27">
        <f t="shared" si="1"/>
        <v>4.9858250000000002</v>
      </c>
      <c r="E27">
        <f t="shared" si="4"/>
        <v>6.7499999999999999E-3</v>
      </c>
      <c r="F27">
        <f t="shared" si="3"/>
        <v>5.2542925</v>
      </c>
    </row>
    <row r="28" spans="2:17" x14ac:dyDescent="0.25">
      <c r="B28">
        <v>26</v>
      </c>
      <c r="C28">
        <f t="shared" si="0"/>
        <v>5.9799999999999999E-2</v>
      </c>
      <c r="D28">
        <f t="shared" si="1"/>
        <v>4.9736580000000004</v>
      </c>
      <c r="E28">
        <f t="shared" si="4"/>
        <v>7.0200000000000002E-3</v>
      </c>
      <c r="F28">
        <f t="shared" si="3"/>
        <v>5.2528642000000003</v>
      </c>
    </row>
    <row r="29" spans="2:17" x14ac:dyDescent="0.25">
      <c r="B29">
        <v>27</v>
      </c>
      <c r="C29">
        <f t="shared" si="0"/>
        <v>6.2100000000000002E-2</v>
      </c>
      <c r="D29">
        <f t="shared" si="1"/>
        <v>4.9614909999999997</v>
      </c>
      <c r="E29">
        <f t="shared" si="4"/>
        <v>7.2900000000000005E-3</v>
      </c>
      <c r="F29">
        <f t="shared" si="3"/>
        <v>5.2514358999999997</v>
      </c>
      <c r="Q29">
        <f>5.29-4.052</f>
        <v>1.2380000000000004</v>
      </c>
    </row>
    <row r="30" spans="2:17" x14ac:dyDescent="0.25">
      <c r="B30">
        <v>28</v>
      </c>
      <c r="C30">
        <f t="shared" si="0"/>
        <v>6.4399999999999999E-2</v>
      </c>
      <c r="D30">
        <f t="shared" si="1"/>
        <v>4.9493239999999998</v>
      </c>
      <c r="E30">
        <f t="shared" si="4"/>
        <v>7.5599999999999999E-3</v>
      </c>
      <c r="F30">
        <f t="shared" si="3"/>
        <v>5.2500076</v>
      </c>
    </row>
    <row r="31" spans="2:17" x14ac:dyDescent="0.25">
      <c r="B31">
        <v>29</v>
      </c>
      <c r="C31">
        <f t="shared" si="0"/>
        <v>6.6699999999999995E-2</v>
      </c>
      <c r="D31">
        <f t="shared" si="1"/>
        <v>4.937157</v>
      </c>
      <c r="E31">
        <f t="shared" si="4"/>
        <v>7.8300000000000002E-3</v>
      </c>
      <c r="F31">
        <f t="shared" si="3"/>
        <v>5.2485793000000003</v>
      </c>
    </row>
    <row r="32" spans="2:17" x14ac:dyDescent="0.25">
      <c r="B32">
        <v>30</v>
      </c>
      <c r="C32">
        <f t="shared" si="0"/>
        <v>6.9000000000000006E-2</v>
      </c>
      <c r="D32">
        <f t="shared" si="1"/>
        <v>4.9249900000000002</v>
      </c>
      <c r="E32">
        <f t="shared" si="4"/>
        <v>8.0999999999999996E-3</v>
      </c>
      <c r="F32">
        <f t="shared" si="3"/>
        <v>5.2471509999999997</v>
      </c>
    </row>
    <row r="33" spans="2:6" x14ac:dyDescent="0.25">
      <c r="B33">
        <v>31</v>
      </c>
      <c r="C33">
        <f t="shared" si="0"/>
        <v>7.1300000000000002E-2</v>
      </c>
      <c r="D33">
        <f t="shared" si="1"/>
        <v>4.9128230000000004</v>
      </c>
      <c r="E33">
        <f t="shared" si="4"/>
        <v>8.3700000000000007E-3</v>
      </c>
      <c r="F33">
        <f t="shared" si="3"/>
        <v>5.2457227</v>
      </c>
    </row>
    <row r="34" spans="2:6" x14ac:dyDescent="0.25">
      <c r="B34">
        <v>32</v>
      </c>
      <c r="C34">
        <f t="shared" si="0"/>
        <v>7.3599999999999999E-2</v>
      </c>
      <c r="D34">
        <f t="shared" si="1"/>
        <v>4.9006559999999997</v>
      </c>
      <c r="E34">
        <f t="shared" si="4"/>
        <v>8.6400000000000001E-3</v>
      </c>
      <c r="F34">
        <f t="shared" si="3"/>
        <v>5.2442944000000002</v>
      </c>
    </row>
    <row r="35" spans="2:6" x14ac:dyDescent="0.25">
      <c r="B35">
        <v>33</v>
      </c>
      <c r="C35">
        <f t="shared" si="0"/>
        <v>7.5899999999999995E-2</v>
      </c>
      <c r="D35">
        <f t="shared" si="1"/>
        <v>4.8884889999999999</v>
      </c>
      <c r="E35">
        <f t="shared" si="4"/>
        <v>8.9099999999999995E-3</v>
      </c>
      <c r="F35">
        <f t="shared" si="3"/>
        <v>5.2428660999999996</v>
      </c>
    </row>
    <row r="36" spans="2:6" x14ac:dyDescent="0.25">
      <c r="B36">
        <v>34</v>
      </c>
      <c r="C36">
        <f t="shared" si="0"/>
        <v>7.8199999999999992E-2</v>
      </c>
      <c r="D36">
        <f t="shared" si="1"/>
        <v>4.876322</v>
      </c>
      <c r="E36">
        <f t="shared" si="4"/>
        <v>9.1800000000000007E-3</v>
      </c>
      <c r="F36">
        <f t="shared" si="3"/>
        <v>5.2414377999999999</v>
      </c>
    </row>
    <row r="37" spans="2:6" x14ac:dyDescent="0.25">
      <c r="B37">
        <v>35</v>
      </c>
      <c r="C37">
        <f t="shared" si="0"/>
        <v>8.0500000000000002E-2</v>
      </c>
      <c r="D37">
        <f t="shared" si="1"/>
        <v>4.8641550000000002</v>
      </c>
      <c r="E37">
        <f t="shared" si="4"/>
        <v>9.4500000000000001E-3</v>
      </c>
      <c r="F37">
        <f t="shared" si="3"/>
        <v>5.2400095000000002</v>
      </c>
    </row>
    <row r="38" spans="2:6" x14ac:dyDescent="0.25">
      <c r="B38">
        <v>36</v>
      </c>
      <c r="C38">
        <f t="shared" si="0"/>
        <v>8.2799999999999999E-2</v>
      </c>
      <c r="D38">
        <f t="shared" si="1"/>
        <v>4.8519880000000004</v>
      </c>
      <c r="E38">
        <f t="shared" si="4"/>
        <v>9.7199999999999995E-3</v>
      </c>
      <c r="F38">
        <f t="shared" si="3"/>
        <v>5.2385811999999996</v>
      </c>
    </row>
    <row r="39" spans="2:6" x14ac:dyDescent="0.25">
      <c r="B39">
        <v>37</v>
      </c>
      <c r="C39">
        <f t="shared" si="0"/>
        <v>8.5099999999999995E-2</v>
      </c>
      <c r="D39">
        <f t="shared" si="1"/>
        <v>4.8398209999999997</v>
      </c>
      <c r="E39">
        <f t="shared" si="4"/>
        <v>9.9900000000000006E-3</v>
      </c>
      <c r="F39">
        <f t="shared" si="3"/>
        <v>5.2371528999999999</v>
      </c>
    </row>
    <row r="40" spans="2:6" x14ac:dyDescent="0.25">
      <c r="B40">
        <v>38</v>
      </c>
      <c r="C40">
        <f t="shared" si="0"/>
        <v>8.7400000000000005E-2</v>
      </c>
      <c r="D40">
        <f t="shared" si="1"/>
        <v>4.8276539999999999</v>
      </c>
      <c r="E40">
        <f t="shared" si="4"/>
        <v>1.026E-2</v>
      </c>
      <c r="F40">
        <f t="shared" si="3"/>
        <v>5.2357246000000002</v>
      </c>
    </row>
    <row r="41" spans="2:6" x14ac:dyDescent="0.25">
      <c r="B41">
        <v>39</v>
      </c>
      <c r="C41">
        <f t="shared" si="0"/>
        <v>8.9700000000000002E-2</v>
      </c>
      <c r="D41">
        <f t="shared" si="1"/>
        <v>4.8154870000000001</v>
      </c>
      <c r="E41">
        <f t="shared" si="4"/>
        <v>1.0529999999999999E-2</v>
      </c>
      <c r="F41">
        <f t="shared" si="3"/>
        <v>5.2342963000000005</v>
      </c>
    </row>
    <row r="42" spans="2:6" x14ac:dyDescent="0.25">
      <c r="B42">
        <v>40</v>
      </c>
      <c r="C42">
        <f t="shared" si="0"/>
        <v>9.1999999999999998E-2</v>
      </c>
      <c r="D42">
        <f t="shared" si="1"/>
        <v>4.8033200000000003</v>
      </c>
      <c r="E42">
        <f t="shared" si="4"/>
        <v>1.0800000000000001E-2</v>
      </c>
      <c r="F42">
        <f t="shared" si="3"/>
        <v>5.2328679999999999</v>
      </c>
    </row>
    <row r="43" spans="2:6" x14ac:dyDescent="0.25">
      <c r="B43">
        <v>41</v>
      </c>
      <c r="C43">
        <f t="shared" si="0"/>
        <v>9.4299999999999995E-2</v>
      </c>
      <c r="D43">
        <f t="shared" si="1"/>
        <v>4.7911530000000004</v>
      </c>
      <c r="E43">
        <f t="shared" si="4"/>
        <v>1.107E-2</v>
      </c>
      <c r="F43">
        <f t="shared" si="3"/>
        <v>5.2314397000000001</v>
      </c>
    </row>
    <row r="44" spans="2:6" x14ac:dyDescent="0.25">
      <c r="B44">
        <v>42</v>
      </c>
      <c r="C44">
        <f t="shared" si="0"/>
        <v>9.6599999999999991E-2</v>
      </c>
      <c r="D44">
        <f t="shared" si="1"/>
        <v>4.7789859999999997</v>
      </c>
      <c r="E44">
        <f t="shared" si="4"/>
        <v>1.1339999999999999E-2</v>
      </c>
      <c r="F44">
        <f t="shared" si="3"/>
        <v>5.2300114000000004</v>
      </c>
    </row>
    <row r="45" spans="2:6" x14ac:dyDescent="0.25">
      <c r="B45">
        <v>43</v>
      </c>
      <c r="C45">
        <f t="shared" si="0"/>
        <v>9.8900000000000002E-2</v>
      </c>
      <c r="D45">
        <f t="shared" si="1"/>
        <v>4.7668189999999999</v>
      </c>
      <c r="E45">
        <f t="shared" si="4"/>
        <v>1.1610000000000001E-2</v>
      </c>
      <c r="F45">
        <f t="shared" si="3"/>
        <v>5.2285830999999998</v>
      </c>
    </row>
    <row r="46" spans="2:6" x14ac:dyDescent="0.25">
      <c r="B46">
        <v>44</v>
      </c>
      <c r="C46">
        <f t="shared" si="0"/>
        <v>0.1012</v>
      </c>
      <c r="D46">
        <f t="shared" si="1"/>
        <v>4.7546520000000001</v>
      </c>
      <c r="E46">
        <f t="shared" si="4"/>
        <v>1.188E-2</v>
      </c>
      <c r="F46">
        <f t="shared" si="3"/>
        <v>5.2271548000000001</v>
      </c>
    </row>
    <row r="47" spans="2:6" x14ac:dyDescent="0.25">
      <c r="B47">
        <v>45</v>
      </c>
      <c r="C47">
        <f t="shared" si="0"/>
        <v>0.10349999999999999</v>
      </c>
      <c r="D47">
        <f t="shared" si="1"/>
        <v>4.7424850000000003</v>
      </c>
      <c r="E47">
        <f t="shared" si="4"/>
        <v>1.2149999999999999E-2</v>
      </c>
      <c r="F47">
        <f t="shared" si="3"/>
        <v>5.2257265000000004</v>
      </c>
    </row>
    <row r="48" spans="2:6" x14ac:dyDescent="0.25">
      <c r="B48">
        <v>46</v>
      </c>
      <c r="C48">
        <f t="shared" si="0"/>
        <v>0.10580000000000001</v>
      </c>
      <c r="D48">
        <f t="shared" si="1"/>
        <v>4.7303180000000005</v>
      </c>
      <c r="E48">
        <f t="shared" si="4"/>
        <v>1.242E-2</v>
      </c>
      <c r="F48">
        <f t="shared" si="3"/>
        <v>5.2242981999999998</v>
      </c>
    </row>
    <row r="49" spans="2:6" x14ac:dyDescent="0.25">
      <c r="B49">
        <v>47</v>
      </c>
      <c r="C49">
        <f t="shared" si="0"/>
        <v>0.1081</v>
      </c>
      <c r="D49">
        <f t="shared" si="1"/>
        <v>4.7181509999999998</v>
      </c>
      <c r="E49">
        <f t="shared" si="4"/>
        <v>1.269E-2</v>
      </c>
      <c r="F49">
        <f t="shared" si="3"/>
        <v>5.2228699000000001</v>
      </c>
    </row>
    <row r="50" spans="2:6" x14ac:dyDescent="0.25">
      <c r="B50">
        <v>48</v>
      </c>
      <c r="C50">
        <f t="shared" si="0"/>
        <v>0.1104</v>
      </c>
      <c r="D50">
        <f t="shared" si="1"/>
        <v>4.7059839999999999</v>
      </c>
      <c r="E50">
        <f t="shared" si="4"/>
        <v>1.2959999999999999E-2</v>
      </c>
      <c r="F50">
        <f t="shared" si="3"/>
        <v>5.2214416000000003</v>
      </c>
    </row>
    <row r="51" spans="2:6" x14ac:dyDescent="0.25">
      <c r="B51">
        <v>49</v>
      </c>
      <c r="C51">
        <f t="shared" si="0"/>
        <v>0.11269999999999999</v>
      </c>
      <c r="D51">
        <f t="shared" si="1"/>
        <v>4.6938170000000001</v>
      </c>
      <c r="E51">
        <f t="shared" si="4"/>
        <v>1.323E-2</v>
      </c>
      <c r="F51">
        <f t="shared" si="3"/>
        <v>5.2200132999999997</v>
      </c>
    </row>
    <row r="52" spans="2:6" x14ac:dyDescent="0.25">
      <c r="B52">
        <v>50</v>
      </c>
      <c r="C52">
        <f t="shared" si="0"/>
        <v>0.11499999999999999</v>
      </c>
      <c r="D52">
        <f t="shared" si="1"/>
        <v>4.6816500000000003</v>
      </c>
      <c r="E52">
        <f t="shared" si="4"/>
        <v>1.35E-2</v>
      </c>
      <c r="F52">
        <f t="shared" si="3"/>
        <v>5.218585</v>
      </c>
    </row>
    <row r="53" spans="2:6" x14ac:dyDescent="0.25">
      <c r="B53">
        <v>51</v>
      </c>
      <c r="C53">
        <f t="shared" si="0"/>
        <v>0.1173</v>
      </c>
      <c r="D53">
        <f t="shared" si="1"/>
        <v>4.6694829999999996</v>
      </c>
      <c r="E53">
        <f t="shared" si="4"/>
        <v>1.3770000000000001E-2</v>
      </c>
      <c r="F53">
        <f t="shared" si="3"/>
        <v>5.2171567000000003</v>
      </c>
    </row>
    <row r="54" spans="2:6" x14ac:dyDescent="0.25">
      <c r="B54">
        <v>52</v>
      </c>
      <c r="C54">
        <f t="shared" si="0"/>
        <v>0.1196</v>
      </c>
      <c r="D54">
        <f t="shared" si="1"/>
        <v>4.6573159999999998</v>
      </c>
      <c r="E54">
        <f t="shared" si="4"/>
        <v>1.404E-2</v>
      </c>
      <c r="F54">
        <f t="shared" si="3"/>
        <v>5.2157283999999997</v>
      </c>
    </row>
    <row r="55" spans="2:6" x14ac:dyDescent="0.25">
      <c r="B55">
        <v>53</v>
      </c>
      <c r="C55">
        <f t="shared" si="0"/>
        <v>0.12189999999999999</v>
      </c>
      <c r="D55">
        <f t="shared" si="1"/>
        <v>4.645149</v>
      </c>
      <c r="E55">
        <f t="shared" si="4"/>
        <v>1.431E-2</v>
      </c>
      <c r="F55">
        <f t="shared" si="3"/>
        <v>5.2143001</v>
      </c>
    </row>
    <row r="56" spans="2:6" x14ac:dyDescent="0.25">
      <c r="B56">
        <v>54</v>
      </c>
      <c r="C56">
        <f t="shared" si="0"/>
        <v>0.1242</v>
      </c>
      <c r="D56">
        <f t="shared" si="1"/>
        <v>4.6329820000000002</v>
      </c>
      <c r="E56">
        <f t="shared" si="4"/>
        <v>1.4580000000000001E-2</v>
      </c>
      <c r="F56">
        <f t="shared" si="3"/>
        <v>5.2128718000000003</v>
      </c>
    </row>
    <row r="57" spans="2:6" x14ac:dyDescent="0.25">
      <c r="B57">
        <v>55</v>
      </c>
      <c r="C57">
        <f t="shared" si="0"/>
        <v>0.1265</v>
      </c>
      <c r="D57">
        <f t="shared" si="1"/>
        <v>4.6208150000000003</v>
      </c>
      <c r="E57">
        <f t="shared" si="4"/>
        <v>1.485E-2</v>
      </c>
      <c r="F57">
        <f t="shared" si="3"/>
        <v>5.2114434999999997</v>
      </c>
    </row>
    <row r="58" spans="2:6" x14ac:dyDescent="0.25">
      <c r="B58">
        <v>56</v>
      </c>
      <c r="C58">
        <f t="shared" si="0"/>
        <v>0.1288</v>
      </c>
      <c r="D58">
        <f t="shared" si="1"/>
        <v>4.6086480000000005</v>
      </c>
      <c r="E58">
        <f t="shared" si="4"/>
        <v>1.512E-2</v>
      </c>
      <c r="F58">
        <f t="shared" si="3"/>
        <v>5.2100152</v>
      </c>
    </row>
    <row r="59" spans="2:6" x14ac:dyDescent="0.25">
      <c r="B59">
        <v>57</v>
      </c>
      <c r="C59">
        <f t="shared" si="0"/>
        <v>0.13109999999999999</v>
      </c>
      <c r="D59">
        <f t="shared" si="1"/>
        <v>4.5964809999999998</v>
      </c>
      <c r="E59">
        <f t="shared" si="4"/>
        <v>1.5390000000000001E-2</v>
      </c>
      <c r="F59">
        <f t="shared" si="3"/>
        <v>5.2085869000000002</v>
      </c>
    </row>
    <row r="60" spans="2:6" x14ac:dyDescent="0.25">
      <c r="B60">
        <v>58</v>
      </c>
      <c r="C60">
        <f t="shared" si="0"/>
        <v>0.13339999999999999</v>
      </c>
      <c r="D60">
        <f t="shared" si="1"/>
        <v>4.584314</v>
      </c>
      <c r="E60">
        <f t="shared" si="4"/>
        <v>1.566E-2</v>
      </c>
      <c r="F60">
        <f t="shared" si="3"/>
        <v>5.2071585999999996</v>
      </c>
    </row>
    <row r="61" spans="2:6" x14ac:dyDescent="0.25">
      <c r="B61">
        <v>59</v>
      </c>
      <c r="C61">
        <f t="shared" si="0"/>
        <v>0.13569999999999999</v>
      </c>
      <c r="D61">
        <f t="shared" si="1"/>
        <v>4.5721470000000002</v>
      </c>
      <c r="E61">
        <f t="shared" si="4"/>
        <v>1.593E-2</v>
      </c>
      <c r="F61">
        <f t="shared" si="3"/>
        <v>5.2057302999999999</v>
      </c>
    </row>
    <row r="62" spans="2:6" x14ac:dyDescent="0.25">
      <c r="B62">
        <v>60</v>
      </c>
      <c r="C62">
        <f t="shared" si="0"/>
        <v>0.13800000000000001</v>
      </c>
      <c r="D62">
        <f t="shared" si="1"/>
        <v>4.5599799999999995</v>
      </c>
      <c r="E62">
        <f t="shared" si="4"/>
        <v>1.6199999999999999E-2</v>
      </c>
      <c r="F62">
        <f t="shared" si="3"/>
        <v>5.2043020000000002</v>
      </c>
    </row>
    <row r="63" spans="2:6" x14ac:dyDescent="0.25">
      <c r="B63">
        <v>61</v>
      </c>
      <c r="C63">
        <f t="shared" si="0"/>
        <v>0.14030000000000001</v>
      </c>
      <c r="D63">
        <f t="shared" si="1"/>
        <v>4.5478129999999997</v>
      </c>
      <c r="E63">
        <f t="shared" si="4"/>
        <v>1.6469999999999999E-2</v>
      </c>
      <c r="F63">
        <f t="shared" si="3"/>
        <v>5.2028736999999996</v>
      </c>
    </row>
    <row r="64" spans="2:6" x14ac:dyDescent="0.25">
      <c r="B64">
        <v>62</v>
      </c>
      <c r="C64">
        <f t="shared" si="0"/>
        <v>0.1426</v>
      </c>
      <c r="D64">
        <f t="shared" si="1"/>
        <v>4.5356459999999998</v>
      </c>
      <c r="E64">
        <f t="shared" si="4"/>
        <v>1.6740000000000001E-2</v>
      </c>
      <c r="F64">
        <f t="shared" si="3"/>
        <v>5.2014453999999999</v>
      </c>
    </row>
    <row r="65" spans="2:6" x14ac:dyDescent="0.25">
      <c r="B65">
        <v>63</v>
      </c>
      <c r="C65">
        <f t="shared" si="0"/>
        <v>0.1449</v>
      </c>
      <c r="D65">
        <f t="shared" si="1"/>
        <v>4.523479</v>
      </c>
      <c r="E65">
        <f t="shared" si="4"/>
        <v>1.7010000000000001E-2</v>
      </c>
      <c r="F65">
        <f t="shared" si="3"/>
        <v>5.2000171000000002</v>
      </c>
    </row>
    <row r="66" spans="2:6" x14ac:dyDescent="0.25">
      <c r="B66">
        <v>64</v>
      </c>
      <c r="C66">
        <f t="shared" si="0"/>
        <v>0.1472</v>
      </c>
      <c r="D66">
        <f t="shared" si="1"/>
        <v>4.5113120000000002</v>
      </c>
      <c r="E66">
        <f t="shared" si="4"/>
        <v>1.728E-2</v>
      </c>
      <c r="F66">
        <f t="shared" si="3"/>
        <v>5.1985888000000005</v>
      </c>
    </row>
    <row r="67" spans="2:6" x14ac:dyDescent="0.25">
      <c r="B67">
        <v>65</v>
      </c>
      <c r="C67">
        <f t="shared" si="0"/>
        <v>0.14949999999999999</v>
      </c>
      <c r="D67">
        <f t="shared" si="1"/>
        <v>4.4991450000000004</v>
      </c>
      <c r="E67">
        <f t="shared" si="4"/>
        <v>1.755E-2</v>
      </c>
      <c r="F67">
        <f t="shared" si="3"/>
        <v>5.1971604999999998</v>
      </c>
    </row>
    <row r="68" spans="2:6" x14ac:dyDescent="0.25">
      <c r="B68">
        <v>66</v>
      </c>
      <c r="C68">
        <f t="shared" si="0"/>
        <v>0.15179999999999999</v>
      </c>
      <c r="D68">
        <f t="shared" si="1"/>
        <v>4.4869780000000006</v>
      </c>
      <c r="E68">
        <f t="shared" si="4"/>
        <v>1.7819999999999999E-2</v>
      </c>
      <c r="F68">
        <f t="shared" si="3"/>
        <v>5.1957322000000001</v>
      </c>
    </row>
    <row r="69" spans="2:6" x14ac:dyDescent="0.25">
      <c r="B69">
        <v>67</v>
      </c>
      <c r="C69">
        <f t="shared" ref="C69:C106" si="5">$C$3*B69</f>
        <v>0.15409999999999999</v>
      </c>
      <c r="D69">
        <f t="shared" ref="D69:D106" si="6">$D$1-(C69*$D$1)</f>
        <v>4.4748109999999999</v>
      </c>
      <c r="E69">
        <f t="shared" si="4"/>
        <v>1.8090000000000002E-2</v>
      </c>
      <c r="F69">
        <f t="shared" ref="F69:F106" si="7">$D$1-(E69*$D$1)</f>
        <v>5.1943039000000004</v>
      </c>
    </row>
    <row r="70" spans="2:6" x14ac:dyDescent="0.25">
      <c r="B70">
        <v>68</v>
      </c>
      <c r="C70">
        <f t="shared" si="5"/>
        <v>0.15639999999999998</v>
      </c>
      <c r="D70">
        <f t="shared" si="6"/>
        <v>4.4626440000000001</v>
      </c>
      <c r="E70">
        <f t="shared" si="4"/>
        <v>1.8360000000000001E-2</v>
      </c>
      <c r="F70">
        <f t="shared" si="7"/>
        <v>5.1928755999999998</v>
      </c>
    </row>
    <row r="71" spans="2:6" x14ac:dyDescent="0.25">
      <c r="B71">
        <v>69</v>
      </c>
      <c r="C71">
        <f t="shared" si="5"/>
        <v>0.15870000000000001</v>
      </c>
      <c r="D71">
        <f t="shared" si="6"/>
        <v>4.4504770000000002</v>
      </c>
      <c r="E71">
        <f t="shared" si="4"/>
        <v>1.8630000000000001E-2</v>
      </c>
      <c r="F71">
        <f t="shared" si="7"/>
        <v>5.1914473000000001</v>
      </c>
    </row>
    <row r="72" spans="2:6" x14ac:dyDescent="0.25">
      <c r="B72">
        <v>70</v>
      </c>
      <c r="C72">
        <f t="shared" si="5"/>
        <v>0.161</v>
      </c>
      <c r="D72">
        <f t="shared" si="6"/>
        <v>4.4383099999999995</v>
      </c>
      <c r="E72">
        <f t="shared" si="4"/>
        <v>1.89E-2</v>
      </c>
      <c r="F72">
        <f t="shared" si="7"/>
        <v>5.1900190000000004</v>
      </c>
    </row>
    <row r="73" spans="2:6" x14ac:dyDescent="0.25">
      <c r="B73">
        <v>71</v>
      </c>
      <c r="C73">
        <f t="shared" si="5"/>
        <v>0.1633</v>
      </c>
      <c r="D73">
        <f t="shared" si="6"/>
        <v>4.4261429999999997</v>
      </c>
      <c r="E73">
        <f t="shared" si="4"/>
        <v>1.917E-2</v>
      </c>
      <c r="F73">
        <f t="shared" si="7"/>
        <v>5.1885906999999998</v>
      </c>
    </row>
    <row r="74" spans="2:6" x14ac:dyDescent="0.25">
      <c r="B74">
        <v>72</v>
      </c>
      <c r="C74">
        <f t="shared" si="5"/>
        <v>0.1656</v>
      </c>
      <c r="D74">
        <f t="shared" si="6"/>
        <v>4.4139759999999999</v>
      </c>
      <c r="E74">
        <f t="shared" si="4"/>
        <v>1.9439999999999999E-2</v>
      </c>
      <c r="F74">
        <f t="shared" si="7"/>
        <v>5.1871624000000001</v>
      </c>
    </row>
    <row r="75" spans="2:6" x14ac:dyDescent="0.25">
      <c r="B75">
        <v>73</v>
      </c>
      <c r="C75">
        <f t="shared" si="5"/>
        <v>0.16789999999999999</v>
      </c>
      <c r="D75">
        <f t="shared" si="6"/>
        <v>4.4018090000000001</v>
      </c>
      <c r="E75">
        <f t="shared" si="4"/>
        <v>1.9710000000000002E-2</v>
      </c>
      <c r="F75">
        <f t="shared" si="7"/>
        <v>5.1857341000000003</v>
      </c>
    </row>
    <row r="76" spans="2:6" x14ac:dyDescent="0.25">
      <c r="B76">
        <v>74</v>
      </c>
      <c r="C76">
        <f t="shared" si="5"/>
        <v>0.17019999999999999</v>
      </c>
      <c r="D76">
        <f t="shared" si="6"/>
        <v>4.3896420000000003</v>
      </c>
      <c r="E76">
        <f t="shared" si="4"/>
        <v>1.9980000000000001E-2</v>
      </c>
      <c r="F76">
        <f t="shared" si="7"/>
        <v>5.1843057999999997</v>
      </c>
    </row>
    <row r="77" spans="2:6" x14ac:dyDescent="0.25">
      <c r="B77">
        <v>75</v>
      </c>
      <c r="C77">
        <f t="shared" si="5"/>
        <v>0.17249999999999999</v>
      </c>
      <c r="D77">
        <f t="shared" si="6"/>
        <v>4.3774750000000004</v>
      </c>
      <c r="E77">
        <f t="shared" si="4"/>
        <v>2.0250000000000001E-2</v>
      </c>
      <c r="F77">
        <f t="shared" si="7"/>
        <v>5.1828775</v>
      </c>
    </row>
    <row r="78" spans="2:6" x14ac:dyDescent="0.25">
      <c r="B78">
        <v>76</v>
      </c>
      <c r="C78">
        <f t="shared" si="5"/>
        <v>0.17480000000000001</v>
      </c>
      <c r="D78">
        <f t="shared" si="6"/>
        <v>4.3653079999999997</v>
      </c>
      <c r="E78">
        <f t="shared" ref="E78:E102" si="8">$E$3*B78</f>
        <v>2.052E-2</v>
      </c>
      <c r="F78">
        <f t="shared" si="7"/>
        <v>5.1814492000000003</v>
      </c>
    </row>
    <row r="79" spans="2:6" x14ac:dyDescent="0.25">
      <c r="B79">
        <v>77</v>
      </c>
      <c r="C79">
        <f t="shared" si="5"/>
        <v>0.17710000000000001</v>
      </c>
      <c r="D79">
        <f t="shared" si="6"/>
        <v>4.3531409999999999</v>
      </c>
      <c r="E79">
        <f t="shared" si="8"/>
        <v>2.0789999999999999E-2</v>
      </c>
      <c r="F79">
        <f t="shared" si="7"/>
        <v>5.1800208999999997</v>
      </c>
    </row>
    <row r="80" spans="2:6" x14ac:dyDescent="0.25">
      <c r="B80">
        <v>78</v>
      </c>
      <c r="C80">
        <f t="shared" si="5"/>
        <v>0.1794</v>
      </c>
      <c r="D80">
        <f t="shared" si="6"/>
        <v>4.3409740000000001</v>
      </c>
      <c r="E80">
        <f t="shared" si="8"/>
        <v>2.1059999999999999E-2</v>
      </c>
      <c r="F80">
        <f t="shared" si="7"/>
        <v>5.1785926</v>
      </c>
    </row>
    <row r="81" spans="2:6" x14ac:dyDescent="0.25">
      <c r="B81">
        <v>79</v>
      </c>
      <c r="C81">
        <f t="shared" si="5"/>
        <v>0.1817</v>
      </c>
      <c r="D81">
        <f t="shared" si="6"/>
        <v>4.3288070000000003</v>
      </c>
      <c r="E81">
        <f t="shared" si="8"/>
        <v>2.1330000000000002E-2</v>
      </c>
      <c r="F81">
        <f t="shared" si="7"/>
        <v>5.1771643000000003</v>
      </c>
    </row>
    <row r="82" spans="2:6" x14ac:dyDescent="0.25">
      <c r="B82">
        <v>80</v>
      </c>
      <c r="C82">
        <f t="shared" si="5"/>
        <v>0.184</v>
      </c>
      <c r="D82">
        <f t="shared" si="6"/>
        <v>4.3166399999999996</v>
      </c>
      <c r="E82">
        <f t="shared" si="8"/>
        <v>2.1600000000000001E-2</v>
      </c>
      <c r="F82">
        <f t="shared" si="7"/>
        <v>5.1757359999999997</v>
      </c>
    </row>
    <row r="83" spans="2:6" x14ac:dyDescent="0.25">
      <c r="B83">
        <v>81</v>
      </c>
      <c r="C83">
        <f t="shared" si="5"/>
        <v>0.18629999999999999</v>
      </c>
      <c r="D83">
        <f t="shared" si="6"/>
        <v>4.3044729999999998</v>
      </c>
      <c r="E83">
        <f t="shared" si="8"/>
        <v>2.1870000000000001E-2</v>
      </c>
      <c r="F83">
        <f t="shared" si="7"/>
        <v>5.1743077</v>
      </c>
    </row>
    <row r="84" spans="2:6" x14ac:dyDescent="0.25">
      <c r="B84">
        <v>82</v>
      </c>
      <c r="C84">
        <f t="shared" si="5"/>
        <v>0.18859999999999999</v>
      </c>
      <c r="D84">
        <f t="shared" si="6"/>
        <v>4.292306</v>
      </c>
      <c r="E84">
        <f t="shared" si="8"/>
        <v>2.214E-2</v>
      </c>
      <c r="F84">
        <f t="shared" si="7"/>
        <v>5.1728794000000002</v>
      </c>
    </row>
    <row r="85" spans="2:6" x14ac:dyDescent="0.25">
      <c r="B85">
        <v>83</v>
      </c>
      <c r="C85">
        <f t="shared" si="5"/>
        <v>0.19089999999999999</v>
      </c>
      <c r="D85">
        <f t="shared" si="6"/>
        <v>4.2801390000000001</v>
      </c>
      <c r="E85">
        <f t="shared" si="8"/>
        <v>2.2409999999999999E-2</v>
      </c>
      <c r="F85">
        <f t="shared" si="7"/>
        <v>5.1714510999999996</v>
      </c>
    </row>
    <row r="86" spans="2:6" x14ac:dyDescent="0.25">
      <c r="B86">
        <v>84</v>
      </c>
      <c r="C86">
        <f t="shared" si="5"/>
        <v>0.19319999999999998</v>
      </c>
      <c r="D86">
        <f t="shared" si="6"/>
        <v>4.2679720000000003</v>
      </c>
      <c r="E86">
        <f t="shared" si="8"/>
        <v>2.2679999999999999E-2</v>
      </c>
      <c r="F86">
        <f t="shared" si="7"/>
        <v>5.1700227999999999</v>
      </c>
    </row>
    <row r="87" spans="2:6" x14ac:dyDescent="0.25">
      <c r="B87">
        <v>85</v>
      </c>
      <c r="C87">
        <f t="shared" si="5"/>
        <v>0.19550000000000001</v>
      </c>
      <c r="D87">
        <f t="shared" si="6"/>
        <v>4.2558050000000005</v>
      </c>
      <c r="E87">
        <f t="shared" si="8"/>
        <v>2.2950000000000002E-2</v>
      </c>
      <c r="F87">
        <f t="shared" si="7"/>
        <v>5.1685945000000002</v>
      </c>
    </row>
    <row r="88" spans="2:6" x14ac:dyDescent="0.25">
      <c r="B88">
        <v>86</v>
      </c>
      <c r="C88">
        <f t="shared" si="5"/>
        <v>0.1978</v>
      </c>
      <c r="D88">
        <f t="shared" si="6"/>
        <v>4.2436379999999998</v>
      </c>
      <c r="E88">
        <f t="shared" si="8"/>
        <v>2.3220000000000001E-2</v>
      </c>
      <c r="F88">
        <f t="shared" si="7"/>
        <v>5.1671661999999996</v>
      </c>
    </row>
    <row r="89" spans="2:6" x14ac:dyDescent="0.25">
      <c r="B89">
        <v>87</v>
      </c>
      <c r="C89">
        <f t="shared" si="5"/>
        <v>0.2001</v>
      </c>
      <c r="D89">
        <f t="shared" si="6"/>
        <v>4.231471</v>
      </c>
      <c r="E89">
        <f t="shared" si="8"/>
        <v>2.349E-2</v>
      </c>
      <c r="F89">
        <f t="shared" si="7"/>
        <v>5.1657378999999999</v>
      </c>
    </row>
    <row r="90" spans="2:6" x14ac:dyDescent="0.25">
      <c r="B90">
        <v>88</v>
      </c>
      <c r="C90">
        <f t="shared" si="5"/>
        <v>0.2024</v>
      </c>
      <c r="D90">
        <f t="shared" si="6"/>
        <v>4.2193040000000002</v>
      </c>
      <c r="E90">
        <f t="shared" si="8"/>
        <v>2.376E-2</v>
      </c>
      <c r="F90">
        <f t="shared" si="7"/>
        <v>5.1643096000000002</v>
      </c>
    </row>
    <row r="91" spans="2:6" x14ac:dyDescent="0.25">
      <c r="B91">
        <v>89</v>
      </c>
      <c r="C91">
        <f t="shared" si="5"/>
        <v>0.20469999999999999</v>
      </c>
      <c r="D91">
        <f t="shared" si="6"/>
        <v>4.2071370000000003</v>
      </c>
      <c r="E91">
        <f t="shared" si="8"/>
        <v>2.4029999999999999E-2</v>
      </c>
      <c r="F91">
        <f t="shared" si="7"/>
        <v>5.1628813000000005</v>
      </c>
    </row>
    <row r="92" spans="2:6" x14ac:dyDescent="0.25">
      <c r="B92">
        <v>90</v>
      </c>
      <c r="C92">
        <f t="shared" si="5"/>
        <v>0.20699999999999999</v>
      </c>
      <c r="D92">
        <f t="shared" si="6"/>
        <v>4.1949699999999996</v>
      </c>
      <c r="E92">
        <f t="shared" si="8"/>
        <v>2.4299999999999999E-2</v>
      </c>
      <c r="F92">
        <f t="shared" si="7"/>
        <v>5.1614529999999998</v>
      </c>
    </row>
    <row r="93" spans="2:6" x14ac:dyDescent="0.25">
      <c r="B93">
        <v>91</v>
      </c>
      <c r="C93">
        <f t="shared" si="5"/>
        <v>0.20929999999999999</v>
      </c>
      <c r="D93">
        <f t="shared" si="6"/>
        <v>4.1828029999999998</v>
      </c>
      <c r="E93">
        <f t="shared" si="8"/>
        <v>2.4570000000000002E-2</v>
      </c>
      <c r="F93">
        <f t="shared" si="7"/>
        <v>5.1600247000000001</v>
      </c>
    </row>
    <row r="94" spans="2:6" x14ac:dyDescent="0.25">
      <c r="B94">
        <v>92</v>
      </c>
      <c r="C94">
        <f t="shared" si="5"/>
        <v>0.21160000000000001</v>
      </c>
      <c r="D94">
        <f t="shared" si="6"/>
        <v>4.170636</v>
      </c>
      <c r="E94">
        <f t="shared" si="8"/>
        <v>2.4840000000000001E-2</v>
      </c>
      <c r="F94">
        <f t="shared" si="7"/>
        <v>5.1585964000000004</v>
      </c>
    </row>
    <row r="95" spans="2:6" x14ac:dyDescent="0.25">
      <c r="B95">
        <v>93</v>
      </c>
      <c r="C95">
        <f t="shared" si="5"/>
        <v>0.21390000000000001</v>
      </c>
      <c r="D95">
        <f t="shared" si="6"/>
        <v>4.1584690000000002</v>
      </c>
      <c r="E95">
        <f t="shared" si="8"/>
        <v>2.511E-2</v>
      </c>
      <c r="F95">
        <f t="shared" si="7"/>
        <v>5.1571680999999998</v>
      </c>
    </row>
    <row r="96" spans="2:6" x14ac:dyDescent="0.25">
      <c r="B96">
        <v>94</v>
      </c>
      <c r="C96">
        <f t="shared" si="5"/>
        <v>0.2162</v>
      </c>
      <c r="D96">
        <f t="shared" si="6"/>
        <v>4.1463020000000004</v>
      </c>
      <c r="E96">
        <f t="shared" si="8"/>
        <v>2.538E-2</v>
      </c>
      <c r="F96">
        <f t="shared" si="7"/>
        <v>5.1557398000000001</v>
      </c>
    </row>
    <row r="97" spans="2:8" x14ac:dyDescent="0.25">
      <c r="B97">
        <v>95</v>
      </c>
      <c r="C97">
        <f t="shared" si="5"/>
        <v>0.2185</v>
      </c>
      <c r="D97">
        <f t="shared" si="6"/>
        <v>4.1341350000000006</v>
      </c>
      <c r="E97">
        <f t="shared" si="8"/>
        <v>2.5649999999999999E-2</v>
      </c>
      <c r="F97">
        <f t="shared" si="7"/>
        <v>5.1543115000000004</v>
      </c>
    </row>
    <row r="98" spans="2:8" x14ac:dyDescent="0.25">
      <c r="B98">
        <v>96</v>
      </c>
      <c r="C98">
        <f t="shared" si="5"/>
        <v>0.2208</v>
      </c>
      <c r="D98">
        <f t="shared" si="6"/>
        <v>4.1219679999999999</v>
      </c>
      <c r="E98">
        <f t="shared" si="8"/>
        <v>2.5919999999999999E-2</v>
      </c>
      <c r="F98">
        <f t="shared" si="7"/>
        <v>5.1528831999999998</v>
      </c>
    </row>
    <row r="99" spans="2:8" x14ac:dyDescent="0.25">
      <c r="B99">
        <v>97</v>
      </c>
      <c r="C99">
        <f t="shared" si="5"/>
        <v>0.22309999999999999</v>
      </c>
      <c r="D99">
        <f t="shared" si="6"/>
        <v>4.109801</v>
      </c>
      <c r="E99">
        <f t="shared" si="8"/>
        <v>2.6190000000000001E-2</v>
      </c>
      <c r="F99">
        <f t="shared" si="7"/>
        <v>5.1514549000000001</v>
      </c>
    </row>
    <row r="100" spans="2:8" x14ac:dyDescent="0.25">
      <c r="B100">
        <v>98</v>
      </c>
      <c r="C100">
        <f t="shared" si="5"/>
        <v>0.22539999999999999</v>
      </c>
      <c r="D100">
        <f t="shared" si="6"/>
        <v>4.0976340000000002</v>
      </c>
      <c r="E100">
        <f t="shared" si="8"/>
        <v>2.6460000000000001E-2</v>
      </c>
      <c r="F100">
        <f t="shared" si="7"/>
        <v>5.1500266000000003</v>
      </c>
    </row>
    <row r="101" spans="2:8" x14ac:dyDescent="0.25">
      <c r="B101">
        <v>99</v>
      </c>
      <c r="C101">
        <f t="shared" si="5"/>
        <v>0.22769999999999999</v>
      </c>
      <c r="D101">
        <f t="shared" si="6"/>
        <v>4.0854670000000004</v>
      </c>
      <c r="E101">
        <f t="shared" si="8"/>
        <v>2.673E-2</v>
      </c>
      <c r="F101">
        <f t="shared" si="7"/>
        <v>5.1485982999999997</v>
      </c>
    </row>
    <row r="102" spans="2:8" x14ac:dyDescent="0.25">
      <c r="B102">
        <v>100</v>
      </c>
      <c r="C102">
        <f t="shared" si="5"/>
        <v>0.22999999999999998</v>
      </c>
      <c r="D102">
        <f t="shared" si="6"/>
        <v>4.0732999999999997</v>
      </c>
      <c r="E102">
        <f t="shared" si="8"/>
        <v>2.7E-2</v>
      </c>
      <c r="F102">
        <f t="shared" si="7"/>
        <v>5.14717</v>
      </c>
      <c r="G102">
        <f>C102*$D$1</f>
        <v>1.2166999999999999</v>
      </c>
      <c r="H102">
        <f>E102*$D$1</f>
        <v>0.14283000000000001</v>
      </c>
    </row>
    <row r="103" spans="2:8" x14ac:dyDescent="0.25">
      <c r="B103">
        <v>101</v>
      </c>
      <c r="C103">
        <f t="shared" si="5"/>
        <v>0.23230000000000001</v>
      </c>
      <c r="D103">
        <f t="shared" si="6"/>
        <v>4.0611329999999999</v>
      </c>
      <c r="E103">
        <f t="shared" ref="E103:E106" si="9">$E$3*B103</f>
        <v>2.7269999999999999E-2</v>
      </c>
      <c r="F103">
        <f t="shared" si="7"/>
        <v>5.1457417000000003</v>
      </c>
    </row>
    <row r="104" spans="2:8" x14ac:dyDescent="0.25">
      <c r="B104">
        <v>102</v>
      </c>
      <c r="C104">
        <f t="shared" si="5"/>
        <v>0.2346</v>
      </c>
      <c r="D104">
        <f t="shared" si="6"/>
        <v>4.0489660000000001</v>
      </c>
      <c r="E104">
        <f t="shared" si="9"/>
        <v>2.7540000000000002E-2</v>
      </c>
      <c r="F104">
        <f t="shared" si="7"/>
        <v>5.1443133999999997</v>
      </c>
    </row>
    <row r="105" spans="2:8" x14ac:dyDescent="0.25">
      <c r="B105">
        <v>103</v>
      </c>
      <c r="C105">
        <f t="shared" si="5"/>
        <v>0.2369</v>
      </c>
      <c r="D105">
        <f t="shared" si="6"/>
        <v>4.0367990000000002</v>
      </c>
      <c r="E105">
        <f t="shared" si="9"/>
        <v>2.7810000000000001E-2</v>
      </c>
      <c r="F105">
        <f t="shared" si="7"/>
        <v>5.1428851</v>
      </c>
    </row>
    <row r="106" spans="2:8" x14ac:dyDescent="0.25">
      <c r="B106">
        <v>104</v>
      </c>
      <c r="C106">
        <f t="shared" si="5"/>
        <v>0.2392</v>
      </c>
      <c r="D106">
        <f t="shared" si="6"/>
        <v>4.0246320000000004</v>
      </c>
      <c r="E106">
        <f t="shared" si="9"/>
        <v>2.8080000000000001E-2</v>
      </c>
      <c r="F106">
        <f t="shared" si="7"/>
        <v>5.1414568000000003</v>
      </c>
    </row>
    <row r="107" spans="2:8" x14ac:dyDescent="0.25">
      <c r="G107">
        <f>0.021+1.21</f>
        <v>1.2309999999999999</v>
      </c>
    </row>
    <row r="108" spans="2:8" x14ac:dyDescent="0.25">
      <c r="G108">
        <f>0.143+0.182</f>
        <v>0.32499999999999996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2024-10-28T08:10:50Z</dcterms:created>
  <dcterms:modified xsi:type="dcterms:W3CDTF">2024-11-15T16:01:39Z</dcterms:modified>
</cp:coreProperties>
</file>