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54853F82-748D-49D9-95A7-D0A7308EC5C0}" xr6:coauthVersionLast="47" xr6:coauthVersionMax="47" xr10:uidLastSave="{00000000-0000-0000-0000-000000000000}"/>
  <bookViews>
    <workbookView xWindow="-28905" yWindow="0" windowWidth="14610" windowHeight="15585" tabRatio="659" activeTab="1"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Sheet4" sheetId="16" r:id="rId8"/>
    <sheet name="Land transport" sheetId="12" r:id="rId9"/>
    <sheet name="Storage" sheetId="9" r:id="rId10"/>
    <sheet name="FPSO" sheetId="10" r:id="rId11"/>
    <sheet name="Sheet1" sheetId="13" r:id="rId12"/>
    <sheet name="Pipeline NH3" sheetId="14" r:id="rId13"/>
    <sheet name="Pipeline GH2" sheetId="15" r:id="rId14"/>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 i="2" l="1"/>
  <c r="V17" i="2"/>
  <c r="C79" i="9" l="1"/>
  <c r="D79" i="9" s="1"/>
  <c r="AG73" i="9"/>
  <c r="AG75" i="9" s="1"/>
  <c r="AF73" i="9"/>
  <c r="AF75" i="9" s="1"/>
  <c r="AE73" i="9"/>
  <c r="AE75" i="9" s="1"/>
  <c r="AD73" i="9"/>
  <c r="AD75" i="9" s="1"/>
  <c r="AC73" i="9"/>
  <c r="AC75" i="9" s="1"/>
  <c r="AB73" i="9"/>
  <c r="AA73" i="9"/>
  <c r="AA75" i="9" s="1"/>
  <c r="Z73" i="9"/>
  <c r="Z75" i="9" s="1"/>
  <c r="Y73" i="9"/>
  <c r="Y75" i="9" s="1"/>
  <c r="X73" i="9"/>
  <c r="X75" i="9" s="1"/>
  <c r="W73" i="9"/>
  <c r="W75" i="9" s="1"/>
  <c r="V73" i="9"/>
  <c r="V75" i="9" s="1"/>
  <c r="U73" i="9"/>
  <c r="U75" i="9" s="1"/>
  <c r="T73" i="9"/>
  <c r="T75" i="9" s="1"/>
  <c r="S73" i="9"/>
  <c r="S75" i="9" s="1"/>
  <c r="R73" i="9"/>
  <c r="R75" i="9" s="1"/>
  <c r="Q73" i="9"/>
  <c r="Q75" i="9" s="1"/>
  <c r="P73" i="9"/>
  <c r="P75" i="9" s="1"/>
  <c r="O73" i="9"/>
  <c r="O75" i="9" s="1"/>
  <c r="N73" i="9"/>
  <c r="N75" i="9" s="1"/>
  <c r="M73" i="9"/>
  <c r="M75" i="9" s="1"/>
  <c r="L73" i="9"/>
  <c r="K73" i="9"/>
  <c r="K75" i="9" s="1"/>
  <c r="J73" i="9"/>
  <c r="J75" i="9" s="1"/>
  <c r="I73" i="9"/>
  <c r="I75" i="9" s="1"/>
  <c r="H73" i="9"/>
  <c r="H75" i="9" s="1"/>
  <c r="G73" i="9"/>
  <c r="G75" i="9" s="1"/>
  <c r="F73" i="9"/>
  <c r="F75" i="9" s="1"/>
  <c r="E73" i="9"/>
  <c r="E75" i="9" s="1"/>
  <c r="D73" i="9"/>
  <c r="D75" i="9" s="1"/>
  <c r="C73" i="9"/>
  <c r="C75" i="9" s="1"/>
  <c r="B66" i="9"/>
  <c r="B67" i="9" l="1"/>
  <c r="B68" i="9" s="1"/>
  <c r="B69" i="9" s="1"/>
  <c r="E79" i="9"/>
  <c r="D80" i="9"/>
  <c r="D81" i="9"/>
  <c r="D82" i="9"/>
  <c r="D83" i="9"/>
  <c r="L75" i="9"/>
  <c r="L76" i="9" s="1"/>
  <c r="AB75" i="9"/>
  <c r="AB76" i="9" s="1"/>
  <c r="M76" i="9"/>
  <c r="AC76" i="9"/>
  <c r="N76" i="9"/>
  <c r="AD76" i="9"/>
  <c r="C83" i="9"/>
  <c r="O76" i="9"/>
  <c r="AE76" i="9"/>
  <c r="C82" i="9"/>
  <c r="P76" i="9"/>
  <c r="AF76" i="9"/>
  <c r="C81" i="9"/>
  <c r="Q76" i="9"/>
  <c r="AG76" i="9"/>
  <c r="C80" i="9"/>
  <c r="R76" i="9"/>
  <c r="C76" i="9"/>
  <c r="S76" i="9"/>
  <c r="D76" i="9"/>
  <c r="T76" i="9"/>
  <c r="E76" i="9"/>
  <c r="U76" i="9"/>
  <c r="F76" i="9"/>
  <c r="V76" i="9"/>
  <c r="G76" i="9"/>
  <c r="W76" i="9"/>
  <c r="H76" i="9"/>
  <c r="X76" i="9"/>
  <c r="I76" i="9"/>
  <c r="Y76" i="9"/>
  <c r="J76" i="9"/>
  <c r="Z76" i="9"/>
  <c r="K76" i="9"/>
  <c r="AA76" i="9"/>
  <c r="F79" i="9" l="1"/>
  <c r="E80" i="9"/>
  <c r="E81" i="9"/>
  <c r="E82" i="9"/>
  <c r="E83" i="9"/>
  <c r="G79" i="9" l="1"/>
  <c r="F80" i="9"/>
  <c r="F81" i="9"/>
  <c r="F82" i="9"/>
  <c r="F83" i="9"/>
  <c r="H79" i="9" l="1"/>
  <c r="G80" i="9"/>
  <c r="G81" i="9"/>
  <c r="G82" i="9"/>
  <c r="G83" i="9"/>
  <c r="I79" i="9" l="1"/>
  <c r="H80" i="9"/>
  <c r="H81" i="9"/>
  <c r="H82" i="9"/>
  <c r="H83" i="9"/>
  <c r="J79" i="9" l="1"/>
  <c r="I80" i="9"/>
  <c r="I81" i="9"/>
  <c r="I82" i="9"/>
  <c r="I83" i="9"/>
  <c r="K79" i="9" l="1"/>
  <c r="J80" i="9"/>
  <c r="J81" i="9"/>
  <c r="J82" i="9"/>
  <c r="J83" i="9"/>
  <c r="L79" i="9" l="1"/>
  <c r="K80" i="9"/>
  <c r="K81" i="9"/>
  <c r="K82" i="9"/>
  <c r="K83" i="9"/>
  <c r="M79" i="9" l="1"/>
  <c r="L80" i="9"/>
  <c r="L81" i="9"/>
  <c r="L82" i="9"/>
  <c r="L83" i="9"/>
  <c r="M80" i="9" l="1"/>
  <c r="M81" i="9"/>
  <c r="M82" i="9"/>
  <c r="M83" i="9"/>
  <c r="N79" i="9"/>
  <c r="N80" i="9" l="1"/>
  <c r="N81" i="9"/>
  <c r="N82" i="9"/>
  <c r="N83" i="9"/>
  <c r="O79" i="9"/>
  <c r="O81" i="9" l="1"/>
  <c r="O82" i="9"/>
  <c r="O83" i="9"/>
  <c r="P79" i="9"/>
  <c r="O80" i="9"/>
  <c r="P82" i="9" l="1"/>
  <c r="P83" i="9"/>
  <c r="Q79" i="9"/>
  <c r="P80" i="9"/>
  <c r="P81" i="9"/>
  <c r="Q83" i="9" l="1"/>
  <c r="R79" i="9"/>
  <c r="Q80" i="9"/>
  <c r="Q81" i="9"/>
  <c r="Q82" i="9"/>
  <c r="S79" i="9" l="1"/>
  <c r="R80" i="9"/>
  <c r="R81" i="9"/>
  <c r="R82" i="9"/>
  <c r="R83" i="9"/>
  <c r="T79" i="9" l="1"/>
  <c r="S80" i="9"/>
  <c r="S81" i="9"/>
  <c r="S82" i="9"/>
  <c r="S83" i="9"/>
  <c r="U79" i="9" l="1"/>
  <c r="T80" i="9"/>
  <c r="T81" i="9"/>
  <c r="T82" i="9"/>
  <c r="T83" i="9"/>
  <c r="V79" i="9" l="1"/>
  <c r="U80" i="9"/>
  <c r="U81" i="9"/>
  <c r="U82" i="9"/>
  <c r="U83" i="9"/>
  <c r="W79" i="9" l="1"/>
  <c r="V80" i="9"/>
  <c r="V81" i="9"/>
  <c r="V82" i="9"/>
  <c r="V83" i="9"/>
  <c r="X79" i="9" l="1"/>
  <c r="W80" i="9"/>
  <c r="W81" i="9"/>
  <c r="W82" i="9"/>
  <c r="W83" i="9"/>
  <c r="AA7" i="2"/>
  <c r="AA6" i="2"/>
  <c r="AA5" i="2"/>
  <c r="Z7" i="2"/>
  <c r="Z6" i="2"/>
  <c r="Z5" i="2"/>
  <c r="V5" i="2"/>
  <c r="C17" i="2"/>
  <c r="V7" i="2"/>
  <c r="V6" i="2"/>
  <c r="H143" i="7"/>
  <c r="H142" i="7"/>
  <c r="Y79" i="9" l="1"/>
  <c r="X80" i="9"/>
  <c r="X81" i="9"/>
  <c r="X82" i="9"/>
  <c r="X83" i="9"/>
  <c r="C152" i="8"/>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Z79" i="9" l="1"/>
  <c r="Y80" i="9"/>
  <c r="Y81" i="9"/>
  <c r="Y82" i="9"/>
  <c r="Y83" i="9"/>
  <c r="B14" i="10"/>
  <c r="B13" i="7"/>
  <c r="AA79" i="9" l="1"/>
  <c r="Z80" i="9"/>
  <c r="Z81" i="9"/>
  <c r="Z82" i="9"/>
  <c r="Z83" i="9"/>
  <c r="D17" i="2"/>
  <c r="E17" i="2"/>
  <c r="F17" i="2"/>
  <c r="G17" i="2"/>
  <c r="H17" i="2"/>
  <c r="I17" i="2"/>
  <c r="J17" i="2"/>
  <c r="K17" i="2"/>
  <c r="L17" i="2"/>
  <c r="L20" i="2" s="1"/>
  <c r="M17" i="2"/>
  <c r="M20" i="2" s="1"/>
  <c r="N17" i="2"/>
  <c r="N20" i="2" s="1"/>
  <c r="O17" i="2"/>
  <c r="P17" i="2"/>
  <c r="Q17" i="2"/>
  <c r="R17" i="2"/>
  <c r="S17" i="2"/>
  <c r="T17" i="2"/>
  <c r="U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AB79" i="9" l="1"/>
  <c r="AA80" i="9"/>
  <c r="AA81" i="9"/>
  <c r="AA82" i="9"/>
  <c r="AA83" i="9"/>
  <c r="H11" i="5"/>
  <c r="C7" i="6"/>
  <c r="AC79" i="9" l="1"/>
  <c r="AB80" i="9"/>
  <c r="AB81" i="9"/>
  <c r="AB82" i="9"/>
  <c r="AB83" i="9"/>
  <c r="F8" i="10"/>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AC80" i="9" l="1"/>
  <c r="AC81" i="9"/>
  <c r="AC82" i="9"/>
  <c r="AC83" i="9"/>
  <c r="AD79" i="9"/>
  <c r="F15" i="10"/>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AD80" i="9" l="1"/>
  <c r="AD81" i="9"/>
  <c r="AD82" i="9"/>
  <c r="AD83" i="9"/>
  <c r="AE79" i="9"/>
  <c r="B19" i="10"/>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E81" i="9" l="1"/>
  <c r="AE82" i="9"/>
  <c r="AE83" i="9"/>
  <c r="AF79" i="9"/>
  <c r="AE80" i="9"/>
  <c r="AG17" i="7"/>
  <c r="H17" i="7"/>
  <c r="T17" i="7"/>
  <c r="AF17" i="7"/>
  <c r="AF82" i="9" l="1"/>
  <c r="AF83" i="9"/>
  <c r="AG79" i="9"/>
  <c r="AF80" i="9"/>
  <c r="AF81" i="9"/>
  <c r="I11" i="5"/>
  <c r="AG83" i="9" l="1"/>
  <c r="AG80" i="9"/>
  <c r="AG81" i="9"/>
  <c r="AG82" i="9"/>
  <c r="Q10" i="2"/>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tc={15E5A3E1-87C5-420A-8591-A4343872DE19}</author>
    <author>tc={FCB76C48-001D-46B5-8982-018CAEB7CC74}</author>
    <author>tc={0D470BF7-5B08-4460-888A-C8137FBF7571}</author>
    <author>tc={7A5432FF-1A98-48C3-8370-E9EE98A0BFB7}</author>
    <author>tc={5918948C-9F47-4A79-951D-AD9FDCA0B8C4}</author>
    <author>tc={B9EAE591-E931-436B-8D15-9F1A7E88517B}</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61" authorId="12" shapeId="0" xr:uid="{15E5A3E1-87C5-420A-8591-A4343872DE19}">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2" authorId="13" shapeId="0" xr:uid="{FCB76C48-001D-46B5-8982-018CAEB7CC74}">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3" authorId="14" shapeId="0" xr:uid="{0D470BF7-5B08-4460-888A-C8137FBF7571}">
      <text>
        <t>[Threaded comment]
Your version of Excel allows you to read this threaded comment; however, any edits to it will get removed if the file is opened in a newer version of Excel. Learn more: https://go.microsoft.com/fwlink/?linkid=870924
Comment:
    https://doi.org/10.1016/j.ijhydene.2023.06.269</t>
      </text>
    </comment>
    <comment ref="B64" authorId="15" shapeId="0" xr:uid="{7A5432FF-1A98-48C3-8370-E9EE98A0BFB7}">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68" authorId="16" shapeId="0" xr:uid="{5918948C-9F47-4A79-951D-AD9FDCA0B8C4}">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74" authorId="17" shapeId="0" xr:uid="{B9EAE591-E931-436B-8D15-9F1A7E88517B}">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<sst xmlns="http://schemas.openxmlformats.org/spreadsheetml/2006/main" count="841" uniqueCount="237">
  <si>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</si>
  <si>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</si>
  <si>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</si>
  <si>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</si>
  <si>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</si>
  <si>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</si>
  <si>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</si>
  <si>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</si>
  <si>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</si>
  <si>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</si>
  <si>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</si>
  <si>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</si>
  <si>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</si>
  <si>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</si>
  <si>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</si>
  <si>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</si>
  <si>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</si>
  <si>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</si>
  <si>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</si>
  <si>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</si>
  <si>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</si>
  <si>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</si>
  <si>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</si>
  <si>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</si>
  <si>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</si>
  <si>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</si>
  <si>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</si>
  <si>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</si>
  <si>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</si>
  <si>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</si>
  <si>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</si>
  <si>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</si>
  <si>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</si>
  <si>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</si>
  <si>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</si>
  <si>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</si>
  <si>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</si>
  <si>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</si>
  <si>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</si>
  <si>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</si>
  <si>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</si>
  <si>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</si>
  <si>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</si>
  <si>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</si>
  <si>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</si>
  <si>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</si>
  <si>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</si>
  <si>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</si>
  <si>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</si>
  <si>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</si>
  <si>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</si>
  <si>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</si>
  <si>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</si>
  <si>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</si>
  <si>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</si>
  <si>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</si>
  <si>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</si>
  <si>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</si>
  <si>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</si>
  <si>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</si>
  <si>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</si>
  <si>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</si>
  <si>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</si>
  <si>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</si>
  <si>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</si>
  <si>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</si>
  <si>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</si>
  <si>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</si>
  <si>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</si>
  <si>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</si>
  <si>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</si>
  <si>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</si>
  <si>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</si>
  <si>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</si>
  <si>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</si>
  <si>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</si>
  <si>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</si>
  <si>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</si>
  <si>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</si>
  <si>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</si>
  <si>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</si>
  <si>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</si>
  <si>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</si>
  <si>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</si>
  <si>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</si>
  <si>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</si>
  <si>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</si>
  <si>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</si>
  <si>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</si>
  <si>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</si>
  <si>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</si>
  <si>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</si>
  <si>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</si>
  <si>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</si>
  <si>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</si>
  <si>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</si>
  <si>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</si>
  <si>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</si>
  <si>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</si>
  <si>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</si>
  <si>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</si>
  <si>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</si>
  <si>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</si>
  <si>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</si>
  <si>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</si>
  <si>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</si>
  <si>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</si>
  <si>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</si>
  <si>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</si>
  <si>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</si>
  <si>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</si>
  <si>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</si>
  <si>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</si>
  <si>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</si>
  <si>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</si>
  <si>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</si>
  <si>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</si>
  <si>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</si>
  <si>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</si>
  <si>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</si>
  <si>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</si>
  <si>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</si>
  <si>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</si>
  <si>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</si>
  <si>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</si>
  <si>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</si>
  <si>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</si>
  <si>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</si>
  <si>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</si>
  <si>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</si>
  <si>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</si>
  <si>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</si>
  <si>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</si>
  <si>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</si>
  <si>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</si>
  <si>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</si>
  <si>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</si>
  <si>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</si>
  <si>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</si>
  <si>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</si>
  <si>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</si>
  <si>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</si>
  <si>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</si>
  <si>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</si>
  <si>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</si>
  <si>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</si>
  <si>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</si>
  <si>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</si>
  <si>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</si>
  <si>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</si>
  <si>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</si>
  <si>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</si>
  <si>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</si>
  <si>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</si>
  <si>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</si>
  <si>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</si>
  <si>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</si>
  <si>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</si>
  <si>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</si>
  <si>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</si>
  <si>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</si>
  <si>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</si>
  <si>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</si>
  <si>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</si>
  <si>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</si>
  <si>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</si>
  <si>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</si>
  <si>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</si>
  <si>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</si>
  <si>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</si>
  <si>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</si>
  <si>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</si>
  <si>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</si>
  <si>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</si>
  <si>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</si>
  <si>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</si>
  <si>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</si>
  <si>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</si>
  <si>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</si>
  <si>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</si>
  <si>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</si>
  <si>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</si>
  <si>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</si>
  <si>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</si>
  <si>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</si>
  <si>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</si>
  <si>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</si>
  <si>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</si>
  <si>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</si>
  <si>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</si>
  <si>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</si>
  <si>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</si>
  <si>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</si>
  <si>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</si>
  <si>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</si>
  <si>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</si>
  <si>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</si>
  <si>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</si>
  <si>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</si>
  <si>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</si>
  <si>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</si>
  <si>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</si>
  <si>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</si>
  <si>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</si>
  <si>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</si>
  <si>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</si>
  <si>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</si>
  <si>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</si>
  <si>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</si>
  <si>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</si>
  <si>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</si>
  <si>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</si>
  <si>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</si>
  <si>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</si>
  <si>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</si>
  <si>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</si>
  <si>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</si>
  <si>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</si>
  <si>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</si>
  <si>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</si>
  <si>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</si>
  <si>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</si>
  <si>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</si>
  <si>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</si>
  <si>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</si>
  <si>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</si>
  <si>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</si>
  <si>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</si>
  <si>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</si>
  <si>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</si>
  <si>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</si>
  <si>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</si>
  <si>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</si>
  <si>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</si>
  <si>
    <t>Gaseous hydrogen</t>
  </si>
  <si>
    <t>tons of gaseous hydrogen</t>
  </si>
  <si>
    <t>Density gaseous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</si>
</sst>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Piotr Kaczmarek" id="{97D93B12-5284-4C18-9871-FD7BB37E6C52}" userId="S::pkaczmarek@tudelft.nl::2d4114d5-9fc2-48cb-ac8c-ca8e5adf1d66"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61" dT="2023-10-10T13:06:26.06" personId="{AA388494-726E-4CE5-8F15-216A09F9E97E}" id="{15E5A3E1-87C5-420A-8591-A4343872DE19}">
    <text>Big excel of A007</text>
  </threadedComment>
  <threadedComment ref="B62" dT="2023-10-10T13:06:30.86" personId="{AA388494-726E-4CE5-8F15-216A09F9E97E}" id="{FCB76C48-001D-46B5-8982-018CAEB7CC74}">
    <text>Big excel of A007</text>
  </threadedComment>
  <threadedComment ref="B63" dT="2024-08-07T10:21:15.01" personId="{97D93B12-5284-4C18-9871-FD7BB37E6C52}" id="{0D470BF7-5B08-4460-888A-C8137FBF7571}">
    <text>https://doi.org/10.1016/j.ijhydene.2023.06.269</text>
    <extLst>
      <x:ext xmlns:xltc2="http://schemas.microsoft.com/office/spreadsheetml/2020/threadedcomments2" uri="{F7C98A9C-CBB3-438F-8F68-D28B6AF4A901}">
        <xltc2:checksum>819921671</xltc2:checksum>
        <xltc2:hyperlink startIndex="0" length="46" url="https://doi.org/10.1016/j.ijhydene.2023.06.269"/>
      </x:ext>
    </extLst>
  </threadedComment>
  <threadedComment ref="B64" dT="2023-10-10T13:01:31.36" personId="{AA388494-726E-4CE5-8F15-216A09F9E97E}" id="{7A5432FF-1A98-48C3-8370-E9EE98A0BFB7}">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68" dT="2023-10-11T11:23:41.07" personId="{AA388494-726E-4CE5-8F15-216A09F9E97E}" id="{5918948C-9F47-4A79-951D-AD9FDCA0B8C4}">
    <text xml:space="preserve">Learning rate from excel fo A007
</text>
  </threadedComment>
  <threadedComment ref="C74" dT="2023-10-10T13:10:36.72" personId="{AA388494-726E-4CE5-8F15-216A09F9E97E}" id="{B9EAE591-E931-436B-8D15-9F1A7E88517B}">
    <text>Excel van A007</tex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workbookViewId="0">
      <selection activeCell="B11" sqref="B11"/>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83"/>
  <sheetViews>
    <sheetView topLeftCell="A51" workbookViewId="0">
      <selection activeCell="B66" sqref="B66"/>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row r="59" spans="1:33" x14ac:dyDescent="0.25">
      <c r="A59" s="2" t="s">
        <v>234</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1" spans="1:33" x14ac:dyDescent="0.25">
      <c r="A61" t="s">
        <v>135</v>
      </c>
      <c r="B61" s="3"/>
      <c r="C61" t="s">
        <v>235</v>
      </c>
    </row>
    <row r="62" spans="1:33" x14ac:dyDescent="0.25">
      <c r="A62" t="s">
        <v>137</v>
      </c>
      <c r="B62" s="3"/>
      <c r="C62" t="s">
        <v>105</v>
      </c>
    </row>
    <row r="63" spans="1:33" x14ac:dyDescent="0.25">
      <c r="A63" t="s">
        <v>27</v>
      </c>
      <c r="B63" s="3">
        <v>0.02</v>
      </c>
      <c r="C63" t="s">
        <v>138</v>
      </c>
    </row>
    <row r="64" spans="1:33" x14ac:dyDescent="0.25">
      <c r="A64" t="s">
        <v>236</v>
      </c>
      <c r="B64" s="3">
        <v>8.3000000000000004E-2</v>
      </c>
      <c r="C64" t="s">
        <v>115</v>
      </c>
    </row>
    <row r="66" spans="1:33" x14ac:dyDescent="0.25">
      <c r="A66" t="s">
        <v>135</v>
      </c>
      <c r="B66">
        <f>B61/(B64/1000)</f>
        <v>0</v>
      </c>
      <c r="C66" t="s">
        <v>140</v>
      </c>
    </row>
    <row r="67" spans="1:33" x14ac:dyDescent="0.25">
      <c r="A67" t="s">
        <v>199</v>
      </c>
      <c r="B67" t="e">
        <f>B62/B66</f>
        <v>#DIV/0!</v>
      </c>
      <c r="C67" t="s">
        <v>141</v>
      </c>
      <c r="E67">
        <v>2020</v>
      </c>
    </row>
    <row r="68" spans="1:33" x14ac:dyDescent="0.25">
      <c r="A68" t="s">
        <v>200</v>
      </c>
      <c r="B68" t="e">
        <f>B67*0.9</f>
        <v>#DIV/0!</v>
      </c>
      <c r="C68" t="s">
        <v>141</v>
      </c>
      <c r="E68">
        <v>2030</v>
      </c>
    </row>
    <row r="69" spans="1:33" x14ac:dyDescent="0.25">
      <c r="A69" t="s">
        <v>201</v>
      </c>
      <c r="B69" t="e">
        <f>B68*0.5</f>
        <v>#DIV/0!</v>
      </c>
      <c r="C69" t="s">
        <v>141</v>
      </c>
      <c r="E69">
        <v>2050</v>
      </c>
    </row>
    <row r="71" spans="1:33" x14ac:dyDescent="0.25">
      <c r="A71" s="1" t="s">
        <v>142</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25">
      <c r="C72">
        <v>2020</v>
      </c>
      <c r="D72">
        <v>2021</v>
      </c>
      <c r="E72">
        <v>2022</v>
      </c>
      <c r="F72">
        <v>2023</v>
      </c>
      <c r="G72">
        <v>2024</v>
      </c>
      <c r="H72">
        <v>2025</v>
      </c>
      <c r="I72">
        <v>2026</v>
      </c>
      <c r="J72">
        <v>2027</v>
      </c>
      <c r="K72">
        <v>2028</v>
      </c>
      <c r="L72">
        <v>2029</v>
      </c>
      <c r="M72">
        <v>2030</v>
      </c>
      <c r="N72">
        <v>2031</v>
      </c>
      <c r="O72">
        <v>2032</v>
      </c>
      <c r="P72">
        <v>2033</v>
      </c>
      <c r="Q72">
        <v>2034</v>
      </c>
      <c r="R72">
        <v>2035</v>
      </c>
      <c r="S72">
        <v>2036</v>
      </c>
      <c r="T72">
        <v>2037</v>
      </c>
      <c r="U72">
        <v>2038</v>
      </c>
      <c r="V72">
        <v>2039</v>
      </c>
      <c r="W72">
        <v>2040</v>
      </c>
      <c r="X72">
        <v>2041</v>
      </c>
      <c r="Y72">
        <v>2042</v>
      </c>
      <c r="Z72">
        <v>2043</v>
      </c>
      <c r="AA72">
        <v>2044</v>
      </c>
      <c r="AB72">
        <v>2045</v>
      </c>
      <c r="AC72">
        <v>2046</v>
      </c>
      <c r="AD72">
        <v>2047</v>
      </c>
      <c r="AE72">
        <v>2048</v>
      </c>
      <c r="AF72">
        <v>2049</v>
      </c>
      <c r="AG72">
        <v>2050</v>
      </c>
    </row>
    <row r="73" spans="1:33" x14ac:dyDescent="0.25">
      <c r="A73" t="s">
        <v>18</v>
      </c>
      <c r="B73" t="s">
        <v>26</v>
      </c>
      <c r="C73" s="3">
        <f>_xlfn.FORECAST.LINEAR(C72,$B$9:$B$10,$E$9:$E$10)</f>
        <v>6067.2727272727207</v>
      </c>
      <c r="D73" s="3">
        <f t="shared" ref="D73:M73" si="24">_xlfn.FORECAST.LINEAR(D72,$B$9:$B$10,$E$9:$E$10)</f>
        <v>6006.5999999999913</v>
      </c>
      <c r="E73" s="3">
        <f t="shared" si="24"/>
        <v>5945.9272727272619</v>
      </c>
      <c r="F73" s="3">
        <f t="shared" si="24"/>
        <v>5885.2545454545325</v>
      </c>
      <c r="G73" s="3">
        <f t="shared" si="24"/>
        <v>5824.5818181818177</v>
      </c>
      <c r="H73" s="3">
        <f t="shared" si="24"/>
        <v>5763.9090909090883</v>
      </c>
      <c r="I73" s="3">
        <f t="shared" si="24"/>
        <v>5703.2363636363589</v>
      </c>
      <c r="J73" s="3">
        <f t="shared" si="24"/>
        <v>5642.5636363636295</v>
      </c>
      <c r="K73" s="3">
        <f t="shared" si="24"/>
        <v>5581.8909090909001</v>
      </c>
      <c r="L73" s="3">
        <f t="shared" si="24"/>
        <v>5521.2181818181707</v>
      </c>
      <c r="M73" s="3">
        <f t="shared" si="24"/>
        <v>5460.5454545454413</v>
      </c>
      <c r="N73" s="3">
        <f>_xlfn.FORECAST.LINEAR(N72,$B$10:$B$11,$E$10:$E$11)</f>
        <v>5324.0318181818584</v>
      </c>
      <c r="O73" s="3">
        <f t="shared" ref="O73:AG73" si="25">_xlfn.FORECAST.LINEAR(O72,$B$10:$B$11,$E$10:$E$11)</f>
        <v>5187.5181818182464</v>
      </c>
      <c r="P73" s="3">
        <f t="shared" si="25"/>
        <v>5051.0045454545761</v>
      </c>
      <c r="Q73" s="3">
        <f t="shared" si="25"/>
        <v>4914.4909090909641</v>
      </c>
      <c r="R73" s="3">
        <f t="shared" si="25"/>
        <v>4777.9772727272939</v>
      </c>
      <c r="S73" s="3">
        <f t="shared" si="25"/>
        <v>4641.4636363636819</v>
      </c>
      <c r="T73" s="3">
        <f t="shared" si="25"/>
        <v>4504.9500000000698</v>
      </c>
      <c r="U73" s="3">
        <f t="shared" si="25"/>
        <v>4368.4363636363996</v>
      </c>
      <c r="V73" s="3">
        <f t="shared" si="25"/>
        <v>4231.9227272727876</v>
      </c>
      <c r="W73" s="3">
        <f t="shared" si="25"/>
        <v>4095.4090909091174</v>
      </c>
      <c r="X73" s="3">
        <f t="shared" si="25"/>
        <v>3958.8954545455053</v>
      </c>
      <c r="Y73" s="3">
        <f t="shared" si="25"/>
        <v>3822.3818181818933</v>
      </c>
      <c r="Z73" s="3">
        <f t="shared" si="25"/>
        <v>3685.8681818182231</v>
      </c>
      <c r="AA73" s="3">
        <f t="shared" si="25"/>
        <v>3549.3545454546111</v>
      </c>
      <c r="AB73" s="3">
        <f t="shared" si="25"/>
        <v>3412.8409090909408</v>
      </c>
      <c r="AC73" s="3">
        <f t="shared" si="25"/>
        <v>3276.3272727273288</v>
      </c>
      <c r="AD73" s="3">
        <f t="shared" si="25"/>
        <v>3139.8136363636586</v>
      </c>
      <c r="AE73" s="3">
        <f t="shared" si="25"/>
        <v>3003.3000000000466</v>
      </c>
      <c r="AF73" s="3">
        <f t="shared" si="25"/>
        <v>2866.7863636364345</v>
      </c>
      <c r="AG73" s="3">
        <f t="shared" si="25"/>
        <v>2730.2727272727643</v>
      </c>
    </row>
    <row r="74" spans="1:33" x14ac:dyDescent="0.25">
      <c r="B74" t="s">
        <v>23</v>
      </c>
      <c r="C74" s="3">
        <v>30</v>
      </c>
      <c r="D74" s="3">
        <v>30</v>
      </c>
      <c r="E74" s="3">
        <v>30</v>
      </c>
      <c r="F74" s="3">
        <v>30</v>
      </c>
      <c r="G74" s="3">
        <v>30</v>
      </c>
      <c r="H74" s="3">
        <v>30</v>
      </c>
      <c r="I74" s="3">
        <v>30</v>
      </c>
      <c r="J74" s="3">
        <v>30</v>
      </c>
      <c r="K74" s="3">
        <v>30</v>
      </c>
      <c r="L74" s="3">
        <v>30</v>
      </c>
      <c r="M74" s="3">
        <v>30</v>
      </c>
      <c r="N74" s="3">
        <v>30</v>
      </c>
      <c r="O74" s="3">
        <v>30</v>
      </c>
      <c r="P74" s="3">
        <v>30</v>
      </c>
      <c r="Q74" s="3">
        <v>30</v>
      </c>
      <c r="R74" s="3">
        <v>30</v>
      </c>
      <c r="S74" s="3">
        <v>30</v>
      </c>
      <c r="T74" s="3">
        <v>30</v>
      </c>
      <c r="U74" s="3">
        <v>30</v>
      </c>
      <c r="V74" s="3">
        <v>30</v>
      </c>
      <c r="W74" s="3">
        <v>30</v>
      </c>
      <c r="X74" s="3">
        <v>30</v>
      </c>
      <c r="Y74" s="3">
        <v>30</v>
      </c>
      <c r="Z74" s="3">
        <v>30</v>
      </c>
      <c r="AA74" s="3">
        <v>30</v>
      </c>
      <c r="AB74" s="3">
        <v>30</v>
      </c>
      <c r="AC74" s="3">
        <v>30</v>
      </c>
      <c r="AD74" s="3">
        <v>30</v>
      </c>
      <c r="AE74" s="3">
        <v>30</v>
      </c>
      <c r="AF74" s="3">
        <v>30</v>
      </c>
      <c r="AG74" s="3">
        <v>30</v>
      </c>
    </row>
    <row r="75" spans="1:33" x14ac:dyDescent="0.25">
      <c r="B75" t="s">
        <v>27</v>
      </c>
      <c r="C75" s="3">
        <f>C73*$B$5</f>
        <v>242.69090909090883</v>
      </c>
      <c r="D75" s="3">
        <f t="shared" ref="D75:AG75" si="26">D73*$B$5</f>
        <v>240.26399999999967</v>
      </c>
      <c r="E75" s="3">
        <f t="shared" si="26"/>
        <v>237.83709090909048</v>
      </c>
      <c r="F75" s="3">
        <f t="shared" si="26"/>
        <v>235.41018181818131</v>
      </c>
      <c r="G75" s="3">
        <f t="shared" si="26"/>
        <v>232.98327272727272</v>
      </c>
      <c r="H75" s="3">
        <f t="shared" si="26"/>
        <v>230.55636363636353</v>
      </c>
      <c r="I75" s="3">
        <f t="shared" si="26"/>
        <v>228.12945454545437</v>
      </c>
      <c r="J75" s="3">
        <f t="shared" si="26"/>
        <v>225.70254545454517</v>
      </c>
      <c r="K75" s="3">
        <f t="shared" si="26"/>
        <v>223.27563636363601</v>
      </c>
      <c r="L75" s="3">
        <f t="shared" si="26"/>
        <v>220.84872727272682</v>
      </c>
      <c r="M75" s="3">
        <f t="shared" si="26"/>
        <v>218.42181818181766</v>
      </c>
      <c r="N75" s="3">
        <f t="shared" si="26"/>
        <v>212.96127272727435</v>
      </c>
      <c r="O75" s="3">
        <f t="shared" si="26"/>
        <v>207.50072727272985</v>
      </c>
      <c r="P75" s="3">
        <f t="shared" si="26"/>
        <v>202.04018181818304</v>
      </c>
      <c r="Q75" s="3">
        <f t="shared" si="26"/>
        <v>196.57963636363857</v>
      </c>
      <c r="R75" s="3">
        <f t="shared" si="26"/>
        <v>191.11909090909177</v>
      </c>
      <c r="S75" s="3">
        <f t="shared" si="26"/>
        <v>185.65854545454727</v>
      </c>
      <c r="T75" s="3">
        <f t="shared" si="26"/>
        <v>180.19800000000279</v>
      </c>
      <c r="U75" s="3">
        <f t="shared" si="26"/>
        <v>174.73745454545599</v>
      </c>
      <c r="V75" s="3">
        <f t="shared" si="26"/>
        <v>169.27690909091152</v>
      </c>
      <c r="W75" s="3">
        <f t="shared" si="26"/>
        <v>163.81636363636468</v>
      </c>
      <c r="X75" s="3">
        <f t="shared" si="26"/>
        <v>158.35581818182021</v>
      </c>
      <c r="Y75" s="3">
        <f t="shared" si="26"/>
        <v>152.89527272727574</v>
      </c>
      <c r="Z75" s="3">
        <f t="shared" si="26"/>
        <v>147.43472727272894</v>
      </c>
      <c r="AA75" s="3">
        <f t="shared" si="26"/>
        <v>141.97418181818443</v>
      </c>
      <c r="AB75" s="3">
        <f t="shared" si="26"/>
        <v>136.51363636363763</v>
      </c>
      <c r="AC75" s="3">
        <f t="shared" si="26"/>
        <v>131.05309090909316</v>
      </c>
      <c r="AD75" s="3">
        <f t="shared" si="26"/>
        <v>125.59254545454634</v>
      </c>
      <c r="AE75" s="3">
        <f t="shared" si="26"/>
        <v>120.13200000000187</v>
      </c>
      <c r="AF75" s="3">
        <f t="shared" si="26"/>
        <v>114.67145454545738</v>
      </c>
      <c r="AG75" s="3">
        <f t="shared" si="26"/>
        <v>109.21090909091058</v>
      </c>
    </row>
    <row r="76" spans="1:33" x14ac:dyDescent="0.25">
      <c r="B76" t="s">
        <v>28</v>
      </c>
      <c r="C76">
        <f>((C73*General!$B$29*(1+General!$B$29)^C74)/((1+General!$B$29)^C74-1)+C75)</f>
        <v>781.6311731151402</v>
      </c>
      <c r="D76">
        <f>((D73*General!$B$29*(1+General!$B$29)^D74)/((1+General!$B$29)^D74-1)+D75)</f>
        <v>773.8148613839885</v>
      </c>
      <c r="E76">
        <f>((E73*General!$B$29*(1+General!$B$29)^E74)/((1+General!$B$29)^E74-1)+E75)</f>
        <v>765.9985496528368</v>
      </c>
      <c r="F76">
        <f>((F73*General!$B$29*(1+General!$B$29)^F74)/((1+General!$B$29)^F74-1)+F75)</f>
        <v>758.18223792168521</v>
      </c>
      <c r="G76">
        <f>((G73*General!$B$29*(1+General!$B$29)^G74)/((1+General!$B$29)^G74-1)+G75)</f>
        <v>750.36592619053545</v>
      </c>
      <c r="H76">
        <f>((H73*General!$B$29*(1+General!$B$29)^H74)/((1+General!$B$29)^H74-1)+H75)</f>
        <v>742.54961445938375</v>
      </c>
      <c r="I76">
        <f>((I73*General!$B$29*(1+General!$B$29)^I74)/((1+General!$B$29)^I74-1)+I75)</f>
        <v>734.73330272823193</v>
      </c>
      <c r="J76">
        <f>((J73*General!$B$29*(1+General!$B$29)^J74)/((1+General!$B$29)^J74-1)+J75)</f>
        <v>726.91699099708023</v>
      </c>
      <c r="K76">
        <f>((K73*General!$B$29*(1+General!$B$29)^K74)/((1+General!$B$29)^K74-1)+K75)</f>
        <v>719.10067926592865</v>
      </c>
      <c r="L76">
        <f>((L73*General!$B$29*(1+General!$B$29)^L74)/((1+General!$B$29)^L74-1)+L75)</f>
        <v>711.28436753477695</v>
      </c>
      <c r="M76">
        <f>((M73*General!$B$29*(1+General!$B$29)^M74)/((1+General!$B$29)^M74-1)+M75)</f>
        <v>703.46805580362525</v>
      </c>
      <c r="N76">
        <f>((N73*General!$B$29*(1+General!$B$29)^N74)/((1+General!$B$29)^N74-1)+N75)</f>
        <v>685.88135440854148</v>
      </c>
      <c r="O76">
        <f>((O73*General!$B$29*(1+General!$B$29)^O74)/((1+General!$B$29)^O74-1)+O75)</f>
        <v>668.29465301345385</v>
      </c>
      <c r="P76">
        <f>((P73*General!$B$29*(1+General!$B$29)^P74)/((1+General!$B$29)^P74-1)+P75)</f>
        <v>650.70795161835895</v>
      </c>
      <c r="Q76">
        <f>((Q73*General!$B$29*(1+General!$B$29)^Q74)/((1+General!$B$29)^Q74-1)+Q75)</f>
        <v>633.12125022327143</v>
      </c>
      <c r="R76">
        <f>((R73*General!$B$29*(1+General!$B$29)^R74)/((1+General!$B$29)^R74-1)+R75)</f>
        <v>615.53454882817641</v>
      </c>
      <c r="S76">
        <f>((S73*General!$B$29*(1+General!$B$29)^S74)/((1+General!$B$29)^S74-1)+S75)</f>
        <v>597.94784743308878</v>
      </c>
      <c r="T76">
        <f>((T73*General!$B$29*(1+General!$B$29)^T74)/((1+General!$B$29)^T74-1)+T75)</f>
        <v>580.36114603800127</v>
      </c>
      <c r="U76">
        <f>((U73*General!$B$29*(1+General!$B$29)^U74)/((1+General!$B$29)^U74-1)+U75)</f>
        <v>562.77444464290625</v>
      </c>
      <c r="V76">
        <f>((V73*General!$B$29*(1+General!$B$29)^V74)/((1+General!$B$29)^V74-1)+V75)</f>
        <v>545.18774324781873</v>
      </c>
      <c r="W76">
        <f>((W73*General!$B$29*(1+General!$B$29)^W74)/((1+General!$B$29)^W74-1)+W75)</f>
        <v>527.6010418527236</v>
      </c>
      <c r="X76">
        <f>((X73*General!$B$29*(1+General!$B$29)^X74)/((1+General!$B$29)^X74-1)+X75)</f>
        <v>510.01434045763608</v>
      </c>
      <c r="Y76">
        <f>((Y73*General!$B$29*(1+General!$B$29)^Y74)/((1+General!$B$29)^Y74-1)+Y75)</f>
        <v>492.42763906254856</v>
      </c>
      <c r="Z76">
        <f>((Z73*General!$B$29*(1+General!$B$29)^Z74)/((1+General!$B$29)^Z74-1)+Z75)</f>
        <v>474.84093766745349</v>
      </c>
      <c r="AA76">
        <f>((AA73*General!$B$29*(1+General!$B$29)^AA74)/((1+General!$B$29)^AA74-1)+AA75)</f>
        <v>457.25423627236597</v>
      </c>
      <c r="AB76">
        <f>((AB73*General!$B$29*(1+General!$B$29)^AB74)/((1+General!$B$29)^AB74-1)+AB75)</f>
        <v>439.6675348772709</v>
      </c>
      <c r="AC76">
        <f>((AC73*General!$B$29*(1+General!$B$29)^AC74)/((1+General!$B$29)^AC74-1)+AC75)</f>
        <v>422.08083348218344</v>
      </c>
      <c r="AD76">
        <f>((AD73*General!$B$29*(1+General!$B$29)^AD74)/((1+General!$B$29)^AD74-1)+AD75)</f>
        <v>404.49413208708836</v>
      </c>
      <c r="AE76">
        <f>((AE73*General!$B$29*(1+General!$B$29)^AE74)/((1+General!$B$29)^AE74-1)+AE75)</f>
        <v>386.90743069200084</v>
      </c>
      <c r="AF76">
        <f>((AF73*General!$B$29*(1+General!$B$29)^AF74)/((1+General!$B$29)^AF74-1)+AF75)</f>
        <v>369.32072929691327</v>
      </c>
      <c r="AG76">
        <f>((AG73*General!$B$29*(1+General!$B$29)^AG74)/((1+General!$B$29)^AG74-1)+AG75)</f>
        <v>351.73402790181819</v>
      </c>
    </row>
    <row r="78" spans="1:33" x14ac:dyDescent="0.25">
      <c r="A78" s="2" t="s">
        <v>68</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25">
      <c r="C79">
        <f>General!$B$9</f>
        <v>2020</v>
      </c>
      <c r="D79">
        <f>IF(C79=0,0,IF(General!$B$10 &gt; (C79-General!$B$9), C79+General!$B$11,0))</f>
        <v>2023</v>
      </c>
      <c r="E79">
        <f>IF(D79=0,0,IF(General!$B$10 &gt; (D79-General!$B$9), D79+General!$B$11,0))</f>
        <v>2026</v>
      </c>
      <c r="F79">
        <f>IF(E79=0,0,IF(General!$B$10 &gt; (E79-General!$B$9), E79+General!$B$11,0))</f>
        <v>2029</v>
      </c>
      <c r="G79">
        <f>IF(F79=0,0,IF(General!$B$10 &gt; (F79-General!$B$9), F79+General!$B$11,0))</f>
        <v>2032</v>
      </c>
      <c r="H79">
        <f>IF(G79=0,0,IF(General!$B$10 &gt; (G79-General!$B$9), G79+General!$B$11,0))</f>
        <v>2035</v>
      </c>
      <c r="I79">
        <f>IF(H79=0,0,IF(General!$B$10 &gt; (H79-General!$B$9), H79+General!$B$11,0))</f>
        <v>2038</v>
      </c>
      <c r="J79">
        <f>IF(I79=0,0,IF(General!$B$10 &gt; (I79-General!$B$9), I79+General!$B$11,0))</f>
        <v>2041</v>
      </c>
      <c r="K79">
        <f>IF(J79=0,0,IF(General!$B$10 &gt; (J79-General!$B$9), J79+General!$B$11,0))</f>
        <v>2044</v>
      </c>
      <c r="L79">
        <f>IF(K79=0,0,IF(General!$B$10 &gt; (K79-General!$B$9), K79+General!$B$11,0))</f>
        <v>2047</v>
      </c>
      <c r="M79">
        <f>IF(L79=0,0,IF(General!$B$10 &gt; (L79-General!$B$9), L79+General!$B$11,0))</f>
        <v>2050</v>
      </c>
      <c r="N79">
        <f>IF(M79=0,0,IF(General!$B$10 &gt; (M79-General!$B$9), M79+General!$B$11,0))</f>
        <v>0</v>
      </c>
      <c r="O79">
        <f>IF(N79=0,0,IF(General!$B$10 &gt; (N79-General!$B$9), N79+General!$B$11,0))</f>
        <v>0</v>
      </c>
      <c r="P79">
        <f>IF(O79=0,0,IF(General!$B$10 &gt; (O79-General!$B$9), O79+General!$B$11,0))</f>
        <v>0</v>
      </c>
      <c r="Q79">
        <f>IF(P79=0,0,IF(General!$B$10 &gt; (P79-General!$B$9), P79+General!$B$11,0))</f>
        <v>0</v>
      </c>
      <c r="R79">
        <f>IF(Q79=0,0,IF(General!$B$10 &gt; (Q79-General!$B$9), Q79+General!$B$11,0))</f>
        <v>0</v>
      </c>
      <c r="S79">
        <f>IF(R79=0,0,IF(General!$B$10 &gt; (R79-General!$B$9), R79+General!$B$11,0))</f>
        <v>0</v>
      </c>
      <c r="T79">
        <f>IF(S79=0,0,IF(General!$B$10 &gt; (S79-General!$B$9), S79+General!$B$11,0))</f>
        <v>0</v>
      </c>
      <c r="U79">
        <f>IF(T79=0,0,IF(General!$B$10 &gt; (T79-General!$B$9), T79+General!$B$11,0))</f>
        <v>0</v>
      </c>
      <c r="V79">
        <f>IF(U79=0,0,IF(General!$B$10 &gt; (U79-General!$B$9), U79+General!$B$11,0))</f>
        <v>0</v>
      </c>
      <c r="W79">
        <f>IF(V79=0,0,IF(General!$B$10 &gt; (V79-General!$B$9), V79+General!$B$11,0))</f>
        <v>0</v>
      </c>
      <c r="X79">
        <f>IF(W79=0,0,IF(General!$B$10 &gt; (W79-General!$B$9), W79+General!$B$11,0))</f>
        <v>0</v>
      </c>
      <c r="Y79">
        <f>IF(X79=0,0,IF(General!$B$10 &gt; (X79-General!$B$9), X79+General!$B$11,0))</f>
        <v>0</v>
      </c>
      <c r="Z79">
        <f>IF(Y79=0,0,IF(General!$B$10 &gt; (Y79-General!$B$9), Y79+General!$B$11,0))</f>
        <v>0</v>
      </c>
      <c r="AA79">
        <f>IF(Z79=0,0,IF(General!$B$10 &gt; (Z79-General!$B$9), Z79+General!$B$11,0))</f>
        <v>0</v>
      </c>
      <c r="AB79">
        <f>IF(AA79=0,0,IF(General!$B$10 &gt; (AA79-General!$B$9), AA79+General!$B$11,0))</f>
        <v>0</v>
      </c>
      <c r="AC79">
        <f>IF(AB79=0,0,IF(General!$B$10 &gt; (AB79-General!$B$9), AB79+General!$B$11,0))</f>
        <v>0</v>
      </c>
      <c r="AD79">
        <f>IF(AC79=0,0,IF(General!$B$10 &gt; (AC79-General!$B$9), AC79+General!$B$11,0))</f>
        <v>0</v>
      </c>
      <c r="AE79">
        <f>IF(AD79=0,0,IF(General!$B$10 &gt; (AD79-General!$B$9), AD79+General!$B$11,0))</f>
        <v>0</v>
      </c>
      <c r="AF79">
        <f>IF(AE79=0,0,IF(General!$B$10 &gt; (AE79-General!$B$9), AE79+General!$B$11,0))</f>
        <v>0</v>
      </c>
      <c r="AG79">
        <f>IF(AF79=0,0,IF(General!$B$10 &gt; (AF79-General!$B$9), AF79+General!$B$11,0))</f>
        <v>0</v>
      </c>
    </row>
    <row r="80" spans="1:33" x14ac:dyDescent="0.25">
      <c r="B80" t="s">
        <v>26</v>
      </c>
      <c r="C80">
        <f>LOOKUP(C79,72:72,73:73)</f>
        <v>6067.2727272727207</v>
      </c>
      <c r="D80">
        <f t="shared" ref="D80:AG80" si="27">LOOKUP(D79,72:72,73:73)</f>
        <v>5885.2545454545325</v>
      </c>
      <c r="E80">
        <f t="shared" si="27"/>
        <v>5703.2363636363589</v>
      </c>
      <c r="F80">
        <f t="shared" si="27"/>
        <v>5521.2181818181707</v>
      </c>
      <c r="G80">
        <f t="shared" si="27"/>
        <v>5187.5181818182464</v>
      </c>
      <c r="H80">
        <f t="shared" si="27"/>
        <v>4777.9772727272939</v>
      </c>
      <c r="I80">
        <f t="shared" si="27"/>
        <v>4368.4363636363996</v>
      </c>
      <c r="J80">
        <f t="shared" si="27"/>
        <v>3958.8954545455053</v>
      </c>
      <c r="K80">
        <f t="shared" si="27"/>
        <v>3549.3545454546111</v>
      </c>
      <c r="L80">
        <f t="shared" si="27"/>
        <v>3139.8136363636586</v>
      </c>
      <c r="M80">
        <f t="shared" si="27"/>
        <v>2730.2727272727643</v>
      </c>
      <c r="N80" t="e">
        <f t="shared" si="27"/>
        <v>#N/A</v>
      </c>
      <c r="O80" t="e">
        <f t="shared" si="27"/>
        <v>#N/A</v>
      </c>
      <c r="P80" t="e">
        <f t="shared" si="27"/>
        <v>#N/A</v>
      </c>
      <c r="Q80" t="e">
        <f t="shared" si="27"/>
        <v>#N/A</v>
      </c>
      <c r="R80" t="e">
        <f t="shared" si="27"/>
        <v>#N/A</v>
      </c>
      <c r="S80" t="e">
        <f t="shared" si="27"/>
        <v>#N/A</v>
      </c>
      <c r="T80" t="e">
        <f t="shared" si="27"/>
        <v>#N/A</v>
      </c>
      <c r="U80" t="e">
        <f t="shared" si="27"/>
        <v>#N/A</v>
      </c>
      <c r="V80" t="e">
        <f t="shared" si="27"/>
        <v>#N/A</v>
      </c>
      <c r="W80" t="e">
        <f t="shared" si="27"/>
        <v>#N/A</v>
      </c>
      <c r="X80" t="e">
        <f t="shared" si="27"/>
        <v>#N/A</v>
      </c>
      <c r="Y80" t="e">
        <f t="shared" si="27"/>
        <v>#N/A</v>
      </c>
      <c r="Z80" t="e">
        <f t="shared" si="27"/>
        <v>#N/A</v>
      </c>
      <c r="AA80" t="e">
        <f t="shared" si="27"/>
        <v>#N/A</v>
      </c>
      <c r="AB80" t="e">
        <f t="shared" si="27"/>
        <v>#N/A</v>
      </c>
      <c r="AC80" t="e">
        <f t="shared" si="27"/>
        <v>#N/A</v>
      </c>
      <c r="AD80" t="e">
        <f t="shared" si="27"/>
        <v>#N/A</v>
      </c>
      <c r="AE80" t="e">
        <f t="shared" si="27"/>
        <v>#N/A</v>
      </c>
      <c r="AF80" t="e">
        <f t="shared" si="27"/>
        <v>#N/A</v>
      </c>
      <c r="AG80" t="e">
        <f t="shared" si="27"/>
        <v>#N/A</v>
      </c>
    </row>
    <row r="81" spans="2:33" x14ac:dyDescent="0.25">
      <c r="B81" t="s">
        <v>23</v>
      </c>
      <c r="C81">
        <f>LOOKUP(C79,72:72,74:74)</f>
        <v>30</v>
      </c>
      <c r="D81">
        <f t="shared" ref="D81:AG81" si="28">LOOKUP(D79,72:72,74:74)</f>
        <v>30</v>
      </c>
      <c r="E81">
        <f t="shared" si="28"/>
        <v>30</v>
      </c>
      <c r="F81">
        <f t="shared" si="28"/>
        <v>30</v>
      </c>
      <c r="G81">
        <f t="shared" si="28"/>
        <v>30</v>
      </c>
      <c r="H81">
        <f t="shared" si="28"/>
        <v>30</v>
      </c>
      <c r="I81">
        <f t="shared" si="28"/>
        <v>30</v>
      </c>
      <c r="J81">
        <f t="shared" si="28"/>
        <v>30</v>
      </c>
      <c r="K81">
        <f t="shared" si="28"/>
        <v>30</v>
      </c>
      <c r="L81">
        <f t="shared" si="28"/>
        <v>30</v>
      </c>
      <c r="M81">
        <f t="shared" si="28"/>
        <v>30</v>
      </c>
      <c r="N81" t="e">
        <f t="shared" si="28"/>
        <v>#N/A</v>
      </c>
      <c r="O81" t="e">
        <f t="shared" si="28"/>
        <v>#N/A</v>
      </c>
      <c r="P81" t="e">
        <f t="shared" si="28"/>
        <v>#N/A</v>
      </c>
      <c r="Q81" t="e">
        <f t="shared" si="28"/>
        <v>#N/A</v>
      </c>
      <c r="R81" t="e">
        <f t="shared" si="28"/>
        <v>#N/A</v>
      </c>
      <c r="S81" t="e">
        <f t="shared" si="28"/>
        <v>#N/A</v>
      </c>
      <c r="T81" t="e">
        <f t="shared" si="28"/>
        <v>#N/A</v>
      </c>
      <c r="U81" t="e">
        <f t="shared" si="28"/>
        <v>#N/A</v>
      </c>
      <c r="V81" t="e">
        <f t="shared" si="28"/>
        <v>#N/A</v>
      </c>
      <c r="W81" t="e">
        <f t="shared" si="28"/>
        <v>#N/A</v>
      </c>
      <c r="X81" t="e">
        <f t="shared" si="28"/>
        <v>#N/A</v>
      </c>
      <c r="Y81" t="e">
        <f t="shared" si="28"/>
        <v>#N/A</v>
      </c>
      <c r="Z81" t="e">
        <f t="shared" si="28"/>
        <v>#N/A</v>
      </c>
      <c r="AA81" t="e">
        <f t="shared" si="28"/>
        <v>#N/A</v>
      </c>
      <c r="AB81" t="e">
        <f t="shared" si="28"/>
        <v>#N/A</v>
      </c>
      <c r="AC81" t="e">
        <f t="shared" si="28"/>
        <v>#N/A</v>
      </c>
      <c r="AD81" t="e">
        <f t="shared" si="28"/>
        <v>#N/A</v>
      </c>
      <c r="AE81" t="e">
        <f t="shared" si="28"/>
        <v>#N/A</v>
      </c>
      <c r="AF81" t="e">
        <f t="shared" si="28"/>
        <v>#N/A</v>
      </c>
      <c r="AG81" t="e">
        <f t="shared" si="28"/>
        <v>#N/A</v>
      </c>
    </row>
    <row r="82" spans="2:33" x14ac:dyDescent="0.25">
      <c r="B82" t="s">
        <v>27</v>
      </c>
      <c r="C82">
        <f>LOOKUP(C79,72:72,75:75)</f>
        <v>242.69090909090883</v>
      </c>
      <c r="D82">
        <f t="shared" ref="D82:AG82" si="29">LOOKUP(D79,72:72,75:75)</f>
        <v>235.41018181818131</v>
      </c>
      <c r="E82">
        <f t="shared" si="29"/>
        <v>228.12945454545437</v>
      </c>
      <c r="F82">
        <f t="shared" si="29"/>
        <v>220.84872727272682</v>
      </c>
      <c r="G82">
        <f t="shared" si="29"/>
        <v>207.50072727272985</v>
      </c>
      <c r="H82">
        <f t="shared" si="29"/>
        <v>191.11909090909177</v>
      </c>
      <c r="I82">
        <f t="shared" si="29"/>
        <v>174.73745454545599</v>
      </c>
      <c r="J82">
        <f t="shared" si="29"/>
        <v>158.35581818182021</v>
      </c>
      <c r="K82">
        <f t="shared" si="29"/>
        <v>141.97418181818443</v>
      </c>
      <c r="L82">
        <f t="shared" si="29"/>
        <v>125.59254545454634</v>
      </c>
      <c r="M82">
        <f t="shared" si="29"/>
        <v>109.21090909091058</v>
      </c>
      <c r="N82" t="e">
        <f t="shared" si="29"/>
        <v>#N/A</v>
      </c>
      <c r="O82" t="e">
        <f t="shared" si="29"/>
        <v>#N/A</v>
      </c>
      <c r="P82" t="e">
        <f t="shared" si="29"/>
        <v>#N/A</v>
      </c>
      <c r="Q82" t="e">
        <f t="shared" si="29"/>
        <v>#N/A</v>
      </c>
      <c r="R82" t="e">
        <f t="shared" si="29"/>
        <v>#N/A</v>
      </c>
      <c r="S82" t="e">
        <f t="shared" si="29"/>
        <v>#N/A</v>
      </c>
      <c r="T82" t="e">
        <f t="shared" si="29"/>
        <v>#N/A</v>
      </c>
      <c r="U82" t="e">
        <f t="shared" si="29"/>
        <v>#N/A</v>
      </c>
      <c r="V82" t="e">
        <f t="shared" si="29"/>
        <v>#N/A</v>
      </c>
      <c r="W82" t="e">
        <f t="shared" si="29"/>
        <v>#N/A</v>
      </c>
      <c r="X82" t="e">
        <f t="shared" si="29"/>
        <v>#N/A</v>
      </c>
      <c r="Y82" t="e">
        <f t="shared" si="29"/>
        <v>#N/A</v>
      </c>
      <c r="Z82" t="e">
        <f t="shared" si="29"/>
        <v>#N/A</v>
      </c>
      <c r="AA82" t="e">
        <f t="shared" si="29"/>
        <v>#N/A</v>
      </c>
      <c r="AB82" t="e">
        <f t="shared" si="29"/>
        <v>#N/A</v>
      </c>
      <c r="AC82" t="e">
        <f t="shared" si="29"/>
        <v>#N/A</v>
      </c>
      <c r="AD82" t="e">
        <f t="shared" si="29"/>
        <v>#N/A</v>
      </c>
      <c r="AE82" t="e">
        <f t="shared" si="29"/>
        <v>#N/A</v>
      </c>
      <c r="AF82" t="e">
        <f t="shared" si="29"/>
        <v>#N/A</v>
      </c>
      <c r="AG82" t="e">
        <f t="shared" si="29"/>
        <v>#N/A</v>
      </c>
    </row>
    <row r="83" spans="2:33" x14ac:dyDescent="0.25">
      <c r="B83" t="s">
        <v>28</v>
      </c>
      <c r="C83">
        <f>LOOKUP(C79,72:72,76:76)</f>
        <v>781.6311731151402</v>
      </c>
      <c r="D83">
        <f t="shared" ref="D83:AG83" si="30">LOOKUP(D79,72:72,76:76)</f>
        <v>758.18223792168521</v>
      </c>
      <c r="E83">
        <f t="shared" si="30"/>
        <v>734.73330272823193</v>
      </c>
      <c r="F83">
        <f t="shared" si="30"/>
        <v>711.28436753477695</v>
      </c>
      <c r="G83">
        <f t="shared" si="30"/>
        <v>668.29465301345385</v>
      </c>
      <c r="H83">
        <f t="shared" si="30"/>
        <v>615.53454882817641</v>
      </c>
      <c r="I83">
        <f t="shared" si="30"/>
        <v>562.77444464290625</v>
      </c>
      <c r="J83">
        <f t="shared" si="30"/>
        <v>510.01434045763608</v>
      </c>
      <c r="K83">
        <f t="shared" si="30"/>
        <v>457.25423627236597</v>
      </c>
      <c r="L83">
        <f t="shared" si="30"/>
        <v>404.49413208708836</v>
      </c>
      <c r="M83">
        <f t="shared" si="30"/>
        <v>351.73402790181819</v>
      </c>
      <c r="N83" t="e">
        <f t="shared" si="30"/>
        <v>#N/A</v>
      </c>
      <c r="O83" t="e">
        <f t="shared" si="30"/>
        <v>#N/A</v>
      </c>
      <c r="P83" t="e">
        <f t="shared" si="30"/>
        <v>#N/A</v>
      </c>
      <c r="Q83" t="e">
        <f t="shared" si="30"/>
        <v>#N/A</v>
      </c>
      <c r="R83" t="e">
        <f t="shared" si="30"/>
        <v>#N/A</v>
      </c>
      <c r="S83" t="e">
        <f t="shared" si="30"/>
        <v>#N/A</v>
      </c>
      <c r="T83" t="e">
        <f t="shared" si="30"/>
        <v>#N/A</v>
      </c>
      <c r="U83" t="e">
        <f t="shared" si="30"/>
        <v>#N/A</v>
      </c>
      <c r="V83" t="e">
        <f t="shared" si="30"/>
        <v>#N/A</v>
      </c>
      <c r="W83" t="e">
        <f t="shared" si="30"/>
        <v>#N/A</v>
      </c>
      <c r="X83" t="e">
        <f t="shared" si="30"/>
        <v>#N/A</v>
      </c>
      <c r="Y83" t="e">
        <f t="shared" si="30"/>
        <v>#N/A</v>
      </c>
      <c r="Z83" t="e">
        <f t="shared" si="30"/>
        <v>#N/A</v>
      </c>
      <c r="AA83" t="e">
        <f t="shared" si="30"/>
        <v>#N/A</v>
      </c>
      <c r="AB83" t="e">
        <f t="shared" si="30"/>
        <v>#N/A</v>
      </c>
      <c r="AC83" t="e">
        <f t="shared" si="30"/>
        <v>#N/A</v>
      </c>
      <c r="AD83" t="e">
        <f t="shared" si="30"/>
        <v>#N/A</v>
      </c>
      <c r="AE83" t="e">
        <f t="shared" si="30"/>
        <v>#N/A</v>
      </c>
      <c r="AF83" t="e">
        <f t="shared" si="30"/>
        <v>#N/A</v>
      </c>
      <c r="AG83" t="e">
        <f t="shared" si="30"/>
        <v>#N/A</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F954-040B-4091-B0C9-D912D5DFB1E2}">
  <dimension ref="A1"/>
  <sheetViews>
    <sheetView topLeftCell="A4" workbookViewId="0">
      <selection activeCell="A2" sqref="A2"/>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91FC-F8D6-44F8-BE99-FE2852D9178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abSelected="1" topLeftCell="A2" zoomScale="90" zoomScaleNormal="90" workbookViewId="0">
      <selection activeCell="K12" sqref="K12"/>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c r="Z4" t="s">
        <v>26</v>
      </c>
      <c r="AA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c r="Y5">
        <v>2020</v>
      </c>
      <c r="Z5">
        <f>1666000*B7</f>
        <v>19992000</v>
      </c>
      <c r="AA5">
        <f>135000*B7</f>
        <v>1620000</v>
      </c>
    </row>
    <row r="6" spans="1:33" x14ac:dyDescent="0.25">
      <c r="O6" t="s">
        <v>98</v>
      </c>
      <c r="P6">
        <v>1300000</v>
      </c>
      <c r="Q6">
        <f t="shared" ref="Q6:Q9" si="0">P6*1.15</f>
        <v>1495000</v>
      </c>
      <c r="U6">
        <v>2035</v>
      </c>
      <c r="V6">
        <f>V5*B9</f>
        <v>16790399.999999996</v>
      </c>
      <c r="W6">
        <f>W5*B9</f>
        <v>340800</v>
      </c>
      <c r="Y6">
        <v>2035</v>
      </c>
      <c r="Z6">
        <f>Z5*B9</f>
        <v>6953739.1304347822</v>
      </c>
      <c r="AA6">
        <f>AA5*B9</f>
        <v>563478.26086956519</v>
      </c>
    </row>
    <row r="7" spans="1:33" x14ac:dyDescent="0.25">
      <c r="A7" t="s">
        <v>107</v>
      </c>
      <c r="B7" s="3">
        <v>12</v>
      </c>
      <c r="C7" t="s">
        <v>108</v>
      </c>
      <c r="O7" t="s">
        <v>99</v>
      </c>
      <c r="P7">
        <f>1700000-200000-82000</f>
        <v>1418000</v>
      </c>
      <c r="Q7">
        <f t="shared" si="0"/>
        <v>1630699.9999999998</v>
      </c>
      <c r="U7">
        <v>2050</v>
      </c>
      <c r="V7">
        <f>V6*B11</f>
        <v>8395199.9999999981</v>
      </c>
      <c r="W7">
        <f>W6*B11</f>
        <v>170400</v>
      </c>
      <c r="Y7">
        <v>2050</v>
      </c>
      <c r="Z7">
        <f>Z6*B11</f>
        <v>3476869.5652173911</v>
      </c>
      <c r="AA7">
        <f>AA6*B11</f>
        <v>281739.13043478259</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_xlfn.FORECAST.LINEAR(V16,$V$6:$V$7,$U$6:$U$7)</f>
        <v>14551680</v>
      </c>
      <c r="W17" s="3">
        <f>_xlfn.FORECAST.LINEAR(W16,$V$6:$V$7,$U$6:$U$7)</f>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64013400</v>
      </c>
      <c r="D45">
        <f t="shared" ref="D45:AG45" si="11">LOOKUP(D44,16:16,17:17)</f>
        <v>54568800</v>
      </c>
      <c r="E45">
        <f t="shared" si="11"/>
        <v>45124200</v>
      </c>
      <c r="F45">
        <f t="shared" si="11"/>
        <v>35679600</v>
      </c>
      <c r="G45">
        <f t="shared" si="11"/>
        <v>26235000</v>
      </c>
      <c r="H45">
        <f t="shared" si="11"/>
        <v>16790400</v>
      </c>
      <c r="I45">
        <f t="shared" si="11"/>
        <v>15111360</v>
      </c>
      <c r="J45">
        <f t="shared" si="11"/>
        <v>13432320</v>
      </c>
      <c r="K45">
        <f t="shared" si="11"/>
        <v>11753280</v>
      </c>
      <c r="L45">
        <f t="shared" si="11"/>
        <v>10074240</v>
      </c>
      <c r="M45">
        <f t="shared" si="11"/>
        <v>8395200</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1299300</v>
      </c>
      <c r="D47">
        <f t="shared" ref="D47:AG47" si="13">LOOKUP(D44,16:16,19:19)</f>
        <v>1107600</v>
      </c>
      <c r="E47">
        <f t="shared" si="13"/>
        <v>915900</v>
      </c>
      <c r="F47">
        <f t="shared" si="13"/>
        <v>724200</v>
      </c>
      <c r="G47">
        <f t="shared" si="13"/>
        <v>532500</v>
      </c>
      <c r="H47">
        <f t="shared" si="13"/>
        <v>340800</v>
      </c>
      <c r="I47">
        <f t="shared" si="13"/>
        <v>306720</v>
      </c>
      <c r="J47">
        <f t="shared" si="13"/>
        <v>272640</v>
      </c>
      <c r="K47">
        <f t="shared" si="13"/>
        <v>238560</v>
      </c>
      <c r="L47">
        <f t="shared" si="13"/>
        <v>204480</v>
      </c>
      <c r="M47">
        <f t="shared" si="13"/>
        <v>170400</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7295997.1549652554</v>
      </c>
      <c r="D48">
        <f t="shared" ref="D48:AG48" si="14">LOOKUP(D44,16:16,20:20)</f>
        <v>6219538.5583310369</v>
      </c>
      <c r="E48">
        <f t="shared" si="14"/>
        <v>5143079.9616968194</v>
      </c>
      <c r="F48">
        <f t="shared" si="14"/>
        <v>4066621.3650626014</v>
      </c>
      <c r="G48">
        <f t="shared" si="14"/>
        <v>2990162.7684283834</v>
      </c>
      <c r="H48">
        <f t="shared" si="14"/>
        <v>1913704.1717941654</v>
      </c>
      <c r="I48">
        <f t="shared" si="14"/>
        <v>1722333.754614749</v>
      </c>
      <c r="J48">
        <f t="shared" si="14"/>
        <v>1530963.3374353324</v>
      </c>
      <c r="K48">
        <f t="shared" si="14"/>
        <v>1339592.9202559157</v>
      </c>
      <c r="L48">
        <f t="shared" si="14"/>
        <v>1148222.5030764993</v>
      </c>
      <c r="M48">
        <f t="shared" si="14"/>
        <v>956852.0858970827</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workbookViewId="0">
      <selection activeCell="C158" sqref="C158"/>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148</v>
      </c>
      <c r="B141">
        <v>10000</v>
      </c>
      <c r="C141">
        <v>20000</v>
      </c>
      <c r="D141" t="s">
        <v>147</v>
      </c>
    </row>
    <row r="142" spans="1:11" x14ac:dyDescent="0.25">
      <c r="A142" t="s">
        <v>45</v>
      </c>
      <c r="B142" s="3">
        <f>50*0.94</f>
        <v>47</v>
      </c>
      <c r="C142" s="3">
        <f>70*0.94</f>
        <v>65.8</v>
      </c>
      <c r="D142" t="s">
        <v>152</v>
      </c>
      <c r="H142">
        <f>(0.2+0.7)/2</f>
        <v>0.44999999999999996</v>
      </c>
      <c r="I142" t="s">
        <v>229</v>
      </c>
    </row>
    <row r="143" spans="1:11" x14ac:dyDescent="0.25">
      <c r="B143" s="6">
        <f>B142/B6</f>
        <v>261.11111111111114</v>
      </c>
      <c r="C143" s="6">
        <f>C142/B6</f>
        <v>365.55555555555554</v>
      </c>
      <c r="D143" t="s">
        <v>122</v>
      </c>
      <c r="H143">
        <f>H142/1000</f>
        <v>4.4999999999999993E-4</v>
      </c>
      <c r="I143" t="s">
        <v>230</v>
      </c>
      <c r="J143" t="s">
        <v>231</v>
      </c>
      <c r="K143" t="s">
        <v>232</v>
      </c>
    </row>
    <row r="145" spans="1:33" x14ac:dyDescent="0.25">
      <c r="A145" t="s">
        <v>146</v>
      </c>
      <c r="B145" s="7">
        <f>(C143-B143)/(C141-B141)</f>
        <v>1.044444444444444E-2</v>
      </c>
      <c r="C145" t="s">
        <v>150</v>
      </c>
      <c r="D145" t="s">
        <v>233</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6" workbookViewId="0">
      <selection activeCell="D159" sqref="D159"/>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A41F-2B7B-443E-8885-2AEB2F849F30}">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2.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General</vt:lpstr>
      <vt:lpstr>Wind</vt:lpstr>
      <vt:lpstr>Solar</vt:lpstr>
      <vt:lpstr>Electrolyzer</vt:lpstr>
      <vt:lpstr>Desalination</vt:lpstr>
      <vt:lpstr>Ammonia</vt:lpstr>
      <vt:lpstr>Liquid hydrogen</vt:lpstr>
      <vt:lpstr>Sheet4</vt:lpstr>
      <vt:lpstr>Land transport</vt:lpstr>
      <vt:lpstr>Storage</vt:lpstr>
      <vt:lpstr>FPSO</vt:lpstr>
      <vt:lpstr>Sheet1</vt:lpstr>
      <vt:lpstr>Pipeline NH3</vt:lpstr>
      <vt:lpstr>Pipeline GH2</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2024-08-07T16:30:42Z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