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"/>
    </mc:Choice>
  </mc:AlternateContent>
  <xr:revisionPtr revIDLastSave="0" documentId="13_ncr:1_{253B9316-98D0-4483-AE5F-94DCFA08665B}" xr6:coauthVersionLast="47" xr6:coauthVersionMax="47" xr10:uidLastSave="{00000000-0000-0000-0000-000000000000}"/>
  <bookViews>
    <workbookView xWindow="7305" yWindow="3360" windowWidth="21600" windowHeight="11295" firstSheet="4" activeTab="7" xr2:uid="{00000000-000D-0000-FFFF-FFFF00000000}"/>
  </bookViews>
  <sheets>
    <sheet name="For Report" sheetId="11" r:id="rId1"/>
    <sheet name="Wind (k=1)" sheetId="1" r:id="rId2"/>
    <sheet name="Solar (k=2)" sheetId="2" r:id="rId3"/>
    <sheet name="Electrolyzer (k=3)" sheetId="3" r:id="rId4"/>
    <sheet name="Desalination (k=4)" sheetId="4" r:id="rId5"/>
    <sheet name="NH3 (j=1)(i=1,2)" sheetId="5" r:id="rId6"/>
    <sheet name="LH2 (j=2)(i=1,2)" sheetId="6" r:id="rId7"/>
    <sheet name="GH2 (j=3)" sheetId="7" r:id="rId8"/>
    <sheet name="NH3 (j=4)" sheetId="8" r:id="rId9"/>
    <sheet name="Storage (n=1)" sheetId="9" r:id="rId10"/>
    <sheet name="FPSO (n=2)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1" l="1"/>
  <c r="E41" i="11"/>
  <c r="E39" i="11"/>
  <c r="B3" i="10" l="1"/>
  <c r="E20" i="8"/>
  <c r="E19" i="8"/>
  <c r="B13" i="8"/>
  <c r="B4" i="8" l="1"/>
  <c r="B8" i="7"/>
  <c r="B29" i="7"/>
  <c r="B13" i="7"/>
  <c r="B2" i="7"/>
  <c r="B19" i="7"/>
  <c r="B23" i="7" s="1"/>
  <c r="B53" i="5"/>
  <c r="C53" i="5"/>
  <c r="D53" i="5"/>
  <c r="E53" i="5"/>
  <c r="F53" i="5"/>
  <c r="G53" i="5"/>
  <c r="H53" i="5"/>
  <c r="I53" i="5"/>
  <c r="J53" i="5"/>
  <c r="K53" i="5"/>
  <c r="L53" i="5"/>
  <c r="B54" i="5"/>
  <c r="C54" i="5"/>
  <c r="D54" i="5"/>
  <c r="E54" i="5"/>
  <c r="F54" i="5"/>
  <c r="G54" i="5"/>
  <c r="H54" i="5"/>
  <c r="I54" i="5"/>
  <c r="J54" i="5"/>
  <c r="K54" i="5"/>
  <c r="L54" i="5"/>
  <c r="C52" i="5"/>
  <c r="D52" i="5"/>
  <c r="E52" i="5"/>
  <c r="F52" i="5"/>
  <c r="G52" i="5"/>
  <c r="H52" i="5"/>
  <c r="I52" i="5"/>
  <c r="J52" i="5"/>
  <c r="K52" i="5"/>
  <c r="L52" i="5"/>
  <c r="B52" i="5"/>
  <c r="B47" i="5"/>
  <c r="C47" i="5"/>
  <c r="D47" i="5"/>
  <c r="E47" i="5"/>
  <c r="F47" i="5"/>
  <c r="G47" i="5"/>
  <c r="H47" i="5"/>
  <c r="I47" i="5"/>
  <c r="J47" i="5"/>
  <c r="K47" i="5"/>
  <c r="L47" i="5"/>
  <c r="B48" i="5"/>
  <c r="C48" i="5"/>
  <c r="D48" i="5"/>
  <c r="E48" i="5"/>
  <c r="F48" i="5"/>
  <c r="G48" i="5"/>
  <c r="H48" i="5"/>
  <c r="I48" i="5"/>
  <c r="J48" i="5"/>
  <c r="K48" i="5"/>
  <c r="L48" i="5"/>
  <c r="C46" i="5"/>
  <c r="D46" i="5"/>
  <c r="E46" i="5"/>
  <c r="F46" i="5"/>
  <c r="G46" i="5"/>
  <c r="H46" i="5"/>
  <c r="I46" i="5"/>
  <c r="J46" i="5"/>
  <c r="K46" i="5"/>
  <c r="L46" i="5"/>
  <c r="B46" i="5"/>
  <c r="C51" i="6"/>
  <c r="D51" i="6"/>
  <c r="B44" i="6"/>
  <c r="C44" i="6"/>
  <c r="D44" i="6"/>
  <c r="E44" i="6"/>
  <c r="F44" i="6"/>
  <c r="G44" i="6"/>
  <c r="H44" i="6"/>
  <c r="I44" i="6"/>
  <c r="J44" i="6"/>
  <c r="K44" i="6"/>
  <c r="L44" i="6"/>
  <c r="B45" i="6"/>
  <c r="C45" i="6"/>
  <c r="D45" i="6"/>
  <c r="E45" i="6"/>
  <c r="F45" i="6"/>
  <c r="G45" i="6"/>
  <c r="H45" i="6"/>
  <c r="I45" i="6"/>
  <c r="J45" i="6"/>
  <c r="K45" i="6"/>
  <c r="L45" i="6"/>
  <c r="N17" i="6"/>
  <c r="O17" i="6"/>
  <c r="P17" i="6"/>
  <c r="C50" i="6" s="1"/>
  <c r="Q17" i="6"/>
  <c r="R17" i="6"/>
  <c r="S17" i="6"/>
  <c r="D50" i="6" s="1"/>
  <c r="T17" i="6"/>
  <c r="U17" i="6"/>
  <c r="V17" i="6"/>
  <c r="E50" i="6" s="1"/>
  <c r="W17" i="6"/>
  <c r="X17" i="6"/>
  <c r="Y17" i="6"/>
  <c r="F50" i="6" s="1"/>
  <c r="Z17" i="6"/>
  <c r="AA17" i="6"/>
  <c r="AB17" i="6"/>
  <c r="G50" i="6" s="1"/>
  <c r="AC17" i="6"/>
  <c r="AD17" i="6"/>
  <c r="AE17" i="6"/>
  <c r="H50" i="6" s="1"/>
  <c r="AF17" i="6"/>
  <c r="AG17" i="6"/>
  <c r="AH17" i="6"/>
  <c r="I50" i="6" s="1"/>
  <c r="AI17" i="6"/>
  <c r="AJ17" i="6"/>
  <c r="AK17" i="6"/>
  <c r="J50" i="6" s="1"/>
  <c r="AL17" i="6"/>
  <c r="AM17" i="6"/>
  <c r="AN17" i="6"/>
  <c r="K50" i="6" s="1"/>
  <c r="AO17" i="6"/>
  <c r="AP17" i="6"/>
  <c r="AQ17" i="6"/>
  <c r="L50" i="6" s="1"/>
  <c r="N18" i="6"/>
  <c r="O18" i="6"/>
  <c r="P18" i="6"/>
  <c r="Q18" i="6"/>
  <c r="R18" i="6"/>
  <c r="S18" i="6"/>
  <c r="T18" i="6"/>
  <c r="U18" i="6"/>
  <c r="V18" i="6"/>
  <c r="E51" i="6" s="1"/>
  <c r="W18" i="6"/>
  <c r="X18" i="6"/>
  <c r="Y18" i="6"/>
  <c r="F51" i="6" s="1"/>
  <c r="Z18" i="6"/>
  <c r="AA18" i="6"/>
  <c r="AB18" i="6"/>
  <c r="G51" i="6" s="1"/>
  <c r="AC18" i="6"/>
  <c r="AD18" i="6"/>
  <c r="AE18" i="6"/>
  <c r="H51" i="6" s="1"/>
  <c r="AF18" i="6"/>
  <c r="AG18" i="6"/>
  <c r="AH18" i="6"/>
  <c r="I51" i="6" s="1"/>
  <c r="AI18" i="6"/>
  <c r="AJ18" i="6"/>
  <c r="AK18" i="6"/>
  <c r="J51" i="6" s="1"/>
  <c r="AL18" i="6"/>
  <c r="AM18" i="6"/>
  <c r="AN18" i="6"/>
  <c r="K51" i="6" s="1"/>
  <c r="AO18" i="6"/>
  <c r="AP18" i="6"/>
  <c r="AQ18" i="6"/>
  <c r="L51" i="6" s="1"/>
  <c r="M18" i="6"/>
  <c r="B51" i="6" s="1"/>
  <c r="M17" i="6"/>
  <c r="B50" i="6" s="1"/>
  <c r="B3" i="6"/>
  <c r="Z8" i="6" s="1"/>
  <c r="N9" i="6"/>
  <c r="O9" i="6"/>
  <c r="P9" i="6"/>
  <c r="Q9" i="6"/>
  <c r="R9" i="6"/>
  <c r="S9" i="6"/>
  <c r="S8" i="6" s="1"/>
  <c r="D43" i="6" s="1"/>
  <c r="T9" i="6"/>
  <c r="T8" i="6" s="1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I8" i="6" s="1"/>
  <c r="AJ9" i="6"/>
  <c r="AJ8" i="6" s="1"/>
  <c r="AK9" i="6"/>
  <c r="AL9" i="6"/>
  <c r="AM9" i="6"/>
  <c r="AN9" i="6"/>
  <c r="AO9" i="6"/>
  <c r="AP9" i="6"/>
  <c r="AQ9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M10" i="6"/>
  <c r="M9" i="6"/>
  <c r="B25" i="6"/>
  <c r="B24" i="6"/>
  <c r="B12" i="6"/>
  <c r="B25" i="5"/>
  <c r="B27" i="5" s="1"/>
  <c r="B24" i="5"/>
  <c r="B26" i="5" s="1"/>
  <c r="B3" i="5"/>
  <c r="B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2" i="2"/>
  <c r="B19" i="5"/>
  <c r="M18" i="5" s="1"/>
  <c r="B18" i="5"/>
  <c r="Q17" i="5" s="1"/>
  <c r="B17" i="5"/>
  <c r="B10" i="5"/>
  <c r="B8" i="5"/>
  <c r="B11" i="5" s="1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B23" i="4"/>
  <c r="B21" i="4"/>
  <c r="B22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Q14" i="4" s="1"/>
  <c r="R15" i="4"/>
  <c r="R14" i="4" s="1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C14" i="4" s="1"/>
  <c r="D16" i="4"/>
  <c r="D14" i="4" s="1"/>
  <c r="E16" i="4"/>
  <c r="F16" i="4"/>
  <c r="G16" i="4"/>
  <c r="H16" i="4"/>
  <c r="H14" i="4" s="1"/>
  <c r="I16" i="4"/>
  <c r="J16" i="4"/>
  <c r="K16" i="4"/>
  <c r="L16" i="4"/>
  <c r="M16" i="4"/>
  <c r="N16" i="4"/>
  <c r="O16" i="4"/>
  <c r="P16" i="4"/>
  <c r="Q16" i="4"/>
  <c r="R16" i="4"/>
  <c r="S16" i="4"/>
  <c r="S14" i="4" s="1"/>
  <c r="T16" i="4"/>
  <c r="T14" i="4" s="1"/>
  <c r="U16" i="4"/>
  <c r="V16" i="4"/>
  <c r="W16" i="4"/>
  <c r="X16" i="4"/>
  <c r="Y16" i="4"/>
  <c r="Z16" i="4"/>
  <c r="AA16" i="4"/>
  <c r="AB16" i="4"/>
  <c r="AC16" i="4"/>
  <c r="AD16" i="4"/>
  <c r="AE16" i="4"/>
  <c r="AF16" i="4"/>
  <c r="B16" i="4"/>
  <c r="B15" i="4"/>
  <c r="AE14" i="4"/>
  <c r="X14" i="4"/>
  <c r="AF14" i="4"/>
  <c r="Z14" i="4"/>
  <c r="P14" i="4"/>
  <c r="O14" i="4"/>
  <c r="J14" i="4"/>
  <c r="G14" i="4"/>
  <c r="AD14" i="4"/>
  <c r="AC14" i="4"/>
  <c r="AB14" i="4"/>
  <c r="AA14" i="4"/>
  <c r="Y14" i="4"/>
  <c r="W14" i="4"/>
  <c r="V14" i="4"/>
  <c r="U14" i="4"/>
  <c r="N14" i="4"/>
  <c r="M14" i="4"/>
  <c r="L14" i="4"/>
  <c r="K14" i="4"/>
  <c r="I14" i="4"/>
  <c r="F14" i="4"/>
  <c r="E14" i="4"/>
  <c r="B14" i="4"/>
  <c r="S6" i="3"/>
  <c r="U6" i="3" s="1"/>
  <c r="V6" i="3" s="1"/>
  <c r="B6" i="3" s="1"/>
  <c r="X21" i="3"/>
  <c r="Y21" i="3"/>
  <c r="Z21" i="3"/>
  <c r="AA21" i="3"/>
  <c r="AB21" i="3"/>
  <c r="AC21" i="3"/>
  <c r="AD21" i="3"/>
  <c r="AE21" i="3"/>
  <c r="AF21" i="3"/>
  <c r="W21" i="3"/>
  <c r="N21" i="3"/>
  <c r="O21" i="3"/>
  <c r="P21" i="3"/>
  <c r="Q21" i="3"/>
  <c r="R21" i="3"/>
  <c r="S21" i="3"/>
  <c r="T21" i="3"/>
  <c r="U21" i="3"/>
  <c r="V21" i="3"/>
  <c r="M21" i="3"/>
  <c r="C21" i="3"/>
  <c r="D21" i="3"/>
  <c r="E21" i="3"/>
  <c r="F21" i="3"/>
  <c r="G21" i="3"/>
  <c r="H21" i="3"/>
  <c r="I21" i="3"/>
  <c r="J21" i="3"/>
  <c r="K21" i="3"/>
  <c r="L21" i="3"/>
  <c r="B21" i="3"/>
  <c r="N20" i="3"/>
  <c r="O20" i="3"/>
  <c r="P20" i="3"/>
  <c r="Q20" i="3"/>
  <c r="R20" i="3"/>
  <c r="S20" i="3"/>
  <c r="T20" i="3"/>
  <c r="U20" i="3"/>
  <c r="V20" i="3"/>
  <c r="M20" i="3"/>
  <c r="C20" i="3"/>
  <c r="D20" i="3"/>
  <c r="E20" i="3"/>
  <c r="F20" i="3"/>
  <c r="G20" i="3"/>
  <c r="H20" i="3"/>
  <c r="I20" i="3"/>
  <c r="J20" i="3"/>
  <c r="K20" i="3"/>
  <c r="L20" i="3"/>
  <c r="B20" i="3"/>
  <c r="U4" i="3"/>
  <c r="V4" i="3" s="1"/>
  <c r="B4" i="3" s="1"/>
  <c r="U3" i="3"/>
  <c r="V3" i="3" s="1"/>
  <c r="B3" i="3" s="1"/>
  <c r="T3" i="3"/>
  <c r="S3" i="3"/>
  <c r="U5" i="3"/>
  <c r="V5" i="3" s="1"/>
  <c r="B5" i="3" s="1"/>
  <c r="B14" i="7" l="1"/>
  <c r="B11" i="7" s="1"/>
  <c r="B9" i="7" s="1"/>
  <c r="AH8" i="6"/>
  <c r="I43" i="6" s="1"/>
  <c r="R8" i="6"/>
  <c r="AG8" i="6"/>
  <c r="Q8" i="6"/>
  <c r="AE8" i="6"/>
  <c r="H43" i="6" s="1"/>
  <c r="O8" i="6"/>
  <c r="AF8" i="6"/>
  <c r="P8" i="6"/>
  <c r="C43" i="6" s="1"/>
  <c r="AD8" i="6"/>
  <c r="N8" i="6"/>
  <c r="AC8" i="6"/>
  <c r="AQ8" i="6"/>
  <c r="L43" i="6" s="1"/>
  <c r="AB8" i="6"/>
  <c r="G43" i="6" s="1"/>
  <c r="AP8" i="6"/>
  <c r="AN8" i="6"/>
  <c r="K43" i="6" s="1"/>
  <c r="AM8" i="6"/>
  <c r="AO8" i="6"/>
  <c r="Y8" i="6"/>
  <c r="F43" i="6" s="1"/>
  <c r="AA8" i="6"/>
  <c r="X8" i="6"/>
  <c r="AL8" i="6"/>
  <c r="V8" i="6"/>
  <c r="E43" i="6" s="1"/>
  <c r="W8" i="6"/>
  <c r="AK8" i="6"/>
  <c r="J43" i="6" s="1"/>
  <c r="U8" i="6"/>
  <c r="AL16" i="6"/>
  <c r="W16" i="6"/>
  <c r="X16" i="6"/>
  <c r="Y16" i="6"/>
  <c r="F49" i="6" s="1"/>
  <c r="AC16" i="6"/>
  <c r="AO16" i="6"/>
  <c r="B26" i="6"/>
  <c r="M16" i="6"/>
  <c r="B49" i="6" s="1"/>
  <c r="N16" i="6"/>
  <c r="B28" i="5"/>
  <c r="E35" i="5" s="1"/>
  <c r="C41" i="5" s="1"/>
  <c r="T35" i="5"/>
  <c r="H41" i="5" s="1"/>
  <c r="D35" i="5"/>
  <c r="S35" i="5"/>
  <c r="C35" i="5"/>
  <c r="B35" i="5"/>
  <c r="Q35" i="5"/>
  <c r="G41" i="5" s="1"/>
  <c r="R35" i="5"/>
  <c r="AF35" i="5"/>
  <c r="L41" i="5" s="1"/>
  <c r="P35" i="5"/>
  <c r="AE35" i="5"/>
  <c r="O35" i="5"/>
  <c r="AD35" i="5"/>
  <c r="N35" i="5"/>
  <c r="F41" i="5" s="1"/>
  <c r="AC35" i="5"/>
  <c r="K41" i="5" s="1"/>
  <c r="M35" i="5"/>
  <c r="AB35" i="5"/>
  <c r="L35" i="5"/>
  <c r="AA35" i="5"/>
  <c r="K35" i="5"/>
  <c r="E41" i="5" s="1"/>
  <c r="Z35" i="5"/>
  <c r="J41" i="5" s="1"/>
  <c r="J35" i="5"/>
  <c r="Y35" i="5"/>
  <c r="I35" i="5"/>
  <c r="X35" i="5"/>
  <c r="H35" i="5"/>
  <c r="D41" i="5" s="1"/>
  <c r="W35" i="5"/>
  <c r="I41" i="5" s="1"/>
  <c r="G35" i="5"/>
  <c r="V35" i="5"/>
  <c r="F35" i="5"/>
  <c r="B29" i="5"/>
  <c r="U35" i="5"/>
  <c r="Q9" i="5"/>
  <c r="M10" i="5"/>
  <c r="AH18" i="5"/>
  <c r="AH10" i="5" s="1"/>
  <c r="AG18" i="5"/>
  <c r="AG10" i="5" s="1"/>
  <c r="AF18" i="5"/>
  <c r="AF10" i="5" s="1"/>
  <c r="AE18" i="5"/>
  <c r="AE10" i="5" s="1"/>
  <c r="R18" i="5"/>
  <c r="R10" i="5" s="1"/>
  <c r="Q18" i="5"/>
  <c r="Q10" i="5" s="1"/>
  <c r="P18" i="5"/>
  <c r="O18" i="5"/>
  <c r="O10" i="5" s="1"/>
  <c r="AD17" i="5"/>
  <c r="AD9" i="5" s="1"/>
  <c r="N17" i="5"/>
  <c r="N9" i="5" s="1"/>
  <c r="AF17" i="5"/>
  <c r="AF9" i="5" s="1"/>
  <c r="P17" i="5"/>
  <c r="P9" i="5" s="1"/>
  <c r="P8" i="5" s="1"/>
  <c r="Q16" i="5"/>
  <c r="AE17" i="5"/>
  <c r="O17" i="5"/>
  <c r="AD18" i="5"/>
  <c r="AD10" i="5" s="1"/>
  <c r="N18" i="5"/>
  <c r="N10" i="5" s="1"/>
  <c r="AB17" i="5"/>
  <c r="AB9" i="5" s="1"/>
  <c r="AC18" i="5"/>
  <c r="AC10" i="5" s="1"/>
  <c r="AQ17" i="5"/>
  <c r="AA17" i="5"/>
  <c r="P10" i="5"/>
  <c r="AB18" i="5"/>
  <c r="AB10" i="5" s="1"/>
  <c r="AP17" i="5"/>
  <c r="Z17" i="5"/>
  <c r="AQ18" i="5"/>
  <c r="AQ10" i="5" s="1"/>
  <c r="AA18" i="5"/>
  <c r="AA10" i="5" s="1"/>
  <c r="AO17" i="5"/>
  <c r="Y17" i="5"/>
  <c r="Y9" i="5" s="1"/>
  <c r="AP18" i="5"/>
  <c r="AP10" i="5" s="1"/>
  <c r="Z18" i="5"/>
  <c r="Z10" i="5" s="1"/>
  <c r="AN17" i="5"/>
  <c r="X17" i="5"/>
  <c r="X9" i="5" s="1"/>
  <c r="AC17" i="5"/>
  <c r="AC9" i="5" s="1"/>
  <c r="AC8" i="5" s="1"/>
  <c r="AO18" i="5"/>
  <c r="AO10" i="5" s="1"/>
  <c r="Y18" i="5"/>
  <c r="AM17" i="5"/>
  <c r="W17" i="5"/>
  <c r="AN18" i="5"/>
  <c r="AN10" i="5" s="1"/>
  <c r="X18" i="5"/>
  <c r="AL17" i="5"/>
  <c r="V17" i="5"/>
  <c r="AM18" i="5"/>
  <c r="AM10" i="5" s="1"/>
  <c r="W18" i="5"/>
  <c r="W10" i="5" s="1"/>
  <c r="AK17" i="5"/>
  <c r="U17" i="5"/>
  <c r="AL18" i="5"/>
  <c r="AL10" i="5" s="1"/>
  <c r="V18" i="5"/>
  <c r="V10" i="5" s="1"/>
  <c r="AJ17" i="5"/>
  <c r="T17" i="5"/>
  <c r="AK18" i="5"/>
  <c r="AK10" i="5" s="1"/>
  <c r="U18" i="5"/>
  <c r="U10" i="5" s="1"/>
  <c r="AI17" i="5"/>
  <c r="S17" i="5"/>
  <c r="N16" i="5"/>
  <c r="AJ18" i="5"/>
  <c r="AJ10" i="5" s="1"/>
  <c r="T18" i="5"/>
  <c r="T10" i="5" s="1"/>
  <c r="AH17" i="5"/>
  <c r="R17" i="5"/>
  <c r="AI18" i="5"/>
  <c r="AI10" i="5" s="1"/>
  <c r="S18" i="5"/>
  <c r="S10" i="5" s="1"/>
  <c r="AG17" i="5"/>
  <c r="AG9" i="5" s="1"/>
  <c r="M17" i="5"/>
  <c r="M9" i="5" s="1"/>
  <c r="M8" i="5" s="1"/>
  <c r="B41" i="5"/>
  <c r="AB16" i="6" l="1"/>
  <c r="G49" i="6" s="1"/>
  <c r="AD16" i="6"/>
  <c r="AN16" i="6"/>
  <c r="K49" i="6" s="1"/>
  <c r="AM16" i="6"/>
  <c r="M8" i="6"/>
  <c r="B43" i="6" s="1"/>
  <c r="AK16" i="6"/>
  <c r="J49" i="6" s="1"/>
  <c r="AI16" i="6"/>
  <c r="U16" i="6"/>
  <c r="S16" i="6"/>
  <c r="D49" i="6" s="1"/>
  <c r="AG16" i="6"/>
  <c r="AE16" i="6"/>
  <c r="H49" i="6" s="1"/>
  <c r="Q16" i="6"/>
  <c r="O16" i="6"/>
  <c r="AQ16" i="6"/>
  <c r="L49" i="6" s="1"/>
  <c r="V33" i="6"/>
  <c r="F33" i="6"/>
  <c r="U33" i="6"/>
  <c r="E33" i="6"/>
  <c r="C39" i="6" s="1"/>
  <c r="T33" i="6"/>
  <c r="H39" i="6" s="1"/>
  <c r="D33" i="6"/>
  <c r="S33" i="6"/>
  <c r="C33" i="6"/>
  <c r="R33" i="6"/>
  <c r="B33" i="6"/>
  <c r="B39" i="6" s="1"/>
  <c r="Q33" i="6"/>
  <c r="G39" i="6" s="1"/>
  <c r="AF33" i="6"/>
  <c r="L39" i="6" s="1"/>
  <c r="P33" i="6"/>
  <c r="AE33" i="6"/>
  <c r="O33" i="6"/>
  <c r="AD33" i="6"/>
  <c r="N33" i="6"/>
  <c r="F39" i="6" s="1"/>
  <c r="AC33" i="6"/>
  <c r="K39" i="6" s="1"/>
  <c r="M33" i="6"/>
  <c r="AB33" i="6"/>
  <c r="L33" i="6"/>
  <c r="AA33" i="6"/>
  <c r="K33" i="6"/>
  <c r="E39" i="6" s="1"/>
  <c r="Z33" i="6"/>
  <c r="J39" i="6" s="1"/>
  <c r="J33" i="6"/>
  <c r="W33" i="6"/>
  <c r="I39" i="6" s="1"/>
  <c r="Y33" i="6"/>
  <c r="I33" i="6"/>
  <c r="G33" i="6"/>
  <c r="X33" i="6"/>
  <c r="H33" i="6"/>
  <c r="D39" i="6" s="1"/>
  <c r="AA16" i="6"/>
  <c r="B27" i="6"/>
  <c r="AJ16" i="6"/>
  <c r="AH16" i="6"/>
  <c r="I49" i="6" s="1"/>
  <c r="V16" i="6"/>
  <c r="E49" i="6" s="1"/>
  <c r="T16" i="6"/>
  <c r="R16" i="6"/>
  <c r="AF16" i="6"/>
  <c r="P16" i="6"/>
  <c r="C49" i="6" s="1"/>
  <c r="AP16" i="6"/>
  <c r="Z16" i="6"/>
  <c r="AF16" i="5"/>
  <c r="AF8" i="5"/>
  <c r="C34" i="5"/>
  <c r="S34" i="5"/>
  <c r="D34" i="5"/>
  <c r="T34" i="5"/>
  <c r="H40" i="5" s="1"/>
  <c r="E34" i="5"/>
  <c r="C40" i="5" s="1"/>
  <c r="U34" i="5"/>
  <c r="F34" i="5"/>
  <c r="V34" i="5"/>
  <c r="G34" i="5"/>
  <c r="W34" i="5"/>
  <c r="I40" i="5" s="1"/>
  <c r="H34" i="5"/>
  <c r="D40" i="5" s="1"/>
  <c r="X34" i="5"/>
  <c r="I34" i="5"/>
  <c r="Y34" i="5"/>
  <c r="J34" i="5"/>
  <c r="Z34" i="5"/>
  <c r="J40" i="5" s="1"/>
  <c r="K34" i="5"/>
  <c r="E40" i="5" s="1"/>
  <c r="AA34" i="5"/>
  <c r="B34" i="5"/>
  <c r="B40" i="5" s="1"/>
  <c r="L34" i="5"/>
  <c r="AB34" i="5"/>
  <c r="M34" i="5"/>
  <c r="AC34" i="5"/>
  <c r="K40" i="5" s="1"/>
  <c r="AF34" i="5"/>
  <c r="L40" i="5" s="1"/>
  <c r="N34" i="5"/>
  <c r="F40" i="5" s="1"/>
  <c r="AD34" i="5"/>
  <c r="O34" i="5"/>
  <c r="AE34" i="5"/>
  <c r="P34" i="5"/>
  <c r="Q34" i="5"/>
  <c r="G40" i="5" s="1"/>
  <c r="R34" i="5"/>
  <c r="Q8" i="5"/>
  <c r="AD8" i="5"/>
  <c r="P16" i="5"/>
  <c r="AD16" i="5"/>
  <c r="AG8" i="5"/>
  <c r="AB8" i="5"/>
  <c r="N8" i="5"/>
  <c r="AI16" i="5"/>
  <c r="AI9" i="5"/>
  <c r="AI8" i="5" s="1"/>
  <c r="X16" i="5"/>
  <c r="X10" i="5"/>
  <c r="X8" i="5" s="1"/>
  <c r="AO9" i="5"/>
  <c r="AO8" i="5" s="1"/>
  <c r="AO16" i="5"/>
  <c r="AL16" i="5"/>
  <c r="AL9" i="5"/>
  <c r="AL8" i="5" s="1"/>
  <c r="T16" i="5"/>
  <c r="T9" i="5"/>
  <c r="T8" i="5" s="1"/>
  <c r="W16" i="5"/>
  <c r="W9" i="5"/>
  <c r="W8" i="5" s="1"/>
  <c r="AJ16" i="5"/>
  <c r="AJ9" i="5"/>
  <c r="AJ8" i="5" s="1"/>
  <c r="AM16" i="5"/>
  <c r="AM9" i="5"/>
  <c r="AM8" i="5" s="1"/>
  <c r="O16" i="5"/>
  <c r="O9" i="5"/>
  <c r="O8" i="5" s="1"/>
  <c r="Y16" i="5"/>
  <c r="Y10" i="5"/>
  <c r="Y8" i="5" s="1"/>
  <c r="AB16" i="5"/>
  <c r="AE16" i="5"/>
  <c r="AE9" i="5"/>
  <c r="AE8" i="5" s="1"/>
  <c r="S16" i="5"/>
  <c r="S9" i="5"/>
  <c r="S8" i="5" s="1"/>
  <c r="Z16" i="5"/>
  <c r="Z9" i="5"/>
  <c r="Z8" i="5" s="1"/>
  <c r="AP16" i="5"/>
  <c r="AP9" i="5"/>
  <c r="AP8" i="5" s="1"/>
  <c r="AG16" i="5"/>
  <c r="V16" i="5"/>
  <c r="V9" i="5"/>
  <c r="V8" i="5" s="1"/>
  <c r="U16" i="5"/>
  <c r="U9" i="5"/>
  <c r="U8" i="5" s="1"/>
  <c r="M16" i="5"/>
  <c r="R16" i="5"/>
  <c r="R9" i="5"/>
  <c r="R8" i="5" s="1"/>
  <c r="AK16" i="5"/>
  <c r="AK9" i="5"/>
  <c r="AK8" i="5" s="1"/>
  <c r="AN9" i="5"/>
  <c r="AN8" i="5" s="1"/>
  <c r="AN16" i="5"/>
  <c r="AH16" i="5"/>
  <c r="AH9" i="5"/>
  <c r="AH8" i="5" s="1"/>
  <c r="AA16" i="5"/>
  <c r="AA9" i="5"/>
  <c r="AA8" i="5" s="1"/>
  <c r="AQ16" i="5"/>
  <c r="AQ9" i="5"/>
  <c r="AQ8" i="5" s="1"/>
  <c r="AC16" i="5"/>
  <c r="L29" i="7" l="1"/>
  <c r="AB29" i="7"/>
  <c r="M29" i="7"/>
  <c r="AC29" i="7"/>
  <c r="K36" i="7" s="1"/>
  <c r="N29" i="7"/>
  <c r="F36" i="7" s="1"/>
  <c r="AD29" i="7"/>
  <c r="O29" i="7"/>
  <c r="AE29" i="7"/>
  <c r="P29" i="7"/>
  <c r="AF29" i="7"/>
  <c r="L36" i="7" s="1"/>
  <c r="Q29" i="7"/>
  <c r="G36" i="7" s="1"/>
  <c r="B36" i="7"/>
  <c r="B16" i="7"/>
  <c r="R29" i="7"/>
  <c r="C29" i="7"/>
  <c r="S29" i="7"/>
  <c r="D29" i="7"/>
  <c r="T29" i="7"/>
  <c r="H36" i="7" s="1"/>
  <c r="E29" i="7"/>
  <c r="C36" i="7" s="1"/>
  <c r="U29" i="7"/>
  <c r="F29" i="7"/>
  <c r="V29" i="7"/>
  <c r="AA29" i="7"/>
  <c r="G29" i="7"/>
  <c r="W29" i="7"/>
  <c r="I36" i="7" s="1"/>
  <c r="H29" i="7"/>
  <c r="D36" i="7" s="1"/>
  <c r="X29" i="7"/>
  <c r="I29" i="7"/>
  <c r="Y29" i="7"/>
  <c r="K29" i="7"/>
  <c r="E36" i="7" s="1"/>
  <c r="J29" i="7"/>
  <c r="Z29" i="7"/>
  <c r="J36" i="7" s="1"/>
  <c r="U32" i="6"/>
  <c r="E32" i="6"/>
  <c r="C38" i="6" s="1"/>
  <c r="T32" i="6"/>
  <c r="H38" i="6" s="1"/>
  <c r="D32" i="6"/>
  <c r="S32" i="6"/>
  <c r="C32" i="6"/>
  <c r="R32" i="6"/>
  <c r="B32" i="6"/>
  <c r="B38" i="6" s="1"/>
  <c r="Q32" i="6"/>
  <c r="G38" i="6" s="1"/>
  <c r="AF32" i="6"/>
  <c r="L38" i="6" s="1"/>
  <c r="P32" i="6"/>
  <c r="AE32" i="6"/>
  <c r="O32" i="6"/>
  <c r="F32" i="6"/>
  <c r="AD32" i="6"/>
  <c r="N32" i="6"/>
  <c r="F38" i="6" s="1"/>
  <c r="AC32" i="6"/>
  <c r="K38" i="6" s="1"/>
  <c r="M32" i="6"/>
  <c r="AB32" i="6"/>
  <c r="L32" i="6"/>
  <c r="V32" i="6"/>
  <c r="AA32" i="6"/>
  <c r="K32" i="6"/>
  <c r="E38" i="6" s="1"/>
  <c r="Z32" i="6"/>
  <c r="J38" i="6" s="1"/>
  <c r="J32" i="6"/>
  <c r="Y32" i="6"/>
  <c r="I32" i="6"/>
  <c r="X32" i="6"/>
  <c r="H32" i="6"/>
  <c r="D38" i="6" s="1"/>
  <c r="W32" i="6"/>
  <c r="I38" i="6" s="1"/>
  <c r="G32" i="6"/>
  <c r="L30" i="7" l="1"/>
  <c r="AB30" i="7"/>
  <c r="M30" i="7"/>
  <c r="AC30" i="7"/>
  <c r="K37" i="7" s="1"/>
  <c r="N30" i="7"/>
  <c r="F37" i="7" s="1"/>
  <c r="AD30" i="7"/>
  <c r="O30" i="7"/>
  <c r="AE30" i="7"/>
  <c r="P30" i="7"/>
  <c r="AF30" i="7"/>
  <c r="L37" i="7" s="1"/>
  <c r="Q30" i="7"/>
  <c r="G37" i="7" s="1"/>
  <c r="B30" i="7"/>
  <c r="B37" i="7" s="1"/>
  <c r="R30" i="7"/>
  <c r="C30" i="7"/>
  <c r="S30" i="7"/>
  <c r="D30" i="7"/>
  <c r="T30" i="7"/>
  <c r="H37" i="7" s="1"/>
  <c r="K30" i="7"/>
  <c r="E37" i="7" s="1"/>
  <c r="E30" i="7"/>
  <c r="C37" i="7" s="1"/>
  <c r="U30" i="7"/>
  <c r="F30" i="7"/>
  <c r="V30" i="7"/>
  <c r="G30" i="7"/>
  <c r="W30" i="7"/>
  <c r="I37" i="7" s="1"/>
  <c r="H30" i="7"/>
  <c r="D37" i="7" s="1"/>
  <c r="X30" i="7"/>
  <c r="AA30" i="7"/>
  <c r="I30" i="7"/>
  <c r="Y30" i="7"/>
  <c r="J30" i="7"/>
  <c r="Z30" i="7"/>
  <c r="J37" i="7" s="1"/>
  <c r="B29" i="3" l="1"/>
  <c r="B12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I35" i="3"/>
  <c r="J35" i="3"/>
  <c r="K35" i="3"/>
  <c r="L35" i="3"/>
  <c r="B29" i="2"/>
  <c r="C29" i="2"/>
  <c r="D29" i="2"/>
  <c r="E29" i="2"/>
  <c r="F29" i="2"/>
  <c r="G29" i="2"/>
  <c r="H29" i="2"/>
  <c r="I29" i="2"/>
  <c r="J29" i="2"/>
  <c r="K29" i="2"/>
  <c r="L29" i="2"/>
  <c r="B30" i="2"/>
  <c r="F28" i="2"/>
  <c r="G28" i="2"/>
  <c r="H28" i="2"/>
  <c r="B28" i="2"/>
  <c r="C23" i="2"/>
  <c r="D23" i="2"/>
  <c r="E23" i="2"/>
  <c r="C30" i="2" s="1"/>
  <c r="F23" i="2"/>
  <c r="G23" i="2"/>
  <c r="G21" i="2" s="1"/>
  <c r="H23" i="2"/>
  <c r="D30" i="2" s="1"/>
  <c r="I23" i="2"/>
  <c r="J23" i="2"/>
  <c r="K23" i="2"/>
  <c r="E30" i="2" s="1"/>
  <c r="L23" i="2"/>
  <c r="M23" i="2"/>
  <c r="M21" i="2" s="1"/>
  <c r="N23" i="2"/>
  <c r="N21" i="2" s="1"/>
  <c r="O23" i="2"/>
  <c r="P23" i="2"/>
  <c r="P21" i="2" s="1"/>
  <c r="Q23" i="2"/>
  <c r="Q21" i="2" s="1"/>
  <c r="R23" i="2"/>
  <c r="S23" i="2"/>
  <c r="T23" i="2"/>
  <c r="H30" i="2" s="1"/>
  <c r="U23" i="2"/>
  <c r="V23" i="2"/>
  <c r="W23" i="2"/>
  <c r="I30" i="2" s="1"/>
  <c r="X23" i="2"/>
  <c r="Y23" i="2"/>
  <c r="Z23" i="2"/>
  <c r="J30" i="2" s="1"/>
  <c r="AA23" i="2"/>
  <c r="AB23" i="2"/>
  <c r="AC23" i="2"/>
  <c r="K30" i="2" s="1"/>
  <c r="AD23" i="2"/>
  <c r="AE23" i="2"/>
  <c r="AE21" i="2" s="1"/>
  <c r="AF23" i="2"/>
  <c r="AF21" i="2" s="1"/>
  <c r="L28" i="2" s="1"/>
  <c r="F21" i="2"/>
  <c r="AD21" i="2"/>
  <c r="T21" i="2"/>
  <c r="B21" i="2"/>
  <c r="B8" i="2"/>
  <c r="W21" i="2"/>
  <c r="I28" i="2" s="1"/>
  <c r="D21" i="2"/>
  <c r="O21" i="2"/>
  <c r="J21" i="2"/>
  <c r="I21" i="2"/>
  <c r="H21" i="2"/>
  <c r="D28" i="2" s="1"/>
  <c r="E21" i="2"/>
  <c r="C28" i="2" s="1"/>
  <c r="L30" i="2" l="1"/>
  <c r="K21" i="2"/>
  <c r="E28" i="2" s="1"/>
  <c r="G30" i="2"/>
  <c r="F30" i="2"/>
  <c r="AE20" i="3"/>
  <c r="AE19" i="3" s="1"/>
  <c r="AF20" i="3"/>
  <c r="L34" i="3" s="1"/>
  <c r="W20" i="3"/>
  <c r="I34" i="3" s="1"/>
  <c r="Y20" i="3"/>
  <c r="Y19" i="3" s="1"/>
  <c r="X20" i="3"/>
  <c r="X19" i="3" s="1"/>
  <c r="Z20" i="3"/>
  <c r="J34" i="3" s="1"/>
  <c r="AA20" i="3"/>
  <c r="AA19" i="3" s="1"/>
  <c r="AB20" i="3"/>
  <c r="AB19" i="3" s="1"/>
  <c r="AC20" i="3"/>
  <c r="K34" i="3" s="1"/>
  <c r="AD20" i="3"/>
  <c r="AD19" i="3" s="1"/>
  <c r="C19" i="3"/>
  <c r="S19" i="3"/>
  <c r="T19" i="3"/>
  <c r="H33" i="3" s="1"/>
  <c r="D19" i="3"/>
  <c r="E19" i="3"/>
  <c r="C33" i="3" s="1"/>
  <c r="U19" i="3"/>
  <c r="V19" i="3"/>
  <c r="F19" i="3"/>
  <c r="G19" i="3"/>
  <c r="H19" i="3"/>
  <c r="D33" i="3" s="1"/>
  <c r="I19" i="3"/>
  <c r="J19" i="3"/>
  <c r="K19" i="3"/>
  <c r="E33" i="3" s="1"/>
  <c r="L19" i="3"/>
  <c r="M19" i="3"/>
  <c r="N19" i="3"/>
  <c r="F33" i="3" s="1"/>
  <c r="O19" i="3"/>
  <c r="P19" i="3"/>
  <c r="Q19" i="3"/>
  <c r="G33" i="3" s="1"/>
  <c r="B19" i="3"/>
  <c r="B33" i="3" s="1"/>
  <c r="R19" i="3"/>
  <c r="AC21" i="2"/>
  <c r="K28" i="2" s="1"/>
  <c r="U21" i="2"/>
  <c r="X21" i="2"/>
  <c r="V21" i="2"/>
  <c r="Y21" i="2"/>
  <c r="L21" i="2"/>
  <c r="AB21" i="2"/>
  <c r="Z21" i="2"/>
  <c r="J28" i="2" s="1"/>
  <c r="AA21" i="2"/>
  <c r="R21" i="2"/>
  <c r="C21" i="2"/>
  <c r="S21" i="2"/>
  <c r="AF19" i="3" l="1"/>
  <c r="L33" i="3" s="1"/>
  <c r="W19" i="3"/>
  <c r="I33" i="3" s="1"/>
  <c r="Z19" i="3"/>
  <c r="J33" i="3" s="1"/>
  <c r="AC19" i="3"/>
  <c r="K33" i="3" s="1"/>
  <c r="B9" i="1" l="1"/>
  <c r="C25" i="1"/>
  <c r="B6" i="1"/>
  <c r="B15" i="1"/>
  <c r="B25" i="1" s="1"/>
  <c r="B26" i="1" l="1"/>
  <c r="G21" i="1"/>
  <c r="H21" i="1"/>
  <c r="I21" i="1"/>
  <c r="J21" i="1"/>
  <c r="K21" i="1"/>
  <c r="L21" i="1"/>
  <c r="M21" i="1"/>
  <c r="G32" i="1"/>
  <c r="N21" i="1"/>
  <c r="F32" i="1"/>
  <c r="O21" i="1"/>
  <c r="E32" i="1"/>
  <c r="P21" i="1"/>
  <c r="D21" i="1"/>
  <c r="D32" i="1"/>
  <c r="Q21" i="1"/>
  <c r="C32" i="1"/>
  <c r="B21" i="1"/>
  <c r="B32" i="1"/>
  <c r="C21" i="1"/>
  <c r="C26" i="1"/>
  <c r="D22" i="1" s="1"/>
  <c r="D20" i="1" s="1"/>
  <c r="L22" i="1" l="1"/>
  <c r="L20" i="1" s="1"/>
  <c r="O22" i="1"/>
  <c r="O20" i="1" s="1"/>
  <c r="Q22" i="1"/>
  <c r="Q20" i="1" s="1"/>
  <c r="B22" i="1"/>
  <c r="B20" i="1" s="1"/>
  <c r="F33" i="1"/>
  <c r="F31" i="1" s="1"/>
  <c r="N22" i="1"/>
  <c r="N20" i="1" s="1"/>
  <c r="M22" i="1"/>
  <c r="M20" i="1" s="1"/>
  <c r="C22" i="1"/>
  <c r="C20" i="1" s="1"/>
  <c r="G22" i="1"/>
  <c r="G20" i="1" s="1"/>
  <c r="B27" i="1"/>
  <c r="K32" i="1" s="1"/>
  <c r="U21" i="1"/>
  <c r="V21" i="1"/>
  <c r="W21" i="1"/>
  <c r="L32" i="1"/>
  <c r="X21" i="1"/>
  <c r="AB21" i="1"/>
  <c r="G33" i="1"/>
  <c r="G31" i="1" s="1"/>
  <c r="H22" i="1"/>
  <c r="H20" i="1" s="1"/>
  <c r="F21" i="1"/>
  <c r="E22" i="1"/>
  <c r="E21" i="1"/>
  <c r="P22" i="1"/>
  <c r="P20" i="1" s="1"/>
  <c r="E33" i="1"/>
  <c r="E31" i="1" s="1"/>
  <c r="D33" i="1"/>
  <c r="D31" i="1" s="1"/>
  <c r="C33" i="1"/>
  <c r="C31" i="1" s="1"/>
  <c r="I22" i="1"/>
  <c r="I20" i="1" s="1"/>
  <c r="B33" i="1"/>
  <c r="B31" i="1" s="1"/>
  <c r="J22" i="1"/>
  <c r="J20" i="1" s="1"/>
  <c r="C27" i="1"/>
  <c r="AF22" i="1" s="1"/>
  <c r="K22" i="1"/>
  <c r="K20" i="1" s="1"/>
  <c r="F22" i="1"/>
  <c r="R21" i="1" l="1"/>
  <c r="F20" i="1"/>
  <c r="AF21" i="1"/>
  <c r="AF20" i="1" s="1"/>
  <c r="AE21" i="1"/>
  <c r="AD21" i="1"/>
  <c r="S21" i="1"/>
  <c r="T21" i="1"/>
  <c r="AC21" i="1"/>
  <c r="V22" i="1"/>
  <c r="V20" i="1" s="1"/>
  <c r="H32" i="1"/>
  <c r="L33" i="1"/>
  <c r="L31" i="1" s="1"/>
  <c r="AA21" i="1"/>
  <c r="W22" i="1"/>
  <c r="W20" i="1" s="1"/>
  <c r="S22" i="1"/>
  <c r="S20" i="1" s="1"/>
  <c r="I32" i="1"/>
  <c r="Z21" i="1"/>
  <c r="AE22" i="1"/>
  <c r="J32" i="1"/>
  <c r="Z22" i="1"/>
  <c r="E20" i="1"/>
  <c r="Y21" i="1"/>
  <c r="Y22" i="1"/>
  <c r="X22" i="1"/>
  <c r="X20" i="1" s="1"/>
  <c r="R22" i="1"/>
  <c r="R20" i="1" s="1"/>
  <c r="K33" i="1"/>
  <c r="K31" i="1" s="1"/>
  <c r="AD22" i="1"/>
  <c r="AD20" i="1" s="1"/>
  <c r="AC22" i="1"/>
  <c r="AC20" i="1" s="1"/>
  <c r="U22" i="1"/>
  <c r="U20" i="1" s="1"/>
  <c r="H33" i="1"/>
  <c r="H31" i="1" s="1"/>
  <c r="AA22" i="1"/>
  <c r="AA20" i="1" s="1"/>
  <c r="J33" i="1"/>
  <c r="I33" i="1"/>
  <c r="T22" i="1"/>
  <c r="AB22" i="1"/>
  <c r="AB20" i="1" s="1"/>
  <c r="Z20" i="1" l="1"/>
  <c r="AE20" i="1"/>
  <c r="T20" i="1"/>
  <c r="I31" i="1"/>
  <c r="J31" i="1"/>
  <c r="Y20" i="1"/>
</calcChain>
</file>

<file path=xl/sharedStrings.xml><?xml version="1.0" encoding="utf-8"?>
<sst xmlns="http://schemas.openxmlformats.org/spreadsheetml/2006/main" count="734" uniqueCount="260">
  <si>
    <t>Depth</t>
  </si>
  <si>
    <t>Parameters</t>
  </si>
  <si>
    <t>Turbine Capacity</t>
  </si>
  <si>
    <t>Learning rate</t>
  </si>
  <si>
    <t>CAPEX</t>
  </si>
  <si>
    <t>Development cost</t>
  </si>
  <si>
    <t>Turbine cost</t>
  </si>
  <si>
    <t>Foundation cost</t>
  </si>
  <si>
    <t>Decommission cost</t>
  </si>
  <si>
    <t>OPEX</t>
  </si>
  <si>
    <t>Costs</t>
  </si>
  <si>
    <t>Units</t>
  </si>
  <si>
    <t>Value</t>
  </si>
  <si>
    <t>Source</t>
  </si>
  <si>
    <t>[m]</t>
  </si>
  <si>
    <t>Tycho</t>
  </si>
  <si>
    <t>[-]</t>
  </si>
  <si>
    <t>Dutch Government https://www.government.nl/topics/renewable-energy/offshore-wind-energy</t>
  </si>
  <si>
    <t>[€/kW]</t>
  </si>
  <si>
    <t>https://guidetofloatingoffshorewind.com/wind-farm-costs/</t>
  </si>
  <si>
    <t>yes</t>
  </si>
  <si>
    <t>no</t>
  </si>
  <si>
    <t>B_l,k=1</t>
  </si>
  <si>
    <t>year (l)</t>
  </si>
  <si>
    <t>discount rate</t>
  </si>
  <si>
    <t>[%]</t>
  </si>
  <si>
    <t>Lifetime</t>
  </si>
  <si>
    <t>[years]</t>
  </si>
  <si>
    <t>Fixed (not floating)</t>
  </si>
  <si>
    <t>[kW]</t>
  </si>
  <si>
    <t>amortization factor</t>
  </si>
  <si>
    <t>Formula (if applicable)</t>
  </si>
  <si>
    <t>-</t>
  </si>
  <si>
    <t>(Lensink &amp; Pisca, 2018)</t>
  </si>
  <si>
    <t>l</t>
  </si>
  <si>
    <t>Year</t>
  </si>
  <si>
    <t>B_l,k=2</t>
  </si>
  <si>
    <t>Platform Capacity</t>
  </si>
  <si>
    <t>[kWp]</t>
  </si>
  <si>
    <t>Average from Brandle, converted from USD to EUR, multiplied by 2 to convert from onshore to offshore</t>
  </si>
  <si>
    <t>[%ofCAPEX]</t>
  </si>
  <si>
    <t>B_l,k=3</t>
  </si>
  <si>
    <t>Tycho (https://en.wikipedia.org/wiki/Proton_exchange_membrane_electrolysis)</t>
  </si>
  <si>
    <t>alpha_j=1 (ammonia)</t>
  </si>
  <si>
    <t>alpha_j=2 (LH2)</t>
  </si>
  <si>
    <t>alpha_j=3 (GH2)</t>
  </si>
  <si>
    <t>Tycho (2020-2040 from HyDelta TNO data, 2050 one estimated)</t>
  </si>
  <si>
    <t>[€]</t>
  </si>
  <si>
    <t>Function of year</t>
  </si>
  <si>
    <t>Desalinatin</t>
  </si>
  <si>
    <t>Conversion</t>
  </si>
  <si>
    <t>Storage</t>
  </si>
  <si>
    <t>Total</t>
  </si>
  <si>
    <t>Fraction</t>
  </si>
  <si>
    <t>liquid</t>
  </si>
  <si>
    <t>ammonia</t>
  </si>
  <si>
    <t>gaseous</t>
  </si>
  <si>
    <t>Units (kWh/tonH2)</t>
  </si>
  <si>
    <t>beta</t>
  </si>
  <si>
    <t>gamma</t>
  </si>
  <si>
    <t>[tonH2/hr]</t>
  </si>
  <si>
    <t>[Wh/tonH2]</t>
  </si>
  <si>
    <t>ship</t>
  </si>
  <si>
    <t>pipe</t>
  </si>
  <si>
    <t>j</t>
  </si>
  <si>
    <t>alpha_j=4 (NH3 no storage, aka. pipe)</t>
  </si>
  <si>
    <t>alpha_1 = Ed + Ec1 + Es1 / Ed + Ec1 + Es1 + gamma</t>
  </si>
  <si>
    <t>alpha_2 = Ed + Ec2 + Es2 / Ed + Ec2 + Es2 + gamma</t>
  </si>
  <si>
    <t>alpha_3 = Ed + Ec3 + Es3 / Ed + Ec3 + Es3 + gamma</t>
  </si>
  <si>
    <t>alpha_4 = Ed + Ec4 + Es4 / Ed + Ec4 + Es4 + gamma</t>
  </si>
  <si>
    <t>Hourly capacity</t>
  </si>
  <si>
    <t>Currency conversion</t>
  </si>
  <si>
    <t>Daily Capacity for one device</t>
  </si>
  <si>
    <t>m3FW</t>
  </si>
  <si>
    <t>https://www.hatenboer-water.com/products/reverse-osmosis-proteus/</t>
  </si>
  <si>
    <t>m3FW/hr</t>
  </si>
  <si>
    <t>Hourly electricity required</t>
  </si>
  <si>
    <t>kWh/m3FW</t>
  </si>
  <si>
    <t>https://doi.org/10.1016/j.enconman.2023.116662</t>
  </si>
  <si>
    <t>Daily Capacity of plant</t>
  </si>
  <si>
    <t>Investment cost</t>
  </si>
  <si>
    <t>$</t>
  </si>
  <si>
    <t>Years</t>
  </si>
  <si>
    <t>€/$</t>
  </si>
  <si>
    <t>google</t>
  </si>
  <si>
    <t>€</t>
  </si>
  <si>
    <t>OPEX (as fraction of CAPEX)</t>
  </si>
  <si>
    <t>%</t>
  </si>
  <si>
    <t>CAPEX="Investment cost"*"Currency conversion"/("Daily Capacity Plant"/"Daily Capacity Device")</t>
  </si>
  <si>
    <t>Daily Capacity/24</t>
  </si>
  <si>
    <t>100*Daily Capacity one device</t>
  </si>
  <si>
    <t>B_l,k=4</t>
  </si>
  <si>
    <t>Transport</t>
  </si>
  <si>
    <t>Reconversion</t>
  </si>
  <si>
    <t>Shipping</t>
  </si>
  <si>
    <t>Pipeline</t>
  </si>
  <si>
    <t>hydrogen density</t>
  </si>
  <si>
    <t>Device capacity</t>
  </si>
  <si>
    <t>Throughput conversion</t>
  </si>
  <si>
    <t>tNH3/day</t>
  </si>
  <si>
    <t>Tycho (HyDelta)</t>
  </si>
  <si>
    <t>tH2/tNH3</t>
  </si>
  <si>
    <t>tH2/y</t>
  </si>
  <si>
    <t>Throughput reconversion</t>
  </si>
  <si>
    <t>Total direct costs conversion</t>
  </si>
  <si>
    <t>MEUR</t>
  </si>
  <si>
    <t>Total direct costs reconversion</t>
  </si>
  <si>
    <t>eta_i=1,j=1</t>
  </si>
  <si>
    <t>eta_i=2,j=1</t>
  </si>
  <si>
    <t>https://www.bv.com/perspectives/ammonia-fuel-vs-hydrogen-carrier/#:~:text=This%20same%201%20ton%20of,to%2019%2C205%20MJ%20of%20energy</t>
  </si>
  <si>
    <t>[Eur]</t>
  </si>
  <si>
    <t>[Eur/yr]</t>
  </si>
  <si>
    <t>Cost Ratio</t>
  </si>
  <si>
    <t>Tycho, factor conversion/reconversion</t>
  </si>
  <si>
    <t>Cost Ratio = (ConvCost/ReconvCost)*(ThroughputReconv/ThroughputConv)</t>
  </si>
  <si>
    <t>ReConversion</t>
  </si>
  <si>
    <t>A_l,i=1,j=1</t>
  </si>
  <si>
    <t>A_l,i=2,j=1</t>
  </si>
  <si>
    <t>CAPEX 2020</t>
  </si>
  <si>
    <t>OPEX 2020</t>
  </si>
  <si>
    <t>A_lij</t>
  </si>
  <si>
    <t>B_lk</t>
  </si>
  <si>
    <t>TC_lj</t>
  </si>
  <si>
    <t>lifetime</t>
  </si>
  <si>
    <t>Mode</t>
  </si>
  <si>
    <t>[Eur/tNH3]</t>
  </si>
  <si>
    <t>Tycho, https://www.eqmagpro.com/wp-content/uploads/2021/10/Theroleoflow-carbonfuelsinthecleanenergytransitionsofthepowersector-56-66.pdf</t>
  </si>
  <si>
    <t>0.94*50</t>
  </si>
  <si>
    <t>0.94*70</t>
  </si>
  <si>
    <t>Need Update?</t>
  </si>
  <si>
    <t>maybe</t>
  </si>
  <si>
    <t>[Eur/tH2]</t>
  </si>
  <si>
    <t>(For comparative purposes)</t>
  </si>
  <si>
    <t>CostNH3 10000km</t>
  </si>
  <si>
    <t>CostNH3 20000km</t>
  </si>
  <si>
    <t>CostH2 10000km</t>
  </si>
  <si>
    <t>CostH2 20000km</t>
  </si>
  <si>
    <t>hydrogen_density*CostNH3</t>
  </si>
  <si>
    <t>hydrogen_density*CostNH4</t>
  </si>
  <si>
    <t>Price per km</t>
  </si>
  <si>
    <t>Base price</t>
  </si>
  <si>
    <t>(CostH2_20000-CostH2_10000)/(20000-10000)</t>
  </si>
  <si>
    <t>[Eur/tonkm]</t>
  </si>
  <si>
    <t>CostH2_10000 - (Price per km*10000)</t>
  </si>
  <si>
    <t>Demand</t>
  </si>
  <si>
    <t>[tonH2]</t>
  </si>
  <si>
    <t>C_base</t>
  </si>
  <si>
    <t>C_kmsea</t>
  </si>
  <si>
    <t>Tycho, factor reconversion/conversion, Based on slide 15 of https://www.gie.eu/wp-content/uploads/filr/2598/DNV-GL_Study-GLE-Technologies-and-costs-analysis-on-imports-of-liquid-renewable-energy.pdf H2 liquefication is 1250 on average and LH2 regasification 250</t>
  </si>
  <si>
    <t>CAPEX (euros/tH2/year)</t>
  </si>
  <si>
    <t>OPEX (euros/tH2/year)</t>
  </si>
  <si>
    <t>(Brandle, 2021)</t>
  </si>
  <si>
    <t>No conversion losses</t>
  </si>
  <si>
    <t>Currency converted for CAPEX and OPEX (0.94€/$ assumed)</t>
  </si>
  <si>
    <t>250/1250</t>
  </si>
  <si>
    <t>A_l,i=1,j=2</t>
  </si>
  <si>
    <t>A_l,i=2,j=2</t>
  </si>
  <si>
    <t>Tycho, (Brandle, 2021)</t>
  </si>
  <si>
    <t>(Dinh, 2024)</t>
  </si>
  <si>
    <t>C_pipe</t>
  </si>
  <si>
    <t>Offshore Factor</t>
  </si>
  <si>
    <t>Q</t>
  </si>
  <si>
    <t>OPEX per km</t>
  </si>
  <si>
    <t>Capacity electrolyzer</t>
  </si>
  <si>
    <t>MW</t>
  </si>
  <si>
    <t>MW/electrolyzer</t>
  </si>
  <si>
    <t>Electrolyzer number</t>
  </si>
  <si>
    <t>Assumed plant capacity</t>
  </si>
  <si>
    <t>https://www.government.nl/topics/renewable-energy/offshore-wind-energy</t>
  </si>
  <si>
    <t>Assumed capacity/Capacity electrolyzer</t>
  </si>
  <si>
    <t>0.02*CAPEX</t>
  </si>
  <si>
    <t>m/s</t>
  </si>
  <si>
    <t>kg/m3</t>
  </si>
  <si>
    <t>Dinh</t>
  </si>
  <si>
    <t>P_rate</t>
  </si>
  <si>
    <t>kg/s</t>
  </si>
  <si>
    <t>CAPEXperkm</t>
  </si>
  <si>
    <t>OPEXperkm</t>
  </si>
  <si>
    <t>eta_i=1,j=3</t>
  </si>
  <si>
    <t>eta_i=2,j=3</t>
  </si>
  <si>
    <t>No conversion</t>
  </si>
  <si>
    <t>No reconversion</t>
  </si>
  <si>
    <t>CAPEX_pipe (€)</t>
  </si>
  <si>
    <t>Onshore = 1</t>
  </si>
  <si>
    <t>Offshore = 2</t>
  </si>
  <si>
    <t>2*(C_pipe*d + C_pump*n_pump)</t>
  </si>
  <si>
    <t>IEA = 0.55 MUSD</t>
  </si>
  <si>
    <t>Dinh = 0.771 MEUR</t>
  </si>
  <si>
    <t>n_pump</t>
  </si>
  <si>
    <t>OPEX_pipe (€)</t>
  </si>
  <si>
    <t>0.02*CAPEX_pipe</t>
  </si>
  <si>
    <t>Project Lifespan (years)</t>
  </si>
  <si>
    <t>Discount Rate (%)</t>
  </si>
  <si>
    <t>Offshore factor</t>
  </si>
  <si>
    <t>ceil(distance/128.8)</t>
  </si>
  <si>
    <t>pump distance</t>
  </si>
  <si>
    <t>Total yearly</t>
  </si>
  <si>
    <t>function(d,n_pump)</t>
  </si>
  <si>
    <t>function(CAPEX_pipe)</t>
  </si>
  <si>
    <t>C_pipe_NH3 (€/km)</t>
  </si>
  <si>
    <t>C_pump_NH3 (€/pump)</t>
  </si>
  <si>
    <t>distance</t>
  </si>
  <si>
    <t>CAPEX_pipe_NH3</t>
  </si>
  <si>
    <t>OPEX_pipe_NH3</t>
  </si>
  <si>
    <t>D_pipe_GH2</t>
  </si>
  <si>
    <t>v_pipe_GH2</t>
  </si>
  <si>
    <t>F_pipe_GH2</t>
  </si>
  <si>
    <t>Q_pipe_GH2</t>
  </si>
  <si>
    <t>rho_pipe_GH2</t>
  </si>
  <si>
    <t>SQRT((4*F)/(PI()*v))</t>
  </si>
  <si>
    <t>1000*beta*x_k=3/3600</t>
  </si>
  <si>
    <t>a*CAPEX+OPEX</t>
  </si>
  <si>
    <t>C_ship</t>
  </si>
  <si>
    <t>C_FPSO</t>
  </si>
  <si>
    <t>[kg/m3]</t>
  </si>
  <si>
    <t>[Eur/kg]</t>
  </si>
  <si>
    <t>A_l,i=1,j=3</t>
  </si>
  <si>
    <t>A_l,i=2,j=3</t>
  </si>
  <si>
    <t>A_l,i=1,j=4</t>
  </si>
  <si>
    <t>C_lnj</t>
  </si>
  <si>
    <t>C_l,n=1,j=1</t>
  </si>
  <si>
    <t>C_l,n=1,j=2</t>
  </si>
  <si>
    <t>C_l,n=1,j=3</t>
  </si>
  <si>
    <t>C_l,n=1,j=4</t>
  </si>
  <si>
    <t>FPSO</t>
  </si>
  <si>
    <t>[Eur/device]</t>
  </si>
  <si>
    <t>[Eur/m3]</t>
  </si>
  <si>
    <t>C_l,n=2,j=1</t>
  </si>
  <si>
    <t>C_l,n=2,j=2</t>
  </si>
  <si>
    <t>C_l,n=2,j=3</t>
  </si>
  <si>
    <t>C_l,n=2,j=4</t>
  </si>
  <si>
    <t>TC_l,j=1</t>
  </si>
  <si>
    <t>TC_l,j=2</t>
  </si>
  <si>
    <t>TC_l,j=3</t>
  </si>
  <si>
    <t>TC_l,j=4</t>
  </si>
  <si>
    <t>function</t>
  </si>
  <si>
    <t>A_l,i=2,j=4</t>
  </si>
  <si>
    <t>Conversion NH3 ship</t>
  </si>
  <si>
    <t>NH3</t>
  </si>
  <si>
    <t>LH2</t>
  </si>
  <si>
    <t>GH2</t>
  </si>
  <si>
    <t>Wind</t>
  </si>
  <si>
    <t>Solar</t>
  </si>
  <si>
    <t>Electrolyzer</t>
  </si>
  <si>
    <t>Desalination</t>
  </si>
  <si>
    <t>low</t>
  </si>
  <si>
    <t>medium</t>
  </si>
  <si>
    <t>high</t>
  </si>
  <si>
    <t>location</t>
  </si>
  <si>
    <t>[7.08, 53.55]</t>
  </si>
  <si>
    <t>[7.08, 53.95]</t>
  </si>
  <si>
    <t>[7.08, 54.15]</t>
  </si>
  <si>
    <t>Wind Power Production [W]</t>
  </si>
  <si>
    <t>Wind Power Production [GW]</t>
  </si>
  <si>
    <t>Electrolyzers</t>
  </si>
  <si>
    <t>Location</t>
  </si>
  <si>
    <t>(53.55, 7.08)</t>
  </si>
  <si>
    <t>(53.95, 7.08)</t>
  </si>
  <si>
    <t>(54.15, 7.08)</t>
  </si>
  <si>
    <t>[Eur/km]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</si>
</sst>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3" fontId="0" fillId="0" borderId="0" xfId="0" applyNumberFormat="1"/>
    <xf numFmtId="0" fontId="0" fillId="0" borderId="0" xfId="1" applyNumberFormat="1" applyFont="1"/>
    <xf numFmtId="11" fontId="0" fillId="0" borderId="0" xfId="0" applyNumberFormat="1"/>
    <xf numFmtId="173" fontId="0" fillId="0" borderId="0" xfId="0" applyNumberForma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NH3 (j=1)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Report'!$D$43</c:f>
              <c:strCache>
                <c:ptCount val="1"/>
                <c:pt idx="0">
                  <c:v>Wind Power Production [GW]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Report'!$C$44:$C$46</c:f>
              <c:strCache>
                <c:ptCount val="3"/>
                <c:pt idx="0">
                  <c:v>(53.55, 7.08)</c:v>
                </c:pt>
                <c:pt idx="1">
                  <c:v>(53.95, 7.08)</c:v>
                </c:pt>
                <c:pt idx="2">
                  <c:v>(54.15, 7.08)</c:v>
                </c:pt>
              </c:strCache>
            </c:strRef>
          </c:cat>
          <c:val>
            <c:numRef>
              <c:f>'For Report'!$D$44:$D$46</c:f>
              <c:numCache>
                <c:formatCode>General</c:formatCode>
                <c:ptCount val="3"/>
                <c:pt idx="0">
                  <c:v>42.963046880306599</c:v>
                </c:pt>
                <c:pt idx="1">
                  <c:v>47.841271165596801</c:v>
                </c:pt>
                <c:pt idx="2">
                  <c:v>49.228537365850194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3-401B-A1AA-18B0B305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435823"/>
        <c:axId val="384423823"/>
      </c:barChart>
      <c:lineChart>
        <c:grouping val="standard"/>
        <c:varyColors val="0"/>
        <c:ser>
          <c:idx val="1"/>
          <c:order val="1"/>
          <c:tx>
            <c:strRef>
              <c:f>'For Report'!$E$43</c:f>
              <c:strCache>
                <c:ptCount val="1"/>
                <c:pt idx="0">
                  <c:v>Electrolyzers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 Report'!$C$44:$C$46</c:f>
              <c:strCache>
                <c:ptCount val="3"/>
                <c:pt idx="0">
                  <c:v>(53.55, 7.08)</c:v>
                </c:pt>
                <c:pt idx="1">
                  <c:v>(53.95, 7.08)</c:v>
                </c:pt>
                <c:pt idx="2">
                  <c:v>(54.15, 7.08)</c:v>
                </c:pt>
              </c:strCache>
            </c:strRef>
          </c:cat>
          <c:val>
            <c:numRef>
              <c:f>'For Report'!$E$44:$E$46</c:f>
              <c:numCache>
                <c:formatCode>General</c:formatCode>
                <c:ptCount val="3"/>
                <c:pt idx="0">
                  <c:v>24</c:v>
                </c:pt>
                <c:pt idx="1">
                  <c:v>23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3-401B-A1AA-18B0B305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28143"/>
        <c:axId val="384438703"/>
      </c:lineChart>
      <c:catAx>
        <c:axId val="38443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(latitude,</a:t>
                </a:r>
                <a:r>
                  <a:rPr lang="en-US" baseline="0"/>
                  <a:t> longitude)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23823"/>
        <c:crosses val="autoZero"/>
        <c:auto val="1"/>
        <c:lblAlgn val="ctr"/>
        <c:lblOffset val="100"/>
        <c:noMultiLvlLbl val="0"/>
      </c:catAx>
      <c:valAx>
        <c:axId val="3844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Power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5823"/>
        <c:crosses val="autoZero"/>
        <c:crossBetween val="between"/>
      </c:valAx>
      <c:valAx>
        <c:axId val="384438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Electrolyzer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28143"/>
        <c:crosses val="max"/>
        <c:crossBetween val="between"/>
        <c:majorUnit val="1"/>
        <c:minorUnit val="0.5"/>
      </c:valAx>
      <c:catAx>
        <c:axId val="38442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387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35</xdr:row>
      <xdr:rowOff>147637</xdr:rowOff>
    </xdr:from>
    <xdr:to>
      <xdr:col>15</xdr:col>
      <xdr:colOff>485775</xdr:colOff>
      <xdr:row>50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5A8E5-266E-7D76-AE1F-D12D4759C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87E1-BF77-499A-ABB6-DF69F4785B7F}">
  <dimension ref="A1:AF46"/>
  <sheetViews>
    <sheetView workbookViewId="0">
      <selection activeCell="C4" sqref="C4"/>
    </sheetView>
  </sheetViews>
  <sheetFormatPr defaultRowHeight="15" x14ac:dyDescent="0.25"/>
  <cols>
    <col min="2" max="2" width="17.85546875" bestFit="1" customWidth="1"/>
    <col min="3" max="3" width="15.7109375" bestFit="1" customWidth="1"/>
    <col min="5" max="5" width="10.5703125" bestFit="1" customWidth="1"/>
  </cols>
  <sheetData>
    <row r="1" spans="1:32" x14ac:dyDescent="0.25">
      <c r="B1" t="s">
        <v>120</v>
      </c>
      <c r="C1" t="s">
        <v>225</v>
      </c>
      <c r="K1" t="s">
        <v>121</v>
      </c>
      <c r="L1" t="s">
        <v>225</v>
      </c>
      <c r="P1" t="s">
        <v>219</v>
      </c>
      <c r="Q1" t="s">
        <v>226</v>
      </c>
      <c r="Y1" t="s">
        <v>122</v>
      </c>
    </row>
    <row r="2" spans="1:32" x14ac:dyDescent="0.25">
      <c r="B2" t="s">
        <v>238</v>
      </c>
      <c r="D2" t="s">
        <v>239</v>
      </c>
      <c r="F2" t="s">
        <v>240</v>
      </c>
      <c r="H2" t="s">
        <v>238</v>
      </c>
      <c r="P2" t="s">
        <v>238</v>
      </c>
      <c r="Q2" t="s">
        <v>239</v>
      </c>
      <c r="R2" t="s">
        <v>240</v>
      </c>
      <c r="S2" t="s">
        <v>238</v>
      </c>
      <c r="T2" t="s">
        <v>238</v>
      </c>
      <c r="U2" t="s">
        <v>239</v>
      </c>
      <c r="V2" t="s">
        <v>240</v>
      </c>
      <c r="W2" t="s">
        <v>238</v>
      </c>
      <c r="Y2" t="s">
        <v>238</v>
      </c>
      <c r="AA2" t="s">
        <v>239</v>
      </c>
      <c r="AC2" t="s">
        <v>240</v>
      </c>
      <c r="AE2" t="s">
        <v>238</v>
      </c>
    </row>
    <row r="3" spans="1:32" x14ac:dyDescent="0.25">
      <c r="B3" t="s">
        <v>237</v>
      </c>
      <c r="C3" t="s">
        <v>93</v>
      </c>
      <c r="D3" t="s">
        <v>50</v>
      </c>
      <c r="E3" t="s">
        <v>93</v>
      </c>
      <c r="F3" t="s">
        <v>50</v>
      </c>
      <c r="G3" t="s">
        <v>93</v>
      </c>
      <c r="H3" t="s">
        <v>50</v>
      </c>
      <c r="I3" t="s">
        <v>93</v>
      </c>
      <c r="K3" t="s">
        <v>241</v>
      </c>
      <c r="L3" t="s">
        <v>242</v>
      </c>
      <c r="M3" t="s">
        <v>243</v>
      </c>
      <c r="N3" t="s">
        <v>244</v>
      </c>
      <c r="P3" t="s">
        <v>51</v>
      </c>
      <c r="T3" t="s">
        <v>224</v>
      </c>
      <c r="Y3" t="s">
        <v>231</v>
      </c>
      <c r="AA3" t="s">
        <v>232</v>
      </c>
      <c r="AC3" t="s">
        <v>233</v>
      </c>
      <c r="AE3" t="s">
        <v>234</v>
      </c>
    </row>
    <row r="4" spans="1:32" x14ac:dyDescent="0.25">
      <c r="A4" t="s">
        <v>35</v>
      </c>
      <c r="B4" t="s">
        <v>116</v>
      </c>
      <c r="C4" t="s">
        <v>117</v>
      </c>
      <c r="D4" t="s">
        <v>155</v>
      </c>
      <c r="E4" t="s">
        <v>156</v>
      </c>
      <c r="F4" t="s">
        <v>216</v>
      </c>
      <c r="G4" t="s">
        <v>217</v>
      </c>
      <c r="H4" t="s">
        <v>218</v>
      </c>
      <c r="I4" t="s">
        <v>236</v>
      </c>
      <c r="K4" t="s">
        <v>22</v>
      </c>
      <c r="L4" t="s">
        <v>36</v>
      </c>
      <c r="M4" t="s">
        <v>41</v>
      </c>
      <c r="N4" t="s">
        <v>91</v>
      </c>
      <c r="P4" t="s">
        <v>220</v>
      </c>
      <c r="Q4" t="s">
        <v>221</v>
      </c>
      <c r="R4" t="s">
        <v>222</v>
      </c>
      <c r="S4" t="s">
        <v>223</v>
      </c>
      <c r="T4" t="s">
        <v>227</v>
      </c>
      <c r="U4" t="s">
        <v>228</v>
      </c>
      <c r="V4" t="s">
        <v>229</v>
      </c>
      <c r="W4" t="s">
        <v>230</v>
      </c>
      <c r="Y4" t="s">
        <v>146</v>
      </c>
      <c r="Z4" t="s">
        <v>147</v>
      </c>
      <c r="AA4" t="s">
        <v>146</v>
      </c>
      <c r="AB4" t="s">
        <v>147</v>
      </c>
      <c r="AC4" t="s">
        <v>176</v>
      </c>
      <c r="AD4" t="s">
        <v>177</v>
      </c>
      <c r="AE4" t="s">
        <v>176</v>
      </c>
      <c r="AF4" t="s">
        <v>177</v>
      </c>
    </row>
    <row r="5" spans="1:32" x14ac:dyDescent="0.25">
      <c r="A5">
        <v>2020</v>
      </c>
      <c r="B5">
        <v>7373999.7322123339</v>
      </c>
      <c r="C5">
        <v>1325804.7463737933</v>
      </c>
      <c r="D5">
        <v>7245166.7665662523</v>
      </c>
      <c r="E5">
        <v>1449033.3533132505</v>
      </c>
      <c r="F5">
        <v>0</v>
      </c>
      <c r="G5">
        <v>0</v>
      </c>
      <c r="H5">
        <v>7373999.7322123339</v>
      </c>
      <c r="I5">
        <v>1325804.7463737933</v>
      </c>
      <c r="K5">
        <v>3492826.1508069467</v>
      </c>
      <c r="L5">
        <v>71905.121337088771</v>
      </c>
      <c r="M5">
        <v>2836590.8987203999</v>
      </c>
      <c r="N5">
        <v>108919.67999999999</v>
      </c>
      <c r="P5">
        <v>82.773022106121246</v>
      </c>
      <c r="Q5">
        <v>781.6311731151402</v>
      </c>
      <c r="R5">
        <v>0</v>
      </c>
      <c r="S5">
        <v>0</v>
      </c>
      <c r="T5">
        <v>90.615628357904839</v>
      </c>
      <c r="U5">
        <v>90.615628357904839</v>
      </c>
      <c r="V5">
        <v>90.615628357904839</v>
      </c>
      <c r="W5">
        <v>90.615628357904839</v>
      </c>
      <c r="Y5">
        <v>156.66666666666674</v>
      </c>
      <c r="Z5">
        <v>1.044444444444444E-2</v>
      </c>
      <c r="AA5">
        <v>780.2</v>
      </c>
      <c r="AB5">
        <v>3.2899999999999999E-2</v>
      </c>
      <c r="AC5">
        <v>109372.1646000301</v>
      </c>
      <c r="AD5">
        <v>24625.762656720326</v>
      </c>
      <c r="AE5" t="s">
        <v>235</v>
      </c>
    </row>
    <row r="6" spans="1:32" x14ac:dyDescent="0.25">
      <c r="A6">
        <v>2023</v>
      </c>
      <c r="B6">
        <v>7373999.7322123339</v>
      </c>
      <c r="C6">
        <v>1325804.7463737933</v>
      </c>
      <c r="D6">
        <v>7027811.7635692656</v>
      </c>
      <c r="E6">
        <v>1405562.3527138531</v>
      </c>
      <c r="F6">
        <v>0</v>
      </c>
      <c r="G6">
        <v>0</v>
      </c>
      <c r="H6">
        <v>7373999.7322123339</v>
      </c>
      <c r="I6">
        <v>1325804.7463737933</v>
      </c>
      <c r="K6">
        <v>3037240.1311365021</v>
      </c>
      <c r="L6">
        <v>63051.174796772466</v>
      </c>
      <c r="M6">
        <v>2531248.8543547578</v>
      </c>
      <c r="N6">
        <v>108919.67999999999</v>
      </c>
      <c r="P6">
        <v>80.289831442937711</v>
      </c>
      <c r="Q6">
        <v>758.18223792168521</v>
      </c>
      <c r="R6">
        <v>0</v>
      </c>
      <c r="S6">
        <v>0</v>
      </c>
      <c r="T6">
        <v>90.615628357904839</v>
      </c>
      <c r="U6">
        <v>90.615628357904839</v>
      </c>
      <c r="V6">
        <v>90.615628357904839</v>
      </c>
      <c r="W6">
        <v>90.615628357904839</v>
      </c>
      <c r="Y6">
        <v>156.66666666666674</v>
      </c>
      <c r="Z6">
        <v>1.044444444444444E-2</v>
      </c>
      <c r="AA6">
        <v>780.2</v>
      </c>
      <c r="AB6">
        <v>3.2899999999999999E-2</v>
      </c>
      <c r="AC6">
        <v>109372.1646000301</v>
      </c>
      <c r="AD6">
        <v>24625.762656720326</v>
      </c>
    </row>
    <row r="7" spans="1:32" x14ac:dyDescent="0.25">
      <c r="A7">
        <v>2026</v>
      </c>
      <c r="B7">
        <v>7373999.7322123339</v>
      </c>
      <c r="C7">
        <v>1325804.7463737933</v>
      </c>
      <c r="D7">
        <v>6810456.7605722807</v>
      </c>
      <c r="E7">
        <v>1362091.352114456</v>
      </c>
      <c r="F7">
        <v>0</v>
      </c>
      <c r="G7">
        <v>0</v>
      </c>
      <c r="H7">
        <v>7373999.7322123339</v>
      </c>
      <c r="I7">
        <v>1325804.7463737933</v>
      </c>
      <c r="K7">
        <v>2581654.1114660287</v>
      </c>
      <c r="L7">
        <v>57562.885861959716</v>
      </c>
      <c r="M7">
        <v>2225906.8099891162</v>
      </c>
      <c r="N7">
        <v>108919.67999999999</v>
      </c>
      <c r="P7">
        <v>77.806640779753963</v>
      </c>
      <c r="Q7">
        <v>734.73330272823193</v>
      </c>
      <c r="R7">
        <v>0</v>
      </c>
      <c r="S7">
        <v>0</v>
      </c>
      <c r="T7">
        <v>90.615628357904839</v>
      </c>
      <c r="U7">
        <v>90.615628357904839</v>
      </c>
      <c r="V7">
        <v>90.615628357904839</v>
      </c>
      <c r="W7">
        <v>90.615628357904839</v>
      </c>
      <c r="Y7">
        <v>156.66666666666674</v>
      </c>
      <c r="Z7">
        <v>1.044444444444444E-2</v>
      </c>
      <c r="AA7">
        <v>780.2</v>
      </c>
      <c r="AB7">
        <v>3.2899999999999999E-2</v>
      </c>
      <c r="AC7">
        <v>109372.1646000301</v>
      </c>
      <c r="AD7">
        <v>24625.762656720326</v>
      </c>
    </row>
    <row r="8" spans="1:32" x14ac:dyDescent="0.25">
      <c r="A8">
        <v>2029</v>
      </c>
      <c r="B8">
        <v>7373999.7322123339</v>
      </c>
      <c r="C8">
        <v>1325804.7463737933</v>
      </c>
      <c r="D8">
        <v>6593101.7575752921</v>
      </c>
      <c r="E8">
        <v>1318620.3515150584</v>
      </c>
      <c r="F8">
        <v>0</v>
      </c>
      <c r="G8">
        <v>0</v>
      </c>
      <c r="H8">
        <v>7373999.7322123339</v>
      </c>
      <c r="I8">
        <v>1325804.7463737933</v>
      </c>
      <c r="K8">
        <v>2126068.091795532</v>
      </c>
      <c r="L8">
        <v>53683.86090635891</v>
      </c>
      <c r="M8">
        <v>1920564.7656234738</v>
      </c>
      <c r="N8">
        <v>108919.67999999999</v>
      </c>
      <c r="P8">
        <v>75.323450116570413</v>
      </c>
      <c r="Q8">
        <v>711.28436753477695</v>
      </c>
      <c r="R8">
        <v>0</v>
      </c>
      <c r="S8">
        <v>0</v>
      </c>
      <c r="T8">
        <v>90.615628357904839</v>
      </c>
      <c r="U8">
        <v>90.615628357904839</v>
      </c>
      <c r="V8">
        <v>90.615628357904839</v>
      </c>
      <c r="W8">
        <v>90.615628357904839</v>
      </c>
      <c r="Y8">
        <v>156.66666666666674</v>
      </c>
      <c r="Z8">
        <v>1.044444444444444E-2</v>
      </c>
      <c r="AA8">
        <v>780.2</v>
      </c>
      <c r="AB8">
        <v>3.2899999999999999E-2</v>
      </c>
      <c r="AC8">
        <v>109372.1646000301</v>
      </c>
      <c r="AD8">
        <v>24625.762656720326</v>
      </c>
    </row>
    <row r="9" spans="1:32" x14ac:dyDescent="0.25">
      <c r="A9">
        <v>2032</v>
      </c>
      <c r="B9">
        <v>7373999.7322123339</v>
      </c>
      <c r="C9">
        <v>1325804.7463737933</v>
      </c>
      <c r="D9">
        <v>6390237.0881114341</v>
      </c>
      <c r="E9">
        <v>1278047.4176222868</v>
      </c>
      <c r="F9">
        <v>0</v>
      </c>
      <c r="G9">
        <v>0</v>
      </c>
      <c r="H9">
        <v>7373999.7322123339</v>
      </c>
      <c r="I9">
        <v>1325804.7463737933</v>
      </c>
      <c r="K9">
        <v>1670482.0721250586</v>
      </c>
      <c r="L9">
        <v>50218.097507725346</v>
      </c>
      <c r="M9">
        <v>1719339.9936117663</v>
      </c>
      <c r="N9">
        <v>108919.67999999999</v>
      </c>
      <c r="P9">
        <v>70.77093390073405</v>
      </c>
      <c r="Q9">
        <v>668.29465301345385</v>
      </c>
      <c r="R9">
        <v>0</v>
      </c>
      <c r="S9">
        <v>0</v>
      </c>
      <c r="T9">
        <v>90.615628357904839</v>
      </c>
      <c r="U9">
        <v>90.615628357904839</v>
      </c>
      <c r="V9">
        <v>90.615628357904839</v>
      </c>
      <c r="W9">
        <v>90.615628357904839</v>
      </c>
      <c r="Y9">
        <v>156.66666666666674</v>
      </c>
      <c r="Z9">
        <v>1.044444444444444E-2</v>
      </c>
      <c r="AA9">
        <v>780.2</v>
      </c>
      <c r="AB9">
        <v>3.2899999999999999E-2</v>
      </c>
      <c r="AC9">
        <v>109372.1646000301</v>
      </c>
      <c r="AD9">
        <v>24625.762656720326</v>
      </c>
    </row>
    <row r="10" spans="1:32" x14ac:dyDescent="0.25">
      <c r="A10">
        <v>2035</v>
      </c>
      <c r="B10">
        <v>7373999.7322123339</v>
      </c>
      <c r="C10">
        <v>1325804.7463737933</v>
      </c>
      <c r="D10">
        <v>6194617.5854141433</v>
      </c>
      <c r="E10">
        <v>1238923.5170828286</v>
      </c>
      <c r="F10">
        <v>0</v>
      </c>
      <c r="G10">
        <v>0</v>
      </c>
      <c r="H10">
        <v>7373999.7322123339</v>
      </c>
      <c r="I10">
        <v>1325804.7463737933</v>
      </c>
      <c r="K10">
        <v>1214896.0524545847</v>
      </c>
      <c r="L10">
        <v>47297.944165978362</v>
      </c>
      <c r="M10">
        <v>1570173.8577770258</v>
      </c>
      <c r="N10">
        <v>108919.67999999999</v>
      </c>
      <c r="P10">
        <v>65.183754908570592</v>
      </c>
      <c r="Q10">
        <v>615.53454882817641</v>
      </c>
      <c r="R10">
        <v>0</v>
      </c>
      <c r="S10">
        <v>0</v>
      </c>
      <c r="T10">
        <v>90.615628357904839</v>
      </c>
      <c r="U10">
        <v>90.615628357904839</v>
      </c>
      <c r="V10">
        <v>90.615628357904839</v>
      </c>
      <c r="W10">
        <v>90.615628357904839</v>
      </c>
      <c r="Y10">
        <v>156.66666666666674</v>
      </c>
      <c r="Z10">
        <v>1.044444444444444E-2</v>
      </c>
      <c r="AA10">
        <v>780.2</v>
      </c>
      <c r="AB10">
        <v>3.2899999999999999E-2</v>
      </c>
      <c r="AC10">
        <v>109372.1646000301</v>
      </c>
      <c r="AD10">
        <v>24625.762656720326</v>
      </c>
    </row>
    <row r="11" spans="1:32" x14ac:dyDescent="0.25">
      <c r="A11">
        <v>2038</v>
      </c>
      <c r="B11">
        <v>7373999.7322123339</v>
      </c>
      <c r="C11">
        <v>1325804.7463737933</v>
      </c>
      <c r="D11">
        <v>5998998.0827168524</v>
      </c>
      <c r="E11">
        <v>1199799.6165433705</v>
      </c>
      <c r="F11">
        <v>0</v>
      </c>
      <c r="G11">
        <v>0</v>
      </c>
      <c r="H11">
        <v>7373999.7322123339</v>
      </c>
      <c r="I11">
        <v>1325804.7463737933</v>
      </c>
      <c r="K11">
        <v>1093406.4472091268</v>
      </c>
      <c r="L11">
        <v>44830.732781247381</v>
      </c>
      <c r="M11">
        <v>1421007.7219422855</v>
      </c>
      <c r="N11">
        <v>108919.67999999999</v>
      </c>
      <c r="P11">
        <v>59.596575916407573</v>
      </c>
      <c r="Q11">
        <v>562.77444464290625</v>
      </c>
      <c r="R11">
        <v>0</v>
      </c>
      <c r="S11">
        <v>0</v>
      </c>
      <c r="T11">
        <v>90.615628357904839</v>
      </c>
      <c r="U11">
        <v>90.615628357904839</v>
      </c>
      <c r="V11">
        <v>90.615628357904839</v>
      </c>
      <c r="W11">
        <v>90.615628357904839</v>
      </c>
      <c r="Y11">
        <v>156.66666666666674</v>
      </c>
      <c r="Z11">
        <v>1.044444444444444E-2</v>
      </c>
      <c r="AA11">
        <v>780.2</v>
      </c>
      <c r="AB11">
        <v>3.2899999999999999E-2</v>
      </c>
      <c r="AC11">
        <v>109372.1646000301</v>
      </c>
      <c r="AD11">
        <v>24625.762656720326</v>
      </c>
    </row>
    <row r="12" spans="1:32" x14ac:dyDescent="0.25">
      <c r="A12">
        <v>2041</v>
      </c>
      <c r="B12">
        <v>7373999.7322123339</v>
      </c>
      <c r="C12">
        <v>1325804.7463737933</v>
      </c>
      <c r="D12">
        <v>5803378.5800195616</v>
      </c>
      <c r="E12">
        <v>1160675.7160039125</v>
      </c>
      <c r="F12">
        <v>0</v>
      </c>
      <c r="G12">
        <v>0</v>
      </c>
      <c r="H12">
        <v>7373999.7322123339</v>
      </c>
      <c r="I12">
        <v>1325804.7463737933</v>
      </c>
      <c r="K12">
        <v>971916.84196366731</v>
      </c>
      <c r="L12">
        <v>42685.430962481747</v>
      </c>
      <c r="M12">
        <v>1296702.6087466686</v>
      </c>
      <c r="N12">
        <v>108919.67999999999</v>
      </c>
      <c r="P12">
        <v>54.009396924244555</v>
      </c>
      <c r="Q12">
        <v>510.01434045763608</v>
      </c>
      <c r="R12">
        <v>0</v>
      </c>
      <c r="S12">
        <v>0</v>
      </c>
      <c r="T12">
        <v>90.615628357904839</v>
      </c>
      <c r="U12">
        <v>90.615628357904839</v>
      </c>
      <c r="V12">
        <v>90.615628357904839</v>
      </c>
      <c r="W12">
        <v>90.615628357904839</v>
      </c>
      <c r="Y12">
        <v>156.66666666666674</v>
      </c>
      <c r="Z12">
        <v>1.044444444444444E-2</v>
      </c>
      <c r="AA12">
        <v>780.2</v>
      </c>
      <c r="AB12">
        <v>3.2899999999999999E-2</v>
      </c>
      <c r="AC12">
        <v>109372.1646000301</v>
      </c>
      <c r="AD12">
        <v>24625.762656720326</v>
      </c>
    </row>
    <row r="13" spans="1:32" x14ac:dyDescent="0.25">
      <c r="A13">
        <v>2044</v>
      </c>
      <c r="B13">
        <v>7373999.7322123339</v>
      </c>
      <c r="C13">
        <v>1325804.7463737933</v>
      </c>
      <c r="D13">
        <v>5607759.0773222726</v>
      </c>
      <c r="E13">
        <v>1121551.8154644545</v>
      </c>
      <c r="F13">
        <v>0</v>
      </c>
      <c r="G13">
        <v>0</v>
      </c>
      <c r="H13">
        <v>7373999.7322123339</v>
      </c>
      <c r="I13">
        <v>1325804.7463737933</v>
      </c>
      <c r="K13">
        <v>850427.23671820958</v>
      </c>
      <c r="L13">
        <v>40821.926592024385</v>
      </c>
      <c r="M13">
        <v>1222119.5408292983</v>
      </c>
      <c r="N13">
        <v>108919.67999999999</v>
      </c>
      <c r="P13">
        <v>48.422217932081097</v>
      </c>
      <c r="Q13">
        <v>457.25423627236597</v>
      </c>
      <c r="R13">
        <v>0</v>
      </c>
      <c r="S13">
        <v>0</v>
      </c>
      <c r="T13">
        <v>90.615628357904839</v>
      </c>
      <c r="U13">
        <v>90.615628357904839</v>
      </c>
      <c r="V13">
        <v>90.615628357904839</v>
      </c>
      <c r="W13">
        <v>90.615628357904839</v>
      </c>
      <c r="Y13">
        <v>156.66666666666674</v>
      </c>
      <c r="Z13">
        <v>1.044444444444444E-2</v>
      </c>
      <c r="AA13">
        <v>780.2</v>
      </c>
      <c r="AB13">
        <v>3.2899999999999999E-2</v>
      </c>
      <c r="AC13">
        <v>109372.1646000301</v>
      </c>
      <c r="AD13">
        <v>24625.762656720326</v>
      </c>
    </row>
    <row r="14" spans="1:32" x14ac:dyDescent="0.25">
      <c r="A14">
        <v>2047</v>
      </c>
      <c r="B14">
        <v>7373999.7322123339</v>
      </c>
      <c r="C14">
        <v>1325804.7463737933</v>
      </c>
      <c r="D14">
        <v>5412139.5746249817</v>
      </c>
      <c r="E14">
        <v>1082427.9149249964</v>
      </c>
      <c r="F14">
        <v>0</v>
      </c>
      <c r="G14">
        <v>0</v>
      </c>
      <c r="H14">
        <v>7373999.7322123339</v>
      </c>
      <c r="I14">
        <v>1325804.7463737933</v>
      </c>
      <c r="K14">
        <v>728937.63147274451</v>
      </c>
      <c r="L14">
        <v>38139.41640668895</v>
      </c>
      <c r="M14">
        <v>1147536.4729119281</v>
      </c>
      <c r="N14">
        <v>108919.67999999999</v>
      </c>
      <c r="P14">
        <v>42.835038939918078</v>
      </c>
      <c r="Q14">
        <v>404.49413208708836</v>
      </c>
      <c r="R14">
        <v>0</v>
      </c>
      <c r="S14">
        <v>0</v>
      </c>
      <c r="T14">
        <v>90.615628357904839</v>
      </c>
      <c r="U14">
        <v>90.615628357904839</v>
      </c>
      <c r="V14">
        <v>90.615628357904839</v>
      </c>
      <c r="W14">
        <v>90.615628357904839</v>
      </c>
      <c r="Y14">
        <v>156.66666666666674</v>
      </c>
      <c r="Z14">
        <v>1.044444444444444E-2</v>
      </c>
      <c r="AA14">
        <v>780.2</v>
      </c>
      <c r="AB14">
        <v>3.2899999999999999E-2</v>
      </c>
      <c r="AC14">
        <v>109372.1646000301</v>
      </c>
      <c r="AD14">
        <v>24625.762656720326</v>
      </c>
    </row>
    <row r="15" spans="1:32" x14ac:dyDescent="0.25">
      <c r="A15">
        <v>2050</v>
      </c>
      <c r="B15">
        <v>7373999.7322123339</v>
      </c>
      <c r="C15">
        <v>1325804.7463737933</v>
      </c>
      <c r="D15">
        <v>5216520.0719277011</v>
      </c>
      <c r="E15">
        <v>1043304.0143855403</v>
      </c>
      <c r="F15">
        <v>0</v>
      </c>
      <c r="G15">
        <v>0</v>
      </c>
      <c r="H15">
        <v>7373999.7322123339</v>
      </c>
      <c r="I15">
        <v>1325804.7463737933</v>
      </c>
      <c r="K15">
        <v>607448.02622729237</v>
      </c>
      <c r="L15">
        <v>36514.250460970019</v>
      </c>
      <c r="M15">
        <v>1072953.4049945581</v>
      </c>
      <c r="N15">
        <v>108919.67999999999</v>
      </c>
      <c r="P15">
        <v>37.24785994775462</v>
      </c>
      <c r="Q15">
        <v>351.73402790181819</v>
      </c>
      <c r="R15">
        <v>0</v>
      </c>
      <c r="S15">
        <v>0</v>
      </c>
      <c r="T15">
        <v>90.615628357904839</v>
      </c>
      <c r="U15">
        <v>90.615628357904839</v>
      </c>
      <c r="V15">
        <v>90.615628357904839</v>
      </c>
      <c r="W15">
        <v>90.615628357904839</v>
      </c>
      <c r="Y15">
        <v>156.66666666666674</v>
      </c>
      <c r="Z15">
        <v>1.044444444444444E-2</v>
      </c>
      <c r="AA15">
        <v>780.2</v>
      </c>
      <c r="AB15">
        <v>3.2899999999999999E-2</v>
      </c>
      <c r="AC15">
        <v>109372.1646000301</v>
      </c>
      <c r="AD15">
        <v>24625.762656720326</v>
      </c>
    </row>
    <row r="17" spans="1:31" x14ac:dyDescent="0.25">
      <c r="B17" t="s">
        <v>120</v>
      </c>
      <c r="C17" t="s">
        <v>225</v>
      </c>
      <c r="K17" t="s">
        <v>121</v>
      </c>
      <c r="L17" t="s">
        <v>225</v>
      </c>
      <c r="P17" t="s">
        <v>219</v>
      </c>
      <c r="Q17" t="s">
        <v>226</v>
      </c>
      <c r="Y17" t="s">
        <v>122</v>
      </c>
      <c r="Z17" t="s">
        <v>110</v>
      </c>
      <c r="AC17" t="s">
        <v>259</v>
      </c>
    </row>
    <row r="18" spans="1:31" x14ac:dyDescent="0.25">
      <c r="B18" t="s">
        <v>238</v>
      </c>
      <c r="D18" t="s">
        <v>239</v>
      </c>
      <c r="F18" t="s">
        <v>240</v>
      </c>
      <c r="H18" t="s">
        <v>238</v>
      </c>
      <c r="P18" t="s">
        <v>238</v>
      </c>
      <c r="Q18" t="s">
        <v>239</v>
      </c>
      <c r="R18" t="s">
        <v>240</v>
      </c>
      <c r="S18" t="s">
        <v>238</v>
      </c>
      <c r="T18" t="s">
        <v>238</v>
      </c>
      <c r="U18" t="s">
        <v>239</v>
      </c>
      <c r="V18" t="s">
        <v>240</v>
      </c>
      <c r="W18" t="s">
        <v>238</v>
      </c>
      <c r="Y18" t="s">
        <v>238</v>
      </c>
      <c r="AA18" t="s">
        <v>239</v>
      </c>
      <c r="AC18" t="s">
        <v>240</v>
      </c>
      <c r="AE18" t="s">
        <v>238</v>
      </c>
    </row>
    <row r="19" spans="1:31" x14ac:dyDescent="0.25">
      <c r="B19" t="s">
        <v>237</v>
      </c>
      <c r="C19" t="s">
        <v>93</v>
      </c>
      <c r="D19" t="s">
        <v>50</v>
      </c>
      <c r="E19" t="s">
        <v>93</v>
      </c>
      <c r="F19" t="s">
        <v>50</v>
      </c>
      <c r="G19" t="s">
        <v>93</v>
      </c>
      <c r="H19" t="s">
        <v>50</v>
      </c>
      <c r="I19" t="s">
        <v>93</v>
      </c>
      <c r="K19" t="s">
        <v>241</v>
      </c>
      <c r="L19" t="s">
        <v>242</v>
      </c>
      <c r="M19" t="s">
        <v>243</v>
      </c>
      <c r="N19" t="s">
        <v>244</v>
      </c>
      <c r="P19" t="s">
        <v>51</v>
      </c>
      <c r="T19" t="s">
        <v>224</v>
      </c>
      <c r="Y19" t="s">
        <v>231</v>
      </c>
      <c r="AA19" t="s">
        <v>232</v>
      </c>
      <c r="AC19" t="s">
        <v>233</v>
      </c>
      <c r="AE19" t="s">
        <v>234</v>
      </c>
    </row>
    <row r="20" spans="1:31" x14ac:dyDescent="0.25">
      <c r="A20" t="s">
        <v>35</v>
      </c>
      <c r="B20" t="s">
        <v>116</v>
      </c>
      <c r="C20" t="s">
        <v>117</v>
      </c>
      <c r="D20" t="s">
        <v>155</v>
      </c>
      <c r="E20" t="s">
        <v>156</v>
      </c>
      <c r="F20" t="s">
        <v>216</v>
      </c>
      <c r="G20" t="s">
        <v>217</v>
      </c>
      <c r="H20" t="s">
        <v>218</v>
      </c>
      <c r="I20" t="s">
        <v>236</v>
      </c>
      <c r="K20" t="s">
        <v>22</v>
      </c>
      <c r="L20" t="s">
        <v>36</v>
      </c>
      <c r="M20" t="s">
        <v>41</v>
      </c>
      <c r="N20" t="s">
        <v>91</v>
      </c>
      <c r="P20" t="s">
        <v>220</v>
      </c>
      <c r="Q20" t="s">
        <v>221</v>
      </c>
      <c r="R20" t="s">
        <v>222</v>
      </c>
      <c r="S20" t="s">
        <v>223</v>
      </c>
      <c r="T20" t="s">
        <v>227</v>
      </c>
      <c r="U20" t="s">
        <v>228</v>
      </c>
      <c r="V20" t="s">
        <v>229</v>
      </c>
      <c r="W20" t="s">
        <v>230</v>
      </c>
      <c r="Y20" t="s">
        <v>146</v>
      </c>
      <c r="Z20" t="s">
        <v>147</v>
      </c>
      <c r="AA20" t="s">
        <v>146</v>
      </c>
      <c r="AB20" t="s">
        <v>147</v>
      </c>
      <c r="AC20" t="s">
        <v>176</v>
      </c>
      <c r="AD20" t="s">
        <v>177</v>
      </c>
      <c r="AE20" t="s">
        <v>176</v>
      </c>
    </row>
    <row r="21" spans="1:31" x14ac:dyDescent="0.25">
      <c r="A21">
        <v>2020</v>
      </c>
      <c r="B21" s="5">
        <v>7373999.7322123339</v>
      </c>
      <c r="C21" s="5">
        <v>1325804.7463737933</v>
      </c>
      <c r="D21" s="5">
        <v>7245166.7665662523</v>
      </c>
      <c r="E21" s="5">
        <v>1449033.3533132505</v>
      </c>
      <c r="F21" s="5">
        <v>0</v>
      </c>
      <c r="G21" s="5">
        <v>0</v>
      </c>
      <c r="H21" s="5">
        <v>7373999.7322123339</v>
      </c>
      <c r="I21" s="5">
        <v>1325804.7463737933</v>
      </c>
      <c r="J21" s="5"/>
      <c r="K21" s="5">
        <v>3492826.1508069467</v>
      </c>
      <c r="L21" s="5">
        <v>71905.121337088771</v>
      </c>
      <c r="M21" s="5">
        <v>2836590.8987203999</v>
      </c>
      <c r="N21" s="5">
        <v>108919.67999999999</v>
      </c>
      <c r="O21" s="5"/>
      <c r="P21" s="5">
        <v>82.773022106121246</v>
      </c>
      <c r="Q21" s="5">
        <v>781.6311731151402</v>
      </c>
      <c r="R21" s="5">
        <v>0</v>
      </c>
      <c r="S21" s="5">
        <v>0</v>
      </c>
      <c r="T21" s="5">
        <v>90.615628357904839</v>
      </c>
      <c r="U21" s="5">
        <v>90.615628357904839</v>
      </c>
      <c r="V21" s="5">
        <v>90.615628357904839</v>
      </c>
      <c r="W21" s="5">
        <v>90.615628357904839</v>
      </c>
      <c r="X21" s="5"/>
      <c r="Y21" s="5">
        <v>156.66666666666674</v>
      </c>
      <c r="Z21" s="5">
        <v>1.044444444444444E-2</v>
      </c>
      <c r="AA21" s="5">
        <v>780.2</v>
      </c>
      <c r="AB21" s="5">
        <v>3.2899999999999999E-2</v>
      </c>
      <c r="AC21" s="5">
        <v>109372.1646000301</v>
      </c>
      <c r="AD21" s="5">
        <v>24625.762656720326</v>
      </c>
      <c r="AE21" t="s">
        <v>235</v>
      </c>
    </row>
    <row r="22" spans="1:31" x14ac:dyDescent="0.25">
      <c r="A22">
        <v>2023</v>
      </c>
      <c r="B22" s="5">
        <v>7373999.7322123339</v>
      </c>
      <c r="C22" s="5">
        <v>1325804.7463737933</v>
      </c>
      <c r="D22" s="5">
        <v>7027811.7635692656</v>
      </c>
      <c r="E22" s="5">
        <v>1405562.3527138531</v>
      </c>
      <c r="F22" s="5">
        <v>0</v>
      </c>
      <c r="G22" s="5">
        <v>0</v>
      </c>
      <c r="H22" s="5">
        <v>7373999.7322123339</v>
      </c>
      <c r="I22" s="5">
        <v>1325804.7463737933</v>
      </c>
      <c r="J22" s="5"/>
      <c r="K22" s="5">
        <v>3037240.1311365021</v>
      </c>
      <c r="L22" s="5">
        <v>63051.174796772466</v>
      </c>
      <c r="M22" s="5">
        <v>2531248.8543547578</v>
      </c>
      <c r="N22" s="5">
        <v>108919.67999999999</v>
      </c>
      <c r="O22" s="5"/>
      <c r="P22" s="5">
        <v>80.289831442937711</v>
      </c>
      <c r="Q22" s="5">
        <v>758.18223792168521</v>
      </c>
      <c r="R22" s="5">
        <v>0</v>
      </c>
      <c r="S22" s="5">
        <v>0</v>
      </c>
      <c r="T22" s="5">
        <v>90.615628357904839</v>
      </c>
      <c r="U22" s="5">
        <v>90.615628357904839</v>
      </c>
      <c r="V22" s="5">
        <v>90.615628357904839</v>
      </c>
      <c r="W22" s="5">
        <v>90.615628357904839</v>
      </c>
      <c r="X22" s="5"/>
      <c r="Y22" s="5">
        <v>156.66666666666674</v>
      </c>
      <c r="Z22" s="5">
        <v>1.044444444444444E-2</v>
      </c>
      <c r="AA22" s="5">
        <v>780.2</v>
      </c>
      <c r="AB22" s="5">
        <v>3.2899999999999999E-2</v>
      </c>
      <c r="AC22" s="5">
        <v>109372.1646000301</v>
      </c>
      <c r="AD22" s="5">
        <v>24625.762656720326</v>
      </c>
    </row>
    <row r="23" spans="1:31" x14ac:dyDescent="0.25">
      <c r="A23">
        <v>2026</v>
      </c>
      <c r="B23" s="5">
        <v>7373999.7322123339</v>
      </c>
      <c r="C23" s="5">
        <v>1325804.7463737933</v>
      </c>
      <c r="D23" s="5">
        <v>6810456.7605722807</v>
      </c>
      <c r="E23" s="5">
        <v>1362091.352114456</v>
      </c>
      <c r="F23" s="5">
        <v>0</v>
      </c>
      <c r="G23" s="5">
        <v>0</v>
      </c>
      <c r="H23" s="5">
        <v>7373999.7322123339</v>
      </c>
      <c r="I23" s="5">
        <v>1325804.7463737933</v>
      </c>
      <c r="J23" s="5"/>
      <c r="K23" s="5">
        <v>2581654.1114660287</v>
      </c>
      <c r="L23" s="5">
        <v>57562.885861959716</v>
      </c>
      <c r="M23" s="5">
        <v>2225906.8099891162</v>
      </c>
      <c r="N23" s="5">
        <v>108919.67999999999</v>
      </c>
      <c r="O23" s="5"/>
      <c r="P23" s="5">
        <v>77.806640779753963</v>
      </c>
      <c r="Q23" s="5">
        <v>734.73330272823193</v>
      </c>
      <c r="R23" s="5">
        <v>0</v>
      </c>
      <c r="S23" s="5">
        <v>0</v>
      </c>
      <c r="T23" s="5">
        <v>90.615628357904839</v>
      </c>
      <c r="U23" s="5">
        <v>90.615628357904839</v>
      </c>
      <c r="V23" s="5">
        <v>90.615628357904839</v>
      </c>
      <c r="W23" s="5">
        <v>90.615628357904839</v>
      </c>
      <c r="X23" s="5"/>
      <c r="Y23" s="5">
        <v>156.66666666666674</v>
      </c>
      <c r="Z23" s="5">
        <v>1.044444444444444E-2</v>
      </c>
      <c r="AA23" s="5">
        <v>780.2</v>
      </c>
      <c r="AB23" s="5">
        <v>3.2899999999999999E-2</v>
      </c>
      <c r="AC23" s="5">
        <v>109372.1646000301</v>
      </c>
      <c r="AD23" s="5">
        <v>24625.762656720326</v>
      </c>
    </row>
    <row r="24" spans="1:31" x14ac:dyDescent="0.25">
      <c r="A24">
        <v>2029</v>
      </c>
      <c r="B24" s="5">
        <v>7373999.7322123339</v>
      </c>
      <c r="C24" s="5">
        <v>1325804.7463737933</v>
      </c>
      <c r="D24" s="5">
        <v>6593101.7575752921</v>
      </c>
      <c r="E24" s="5">
        <v>1318620.3515150584</v>
      </c>
      <c r="F24" s="5">
        <v>0</v>
      </c>
      <c r="G24" s="5">
        <v>0</v>
      </c>
      <c r="H24" s="5">
        <v>7373999.7322123339</v>
      </c>
      <c r="I24" s="5">
        <v>1325804.7463737933</v>
      </c>
      <c r="J24" s="5"/>
      <c r="K24" s="5">
        <v>2126068.091795532</v>
      </c>
      <c r="L24" s="5">
        <v>53683.86090635891</v>
      </c>
      <c r="M24" s="5">
        <v>1920564.7656234738</v>
      </c>
      <c r="N24" s="5">
        <v>108919.67999999999</v>
      </c>
      <c r="O24" s="5"/>
      <c r="P24" s="5">
        <v>75.323450116570413</v>
      </c>
      <c r="Q24" s="5">
        <v>711.28436753477695</v>
      </c>
      <c r="R24" s="5">
        <v>0</v>
      </c>
      <c r="S24" s="5">
        <v>0</v>
      </c>
      <c r="T24" s="5">
        <v>90.615628357904839</v>
      </c>
      <c r="U24" s="5">
        <v>90.615628357904839</v>
      </c>
      <c r="V24" s="5">
        <v>90.615628357904839</v>
      </c>
      <c r="W24" s="5">
        <v>90.615628357904839</v>
      </c>
      <c r="X24" s="5"/>
      <c r="Y24" s="5">
        <v>156.66666666666674</v>
      </c>
      <c r="Z24" s="5">
        <v>1.044444444444444E-2</v>
      </c>
      <c r="AA24" s="5">
        <v>780.2</v>
      </c>
      <c r="AB24" s="5">
        <v>3.2899999999999999E-2</v>
      </c>
      <c r="AC24" s="5">
        <v>109372.1646000301</v>
      </c>
      <c r="AD24" s="5">
        <v>24625.762656720326</v>
      </c>
    </row>
    <row r="25" spans="1:31" x14ac:dyDescent="0.25">
      <c r="A25">
        <v>2032</v>
      </c>
      <c r="B25" s="5">
        <v>7373999.7322123339</v>
      </c>
      <c r="C25" s="5">
        <v>1325804.7463737933</v>
      </c>
      <c r="D25" s="5">
        <v>6390237.0881114341</v>
      </c>
      <c r="E25" s="5">
        <v>1278047.4176222868</v>
      </c>
      <c r="F25" s="5">
        <v>0</v>
      </c>
      <c r="G25" s="5">
        <v>0</v>
      </c>
      <c r="H25" s="5">
        <v>7373999.7322123339</v>
      </c>
      <c r="I25" s="5">
        <v>1325804.7463737933</v>
      </c>
      <c r="J25" s="5"/>
      <c r="K25" s="5">
        <v>1670482.0721250586</v>
      </c>
      <c r="L25" s="5">
        <v>50218.097507725346</v>
      </c>
      <c r="M25" s="5">
        <v>1719339.9936117663</v>
      </c>
      <c r="N25" s="5">
        <v>108919.67999999999</v>
      </c>
      <c r="O25" s="5"/>
      <c r="P25" s="5">
        <v>70.77093390073405</v>
      </c>
      <c r="Q25" s="5">
        <v>668.29465301345385</v>
      </c>
      <c r="R25" s="5">
        <v>0</v>
      </c>
      <c r="S25" s="5">
        <v>0</v>
      </c>
      <c r="T25" s="5">
        <v>90.615628357904839</v>
      </c>
      <c r="U25" s="5">
        <v>90.615628357904839</v>
      </c>
      <c r="V25" s="5">
        <v>90.615628357904839</v>
      </c>
      <c r="W25" s="5">
        <v>90.615628357904839</v>
      </c>
      <c r="X25" s="5"/>
      <c r="Y25" s="5">
        <v>156.66666666666674</v>
      </c>
      <c r="Z25" s="5">
        <v>1.044444444444444E-2</v>
      </c>
      <c r="AA25" s="5">
        <v>780.2</v>
      </c>
      <c r="AB25" s="5">
        <v>3.2899999999999999E-2</v>
      </c>
      <c r="AC25" s="5">
        <v>109372.1646000301</v>
      </c>
      <c r="AD25" s="5">
        <v>24625.762656720326</v>
      </c>
    </row>
    <row r="26" spans="1:31" x14ac:dyDescent="0.25">
      <c r="A26">
        <v>2035</v>
      </c>
      <c r="B26" s="5">
        <v>7373999.7322123339</v>
      </c>
      <c r="C26" s="5">
        <v>1325804.7463737933</v>
      </c>
      <c r="D26" s="5">
        <v>6194617.5854141433</v>
      </c>
      <c r="E26" s="5">
        <v>1238923.5170828286</v>
      </c>
      <c r="F26" s="5">
        <v>0</v>
      </c>
      <c r="G26" s="5">
        <v>0</v>
      </c>
      <c r="H26" s="5">
        <v>7373999.7322123339</v>
      </c>
      <c r="I26" s="5">
        <v>1325804.7463737933</v>
      </c>
      <c r="J26" s="5"/>
      <c r="K26" s="5">
        <v>1214896.0524545847</v>
      </c>
      <c r="L26" s="5">
        <v>47297.944165978362</v>
      </c>
      <c r="M26" s="5">
        <v>1570173.8577770258</v>
      </c>
      <c r="N26" s="5">
        <v>108919.67999999999</v>
      </c>
      <c r="O26" s="5"/>
      <c r="P26" s="5">
        <v>65.183754908570592</v>
      </c>
      <c r="Q26" s="5">
        <v>615.53454882817641</v>
      </c>
      <c r="R26" s="5">
        <v>0</v>
      </c>
      <c r="S26" s="5">
        <v>0</v>
      </c>
      <c r="T26" s="5">
        <v>90.615628357904839</v>
      </c>
      <c r="U26" s="5">
        <v>90.615628357904839</v>
      </c>
      <c r="V26" s="5">
        <v>90.615628357904839</v>
      </c>
      <c r="W26" s="5">
        <v>90.615628357904839</v>
      </c>
      <c r="X26" s="5"/>
      <c r="Y26" s="5">
        <v>156.66666666666674</v>
      </c>
      <c r="Z26" s="5">
        <v>1.044444444444444E-2</v>
      </c>
      <c r="AA26" s="5">
        <v>780.2</v>
      </c>
      <c r="AB26" s="5">
        <v>3.2899999999999999E-2</v>
      </c>
      <c r="AC26" s="5">
        <v>109372.1646000301</v>
      </c>
      <c r="AD26" s="5">
        <v>24625.762656720326</v>
      </c>
    </row>
    <row r="27" spans="1:31" x14ac:dyDescent="0.25">
      <c r="A27">
        <v>2038</v>
      </c>
      <c r="B27" s="5">
        <v>7373999.7322123339</v>
      </c>
      <c r="C27" s="5">
        <v>1325804.7463737933</v>
      </c>
      <c r="D27" s="5">
        <v>5998998.0827168524</v>
      </c>
      <c r="E27" s="5">
        <v>1199799.6165433705</v>
      </c>
      <c r="F27" s="5">
        <v>0</v>
      </c>
      <c r="G27" s="5">
        <v>0</v>
      </c>
      <c r="H27" s="5">
        <v>7373999.7322123339</v>
      </c>
      <c r="I27" s="5">
        <v>1325804.7463737933</v>
      </c>
      <c r="J27" s="5"/>
      <c r="K27" s="5">
        <v>1093406.4472091268</v>
      </c>
      <c r="L27" s="5">
        <v>44830.732781247381</v>
      </c>
      <c r="M27" s="5">
        <v>1421007.7219422855</v>
      </c>
      <c r="N27" s="5">
        <v>108919.67999999999</v>
      </c>
      <c r="O27" s="5"/>
      <c r="P27" s="5">
        <v>59.596575916407573</v>
      </c>
      <c r="Q27" s="5">
        <v>562.77444464290625</v>
      </c>
      <c r="R27" s="5">
        <v>0</v>
      </c>
      <c r="S27" s="5">
        <v>0</v>
      </c>
      <c r="T27" s="5">
        <v>90.615628357904839</v>
      </c>
      <c r="U27" s="5">
        <v>90.615628357904839</v>
      </c>
      <c r="V27" s="5">
        <v>90.615628357904839</v>
      </c>
      <c r="W27" s="5">
        <v>90.615628357904839</v>
      </c>
      <c r="X27" s="5"/>
      <c r="Y27" s="5">
        <v>156.66666666666674</v>
      </c>
      <c r="Z27" s="5">
        <v>1.044444444444444E-2</v>
      </c>
      <c r="AA27" s="5">
        <v>780.2</v>
      </c>
      <c r="AB27" s="5">
        <v>3.2899999999999999E-2</v>
      </c>
      <c r="AC27" s="5">
        <v>109372.1646000301</v>
      </c>
      <c r="AD27" s="5">
        <v>24625.762656720326</v>
      </c>
    </row>
    <row r="28" spans="1:31" x14ac:dyDescent="0.25">
      <c r="A28">
        <v>2041</v>
      </c>
      <c r="B28" s="5">
        <v>7373999.7322123339</v>
      </c>
      <c r="C28" s="5">
        <v>1325804.7463737933</v>
      </c>
      <c r="D28" s="5">
        <v>5803378.5800195616</v>
      </c>
      <c r="E28" s="5">
        <v>1160675.7160039125</v>
      </c>
      <c r="F28" s="5">
        <v>0</v>
      </c>
      <c r="G28" s="5">
        <v>0</v>
      </c>
      <c r="H28" s="5">
        <v>7373999.7322123339</v>
      </c>
      <c r="I28" s="5">
        <v>1325804.7463737933</v>
      </c>
      <c r="J28" s="5"/>
      <c r="K28" s="5">
        <v>971916.84196366731</v>
      </c>
      <c r="L28" s="5">
        <v>42685.430962481747</v>
      </c>
      <c r="M28" s="5">
        <v>1296702.6087466686</v>
      </c>
      <c r="N28" s="5">
        <v>108919.67999999999</v>
      </c>
      <c r="O28" s="5"/>
      <c r="P28" s="5">
        <v>54.009396924244555</v>
      </c>
      <c r="Q28" s="5">
        <v>510.01434045763608</v>
      </c>
      <c r="R28" s="5">
        <v>0</v>
      </c>
      <c r="S28" s="5">
        <v>0</v>
      </c>
      <c r="T28" s="5">
        <v>90.615628357904839</v>
      </c>
      <c r="U28" s="5">
        <v>90.615628357904839</v>
      </c>
      <c r="V28" s="5">
        <v>90.615628357904839</v>
      </c>
      <c r="W28" s="5">
        <v>90.615628357904839</v>
      </c>
      <c r="X28" s="5"/>
      <c r="Y28" s="5">
        <v>156.66666666666674</v>
      </c>
      <c r="Z28" s="5">
        <v>1.044444444444444E-2</v>
      </c>
      <c r="AA28" s="5">
        <v>780.2</v>
      </c>
      <c r="AB28" s="5">
        <v>3.2899999999999999E-2</v>
      </c>
      <c r="AC28" s="5">
        <v>109372.1646000301</v>
      </c>
      <c r="AD28" s="5">
        <v>24625.762656720326</v>
      </c>
    </row>
    <row r="29" spans="1:31" x14ac:dyDescent="0.25">
      <c r="A29">
        <v>2044</v>
      </c>
      <c r="B29" s="5">
        <v>7373999.7322123339</v>
      </c>
      <c r="C29" s="5">
        <v>1325804.7463737933</v>
      </c>
      <c r="D29" s="5">
        <v>5607759.0773222726</v>
      </c>
      <c r="E29" s="5">
        <v>1121551.8154644545</v>
      </c>
      <c r="F29" s="5">
        <v>0</v>
      </c>
      <c r="G29" s="5">
        <v>0</v>
      </c>
      <c r="H29" s="5">
        <v>7373999.7322123339</v>
      </c>
      <c r="I29" s="5">
        <v>1325804.7463737933</v>
      </c>
      <c r="J29" s="5"/>
      <c r="K29" s="5">
        <v>850427.23671820958</v>
      </c>
      <c r="L29" s="5">
        <v>40821.926592024385</v>
      </c>
      <c r="M29" s="5">
        <v>1222119.5408292983</v>
      </c>
      <c r="N29" s="5">
        <v>108919.67999999999</v>
      </c>
      <c r="O29" s="5"/>
      <c r="P29" s="5">
        <v>48.422217932081097</v>
      </c>
      <c r="Q29" s="5">
        <v>457.25423627236597</v>
      </c>
      <c r="R29" s="5">
        <v>0</v>
      </c>
      <c r="S29" s="5">
        <v>0</v>
      </c>
      <c r="T29" s="5">
        <v>90.615628357904839</v>
      </c>
      <c r="U29" s="5">
        <v>90.615628357904839</v>
      </c>
      <c r="V29" s="5">
        <v>90.615628357904839</v>
      </c>
      <c r="W29" s="5">
        <v>90.615628357904839</v>
      </c>
      <c r="X29" s="5"/>
      <c r="Y29" s="5">
        <v>156.66666666666674</v>
      </c>
      <c r="Z29" s="5">
        <v>1.044444444444444E-2</v>
      </c>
      <c r="AA29" s="5">
        <v>780.2</v>
      </c>
      <c r="AB29" s="5">
        <v>3.2899999999999999E-2</v>
      </c>
      <c r="AC29" s="5">
        <v>109372.1646000301</v>
      </c>
      <c r="AD29" s="5">
        <v>24625.762656720326</v>
      </c>
    </row>
    <row r="30" spans="1:31" x14ac:dyDescent="0.25">
      <c r="A30">
        <v>2047</v>
      </c>
      <c r="B30" s="5">
        <v>7373999.7322123339</v>
      </c>
      <c r="C30" s="5">
        <v>1325804.7463737933</v>
      </c>
      <c r="D30" s="5">
        <v>5412139.5746249817</v>
      </c>
      <c r="E30" s="5">
        <v>1082427.9149249964</v>
      </c>
      <c r="F30" s="5">
        <v>0</v>
      </c>
      <c r="G30" s="5">
        <v>0</v>
      </c>
      <c r="H30" s="5">
        <v>7373999.7322123339</v>
      </c>
      <c r="I30" s="5">
        <v>1325804.7463737933</v>
      </c>
      <c r="J30" s="5"/>
      <c r="K30" s="5">
        <v>728937.63147274451</v>
      </c>
      <c r="L30" s="5">
        <v>38139.41640668895</v>
      </c>
      <c r="M30" s="5">
        <v>1147536.4729119281</v>
      </c>
      <c r="N30" s="5">
        <v>108919.67999999999</v>
      </c>
      <c r="O30" s="5"/>
      <c r="P30" s="5">
        <v>42.835038939918078</v>
      </c>
      <c r="Q30" s="5">
        <v>404.49413208708836</v>
      </c>
      <c r="R30" s="5">
        <v>0</v>
      </c>
      <c r="S30" s="5">
        <v>0</v>
      </c>
      <c r="T30" s="5">
        <v>90.615628357904839</v>
      </c>
      <c r="U30" s="5">
        <v>90.615628357904839</v>
      </c>
      <c r="V30" s="5">
        <v>90.615628357904839</v>
      </c>
      <c r="W30" s="5">
        <v>90.615628357904839</v>
      </c>
      <c r="X30" s="5"/>
      <c r="Y30" s="5">
        <v>156.66666666666674</v>
      </c>
      <c r="Z30" s="5">
        <v>1.044444444444444E-2</v>
      </c>
      <c r="AA30" s="5">
        <v>780.2</v>
      </c>
      <c r="AB30" s="5">
        <v>3.2899999999999999E-2</v>
      </c>
      <c r="AC30" s="5">
        <v>109372.1646000301</v>
      </c>
      <c r="AD30" s="5">
        <v>24625.762656720326</v>
      </c>
    </row>
    <row r="31" spans="1:31" x14ac:dyDescent="0.25">
      <c r="A31">
        <v>2050</v>
      </c>
      <c r="B31" s="5">
        <v>7373999.7322123339</v>
      </c>
      <c r="C31" s="5">
        <v>1325804.7463737933</v>
      </c>
      <c r="D31" s="5">
        <v>5216520.0719277011</v>
      </c>
      <c r="E31" s="5">
        <v>1043304.0143855403</v>
      </c>
      <c r="F31" s="5">
        <v>0</v>
      </c>
      <c r="G31" s="5">
        <v>0</v>
      </c>
      <c r="H31" s="5">
        <v>7373999.7322123339</v>
      </c>
      <c r="I31" s="5">
        <v>1325804.7463737933</v>
      </c>
      <c r="J31" s="5"/>
      <c r="K31" s="5">
        <v>607448.02622729237</v>
      </c>
      <c r="L31" s="5">
        <v>36514.250460970019</v>
      </c>
      <c r="M31" s="5">
        <v>1072953.4049945581</v>
      </c>
      <c r="N31" s="5">
        <v>108919.67999999999</v>
      </c>
      <c r="O31" s="5"/>
      <c r="P31" s="5">
        <v>37.24785994775462</v>
      </c>
      <c r="Q31" s="5">
        <v>351.73402790181819</v>
      </c>
      <c r="R31" s="5">
        <v>0</v>
      </c>
      <c r="S31" s="5">
        <v>0</v>
      </c>
      <c r="T31" s="5">
        <v>90.615628357904839</v>
      </c>
      <c r="U31" s="5">
        <v>90.615628357904839</v>
      </c>
      <c r="V31" s="5">
        <v>90.615628357904839</v>
      </c>
      <c r="W31" s="5">
        <v>90.615628357904839</v>
      </c>
      <c r="X31" s="5"/>
      <c r="Y31" s="5">
        <v>156.66666666666674</v>
      </c>
      <c r="Z31" s="5">
        <v>1.044444444444444E-2</v>
      </c>
      <c r="AA31" s="5">
        <v>780.2</v>
      </c>
      <c r="AB31" s="5">
        <v>3.2899999999999999E-2</v>
      </c>
      <c r="AC31" s="5">
        <v>109372.1646000301</v>
      </c>
      <c r="AD31" s="5">
        <v>24625.762656720326</v>
      </c>
    </row>
    <row r="38" spans="2:6" x14ac:dyDescent="0.25">
      <c r="C38" t="s">
        <v>248</v>
      </c>
      <c r="D38" t="s">
        <v>252</v>
      </c>
      <c r="E38" t="s">
        <v>253</v>
      </c>
      <c r="F38" t="s">
        <v>254</v>
      </c>
    </row>
    <row r="39" spans="2:6" x14ac:dyDescent="0.25">
      <c r="B39" t="s">
        <v>245</v>
      </c>
      <c r="C39" t="s">
        <v>249</v>
      </c>
      <c r="D39">
        <v>42963046880.306602</v>
      </c>
      <c r="E39" s="6">
        <f>D39/1000000000</f>
        <v>42.963046880306599</v>
      </c>
      <c r="F39">
        <v>24</v>
      </c>
    </row>
    <row r="40" spans="2:6" x14ac:dyDescent="0.25">
      <c r="B40" t="s">
        <v>246</v>
      </c>
      <c r="C40" t="s">
        <v>250</v>
      </c>
      <c r="D40">
        <v>47841271165.596802</v>
      </c>
      <c r="E40" s="6">
        <f t="shared" ref="E40:E41" si="0">D40/1000000000</f>
        <v>47.841271165596801</v>
      </c>
      <c r="F40">
        <v>23</v>
      </c>
    </row>
    <row r="41" spans="2:6" x14ac:dyDescent="0.25">
      <c r="B41" t="s">
        <v>247</v>
      </c>
      <c r="C41" t="s">
        <v>251</v>
      </c>
      <c r="D41">
        <v>49228537365.850197</v>
      </c>
      <c r="E41" s="6">
        <f t="shared" si="0"/>
        <v>49.228537365850194</v>
      </c>
      <c r="F41">
        <v>22</v>
      </c>
    </row>
    <row r="43" spans="2:6" x14ac:dyDescent="0.25">
      <c r="C43" t="s">
        <v>255</v>
      </c>
      <c r="D43" t="s">
        <v>253</v>
      </c>
      <c r="E43" t="s">
        <v>254</v>
      </c>
    </row>
    <row r="44" spans="2:6" x14ac:dyDescent="0.25">
      <c r="C44" t="s">
        <v>256</v>
      </c>
      <c r="D44">
        <v>42.963046880306599</v>
      </c>
      <c r="E44">
        <v>24</v>
      </c>
    </row>
    <row r="45" spans="2:6" x14ac:dyDescent="0.25">
      <c r="C45" t="s">
        <v>257</v>
      </c>
      <c r="D45">
        <v>47.841271165596801</v>
      </c>
      <c r="E45">
        <v>23</v>
      </c>
    </row>
    <row r="46" spans="2:6" x14ac:dyDescent="0.25">
      <c r="C46" t="s">
        <v>258</v>
      </c>
      <c r="D46">
        <v>49.228537365850194</v>
      </c>
      <c r="E46">
        <v>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FA7E-C77D-4447-B7ED-FCE498C1C97C}">
  <dimension ref="A10:AF14"/>
  <sheetViews>
    <sheetView workbookViewId="0">
      <selection activeCell="E25" sqref="E25"/>
    </sheetView>
  </sheetViews>
  <sheetFormatPr defaultRowHeight="15" x14ac:dyDescent="0.25"/>
  <sheetData>
    <row r="10" spans="1:32" x14ac:dyDescent="0.25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5">
      <c r="A11" t="s">
        <v>4</v>
      </c>
      <c r="B11">
        <v>6067.2727272727207</v>
      </c>
      <c r="C11">
        <v>6006.5999999999913</v>
      </c>
      <c r="D11">
        <v>5945.9272727272619</v>
      </c>
      <c r="E11">
        <v>5885.2545454545325</v>
      </c>
      <c r="F11">
        <v>5824.5818181818177</v>
      </c>
      <c r="G11">
        <v>5763.9090909090883</v>
      </c>
      <c r="H11">
        <v>5703.2363636363589</v>
      </c>
      <c r="I11">
        <v>5642.5636363636295</v>
      </c>
      <c r="J11">
        <v>5581.8909090909001</v>
      </c>
      <c r="K11">
        <v>5521.2181818181707</v>
      </c>
      <c r="L11">
        <v>5460.5454545454413</v>
      </c>
      <c r="M11">
        <v>5324.0318181818584</v>
      </c>
      <c r="N11">
        <v>5187.5181818182464</v>
      </c>
      <c r="O11">
        <v>5051.0045454545761</v>
      </c>
      <c r="P11">
        <v>4914.4909090909641</v>
      </c>
      <c r="Q11">
        <v>4777.9772727272939</v>
      </c>
      <c r="R11">
        <v>4641.4636363636819</v>
      </c>
      <c r="S11">
        <v>4504.9500000000698</v>
      </c>
      <c r="T11">
        <v>4368.4363636363996</v>
      </c>
      <c r="U11">
        <v>4231.9227272727876</v>
      </c>
      <c r="V11">
        <v>4095.4090909091174</v>
      </c>
      <c r="W11">
        <v>3958.8954545455053</v>
      </c>
      <c r="X11">
        <v>3822.3818181818933</v>
      </c>
      <c r="Y11">
        <v>3685.8681818182231</v>
      </c>
      <c r="Z11">
        <v>3549.3545454546111</v>
      </c>
      <c r="AA11">
        <v>3412.8409090909408</v>
      </c>
      <c r="AB11">
        <v>3276.3272727273288</v>
      </c>
      <c r="AC11">
        <v>3139.8136363636586</v>
      </c>
      <c r="AD11">
        <v>3003.3000000000466</v>
      </c>
      <c r="AE11">
        <v>2866.7863636364345</v>
      </c>
      <c r="AF11">
        <v>2730.2727272727643</v>
      </c>
    </row>
    <row r="12" spans="1:32" x14ac:dyDescent="0.25">
      <c r="A12" t="s">
        <v>26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30</v>
      </c>
      <c r="K12">
        <v>30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  <c r="S12">
        <v>30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30</v>
      </c>
      <c r="AA12">
        <v>30</v>
      </c>
      <c r="AB12">
        <v>30</v>
      </c>
      <c r="AC12">
        <v>30</v>
      </c>
      <c r="AD12">
        <v>30</v>
      </c>
      <c r="AE12">
        <v>30</v>
      </c>
      <c r="AF12">
        <v>30</v>
      </c>
    </row>
    <row r="13" spans="1:32" x14ac:dyDescent="0.25">
      <c r="A13" t="s">
        <v>9</v>
      </c>
      <c r="B13">
        <v>242.69090909090883</v>
      </c>
      <c r="C13">
        <v>240.26399999999967</v>
      </c>
      <c r="D13">
        <v>237.83709090909048</v>
      </c>
      <c r="E13">
        <v>235.41018181818131</v>
      </c>
      <c r="F13">
        <v>232.98327272727272</v>
      </c>
      <c r="G13">
        <v>230.55636363636353</v>
      </c>
      <c r="H13">
        <v>228.12945454545437</v>
      </c>
      <c r="I13">
        <v>225.70254545454517</v>
      </c>
      <c r="J13">
        <v>223.27563636363601</v>
      </c>
      <c r="K13">
        <v>220.84872727272682</v>
      </c>
      <c r="L13">
        <v>218.42181818181766</v>
      </c>
      <c r="M13">
        <v>212.96127272727435</v>
      </c>
      <c r="N13">
        <v>207.50072727272985</v>
      </c>
      <c r="O13">
        <v>202.04018181818304</v>
      </c>
      <c r="P13">
        <v>196.57963636363857</v>
      </c>
      <c r="Q13">
        <v>191.11909090909177</v>
      </c>
      <c r="R13">
        <v>185.65854545454727</v>
      </c>
      <c r="S13">
        <v>180.19800000000279</v>
      </c>
      <c r="T13">
        <v>174.73745454545599</v>
      </c>
      <c r="U13">
        <v>169.27690909091152</v>
      </c>
      <c r="V13">
        <v>163.81636363636468</v>
      </c>
      <c r="W13">
        <v>158.35581818182021</v>
      </c>
      <c r="X13">
        <v>152.89527272727574</v>
      </c>
      <c r="Y13">
        <v>147.43472727272894</v>
      </c>
      <c r="Z13">
        <v>141.97418181818443</v>
      </c>
      <c r="AA13">
        <v>136.51363636363763</v>
      </c>
      <c r="AB13">
        <v>131.05309090909316</v>
      </c>
      <c r="AC13">
        <v>125.59254545454634</v>
      </c>
      <c r="AD13">
        <v>120.13200000000187</v>
      </c>
      <c r="AE13">
        <v>114.67145454545738</v>
      </c>
      <c r="AF13">
        <v>109.21090909091058</v>
      </c>
    </row>
    <row r="14" spans="1:32" x14ac:dyDescent="0.25">
      <c r="A14" t="s">
        <v>196</v>
      </c>
      <c r="B14">
        <v>781.6311731151402</v>
      </c>
      <c r="C14">
        <v>773.8148613839885</v>
      </c>
      <c r="D14">
        <v>765.9985496528368</v>
      </c>
      <c r="E14">
        <v>758.18223792168521</v>
      </c>
      <c r="F14">
        <v>750.36592619053545</v>
      </c>
      <c r="G14">
        <v>742.54961445938375</v>
      </c>
      <c r="H14">
        <v>734.73330272823193</v>
      </c>
      <c r="I14">
        <v>726.91699099708023</v>
      </c>
      <c r="J14">
        <v>719.10067926592865</v>
      </c>
      <c r="K14">
        <v>711.28436753477695</v>
      </c>
      <c r="L14">
        <v>703.46805580362525</v>
      </c>
      <c r="M14">
        <v>685.88135440854148</v>
      </c>
      <c r="N14">
        <v>668.29465301345385</v>
      </c>
      <c r="O14">
        <v>650.70795161835895</v>
      </c>
      <c r="P14">
        <v>633.12125022327143</v>
      </c>
      <c r="Q14">
        <v>615.53454882817641</v>
      </c>
      <c r="R14">
        <v>597.94784743308878</v>
      </c>
      <c r="S14">
        <v>580.36114603800127</v>
      </c>
      <c r="T14">
        <v>562.77444464290625</v>
      </c>
      <c r="U14">
        <v>545.18774324781873</v>
      </c>
      <c r="V14">
        <v>527.6010418527236</v>
      </c>
      <c r="W14">
        <v>510.01434045763608</v>
      </c>
      <c r="X14">
        <v>492.42763906254856</v>
      </c>
      <c r="Y14">
        <v>474.84093766745349</v>
      </c>
      <c r="Z14">
        <v>457.25423627236597</v>
      </c>
      <c r="AA14">
        <v>439.6675348772709</v>
      </c>
      <c r="AB14">
        <v>422.08083348218344</v>
      </c>
      <c r="AC14">
        <v>404.49413208708836</v>
      </c>
      <c r="AD14">
        <v>386.90743069200084</v>
      </c>
      <c r="AE14">
        <v>369.32072929691327</v>
      </c>
      <c r="AF14">
        <v>351.73402790181819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23A1-A95B-4085-951C-DF76D8D165BA}">
  <dimension ref="A2:C11"/>
  <sheetViews>
    <sheetView workbookViewId="0">
      <selection activeCell="B11" sqref="B11"/>
    </sheetView>
  </sheetViews>
  <sheetFormatPr defaultRowHeight="15" x14ac:dyDescent="0.25"/>
  <sheetData>
    <row r="2" spans="1:3" x14ac:dyDescent="0.25">
      <c r="A2" t="s">
        <v>212</v>
      </c>
      <c r="B2">
        <v>106</v>
      </c>
      <c r="C2" t="s">
        <v>214</v>
      </c>
    </row>
    <row r="3" spans="1:3" x14ac:dyDescent="0.25">
      <c r="A3" t="s">
        <v>213</v>
      </c>
      <c r="B3">
        <f>8*0.94</f>
        <v>7.52</v>
      </c>
      <c r="C3" t="s">
        <v>215</v>
      </c>
    </row>
    <row r="8" spans="1:3" x14ac:dyDescent="0.25">
      <c r="A8" t="s">
        <v>4</v>
      </c>
      <c r="B8">
        <v>797.12</v>
      </c>
    </row>
    <row r="9" spans="1:3" x14ac:dyDescent="0.25">
      <c r="A9" t="s">
        <v>26</v>
      </c>
      <c r="B9">
        <v>25</v>
      </c>
    </row>
    <row r="10" spans="1:3" x14ac:dyDescent="0.25">
      <c r="A10" t="s">
        <v>9</v>
      </c>
      <c r="B10">
        <v>15.942400000000001</v>
      </c>
      <c r="C10" t="s">
        <v>170</v>
      </c>
    </row>
    <row r="11" spans="1:3" x14ac:dyDescent="0.25">
      <c r="A11" t="s">
        <v>196</v>
      </c>
      <c r="B11">
        <v>90.615628357904839</v>
      </c>
      <c r="C11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opLeftCell="A37" workbookViewId="0">
      <selection activeCell="C46" sqref="C46"/>
    </sheetView>
  </sheetViews>
  <sheetFormatPr defaultRowHeight="15" x14ac:dyDescent="0.25"/>
  <cols>
    <col min="2" max="2" width="12" bestFit="1" customWidth="1"/>
    <col min="18" max="18" width="11" bestFit="1" customWidth="1"/>
  </cols>
  <sheetData>
    <row r="1" spans="1:6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28</v>
      </c>
      <c r="F1" s="1" t="s">
        <v>31</v>
      </c>
    </row>
    <row r="3" spans="1:6" x14ac:dyDescent="0.25">
      <c r="A3" t="s">
        <v>0</v>
      </c>
      <c r="B3">
        <v>56</v>
      </c>
      <c r="C3" t="s">
        <v>14</v>
      </c>
      <c r="D3" t="s">
        <v>17</v>
      </c>
      <c r="E3" t="s">
        <v>20</v>
      </c>
      <c r="F3" t="s">
        <v>32</v>
      </c>
    </row>
    <row r="4" spans="1:6" x14ac:dyDescent="0.25">
      <c r="A4" t="s">
        <v>2</v>
      </c>
      <c r="B4">
        <v>12000</v>
      </c>
      <c r="C4" t="s">
        <v>29</v>
      </c>
      <c r="D4" t="s">
        <v>15</v>
      </c>
      <c r="E4" t="s">
        <v>21</v>
      </c>
      <c r="F4" t="s">
        <v>32</v>
      </c>
    </row>
    <row r="5" spans="1:6" x14ac:dyDescent="0.25">
      <c r="A5" t="s">
        <v>26</v>
      </c>
      <c r="B5">
        <v>25</v>
      </c>
      <c r="C5" t="s">
        <v>27</v>
      </c>
      <c r="D5" t="s">
        <v>15</v>
      </c>
      <c r="E5" t="s">
        <v>20</v>
      </c>
      <c r="F5" t="s">
        <v>32</v>
      </c>
    </row>
    <row r="6" spans="1:6" x14ac:dyDescent="0.25">
      <c r="A6" t="s">
        <v>3</v>
      </c>
      <c r="B6">
        <f>40/115</f>
        <v>0.34782608695652173</v>
      </c>
      <c r="C6" t="s">
        <v>16</v>
      </c>
      <c r="D6" t="s">
        <v>15</v>
      </c>
      <c r="E6" t="s">
        <v>21</v>
      </c>
    </row>
    <row r="7" spans="1:6" x14ac:dyDescent="0.25">
      <c r="A7" t="s">
        <v>3</v>
      </c>
      <c r="B7">
        <v>0.5</v>
      </c>
      <c r="C7" t="s">
        <v>16</v>
      </c>
      <c r="D7" t="s">
        <v>15</v>
      </c>
      <c r="E7" t="s">
        <v>21</v>
      </c>
    </row>
    <row r="8" spans="1:6" x14ac:dyDescent="0.25">
      <c r="A8" t="s">
        <v>24</v>
      </c>
      <c r="B8" s="2">
        <v>0.08</v>
      </c>
      <c r="C8" t="s">
        <v>25</v>
      </c>
      <c r="D8" t="s">
        <v>15</v>
      </c>
      <c r="E8" t="s">
        <v>20</v>
      </c>
    </row>
    <row r="9" spans="1:6" x14ac:dyDescent="0.25">
      <c r="A9" t="s">
        <v>30</v>
      </c>
      <c r="B9">
        <f>($B$8*(1+$B$8)^$B$5)/((1+$B$8)^$B$5-1)</f>
        <v>9.3678779051968114E-2</v>
      </c>
      <c r="C9" t="s">
        <v>16</v>
      </c>
      <c r="D9" t="s">
        <v>15</v>
      </c>
      <c r="E9" t="s">
        <v>20</v>
      </c>
    </row>
    <row r="10" spans="1:6" x14ac:dyDescent="0.25">
      <c r="A10" s="1" t="s">
        <v>10</v>
      </c>
    </row>
    <row r="11" spans="1:6" x14ac:dyDescent="0.25">
      <c r="A11" t="s">
        <v>5</v>
      </c>
      <c r="B11">
        <v>212</v>
      </c>
      <c r="C11" t="s">
        <v>18</v>
      </c>
      <c r="D11" t="s">
        <v>33</v>
      </c>
      <c r="E11" t="s">
        <v>20</v>
      </c>
    </row>
    <row r="12" spans="1:6" x14ac:dyDescent="0.25">
      <c r="A12" t="s">
        <v>6</v>
      </c>
      <c r="B12">
        <v>1060</v>
      </c>
      <c r="C12" t="s">
        <v>18</v>
      </c>
      <c r="D12" t="s">
        <v>33</v>
      </c>
      <c r="E12" t="s">
        <v>20</v>
      </c>
    </row>
    <row r="13" spans="1:6" x14ac:dyDescent="0.25">
      <c r="A13" t="s">
        <v>7</v>
      </c>
      <c r="B13">
        <v>350</v>
      </c>
      <c r="C13" t="s">
        <v>18</v>
      </c>
      <c r="D13" t="s">
        <v>33</v>
      </c>
      <c r="E13" t="s">
        <v>20</v>
      </c>
    </row>
    <row r="14" spans="1:6" x14ac:dyDescent="0.25">
      <c r="A14" t="s">
        <v>8</v>
      </c>
      <c r="B14">
        <v>44</v>
      </c>
      <c r="C14" t="s">
        <v>18</v>
      </c>
      <c r="D14" t="s">
        <v>33</v>
      </c>
      <c r="E14" t="s">
        <v>20</v>
      </c>
    </row>
    <row r="15" spans="1:6" x14ac:dyDescent="0.25">
      <c r="A15" t="s">
        <v>118</v>
      </c>
      <c r="B15">
        <f>B14+B13+B12+B11</f>
        <v>1666</v>
      </c>
      <c r="C15" t="s">
        <v>18</v>
      </c>
      <c r="D15" t="s">
        <v>33</v>
      </c>
      <c r="E15" t="s">
        <v>20</v>
      </c>
    </row>
    <row r="16" spans="1:6" x14ac:dyDescent="0.25">
      <c r="A16" t="s">
        <v>119</v>
      </c>
      <c r="B16">
        <v>135</v>
      </c>
      <c r="C16" t="s">
        <v>18</v>
      </c>
      <c r="D16" t="s">
        <v>19</v>
      </c>
      <c r="E16" t="s">
        <v>21</v>
      </c>
    </row>
    <row r="18" spans="1:32" x14ac:dyDescent="0.25">
      <c r="B18">
        <v>2020</v>
      </c>
      <c r="C18">
        <v>2021</v>
      </c>
      <c r="D18">
        <v>2022</v>
      </c>
      <c r="E18">
        <v>2023</v>
      </c>
      <c r="F18">
        <v>2024</v>
      </c>
      <c r="G18">
        <v>2025</v>
      </c>
      <c r="H18">
        <v>2026</v>
      </c>
      <c r="I18">
        <v>2027</v>
      </c>
      <c r="J18">
        <v>2028</v>
      </c>
      <c r="K18">
        <v>2029</v>
      </c>
      <c r="L18">
        <v>2030</v>
      </c>
      <c r="M18">
        <v>2031</v>
      </c>
      <c r="N18">
        <v>2032</v>
      </c>
      <c r="O18">
        <v>2033</v>
      </c>
      <c r="P18">
        <v>2034</v>
      </c>
      <c r="Q18">
        <v>2035</v>
      </c>
      <c r="R18">
        <v>2036</v>
      </c>
      <c r="S18">
        <v>2037</v>
      </c>
      <c r="T18">
        <v>2038</v>
      </c>
      <c r="U18">
        <v>2039</v>
      </c>
      <c r="V18">
        <v>2040</v>
      </c>
      <c r="W18">
        <v>2041</v>
      </c>
      <c r="X18">
        <v>2042</v>
      </c>
      <c r="Y18">
        <v>2043</v>
      </c>
      <c r="Z18">
        <v>2044</v>
      </c>
      <c r="AA18">
        <v>2045</v>
      </c>
      <c r="AB18">
        <v>2046</v>
      </c>
      <c r="AC18">
        <v>2047</v>
      </c>
      <c r="AD18">
        <v>2048</v>
      </c>
      <c r="AE18">
        <v>2049</v>
      </c>
      <c r="AF18">
        <v>2050</v>
      </c>
    </row>
    <row r="19" spans="1:32" x14ac:dyDescent="0.25">
      <c r="A19" t="s">
        <v>23</v>
      </c>
      <c r="B19">
        <v>0</v>
      </c>
      <c r="C19">
        <v>1</v>
      </c>
      <c r="D19">
        <v>2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</row>
    <row r="20" spans="1:32" x14ac:dyDescent="0.25">
      <c r="A20" t="s">
        <v>22</v>
      </c>
      <c r="B20">
        <f>$B$9*B21+B22</f>
        <v>3492826.1508069467</v>
      </c>
      <c r="C20">
        <f t="shared" ref="C20:AF20" si="0">$B$9*C21+C22</f>
        <v>3340964.1442501396</v>
      </c>
      <c r="D20">
        <f t="shared" si="0"/>
        <v>3189102.1376933097</v>
      </c>
      <c r="E20">
        <f t="shared" si="0"/>
        <v>3037240.1311365021</v>
      </c>
      <c r="F20">
        <f t="shared" si="0"/>
        <v>2885378.1245796429</v>
      </c>
      <c r="G20">
        <f t="shared" si="0"/>
        <v>2733516.1180228358</v>
      </c>
      <c r="H20">
        <f t="shared" si="0"/>
        <v>2581654.1114660287</v>
      </c>
      <c r="I20">
        <f t="shared" si="0"/>
        <v>2429792.1049091695</v>
      </c>
      <c r="J20">
        <f t="shared" si="0"/>
        <v>2277930.0983523619</v>
      </c>
      <c r="K20">
        <f t="shared" si="0"/>
        <v>2126068.091795532</v>
      </c>
      <c r="L20">
        <f t="shared" si="0"/>
        <v>1974206.0852387252</v>
      </c>
      <c r="M20">
        <f t="shared" si="0"/>
        <v>1822344.0786818881</v>
      </c>
      <c r="N20">
        <f t="shared" si="0"/>
        <v>1670482.0721250586</v>
      </c>
      <c r="O20">
        <f t="shared" si="0"/>
        <v>1518620.0655682511</v>
      </c>
      <c r="P20">
        <f t="shared" si="0"/>
        <v>1366758.0590114216</v>
      </c>
      <c r="Q20">
        <f t="shared" si="0"/>
        <v>1214896.0524545847</v>
      </c>
      <c r="R20">
        <f t="shared" si="0"/>
        <v>1174399.5173727698</v>
      </c>
      <c r="S20">
        <f t="shared" si="0"/>
        <v>1133902.9822909418</v>
      </c>
      <c r="T20">
        <f t="shared" si="0"/>
        <v>1093406.4472091268</v>
      </c>
      <c r="U20">
        <f t="shared" si="0"/>
        <v>1052909.9121273046</v>
      </c>
      <c r="V20">
        <f t="shared" si="0"/>
        <v>1012413.3770454896</v>
      </c>
      <c r="W20">
        <f t="shared" si="0"/>
        <v>971916.84196366731</v>
      </c>
      <c r="X20">
        <f t="shared" si="0"/>
        <v>931420.30688184686</v>
      </c>
      <c r="Y20">
        <f t="shared" si="0"/>
        <v>890923.77180002443</v>
      </c>
      <c r="Z20">
        <f t="shared" si="0"/>
        <v>850427.23671820958</v>
      </c>
      <c r="AA20">
        <f t="shared" si="0"/>
        <v>809930.70163638727</v>
      </c>
      <c r="AB20">
        <f t="shared" si="0"/>
        <v>769434.16655456671</v>
      </c>
      <c r="AC20">
        <f t="shared" si="0"/>
        <v>728937.63147274451</v>
      </c>
      <c r="AD20">
        <f t="shared" si="0"/>
        <v>688441.09639092954</v>
      </c>
      <c r="AE20">
        <f t="shared" si="0"/>
        <v>647944.56130911456</v>
      </c>
      <c r="AF20">
        <f t="shared" si="0"/>
        <v>607448.02622729237</v>
      </c>
    </row>
    <row r="21" spans="1:32" x14ac:dyDescent="0.25">
      <c r="A21" t="s">
        <v>4</v>
      </c>
      <c r="B21">
        <f t="shared" ref="B21:Q21" si="1">_xlfn.FORECAST.LINEAR(B$18,$B$25:$B$26,$A$25:$A$26)</f>
        <v>19992000</v>
      </c>
      <c r="C21">
        <f t="shared" si="1"/>
        <v>19122782.608695745</v>
      </c>
      <c r="D21">
        <f t="shared" si="1"/>
        <v>18253565.217391253</v>
      </c>
      <c r="E21">
        <f t="shared" si="1"/>
        <v>17384347.826086998</v>
      </c>
      <c r="F21">
        <f t="shared" si="1"/>
        <v>16515130.434782505</v>
      </c>
      <c r="G21">
        <f t="shared" si="1"/>
        <v>15645913.043478251</v>
      </c>
      <c r="H21">
        <f t="shared" si="1"/>
        <v>14776695.652173996</v>
      </c>
      <c r="I21">
        <f t="shared" si="1"/>
        <v>13907478.260869503</v>
      </c>
      <c r="J21">
        <f t="shared" si="1"/>
        <v>13038260.869565248</v>
      </c>
      <c r="K21">
        <f t="shared" si="1"/>
        <v>12169043.478260756</v>
      </c>
      <c r="L21">
        <f t="shared" si="1"/>
        <v>11299826.086956501</v>
      </c>
      <c r="M21">
        <f t="shared" si="1"/>
        <v>10430608.695652246</v>
      </c>
      <c r="N21">
        <f t="shared" si="1"/>
        <v>9561391.3043477535</v>
      </c>
      <c r="O21">
        <f t="shared" si="1"/>
        <v>8692173.913043499</v>
      </c>
      <c r="P21">
        <f t="shared" si="1"/>
        <v>7822956.521739006</v>
      </c>
      <c r="Q21">
        <f t="shared" si="1"/>
        <v>6953739.1304347515</v>
      </c>
      <c r="R21">
        <f t="shared" ref="R21:AF21" si="2">_xlfn.FORECAST.LINEAR(R$18,$B$26:$B$27,$A$26:$A$27)</f>
        <v>6721947.8260869384</v>
      </c>
      <c r="S21">
        <f t="shared" si="2"/>
        <v>6490156.5217390656</v>
      </c>
      <c r="T21">
        <f t="shared" si="2"/>
        <v>6258365.2173912525</v>
      </c>
      <c r="U21">
        <f t="shared" si="2"/>
        <v>6026573.9130434394</v>
      </c>
      <c r="V21">
        <f t="shared" si="2"/>
        <v>5794782.6086956263</v>
      </c>
      <c r="W21">
        <f t="shared" si="2"/>
        <v>5562991.3043478131</v>
      </c>
      <c r="X21">
        <f t="shared" si="2"/>
        <v>5331199.9999999404</v>
      </c>
      <c r="Y21">
        <f t="shared" si="2"/>
        <v>5099408.6956521273</v>
      </c>
      <c r="Z21">
        <f t="shared" si="2"/>
        <v>4867617.3913043141</v>
      </c>
      <c r="AA21">
        <f t="shared" si="2"/>
        <v>4635826.086956501</v>
      </c>
      <c r="AB21">
        <f t="shared" si="2"/>
        <v>4404034.7826086283</v>
      </c>
      <c r="AC21">
        <f t="shared" si="2"/>
        <v>4172243.4782608151</v>
      </c>
      <c r="AD21">
        <f t="shared" si="2"/>
        <v>3940452.173913002</v>
      </c>
      <c r="AE21">
        <f t="shared" si="2"/>
        <v>3708660.8695651889</v>
      </c>
      <c r="AF21">
        <f t="shared" si="2"/>
        <v>3476869.5652173758</v>
      </c>
    </row>
    <row r="22" spans="1:32" x14ac:dyDescent="0.25">
      <c r="A22" t="s">
        <v>9</v>
      </c>
      <c r="B22">
        <f t="shared" ref="B22:Q22" si="3">_xlfn.FORECAST.LINEAR(B18,$C$25:$C$26,$A$25:$A$26)</f>
        <v>1620000</v>
      </c>
      <c r="C22">
        <f t="shared" si="3"/>
        <v>1549565.2173913121</v>
      </c>
      <c r="D22">
        <f t="shared" si="3"/>
        <v>1479130.4347826242</v>
      </c>
      <c r="E22">
        <f t="shared" si="3"/>
        <v>1408695.6521739364</v>
      </c>
      <c r="F22">
        <f t="shared" si="3"/>
        <v>1338260.8695652187</v>
      </c>
      <c r="G22">
        <f t="shared" si="3"/>
        <v>1267826.0869565308</v>
      </c>
      <c r="H22">
        <f t="shared" si="3"/>
        <v>1197391.3043478429</v>
      </c>
      <c r="I22">
        <f t="shared" si="3"/>
        <v>1126956.5217391253</v>
      </c>
      <c r="J22">
        <f t="shared" si="3"/>
        <v>1056521.7391304374</v>
      </c>
      <c r="K22">
        <f t="shared" si="3"/>
        <v>986086.9565217495</v>
      </c>
      <c r="L22">
        <f t="shared" si="3"/>
        <v>915652.17391306162</v>
      </c>
      <c r="M22">
        <f t="shared" si="3"/>
        <v>845217.39130434394</v>
      </c>
      <c r="N22">
        <f t="shared" si="3"/>
        <v>774782.60869565606</v>
      </c>
      <c r="O22">
        <f t="shared" si="3"/>
        <v>704347.82608696818</v>
      </c>
      <c r="P22">
        <f t="shared" si="3"/>
        <v>633913.04347828031</v>
      </c>
      <c r="Q22">
        <f t="shared" si="3"/>
        <v>563478.26086956263</v>
      </c>
      <c r="R22">
        <f t="shared" ref="R22:AF22" si="4">_xlfn.FORECAST.LINEAR(R18,$C$26:$C$27,$A$26:$A$27)</f>
        <v>544695.65217391402</v>
      </c>
      <c r="S22">
        <f t="shared" si="4"/>
        <v>525913.04347825795</v>
      </c>
      <c r="T22">
        <f t="shared" si="4"/>
        <v>507130.43478260934</v>
      </c>
      <c r="U22">
        <f t="shared" si="4"/>
        <v>488347.82608695328</v>
      </c>
      <c r="V22">
        <f t="shared" si="4"/>
        <v>469565.21739130467</v>
      </c>
      <c r="W22">
        <f t="shared" si="4"/>
        <v>450782.60869564861</v>
      </c>
      <c r="X22">
        <f t="shared" si="4"/>
        <v>432000</v>
      </c>
      <c r="Y22">
        <f t="shared" si="4"/>
        <v>413217.39130434394</v>
      </c>
      <c r="Z22">
        <f t="shared" si="4"/>
        <v>394434.78260869533</v>
      </c>
      <c r="AA22">
        <f t="shared" si="4"/>
        <v>375652.17391303927</v>
      </c>
      <c r="AB22">
        <f t="shared" si="4"/>
        <v>356869.56521739066</v>
      </c>
      <c r="AC22">
        <f t="shared" si="4"/>
        <v>338086.9565217346</v>
      </c>
      <c r="AD22">
        <f t="shared" si="4"/>
        <v>319304.34782608598</v>
      </c>
      <c r="AE22">
        <f t="shared" si="4"/>
        <v>300521.73913043737</v>
      </c>
      <c r="AF22">
        <f t="shared" si="4"/>
        <v>281739.13043478131</v>
      </c>
    </row>
    <row r="24" spans="1:32" x14ac:dyDescent="0.25">
      <c r="B24" t="s">
        <v>4</v>
      </c>
      <c r="C24" t="s">
        <v>9</v>
      </c>
    </row>
    <row r="25" spans="1:32" x14ac:dyDescent="0.25">
      <c r="A25">
        <v>2020</v>
      </c>
      <c r="B25">
        <f>$B$15*$B$4</f>
        <v>19992000</v>
      </c>
      <c r="C25">
        <f>B16*B4</f>
        <v>1620000</v>
      </c>
    </row>
    <row r="26" spans="1:32" x14ac:dyDescent="0.25">
      <c r="A26">
        <v>2035</v>
      </c>
      <c r="B26">
        <f>B25*B6</f>
        <v>6953739.1304347822</v>
      </c>
      <c r="C26">
        <f>C25*B6</f>
        <v>563478.26086956519</v>
      </c>
    </row>
    <row r="27" spans="1:32" x14ac:dyDescent="0.25">
      <c r="A27">
        <v>2050</v>
      </c>
      <c r="B27">
        <f>B26*B7</f>
        <v>3476869.5652173911</v>
      </c>
      <c r="C27">
        <f>C26*B7</f>
        <v>281739.13043478259</v>
      </c>
    </row>
    <row r="29" spans="1:32" x14ac:dyDescent="0.25">
      <c r="A29" t="s">
        <v>35</v>
      </c>
      <c r="B29">
        <v>2020</v>
      </c>
      <c r="C29">
        <v>2023</v>
      </c>
      <c r="D29">
        <v>2026</v>
      </c>
      <c r="E29">
        <v>2029</v>
      </c>
      <c r="F29">
        <v>2032</v>
      </c>
      <c r="G29">
        <v>2035</v>
      </c>
      <c r="H29">
        <v>2038</v>
      </c>
      <c r="I29">
        <v>2041</v>
      </c>
      <c r="J29">
        <v>2044</v>
      </c>
      <c r="K29">
        <v>2047</v>
      </c>
      <c r="L29">
        <v>2050</v>
      </c>
    </row>
    <row r="30" spans="1:32" x14ac:dyDescent="0.25">
      <c r="A30" t="s">
        <v>34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</row>
    <row r="31" spans="1:32" x14ac:dyDescent="0.25">
      <c r="A31" t="s">
        <v>22</v>
      </c>
      <c r="B31">
        <f>$B$9*B32+B33</f>
        <v>3492826.1508069467</v>
      </c>
      <c r="C31">
        <f t="shared" ref="C31" si="5">$B$9*C32+C33</f>
        <v>3037240.1311365021</v>
      </c>
      <c r="D31">
        <f t="shared" ref="D31" si="6">$B$9*D32+D33</f>
        <v>2581654.1114660287</v>
      </c>
      <c r="E31">
        <f t="shared" ref="E31" si="7">$B$9*E32+E33</f>
        <v>2126068.091795532</v>
      </c>
      <c r="F31">
        <f t="shared" ref="F31" si="8">$B$9*F32+F33</f>
        <v>1670482.0721250586</v>
      </c>
      <c r="G31">
        <f t="shared" ref="G31" si="9">$B$9*G32+G33</f>
        <v>1214896.0524545847</v>
      </c>
      <c r="H31">
        <f t="shared" ref="H31" si="10">$B$9*H32+H33</f>
        <v>1093406.4472091268</v>
      </c>
      <c r="I31">
        <f t="shared" ref="I31" si="11">$B$9*I32+I33</f>
        <v>971916.84196366731</v>
      </c>
      <c r="J31">
        <f t="shared" ref="J31" si="12">$B$9*J32+J33</f>
        <v>850427.23671820958</v>
      </c>
      <c r="K31">
        <f t="shared" ref="K31" si="13">$B$9*K32+K33</f>
        <v>728937.63147274451</v>
      </c>
      <c r="L31">
        <f t="shared" ref="L31" si="14">$B$9*L32+L33</f>
        <v>607448.02622729237</v>
      </c>
    </row>
    <row r="32" spans="1:32" x14ac:dyDescent="0.25">
      <c r="A32" t="s">
        <v>4</v>
      </c>
      <c r="B32">
        <f>_xlfn.FORECAST.LINEAR(B$18,$B$25:$B$26,$A$25:$A$26)</f>
        <v>19992000</v>
      </c>
      <c r="C32">
        <f>_xlfn.FORECAST.LINEAR(E$18,$B$25:$B$26,$A$25:$A$26)</f>
        <v>17384347.826086998</v>
      </c>
      <c r="D32">
        <f>_xlfn.FORECAST.LINEAR(H$18,$B$25:$B$26,$A$25:$A$26)</f>
        <v>14776695.652173996</v>
      </c>
      <c r="E32">
        <f>_xlfn.FORECAST.LINEAR(K$18,$B$25:$B$26,$A$25:$A$26)</f>
        <v>12169043.478260756</v>
      </c>
      <c r="F32">
        <f>_xlfn.FORECAST.LINEAR(N$18,$B$25:$B$26,$A$25:$A$26)</f>
        <v>9561391.3043477535</v>
      </c>
      <c r="G32">
        <f>_xlfn.FORECAST.LINEAR(Q$18,$B$25:$B$26,$A$25:$A$26)</f>
        <v>6953739.1304347515</v>
      </c>
      <c r="H32">
        <f>_xlfn.FORECAST.LINEAR(T$18,$B$26:$B$27,$A$26:$A$27)</f>
        <v>6258365.2173912525</v>
      </c>
      <c r="I32">
        <f>_xlfn.FORECAST.LINEAR(W$18,$B$26:$B$27,$A$26:$A$27)</f>
        <v>5562991.3043478131</v>
      </c>
      <c r="J32">
        <f>_xlfn.FORECAST.LINEAR(Z$18,$B$26:$B$27,$A$26:$A$27)</f>
        <v>4867617.3913043141</v>
      </c>
      <c r="K32">
        <f>_xlfn.FORECAST.LINEAR(AC$18,$B$26:$B$27,$A$26:$A$27)</f>
        <v>4172243.4782608151</v>
      </c>
      <c r="L32">
        <f>_xlfn.FORECAST.LINEAR(AF$18,$B$26:$B$27,$A$26:$A$27)</f>
        <v>3476869.5652173758</v>
      </c>
    </row>
    <row r="33" spans="1:12" x14ac:dyDescent="0.25">
      <c r="A33" t="s">
        <v>9</v>
      </c>
      <c r="B33">
        <f t="shared" ref="B33:G33" si="15">_xlfn.FORECAST.LINEAR(B29,$C$25:$C$26,$A$25:$A$26)</f>
        <v>1620000</v>
      </c>
      <c r="C33">
        <f t="shared" si="15"/>
        <v>1408695.6521739364</v>
      </c>
      <c r="D33">
        <f t="shared" si="15"/>
        <v>1197391.3043478429</v>
      </c>
      <c r="E33">
        <f t="shared" si="15"/>
        <v>986086.9565217495</v>
      </c>
      <c r="F33">
        <f t="shared" si="15"/>
        <v>774782.60869565606</v>
      </c>
      <c r="G33">
        <f t="shared" si="15"/>
        <v>563478.26086956263</v>
      </c>
      <c r="H33">
        <f>_xlfn.FORECAST.LINEAR(H29,$C$26:$C$27,$A$26:$A$27)</f>
        <v>507130.43478260934</v>
      </c>
      <c r="I33">
        <f>_xlfn.FORECAST.LINEAR(I29,$C$26:$C$27,$A$26:$A$27)</f>
        <v>450782.60869564861</v>
      </c>
      <c r="J33">
        <f>_xlfn.FORECAST.LINEAR(J29,$C$26:$C$27,$A$26:$A$27)</f>
        <v>394434.78260869533</v>
      </c>
      <c r="K33">
        <f>_xlfn.FORECAST.LINEAR(K29,$C$26:$C$27,$A$26:$A$27)</f>
        <v>338086.9565217346</v>
      </c>
      <c r="L33">
        <f>_xlfn.FORECAST.LINEAR(L29,$C$26:$C$27,$A$26:$A$27)</f>
        <v>281739.13043478131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9991-B7A0-4D4B-8902-BDBC386C881A}">
  <dimension ref="A1:AL30"/>
  <sheetViews>
    <sheetView workbookViewId="0">
      <selection activeCell="F10" sqref="F10"/>
    </sheetView>
  </sheetViews>
  <sheetFormatPr defaultRowHeight="15" x14ac:dyDescent="0.25"/>
  <sheetData>
    <row r="1" spans="1:38" x14ac:dyDescent="0.25">
      <c r="A1" s="1" t="s">
        <v>1</v>
      </c>
      <c r="B1" s="1" t="s">
        <v>12</v>
      </c>
      <c r="C1" s="1" t="s">
        <v>11</v>
      </c>
      <c r="D1" s="1" t="s">
        <v>13</v>
      </c>
      <c r="E1" s="1"/>
      <c r="F1" s="1" t="s">
        <v>31</v>
      </c>
    </row>
    <row r="3" spans="1:38" x14ac:dyDescent="0.25">
      <c r="A3" t="s">
        <v>37</v>
      </c>
      <c r="B3">
        <v>524</v>
      </c>
      <c r="C3" t="s">
        <v>38</v>
      </c>
      <c r="D3" t="s">
        <v>15</v>
      </c>
    </row>
    <row r="4" spans="1:38" x14ac:dyDescent="0.25">
      <c r="A4" t="s">
        <v>26</v>
      </c>
      <c r="B4">
        <v>25</v>
      </c>
      <c r="C4" t="s">
        <v>27</v>
      </c>
      <c r="D4" t="s">
        <v>15</v>
      </c>
      <c r="F4" t="s">
        <v>32</v>
      </c>
    </row>
    <row r="5" spans="1:38" x14ac:dyDescent="0.25">
      <c r="A5" t="s">
        <v>3</v>
      </c>
      <c r="C5" t="s">
        <v>16</v>
      </c>
      <c r="D5" t="s">
        <v>15</v>
      </c>
      <c r="F5" t="s">
        <v>32</v>
      </c>
    </row>
    <row r="6" spans="1:38" x14ac:dyDescent="0.25">
      <c r="A6" t="s">
        <v>3</v>
      </c>
      <c r="C6" t="s">
        <v>16</v>
      </c>
      <c r="D6" t="s">
        <v>15</v>
      </c>
    </row>
    <row r="7" spans="1:38" x14ac:dyDescent="0.25">
      <c r="A7" t="s">
        <v>24</v>
      </c>
      <c r="B7" s="2">
        <v>0.08</v>
      </c>
      <c r="C7" t="s">
        <v>25</v>
      </c>
      <c r="D7" t="s">
        <v>15</v>
      </c>
    </row>
    <row r="8" spans="1:38" x14ac:dyDescent="0.25">
      <c r="A8" t="s">
        <v>30</v>
      </c>
      <c r="B8">
        <f>($B$7*(1+$B$7)^$B$4)/((1+$B$7)^$B$4-1)</f>
        <v>9.3678779051968114E-2</v>
      </c>
      <c r="C8" t="s">
        <v>16</v>
      </c>
      <c r="D8" t="s">
        <v>15</v>
      </c>
    </row>
    <row r="9" spans="1:38" x14ac:dyDescent="0.25">
      <c r="A9" s="1" t="s">
        <v>10</v>
      </c>
    </row>
    <row r="10" spans="1:38" x14ac:dyDescent="0.25">
      <c r="A10" t="s">
        <v>4</v>
      </c>
      <c r="C10" t="s">
        <v>18</v>
      </c>
      <c r="D10" t="s">
        <v>15</v>
      </c>
      <c r="F10" t="s">
        <v>39</v>
      </c>
      <c r="G10" t="s">
        <v>4</v>
      </c>
      <c r="H10">
        <v>1207.1163602077943</v>
      </c>
      <c r="I10">
        <v>1147.7078621819121</v>
      </c>
      <c r="J10">
        <v>1099.1961707198041</v>
      </c>
      <c r="K10">
        <v>1058.4796077417602</v>
      </c>
      <c r="L10">
        <v>1023.5844984869275</v>
      </c>
      <c r="M10">
        <v>993.18342375062127</v>
      </c>
      <c r="N10">
        <v>966.34425994501441</v>
      </c>
      <c r="O10">
        <v>942.38943200603035</v>
      </c>
      <c r="P10">
        <v>920.81223002247134</v>
      </c>
      <c r="Q10">
        <v>901.22463566110639</v>
      </c>
      <c r="R10">
        <v>883.32348739354268</v>
      </c>
      <c r="S10">
        <v>862.03317346668553</v>
      </c>
      <c r="T10">
        <v>843.04269227090663</v>
      </c>
      <c r="U10">
        <v>825.52949719864091</v>
      </c>
      <c r="V10">
        <v>809.36814974590186</v>
      </c>
      <c r="W10">
        <v>794.02024703208519</v>
      </c>
      <c r="X10">
        <v>779.1557382063495</v>
      </c>
      <c r="Y10">
        <v>765.51897733177714</v>
      </c>
      <c r="Z10">
        <v>752.60162244430444</v>
      </c>
      <c r="AA10">
        <v>740.50911917221345</v>
      </c>
      <c r="AB10">
        <v>728.81931934307977</v>
      </c>
      <c r="AC10">
        <v>716.58709559474335</v>
      </c>
      <c r="AD10">
        <v>704.49259110425055</v>
      </c>
      <c r="AE10">
        <v>693.21852134663334</v>
      </c>
      <c r="AF10">
        <v>685.3032792118687</v>
      </c>
      <c r="AG10">
        <v>661.74681556801227</v>
      </c>
      <c r="AH10">
        <v>650.62498137933892</v>
      </c>
      <c r="AI10">
        <v>640.27029865458223</v>
      </c>
      <c r="AJ10">
        <v>630.59385102481406</v>
      </c>
      <c r="AK10">
        <v>621.52080121363235</v>
      </c>
      <c r="AL10">
        <v>612.98761885861597</v>
      </c>
    </row>
    <row r="11" spans="1:38" x14ac:dyDescent="0.25">
      <c r="A11" t="s">
        <v>9</v>
      </c>
      <c r="B11" s="2">
        <v>0.02</v>
      </c>
      <c r="C11" t="s">
        <v>40</v>
      </c>
    </row>
    <row r="19" spans="1:32" x14ac:dyDescent="0.25">
      <c r="B19">
        <v>2020</v>
      </c>
      <c r="C19">
        <v>2021</v>
      </c>
      <c r="D19">
        <v>2022</v>
      </c>
      <c r="E19">
        <v>2023</v>
      </c>
      <c r="F19">
        <v>2024</v>
      </c>
      <c r="G19">
        <v>2025</v>
      </c>
      <c r="H19">
        <v>2026</v>
      </c>
      <c r="I19">
        <v>2027</v>
      </c>
      <c r="J19">
        <v>2028</v>
      </c>
      <c r="K19">
        <v>2029</v>
      </c>
      <c r="L19">
        <v>2030</v>
      </c>
      <c r="M19">
        <v>2031</v>
      </c>
      <c r="N19">
        <v>2032</v>
      </c>
      <c r="O19">
        <v>2033</v>
      </c>
      <c r="P19">
        <v>2034</v>
      </c>
      <c r="Q19">
        <v>2035</v>
      </c>
      <c r="R19">
        <v>2036</v>
      </c>
      <c r="S19">
        <v>2037</v>
      </c>
      <c r="T19">
        <v>2038</v>
      </c>
      <c r="U19">
        <v>2039</v>
      </c>
      <c r="V19">
        <v>2040</v>
      </c>
      <c r="W19">
        <v>2041</v>
      </c>
      <c r="X19">
        <v>2042</v>
      </c>
      <c r="Y19">
        <v>2043</v>
      </c>
      <c r="Z19">
        <v>2044</v>
      </c>
      <c r="AA19">
        <v>2045</v>
      </c>
      <c r="AB19">
        <v>2046</v>
      </c>
      <c r="AC19">
        <v>2047</v>
      </c>
      <c r="AD19">
        <v>2048</v>
      </c>
      <c r="AE19">
        <v>2049</v>
      </c>
      <c r="AF19">
        <v>2050</v>
      </c>
    </row>
    <row r="20" spans="1:32" x14ac:dyDescent="0.25">
      <c r="A20" t="s">
        <v>23</v>
      </c>
      <c r="B20">
        <v>0</v>
      </c>
      <c r="C20">
        <v>1</v>
      </c>
      <c r="D20">
        <v>2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</row>
    <row r="21" spans="1:32" x14ac:dyDescent="0.25">
      <c r="A21" t="s">
        <v>36</v>
      </c>
      <c r="B21">
        <f t="shared" ref="B21:AF21" si="0">$B$8*B22+B23</f>
        <v>71905.121337088771</v>
      </c>
      <c r="C21">
        <f t="shared" si="0"/>
        <v>68366.294924140544</v>
      </c>
      <c r="D21">
        <f t="shared" si="0"/>
        <v>65476.566000037645</v>
      </c>
      <c r="E21">
        <f t="shared" si="0"/>
        <v>63051.174796772466</v>
      </c>
      <c r="F21">
        <f t="shared" si="0"/>
        <v>60972.554087325872</v>
      </c>
      <c r="G21">
        <f t="shared" si="0"/>
        <v>59161.632588991022</v>
      </c>
      <c r="H21">
        <f t="shared" si="0"/>
        <v>57562.885861959716</v>
      </c>
      <c r="I21">
        <f t="shared" si="0"/>
        <v>56135.952331487781</v>
      </c>
      <c r="J21">
        <f t="shared" si="0"/>
        <v>54850.648463619065</v>
      </c>
      <c r="K21">
        <f t="shared" si="0"/>
        <v>53683.86090635891</v>
      </c>
      <c r="L21">
        <f t="shared" si="0"/>
        <v>52617.531030728031</v>
      </c>
      <c r="M21">
        <f t="shared" si="0"/>
        <v>51349.316418880793</v>
      </c>
      <c r="N21">
        <f t="shared" si="0"/>
        <v>50218.097507725346</v>
      </c>
      <c r="O21">
        <f t="shared" si="0"/>
        <v>49174.877103973558</v>
      </c>
      <c r="P21">
        <f t="shared" si="0"/>
        <v>48212.183126932257</v>
      </c>
      <c r="Q21">
        <f t="shared" si="0"/>
        <v>47297.944165978362</v>
      </c>
      <c r="R21">
        <f t="shared" si="0"/>
        <v>46412.499857571536</v>
      </c>
      <c r="S21">
        <f t="shared" si="0"/>
        <v>45600.189646514344</v>
      </c>
      <c r="T21">
        <f t="shared" si="0"/>
        <v>44830.732781247381</v>
      </c>
      <c r="U21">
        <f t="shared" si="0"/>
        <v>44110.410413237078</v>
      </c>
      <c r="V21">
        <f t="shared" si="0"/>
        <v>43414.076155141665</v>
      </c>
      <c r="W21">
        <f t="shared" si="0"/>
        <v>42685.430962481747</v>
      </c>
      <c r="X21">
        <f t="shared" si="0"/>
        <v>41964.989386533634</v>
      </c>
      <c r="Y21">
        <f t="shared" si="0"/>
        <v>41293.419204397491</v>
      </c>
      <c r="Z21">
        <f t="shared" si="0"/>
        <v>40821.926592024385</v>
      </c>
      <c r="AA21">
        <f t="shared" si="0"/>
        <v>39418.722698496967</v>
      </c>
      <c r="AB21">
        <f t="shared" si="0"/>
        <v>38756.220836050277</v>
      </c>
      <c r="AC21">
        <f t="shared" si="0"/>
        <v>38139.41640668895</v>
      </c>
      <c r="AD21">
        <f t="shared" si="0"/>
        <v>37563.012868582075</v>
      </c>
      <c r="AE21">
        <f t="shared" si="0"/>
        <v>37022.552338780151</v>
      </c>
      <c r="AF21">
        <f t="shared" si="0"/>
        <v>36514.250460970019</v>
      </c>
    </row>
    <row r="22" spans="1:32" x14ac:dyDescent="0.25">
      <c r="A22" t="s">
        <v>4</v>
      </c>
      <c r="B22">
        <f>H10*$B$3</f>
        <v>632528.97274888423</v>
      </c>
      <c r="C22">
        <f t="shared" ref="C22:AF22" si="1">I10*$B$3</f>
        <v>601398.91978332191</v>
      </c>
      <c r="D22">
        <f t="shared" si="1"/>
        <v>575978.79345717735</v>
      </c>
      <c r="E22">
        <f t="shared" si="1"/>
        <v>554643.3144566823</v>
      </c>
      <c r="F22">
        <f t="shared" si="1"/>
        <v>536358.27720715001</v>
      </c>
      <c r="G22">
        <f t="shared" si="1"/>
        <v>520428.11404532555</v>
      </c>
      <c r="H22">
        <f t="shared" si="1"/>
        <v>506364.39221118757</v>
      </c>
      <c r="I22">
        <f t="shared" si="1"/>
        <v>493812.0623711599</v>
      </c>
      <c r="J22">
        <f t="shared" si="1"/>
        <v>482505.60853177495</v>
      </c>
      <c r="K22">
        <f t="shared" si="1"/>
        <v>472241.70908641972</v>
      </c>
      <c r="L22">
        <f t="shared" si="1"/>
        <v>462861.50739421637</v>
      </c>
      <c r="M22">
        <f t="shared" si="1"/>
        <v>451705.38289654319</v>
      </c>
      <c r="N22">
        <f t="shared" si="1"/>
        <v>441754.37074995507</v>
      </c>
      <c r="O22">
        <f t="shared" si="1"/>
        <v>432577.45653208782</v>
      </c>
      <c r="P22">
        <f t="shared" si="1"/>
        <v>424108.9104668526</v>
      </c>
      <c r="Q22">
        <f t="shared" si="1"/>
        <v>416066.60944481264</v>
      </c>
      <c r="R22">
        <f t="shared" si="1"/>
        <v>408277.60682012711</v>
      </c>
      <c r="S22">
        <f t="shared" si="1"/>
        <v>401131.94412185124</v>
      </c>
      <c r="T22">
        <f t="shared" si="1"/>
        <v>394363.25016081554</v>
      </c>
      <c r="U22">
        <f t="shared" si="1"/>
        <v>388026.77844623983</v>
      </c>
      <c r="V22">
        <f t="shared" si="1"/>
        <v>381901.32333577378</v>
      </c>
      <c r="W22">
        <f t="shared" si="1"/>
        <v>375491.63809164549</v>
      </c>
      <c r="X22">
        <f t="shared" si="1"/>
        <v>369154.1177386273</v>
      </c>
      <c r="Y22">
        <f t="shared" si="1"/>
        <v>363246.50518563588</v>
      </c>
      <c r="Z22">
        <f t="shared" si="1"/>
        <v>359098.91830701922</v>
      </c>
      <c r="AA22">
        <f t="shared" si="1"/>
        <v>346755.33135763841</v>
      </c>
      <c r="AB22">
        <f t="shared" si="1"/>
        <v>340927.49024277361</v>
      </c>
      <c r="AC22">
        <f t="shared" si="1"/>
        <v>335501.63649500109</v>
      </c>
      <c r="AD22">
        <f t="shared" si="1"/>
        <v>330431.17793700256</v>
      </c>
      <c r="AE22">
        <f t="shared" si="1"/>
        <v>325676.89983594336</v>
      </c>
      <c r="AF22">
        <f t="shared" si="1"/>
        <v>321205.51228191477</v>
      </c>
    </row>
    <row r="23" spans="1:32" x14ac:dyDescent="0.25">
      <c r="A23" t="s">
        <v>9</v>
      </c>
      <c r="B23">
        <f>$B$11*B22</f>
        <v>12650.579454977686</v>
      </c>
      <c r="C23">
        <f t="shared" ref="C23:AF23" si="2">$B$11*C22</f>
        <v>12027.978395666438</v>
      </c>
      <c r="D23">
        <f t="shared" si="2"/>
        <v>11519.575869143548</v>
      </c>
      <c r="E23">
        <f t="shared" si="2"/>
        <v>11092.866289133646</v>
      </c>
      <c r="F23">
        <f t="shared" si="2"/>
        <v>10727.165544143001</v>
      </c>
      <c r="G23">
        <f t="shared" si="2"/>
        <v>10408.562280906512</v>
      </c>
      <c r="H23">
        <f t="shared" si="2"/>
        <v>10127.287844223752</v>
      </c>
      <c r="I23">
        <f t="shared" si="2"/>
        <v>9876.2412474231987</v>
      </c>
      <c r="J23">
        <f t="shared" si="2"/>
        <v>9650.1121706354988</v>
      </c>
      <c r="K23">
        <f t="shared" si="2"/>
        <v>9444.8341817283945</v>
      </c>
      <c r="L23">
        <f t="shared" si="2"/>
        <v>9257.2301478843274</v>
      </c>
      <c r="M23">
        <f t="shared" si="2"/>
        <v>9034.1076579308647</v>
      </c>
      <c r="N23">
        <f t="shared" si="2"/>
        <v>8835.0874149991014</v>
      </c>
      <c r="O23">
        <f t="shared" si="2"/>
        <v>8651.5491306417571</v>
      </c>
      <c r="P23">
        <f t="shared" si="2"/>
        <v>8482.178209337053</v>
      </c>
      <c r="Q23">
        <f t="shared" si="2"/>
        <v>8321.3321888962528</v>
      </c>
      <c r="R23">
        <f t="shared" si="2"/>
        <v>8165.5521364025426</v>
      </c>
      <c r="S23">
        <f t="shared" si="2"/>
        <v>8022.6388824370251</v>
      </c>
      <c r="T23">
        <f t="shared" si="2"/>
        <v>7887.265003216311</v>
      </c>
      <c r="U23">
        <f t="shared" si="2"/>
        <v>7760.5355689247963</v>
      </c>
      <c r="V23">
        <f t="shared" si="2"/>
        <v>7638.0264667154761</v>
      </c>
      <c r="W23">
        <f t="shared" si="2"/>
        <v>7509.8327618329104</v>
      </c>
      <c r="X23">
        <f t="shared" si="2"/>
        <v>7383.0823547725458</v>
      </c>
      <c r="Y23">
        <f t="shared" si="2"/>
        <v>7264.9301037127179</v>
      </c>
      <c r="Z23">
        <f t="shared" si="2"/>
        <v>7181.9783661403844</v>
      </c>
      <c r="AA23">
        <f t="shared" si="2"/>
        <v>6935.1066271527679</v>
      </c>
      <c r="AB23">
        <f t="shared" si="2"/>
        <v>6818.5498048554728</v>
      </c>
      <c r="AC23">
        <f t="shared" si="2"/>
        <v>6710.0327299000219</v>
      </c>
      <c r="AD23">
        <f t="shared" si="2"/>
        <v>6608.6235587400515</v>
      </c>
      <c r="AE23">
        <f t="shared" si="2"/>
        <v>6513.5379967188674</v>
      </c>
      <c r="AF23">
        <f t="shared" si="2"/>
        <v>6424.1102456382951</v>
      </c>
    </row>
    <row r="26" spans="1:32" x14ac:dyDescent="0.25">
      <c r="A26" t="s">
        <v>35</v>
      </c>
      <c r="B26">
        <v>2020</v>
      </c>
      <c r="C26">
        <v>2023</v>
      </c>
      <c r="D26">
        <v>2026</v>
      </c>
      <c r="E26">
        <v>2029</v>
      </c>
      <c r="F26">
        <v>2032</v>
      </c>
      <c r="G26">
        <v>2035</v>
      </c>
      <c r="H26">
        <v>2038</v>
      </c>
      <c r="I26">
        <v>2041</v>
      </c>
      <c r="J26">
        <v>2044</v>
      </c>
      <c r="K26">
        <v>2047</v>
      </c>
      <c r="L26">
        <v>2050</v>
      </c>
    </row>
    <row r="27" spans="1:32" x14ac:dyDescent="0.25">
      <c r="A27" t="s">
        <v>34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</row>
    <row r="28" spans="1:32" x14ac:dyDescent="0.25">
      <c r="A28" t="s">
        <v>36</v>
      </c>
      <c r="B28">
        <f>INDEX($B21:$AF21,MATCH(B$26,$B$19:$AF$19))</f>
        <v>71905.121337088771</v>
      </c>
      <c r="C28">
        <f t="shared" ref="C28:L28" si="3">INDEX($B21:$AF21,MATCH(C$26,$B$19:$AF$19))</f>
        <v>63051.174796772466</v>
      </c>
      <c r="D28">
        <f t="shared" si="3"/>
        <v>57562.885861959716</v>
      </c>
      <c r="E28">
        <f t="shared" si="3"/>
        <v>53683.86090635891</v>
      </c>
      <c r="F28">
        <f t="shared" si="3"/>
        <v>50218.097507725346</v>
      </c>
      <c r="G28">
        <f t="shared" si="3"/>
        <v>47297.944165978362</v>
      </c>
      <c r="H28">
        <f t="shared" si="3"/>
        <v>44830.732781247381</v>
      </c>
      <c r="I28">
        <f t="shared" si="3"/>
        <v>42685.430962481747</v>
      </c>
      <c r="J28">
        <f t="shared" si="3"/>
        <v>40821.926592024385</v>
      </c>
      <c r="K28">
        <f t="shared" si="3"/>
        <v>38139.41640668895</v>
      </c>
      <c r="L28">
        <f t="shared" si="3"/>
        <v>36514.250460970019</v>
      </c>
    </row>
    <row r="29" spans="1:32" x14ac:dyDescent="0.25">
      <c r="A29" t="s">
        <v>4</v>
      </c>
      <c r="B29">
        <f t="shared" ref="B29:L29" si="4">INDEX($B22:$AF22,MATCH(B$26,$B$19:$AF$19))</f>
        <v>632528.97274888423</v>
      </c>
      <c r="C29">
        <f t="shared" si="4"/>
        <v>554643.3144566823</v>
      </c>
      <c r="D29">
        <f t="shared" si="4"/>
        <v>506364.39221118757</v>
      </c>
      <c r="E29">
        <f t="shared" si="4"/>
        <v>472241.70908641972</v>
      </c>
      <c r="F29">
        <f t="shared" si="4"/>
        <v>441754.37074995507</v>
      </c>
      <c r="G29">
        <f t="shared" si="4"/>
        <v>416066.60944481264</v>
      </c>
      <c r="H29">
        <f t="shared" si="4"/>
        <v>394363.25016081554</v>
      </c>
      <c r="I29">
        <f t="shared" si="4"/>
        <v>375491.63809164549</v>
      </c>
      <c r="J29">
        <f t="shared" si="4"/>
        <v>359098.91830701922</v>
      </c>
      <c r="K29">
        <f t="shared" si="4"/>
        <v>335501.63649500109</v>
      </c>
      <c r="L29">
        <f t="shared" si="4"/>
        <v>321205.51228191477</v>
      </c>
    </row>
    <row r="30" spans="1:32" x14ac:dyDescent="0.25">
      <c r="A30" t="s">
        <v>9</v>
      </c>
      <c r="B30">
        <f t="shared" ref="B30:L30" si="5">INDEX($B23:$AF23,MATCH(B$26,$B$19:$AF$19))</f>
        <v>12650.579454977686</v>
      </c>
      <c r="C30">
        <f t="shared" si="5"/>
        <v>11092.866289133646</v>
      </c>
      <c r="D30">
        <f t="shared" si="5"/>
        <v>10127.287844223752</v>
      </c>
      <c r="E30">
        <f t="shared" si="5"/>
        <v>9444.8341817283945</v>
      </c>
      <c r="F30">
        <f t="shared" si="5"/>
        <v>8835.0874149991014</v>
      </c>
      <c r="G30">
        <f t="shared" si="5"/>
        <v>8321.3321888962528</v>
      </c>
      <c r="H30">
        <f t="shared" si="5"/>
        <v>7887.265003216311</v>
      </c>
      <c r="I30">
        <f t="shared" si="5"/>
        <v>7509.8327618329104</v>
      </c>
      <c r="J30">
        <f t="shared" si="5"/>
        <v>7181.9783661403844</v>
      </c>
      <c r="K30">
        <f t="shared" si="5"/>
        <v>6710.0327299000219</v>
      </c>
      <c r="L30">
        <f t="shared" si="5"/>
        <v>6424.1102456382951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3222-0B9F-46A1-94A8-CA5AB3C6F399}">
  <dimension ref="A1:AF35"/>
  <sheetViews>
    <sheetView workbookViewId="0">
      <selection sqref="A1:F14"/>
    </sheetView>
  </sheetViews>
  <sheetFormatPr defaultRowHeight="15" x14ac:dyDescent="0.25"/>
  <sheetData>
    <row r="1" spans="1:22" x14ac:dyDescent="0.25">
      <c r="A1" s="1" t="s">
        <v>1</v>
      </c>
      <c r="B1" s="1" t="s">
        <v>12</v>
      </c>
      <c r="C1" s="1" t="s">
        <v>11</v>
      </c>
      <c r="D1" s="1" t="s">
        <v>13</v>
      </c>
      <c r="E1" s="1"/>
      <c r="F1" s="1" t="s">
        <v>31</v>
      </c>
      <c r="R1" t="s">
        <v>57</v>
      </c>
    </row>
    <row r="2" spans="1:22" x14ac:dyDescent="0.25">
      <c r="O2" t="s">
        <v>64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</row>
    <row r="3" spans="1:22" x14ac:dyDescent="0.25">
      <c r="A3" t="s">
        <v>43</v>
      </c>
      <c r="B3">
        <f>V3</f>
        <v>0.9196588460254348</v>
      </c>
      <c r="C3" t="s">
        <v>16</v>
      </c>
      <c r="F3" t="s">
        <v>66</v>
      </c>
      <c r="O3">
        <v>1</v>
      </c>
      <c r="P3" t="s">
        <v>62</v>
      </c>
      <c r="Q3" t="s">
        <v>55</v>
      </c>
      <c r="R3">
        <v>35</v>
      </c>
      <c r="S3">
        <f>750/0.18</f>
        <v>4166.666666666667</v>
      </c>
      <c r="T3">
        <f>37.8/0.18</f>
        <v>210</v>
      </c>
      <c r="U3">
        <f>R3+S3+T3+($B$8/1000)</f>
        <v>54911.666666666664</v>
      </c>
      <c r="V3">
        <f>($B$8/1000)/U3</f>
        <v>0.9196588460254348</v>
      </c>
    </row>
    <row r="4" spans="1:22" x14ac:dyDescent="0.25">
      <c r="A4" t="s">
        <v>44</v>
      </c>
      <c r="B4">
        <f>V4</f>
        <v>0.82361575470928805</v>
      </c>
      <c r="C4" t="s">
        <v>16</v>
      </c>
      <c r="F4" t="s">
        <v>67</v>
      </c>
      <c r="O4">
        <v>2</v>
      </c>
      <c r="Q4" t="s">
        <v>54</v>
      </c>
      <c r="R4">
        <v>35</v>
      </c>
      <c r="S4">
        <v>10180</v>
      </c>
      <c r="T4">
        <v>600</v>
      </c>
      <c r="U4">
        <f>R4+S4+T4+($B$8/1000)</f>
        <v>61315</v>
      </c>
      <c r="V4">
        <f>($B$8/1000)/U4</f>
        <v>0.82361575470928805</v>
      </c>
    </row>
    <row r="5" spans="1:22" x14ac:dyDescent="0.25">
      <c r="A5" t="s">
        <v>45</v>
      </c>
      <c r="B5">
        <f>V5</f>
        <v>0.9993074107054517</v>
      </c>
      <c r="C5" t="s">
        <v>16</v>
      </c>
      <c r="F5" t="s">
        <v>68</v>
      </c>
      <c r="O5">
        <v>3</v>
      </c>
      <c r="P5" t="s">
        <v>63</v>
      </c>
      <c r="Q5" t="s">
        <v>56</v>
      </c>
      <c r="R5">
        <v>35</v>
      </c>
      <c r="S5">
        <v>0</v>
      </c>
      <c r="T5">
        <v>0</v>
      </c>
      <c r="U5">
        <f>R5+S5+T5+($B$8/1000)</f>
        <v>50535</v>
      </c>
      <c r="V5">
        <f>($B$8/1000)/U5</f>
        <v>0.9993074107054517</v>
      </c>
    </row>
    <row r="6" spans="1:22" x14ac:dyDescent="0.25">
      <c r="A6" t="s">
        <v>65</v>
      </c>
      <c r="B6">
        <f>V6</f>
        <v>0.92318942140702598</v>
      </c>
      <c r="C6" t="s">
        <v>16</v>
      </c>
      <c r="F6" t="s">
        <v>69</v>
      </c>
      <c r="O6">
        <v>4</v>
      </c>
      <c r="Q6" t="s">
        <v>55</v>
      </c>
      <c r="R6">
        <v>35</v>
      </c>
      <c r="S6">
        <f>750/0.18</f>
        <v>4166.666666666667</v>
      </c>
      <c r="T6">
        <v>0</v>
      </c>
      <c r="U6">
        <f>R6+S6+T6+($B$8/1000)</f>
        <v>54701.666666666664</v>
      </c>
      <c r="V6">
        <f>($B$8/1000)/U6</f>
        <v>0.92318942140702598</v>
      </c>
    </row>
    <row r="7" spans="1:22" x14ac:dyDescent="0.25">
      <c r="A7" t="s">
        <v>58</v>
      </c>
      <c r="B7">
        <v>0.4</v>
      </c>
      <c r="C7" t="s">
        <v>60</v>
      </c>
    </row>
    <row r="8" spans="1:22" x14ac:dyDescent="0.25">
      <c r="A8" t="s">
        <v>59</v>
      </c>
      <c r="B8">
        <v>50500000</v>
      </c>
      <c r="C8" t="s">
        <v>61</v>
      </c>
    </row>
    <row r="9" spans="1:22" x14ac:dyDescent="0.25">
      <c r="A9" t="s">
        <v>163</v>
      </c>
      <c r="B9">
        <v>20</v>
      </c>
      <c r="C9" t="s">
        <v>164</v>
      </c>
    </row>
    <row r="10" spans="1:22" x14ac:dyDescent="0.25">
      <c r="A10" t="s">
        <v>26</v>
      </c>
      <c r="B10">
        <v>15</v>
      </c>
      <c r="C10" t="s">
        <v>27</v>
      </c>
      <c r="D10" t="s">
        <v>42</v>
      </c>
    </row>
    <row r="11" spans="1:22" x14ac:dyDescent="0.25">
      <c r="A11" t="s">
        <v>24</v>
      </c>
      <c r="B11" s="2">
        <v>0.08</v>
      </c>
      <c r="C11" t="s">
        <v>25</v>
      </c>
      <c r="D11" t="s">
        <v>15</v>
      </c>
      <c r="F11" t="s">
        <v>32</v>
      </c>
    </row>
    <row r="12" spans="1:22" x14ac:dyDescent="0.25">
      <c r="A12" t="s">
        <v>30</v>
      </c>
      <c r="B12">
        <f>($B$11*(1+$B$11)^$B$10)/((1+$B$11)^$B$10-1)</f>
        <v>0.11682954493601999</v>
      </c>
      <c r="C12" t="s">
        <v>16</v>
      </c>
      <c r="D12" t="s">
        <v>15</v>
      </c>
    </row>
    <row r="13" spans="1:22" x14ac:dyDescent="0.25">
      <c r="A13" t="s">
        <v>4</v>
      </c>
      <c r="B13" t="s">
        <v>48</v>
      </c>
      <c r="C13" t="s">
        <v>47</v>
      </c>
      <c r="D13" t="s">
        <v>46</v>
      </c>
    </row>
    <row r="14" spans="1:22" x14ac:dyDescent="0.25">
      <c r="A14" t="s">
        <v>9</v>
      </c>
      <c r="B14" t="s">
        <v>48</v>
      </c>
      <c r="C14" t="s">
        <v>47</v>
      </c>
      <c r="D14" t="s">
        <v>46</v>
      </c>
    </row>
    <row r="17" spans="1:32" x14ac:dyDescent="0.25">
      <c r="B17">
        <v>2020</v>
      </c>
      <c r="C17">
        <v>2021</v>
      </c>
      <c r="D17">
        <v>2022</v>
      </c>
      <c r="E17">
        <v>2023</v>
      </c>
      <c r="F17">
        <v>2024</v>
      </c>
      <c r="G17">
        <v>2025</v>
      </c>
      <c r="H17">
        <v>2026</v>
      </c>
      <c r="I17">
        <v>2027</v>
      </c>
      <c r="J17">
        <v>2028</v>
      </c>
      <c r="K17">
        <v>2029</v>
      </c>
      <c r="L17">
        <v>2030</v>
      </c>
      <c r="M17">
        <v>2031</v>
      </c>
      <c r="N17">
        <v>2032</v>
      </c>
      <c r="O17">
        <v>2033</v>
      </c>
      <c r="P17">
        <v>2034</v>
      </c>
      <c r="Q17">
        <v>2035</v>
      </c>
      <c r="R17">
        <v>2036</v>
      </c>
      <c r="S17">
        <v>2037</v>
      </c>
      <c r="T17">
        <v>2038</v>
      </c>
      <c r="U17">
        <v>2039</v>
      </c>
      <c r="V17">
        <v>2040</v>
      </c>
      <c r="W17">
        <v>2041</v>
      </c>
      <c r="X17">
        <v>2042</v>
      </c>
      <c r="Y17">
        <v>2043</v>
      </c>
      <c r="Z17">
        <v>2044</v>
      </c>
      <c r="AA17">
        <v>2045</v>
      </c>
      <c r="AB17">
        <v>2046</v>
      </c>
      <c r="AC17">
        <v>2047</v>
      </c>
      <c r="AD17">
        <v>2048</v>
      </c>
      <c r="AE17">
        <v>2049</v>
      </c>
      <c r="AF17">
        <v>2050</v>
      </c>
    </row>
    <row r="18" spans="1:32" x14ac:dyDescent="0.25">
      <c r="A18" t="s">
        <v>23</v>
      </c>
      <c r="B18">
        <v>0</v>
      </c>
      <c r="C18">
        <v>1</v>
      </c>
      <c r="D18">
        <v>2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</row>
    <row r="19" spans="1:32" x14ac:dyDescent="0.25">
      <c r="A19" t="s">
        <v>41</v>
      </c>
      <c r="B19">
        <f t="shared" ref="B19:AF19" si="0">$B$12*B20+B21</f>
        <v>2836590.8987203999</v>
      </c>
      <c r="C19">
        <f t="shared" si="0"/>
        <v>2734810.2172651859</v>
      </c>
      <c r="D19">
        <f t="shared" si="0"/>
        <v>2633029.5358099719</v>
      </c>
      <c r="E19">
        <f t="shared" si="0"/>
        <v>2531248.8543547578</v>
      </c>
      <c r="F19">
        <f t="shared" si="0"/>
        <v>2429468.1728995438</v>
      </c>
      <c r="G19">
        <f t="shared" si="0"/>
        <v>2327687.4914443297</v>
      </c>
      <c r="H19">
        <f t="shared" si="0"/>
        <v>2225906.8099891162</v>
      </c>
      <c r="I19">
        <f t="shared" si="0"/>
        <v>2124126.1285339016</v>
      </c>
      <c r="J19">
        <f t="shared" si="0"/>
        <v>2022345.4470786878</v>
      </c>
      <c r="K19">
        <f t="shared" si="0"/>
        <v>1920564.7656234738</v>
      </c>
      <c r="L19">
        <f t="shared" si="0"/>
        <v>1818784.08416826</v>
      </c>
      <c r="M19">
        <f t="shared" si="0"/>
        <v>1769062.038890013</v>
      </c>
      <c r="N19">
        <f t="shared" si="0"/>
        <v>1719339.9936117663</v>
      </c>
      <c r="O19">
        <f t="shared" si="0"/>
        <v>1669617.9483335195</v>
      </c>
      <c r="P19">
        <f t="shared" si="0"/>
        <v>1619895.9030552728</v>
      </c>
      <c r="Q19">
        <f t="shared" si="0"/>
        <v>1570173.8577770258</v>
      </c>
      <c r="R19">
        <f t="shared" si="0"/>
        <v>1520451.812498779</v>
      </c>
      <c r="S19">
        <f t="shared" si="0"/>
        <v>1470729.7672205323</v>
      </c>
      <c r="T19">
        <f t="shared" si="0"/>
        <v>1421007.7219422855</v>
      </c>
      <c r="U19">
        <f t="shared" si="0"/>
        <v>1371285.6766640388</v>
      </c>
      <c r="V19">
        <f t="shared" si="0"/>
        <v>1321563.6313857918</v>
      </c>
      <c r="W19">
        <f t="shared" si="0"/>
        <v>1296702.6087466686</v>
      </c>
      <c r="X19">
        <f t="shared" si="0"/>
        <v>1271841.5861075451</v>
      </c>
      <c r="Y19">
        <f t="shared" si="0"/>
        <v>1246980.5634684218</v>
      </c>
      <c r="Z19">
        <f t="shared" si="0"/>
        <v>1222119.5408292983</v>
      </c>
      <c r="AA19">
        <f t="shared" si="0"/>
        <v>1197258.5181901748</v>
      </c>
      <c r="AB19">
        <f t="shared" si="0"/>
        <v>1172397.4955510516</v>
      </c>
      <c r="AC19">
        <f t="shared" si="0"/>
        <v>1147536.4729119281</v>
      </c>
      <c r="AD19">
        <f t="shared" si="0"/>
        <v>1122675.4502728046</v>
      </c>
      <c r="AE19">
        <f t="shared" si="0"/>
        <v>1097814.4276336813</v>
      </c>
      <c r="AF19">
        <f t="shared" si="0"/>
        <v>1072953.4049945581</v>
      </c>
    </row>
    <row r="20" spans="1:32" x14ac:dyDescent="0.25">
      <c r="A20" t="s">
        <v>4</v>
      </c>
      <c r="B20">
        <f t="shared" ref="B20:L20" si="1">_xlfn.FORECAST.LINEAR(B$17,$B$26:$B$27,$A$26:$A$27)</f>
        <v>20000000</v>
      </c>
      <c r="C20">
        <f t="shared" si="1"/>
        <v>19300000</v>
      </c>
      <c r="D20">
        <f t="shared" si="1"/>
        <v>18600000</v>
      </c>
      <c r="E20">
        <f t="shared" si="1"/>
        <v>17900000</v>
      </c>
      <c r="F20">
        <f t="shared" si="1"/>
        <v>17200000</v>
      </c>
      <c r="G20">
        <f t="shared" si="1"/>
        <v>16500000</v>
      </c>
      <c r="H20">
        <f t="shared" si="1"/>
        <v>15800000</v>
      </c>
      <c r="I20">
        <f t="shared" si="1"/>
        <v>15100000</v>
      </c>
      <c r="J20">
        <f t="shared" si="1"/>
        <v>14400000</v>
      </c>
      <c r="K20">
        <f t="shared" si="1"/>
        <v>13700000</v>
      </c>
      <c r="L20">
        <f t="shared" si="1"/>
        <v>13000000</v>
      </c>
      <c r="M20">
        <f t="shared" ref="M20:V20" si="2">_xlfn.FORECAST.LINEAR(M$17,$B$27:$B$28,$A$27:$A$28)</f>
        <v>12660000</v>
      </c>
      <c r="N20">
        <f t="shared" si="2"/>
        <v>12320000</v>
      </c>
      <c r="O20">
        <f t="shared" si="2"/>
        <v>11980000</v>
      </c>
      <c r="P20">
        <f t="shared" si="2"/>
        <v>11640000</v>
      </c>
      <c r="Q20">
        <f t="shared" si="2"/>
        <v>11300000</v>
      </c>
      <c r="R20">
        <f t="shared" si="2"/>
        <v>10960000</v>
      </c>
      <c r="S20">
        <f t="shared" si="2"/>
        <v>10620000</v>
      </c>
      <c r="T20">
        <f t="shared" si="2"/>
        <v>10280000</v>
      </c>
      <c r="U20">
        <f t="shared" si="2"/>
        <v>9940000</v>
      </c>
      <c r="V20">
        <f t="shared" si="2"/>
        <v>9600000</v>
      </c>
      <c r="W20">
        <f t="shared" ref="W20:AF20" si="3">_xlfn.FORECAST.LINEAR(W$17,$B$28:$B$29,$A$28:$A$29)</f>
        <v>9430000</v>
      </c>
      <c r="X20">
        <f t="shared" si="3"/>
        <v>9260000</v>
      </c>
      <c r="Y20">
        <f t="shared" si="3"/>
        <v>9090000</v>
      </c>
      <c r="Z20">
        <f t="shared" si="3"/>
        <v>8920000</v>
      </c>
      <c r="AA20">
        <f t="shared" si="3"/>
        <v>8750000</v>
      </c>
      <c r="AB20">
        <f t="shared" si="3"/>
        <v>8580000</v>
      </c>
      <c r="AC20">
        <f t="shared" si="3"/>
        <v>8410000</v>
      </c>
      <c r="AD20">
        <f t="shared" si="3"/>
        <v>8240000</v>
      </c>
      <c r="AE20">
        <f t="shared" si="3"/>
        <v>8070000</v>
      </c>
      <c r="AF20">
        <f t="shared" si="3"/>
        <v>7900000</v>
      </c>
    </row>
    <row r="21" spans="1:32" x14ac:dyDescent="0.25">
      <c r="A21" t="s">
        <v>9</v>
      </c>
      <c r="B21">
        <f t="shared" ref="B21:L21" si="4">_xlfn.FORECAST.LINEAR(B$17,$C$26:$C$27,$A$26:$A$27)</f>
        <v>500000</v>
      </c>
      <c r="C21">
        <f t="shared" si="4"/>
        <v>480000</v>
      </c>
      <c r="D21">
        <f t="shared" si="4"/>
        <v>460000</v>
      </c>
      <c r="E21">
        <f t="shared" si="4"/>
        <v>440000</v>
      </c>
      <c r="F21">
        <f t="shared" si="4"/>
        <v>420000</v>
      </c>
      <c r="G21">
        <f t="shared" si="4"/>
        <v>400000</v>
      </c>
      <c r="H21">
        <f t="shared" si="4"/>
        <v>380000</v>
      </c>
      <c r="I21">
        <f t="shared" si="4"/>
        <v>360000</v>
      </c>
      <c r="J21">
        <f t="shared" si="4"/>
        <v>340000</v>
      </c>
      <c r="K21">
        <f t="shared" si="4"/>
        <v>320000</v>
      </c>
      <c r="L21">
        <f t="shared" si="4"/>
        <v>300000</v>
      </c>
      <c r="M21">
        <f t="shared" ref="M21:V21" si="5">_xlfn.FORECAST.LINEAR(M$17,$C$27:$C$28,$A$27:$A$28)</f>
        <v>290000</v>
      </c>
      <c r="N21">
        <f t="shared" si="5"/>
        <v>280000</v>
      </c>
      <c r="O21">
        <f t="shared" si="5"/>
        <v>270000</v>
      </c>
      <c r="P21">
        <f t="shared" si="5"/>
        <v>260000</v>
      </c>
      <c r="Q21">
        <f t="shared" si="5"/>
        <v>250000</v>
      </c>
      <c r="R21">
        <f t="shared" si="5"/>
        <v>240000</v>
      </c>
      <c r="S21">
        <f t="shared" si="5"/>
        <v>230000</v>
      </c>
      <c r="T21">
        <f t="shared" si="5"/>
        <v>220000</v>
      </c>
      <c r="U21">
        <f t="shared" si="5"/>
        <v>210000</v>
      </c>
      <c r="V21">
        <f t="shared" si="5"/>
        <v>200000</v>
      </c>
      <c r="W21">
        <f t="shared" ref="W21:AF21" si="6">_xlfn.FORECAST.LINEAR(W$17,$C$28:$C$29,$A$28:$A$29)</f>
        <v>195000</v>
      </c>
      <c r="X21">
        <f t="shared" si="6"/>
        <v>190000</v>
      </c>
      <c r="Y21">
        <f t="shared" si="6"/>
        <v>185000</v>
      </c>
      <c r="Z21">
        <f t="shared" si="6"/>
        <v>180000</v>
      </c>
      <c r="AA21">
        <f t="shared" si="6"/>
        <v>175000</v>
      </c>
      <c r="AB21">
        <f t="shared" si="6"/>
        <v>170000</v>
      </c>
      <c r="AC21">
        <f t="shared" si="6"/>
        <v>165000</v>
      </c>
      <c r="AD21">
        <f t="shared" si="6"/>
        <v>160000</v>
      </c>
      <c r="AE21">
        <f t="shared" si="6"/>
        <v>155000</v>
      </c>
      <c r="AF21">
        <f t="shared" si="6"/>
        <v>150000</v>
      </c>
    </row>
    <row r="25" spans="1:32" x14ac:dyDescent="0.25">
      <c r="B25" t="s">
        <v>4</v>
      </c>
      <c r="C25" t="s">
        <v>9</v>
      </c>
    </row>
    <row r="26" spans="1:32" x14ac:dyDescent="0.25">
      <c r="A26">
        <v>2020</v>
      </c>
      <c r="B26">
        <v>20000000</v>
      </c>
      <c r="C26">
        <v>500000</v>
      </c>
    </row>
    <row r="27" spans="1:32" x14ac:dyDescent="0.25">
      <c r="A27">
        <v>2030</v>
      </c>
      <c r="B27">
        <v>13000000</v>
      </c>
      <c r="C27">
        <v>300000</v>
      </c>
    </row>
    <row r="28" spans="1:32" x14ac:dyDescent="0.25">
      <c r="A28">
        <v>2040</v>
      </c>
      <c r="B28">
        <v>9600000</v>
      </c>
      <c r="C28">
        <v>200000</v>
      </c>
    </row>
    <row r="29" spans="1:32" x14ac:dyDescent="0.25">
      <c r="A29">
        <v>2050</v>
      </c>
      <c r="B29">
        <f>B28-1700000</f>
        <v>7900000</v>
      </c>
      <c r="C29">
        <v>150000</v>
      </c>
    </row>
    <row r="31" spans="1:32" x14ac:dyDescent="0.25">
      <c r="A31" t="s">
        <v>35</v>
      </c>
      <c r="B31">
        <v>2020</v>
      </c>
      <c r="C31">
        <v>2023</v>
      </c>
      <c r="D31">
        <v>2026</v>
      </c>
      <c r="E31">
        <v>2029</v>
      </c>
      <c r="F31">
        <v>2032</v>
      </c>
      <c r="G31">
        <v>2035</v>
      </c>
      <c r="H31">
        <v>2038</v>
      </c>
      <c r="I31">
        <v>2041</v>
      </c>
      <c r="J31">
        <v>2044</v>
      </c>
      <c r="K31">
        <v>2047</v>
      </c>
      <c r="L31">
        <v>2050</v>
      </c>
    </row>
    <row r="32" spans="1:32" x14ac:dyDescent="0.25">
      <c r="A32" t="s">
        <v>34</v>
      </c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</row>
    <row r="33" spans="1:12" x14ac:dyDescent="0.25">
      <c r="A33" t="s">
        <v>41</v>
      </c>
      <c r="B33">
        <f t="shared" ref="B33:C35" si="7">INDEX($B19:$AF19,MATCH(B$31,$B$17:$AF$17))</f>
        <v>2836590.8987203999</v>
      </c>
      <c r="C33">
        <f t="shared" si="7"/>
        <v>2531248.8543547578</v>
      </c>
      <c r="D33">
        <f t="shared" ref="D33:L33" si="8">INDEX($B19:$AF19,MATCH(D$31,$B$17:$AF$17))</f>
        <v>2225906.8099891162</v>
      </c>
      <c r="E33">
        <f t="shared" si="8"/>
        <v>1920564.7656234738</v>
      </c>
      <c r="F33">
        <f t="shared" si="8"/>
        <v>1719339.9936117663</v>
      </c>
      <c r="G33">
        <f t="shared" si="8"/>
        <v>1570173.8577770258</v>
      </c>
      <c r="H33">
        <f t="shared" si="8"/>
        <v>1421007.7219422855</v>
      </c>
      <c r="I33">
        <f t="shared" si="8"/>
        <v>1296702.6087466686</v>
      </c>
      <c r="J33">
        <f t="shared" si="8"/>
        <v>1222119.5408292983</v>
      </c>
      <c r="K33">
        <f t="shared" si="8"/>
        <v>1147536.4729119281</v>
      </c>
      <c r="L33">
        <f t="shared" si="8"/>
        <v>1072953.4049945581</v>
      </c>
    </row>
    <row r="34" spans="1:12" x14ac:dyDescent="0.25">
      <c r="A34" t="s">
        <v>4</v>
      </c>
      <c r="B34">
        <f t="shared" si="7"/>
        <v>20000000</v>
      </c>
      <c r="C34">
        <f t="shared" si="7"/>
        <v>17900000</v>
      </c>
      <c r="D34">
        <f t="shared" ref="D34:L34" si="9">INDEX($B20:$AF20,MATCH(D$31,$B$17:$AF$17))</f>
        <v>15800000</v>
      </c>
      <c r="E34">
        <f t="shared" si="9"/>
        <v>13700000</v>
      </c>
      <c r="F34">
        <f t="shared" si="9"/>
        <v>12320000</v>
      </c>
      <c r="G34">
        <f t="shared" si="9"/>
        <v>11300000</v>
      </c>
      <c r="H34">
        <f t="shared" si="9"/>
        <v>10280000</v>
      </c>
      <c r="I34">
        <f t="shared" si="9"/>
        <v>9430000</v>
      </c>
      <c r="J34">
        <f t="shared" si="9"/>
        <v>8920000</v>
      </c>
      <c r="K34">
        <f t="shared" si="9"/>
        <v>8410000</v>
      </c>
      <c r="L34">
        <f t="shared" si="9"/>
        <v>7900000</v>
      </c>
    </row>
    <row r="35" spans="1:12" x14ac:dyDescent="0.25">
      <c r="A35" t="s">
        <v>9</v>
      </c>
      <c r="B35">
        <f t="shared" si="7"/>
        <v>500000</v>
      </c>
      <c r="C35">
        <f t="shared" si="7"/>
        <v>440000</v>
      </c>
      <c r="D35">
        <f t="shared" ref="D35:L35" si="10">INDEX($B21:$AF21,MATCH(D$31,$B$17:$AF$17))</f>
        <v>380000</v>
      </c>
      <c r="E35">
        <f t="shared" si="10"/>
        <v>320000</v>
      </c>
      <c r="F35">
        <f t="shared" si="10"/>
        <v>280000</v>
      </c>
      <c r="G35">
        <f t="shared" si="10"/>
        <v>250000</v>
      </c>
      <c r="H35">
        <f t="shared" si="10"/>
        <v>220000</v>
      </c>
      <c r="I35">
        <f t="shared" si="10"/>
        <v>195000</v>
      </c>
      <c r="J35">
        <f t="shared" si="10"/>
        <v>180000</v>
      </c>
      <c r="K35">
        <f t="shared" si="10"/>
        <v>165000</v>
      </c>
      <c r="L35">
        <f t="shared" si="10"/>
        <v>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9D17-3AD9-4157-B5D9-B07ADB60A721}">
  <dimension ref="A1:AF23"/>
  <sheetViews>
    <sheetView workbookViewId="0">
      <selection sqref="A1:F10"/>
    </sheetView>
  </sheetViews>
  <sheetFormatPr defaultRowHeight="15" x14ac:dyDescent="0.25"/>
  <cols>
    <col min="2" max="2" width="11.140625" bestFit="1" customWidth="1"/>
  </cols>
  <sheetData>
    <row r="1" spans="1:32" x14ac:dyDescent="0.25">
      <c r="A1" s="1" t="s">
        <v>1</v>
      </c>
      <c r="B1" s="1" t="s">
        <v>12</v>
      </c>
      <c r="C1" s="1" t="s">
        <v>11</v>
      </c>
      <c r="D1" s="1" t="s">
        <v>13</v>
      </c>
      <c r="E1" s="1"/>
      <c r="F1" s="1" t="s">
        <v>31</v>
      </c>
    </row>
    <row r="2" spans="1:32" x14ac:dyDescent="0.25">
      <c r="A2" t="s">
        <v>72</v>
      </c>
      <c r="B2">
        <v>100</v>
      </c>
      <c r="C2" t="s">
        <v>73</v>
      </c>
      <c r="D2" t="s">
        <v>74</v>
      </c>
    </row>
    <row r="3" spans="1:32" x14ac:dyDescent="0.25">
      <c r="A3" t="s">
        <v>70</v>
      </c>
      <c r="B3">
        <v>4.1669999999999998</v>
      </c>
      <c r="C3" t="s">
        <v>75</v>
      </c>
      <c r="F3" t="s">
        <v>89</v>
      </c>
    </row>
    <row r="4" spans="1:32" x14ac:dyDescent="0.25">
      <c r="A4" t="s">
        <v>76</v>
      </c>
      <c r="B4">
        <v>3.5</v>
      </c>
      <c r="C4" t="s">
        <v>77</v>
      </c>
      <c r="D4" t="s">
        <v>78</v>
      </c>
    </row>
    <row r="5" spans="1:32" x14ac:dyDescent="0.25">
      <c r="A5" t="s">
        <v>79</v>
      </c>
      <c r="B5" s="3">
        <v>100000</v>
      </c>
      <c r="C5" t="s">
        <v>73</v>
      </c>
      <c r="D5" t="s">
        <v>78</v>
      </c>
      <c r="F5" t="s">
        <v>90</v>
      </c>
    </row>
    <row r="6" spans="1:32" x14ac:dyDescent="0.25">
      <c r="A6" t="s">
        <v>80</v>
      </c>
      <c r="B6" s="3">
        <v>120700000</v>
      </c>
      <c r="C6" t="s">
        <v>81</v>
      </c>
      <c r="D6" t="s">
        <v>78</v>
      </c>
    </row>
    <row r="7" spans="1:32" x14ac:dyDescent="0.25">
      <c r="A7" t="s">
        <v>26</v>
      </c>
      <c r="B7">
        <v>30</v>
      </c>
      <c r="C7" t="s">
        <v>82</v>
      </c>
      <c r="D7" t="s">
        <v>78</v>
      </c>
    </row>
    <row r="8" spans="1:32" x14ac:dyDescent="0.25">
      <c r="A8" t="s">
        <v>71</v>
      </c>
      <c r="B8">
        <v>0.94</v>
      </c>
      <c r="C8" t="s">
        <v>83</v>
      </c>
      <c r="D8" t="s">
        <v>84</v>
      </c>
    </row>
    <row r="9" spans="1:32" x14ac:dyDescent="0.25">
      <c r="A9" t="s">
        <v>4</v>
      </c>
      <c r="B9" s="3">
        <v>113458</v>
      </c>
      <c r="C9" t="s">
        <v>85</v>
      </c>
      <c r="F9" t="s">
        <v>88</v>
      </c>
    </row>
    <row r="10" spans="1:32" x14ac:dyDescent="0.25">
      <c r="A10" t="s">
        <v>86</v>
      </c>
      <c r="B10" s="2">
        <v>0.02</v>
      </c>
      <c r="C10" t="s">
        <v>87</v>
      </c>
    </row>
    <row r="12" spans="1:32" x14ac:dyDescent="0.25">
      <c r="B12">
        <v>2020</v>
      </c>
      <c r="C12">
        <v>2021</v>
      </c>
      <c r="D12">
        <v>2022</v>
      </c>
      <c r="E12">
        <v>2023</v>
      </c>
      <c r="F12">
        <v>2024</v>
      </c>
      <c r="G12">
        <v>2025</v>
      </c>
      <c r="H12">
        <v>2026</v>
      </c>
      <c r="I12">
        <v>2027</v>
      </c>
      <c r="J12">
        <v>2028</v>
      </c>
      <c r="K12">
        <v>2029</v>
      </c>
      <c r="L12">
        <v>2030</v>
      </c>
      <c r="M12">
        <v>2031</v>
      </c>
      <c r="N12">
        <v>2032</v>
      </c>
      <c r="O12">
        <v>2033</v>
      </c>
      <c r="P12">
        <v>2034</v>
      </c>
      <c r="Q12">
        <v>2035</v>
      </c>
      <c r="R12">
        <v>2036</v>
      </c>
      <c r="S12">
        <v>2037</v>
      </c>
      <c r="T12">
        <v>2038</v>
      </c>
      <c r="U12">
        <v>2039</v>
      </c>
      <c r="V12">
        <v>2040</v>
      </c>
      <c r="W12">
        <v>2041</v>
      </c>
      <c r="X12">
        <v>2042</v>
      </c>
      <c r="Y12">
        <v>2043</v>
      </c>
      <c r="Z12">
        <v>2044</v>
      </c>
      <c r="AA12">
        <v>2045</v>
      </c>
      <c r="AB12">
        <v>2046</v>
      </c>
      <c r="AC12">
        <v>2047</v>
      </c>
      <c r="AD12">
        <v>2048</v>
      </c>
      <c r="AE12">
        <v>2049</v>
      </c>
      <c r="AF12">
        <v>2050</v>
      </c>
    </row>
    <row r="13" spans="1:32" x14ac:dyDescent="0.25">
      <c r="A13" t="s">
        <v>23</v>
      </c>
      <c r="B13">
        <v>0</v>
      </c>
      <c r="C13">
        <v>1</v>
      </c>
      <c r="D13">
        <v>2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</row>
    <row r="14" spans="1:32" x14ac:dyDescent="0.25">
      <c r="A14" t="s">
        <v>91</v>
      </c>
      <c r="B14">
        <f t="shared" ref="B14:AF14" si="0">$B$8*B15+B16</f>
        <v>108919.67999999999</v>
      </c>
      <c r="C14">
        <f t="shared" si="0"/>
        <v>108919.67999999999</v>
      </c>
      <c r="D14">
        <f t="shared" si="0"/>
        <v>108919.67999999999</v>
      </c>
      <c r="E14">
        <f t="shared" si="0"/>
        <v>108919.67999999999</v>
      </c>
      <c r="F14">
        <f t="shared" si="0"/>
        <v>108919.67999999999</v>
      </c>
      <c r="G14">
        <f t="shared" si="0"/>
        <v>108919.67999999999</v>
      </c>
      <c r="H14">
        <f t="shared" si="0"/>
        <v>108919.67999999999</v>
      </c>
      <c r="I14">
        <f t="shared" si="0"/>
        <v>108919.67999999999</v>
      </c>
      <c r="J14">
        <f t="shared" si="0"/>
        <v>108919.67999999999</v>
      </c>
      <c r="K14">
        <f t="shared" si="0"/>
        <v>108919.67999999999</v>
      </c>
      <c r="L14">
        <f t="shared" si="0"/>
        <v>108919.67999999999</v>
      </c>
      <c r="M14">
        <f t="shared" si="0"/>
        <v>108919.67999999999</v>
      </c>
      <c r="N14">
        <f t="shared" si="0"/>
        <v>108919.67999999999</v>
      </c>
      <c r="O14">
        <f t="shared" si="0"/>
        <v>108919.67999999999</v>
      </c>
      <c r="P14">
        <f t="shared" si="0"/>
        <v>108919.67999999999</v>
      </c>
      <c r="Q14">
        <f t="shared" si="0"/>
        <v>108919.67999999999</v>
      </c>
      <c r="R14">
        <f t="shared" si="0"/>
        <v>108919.67999999999</v>
      </c>
      <c r="S14">
        <f t="shared" si="0"/>
        <v>108919.67999999999</v>
      </c>
      <c r="T14">
        <f t="shared" si="0"/>
        <v>108919.67999999999</v>
      </c>
      <c r="U14">
        <f t="shared" si="0"/>
        <v>108919.67999999999</v>
      </c>
      <c r="V14">
        <f t="shared" si="0"/>
        <v>108919.67999999999</v>
      </c>
      <c r="W14">
        <f t="shared" si="0"/>
        <v>108919.67999999999</v>
      </c>
      <c r="X14">
        <f t="shared" si="0"/>
        <v>108919.67999999999</v>
      </c>
      <c r="Y14">
        <f t="shared" si="0"/>
        <v>108919.67999999999</v>
      </c>
      <c r="Z14">
        <f t="shared" si="0"/>
        <v>108919.67999999999</v>
      </c>
      <c r="AA14">
        <f t="shared" si="0"/>
        <v>108919.67999999999</v>
      </c>
      <c r="AB14">
        <f t="shared" si="0"/>
        <v>108919.67999999999</v>
      </c>
      <c r="AC14">
        <f t="shared" si="0"/>
        <v>108919.67999999999</v>
      </c>
      <c r="AD14">
        <f t="shared" si="0"/>
        <v>108919.67999999999</v>
      </c>
      <c r="AE14">
        <f t="shared" si="0"/>
        <v>108919.67999999999</v>
      </c>
      <c r="AF14">
        <f t="shared" si="0"/>
        <v>108919.67999999999</v>
      </c>
    </row>
    <row r="15" spans="1:32" x14ac:dyDescent="0.25">
      <c r="A15" t="s">
        <v>4</v>
      </c>
      <c r="B15" s="3">
        <f>$B$9</f>
        <v>113458</v>
      </c>
      <c r="C15" s="3">
        <f t="shared" ref="C15:AF15" si="1">$B$9</f>
        <v>113458</v>
      </c>
      <c r="D15" s="3">
        <f t="shared" si="1"/>
        <v>113458</v>
      </c>
      <c r="E15" s="3">
        <f t="shared" si="1"/>
        <v>113458</v>
      </c>
      <c r="F15" s="3">
        <f t="shared" si="1"/>
        <v>113458</v>
      </c>
      <c r="G15" s="3">
        <f t="shared" si="1"/>
        <v>113458</v>
      </c>
      <c r="H15" s="3">
        <f t="shared" si="1"/>
        <v>113458</v>
      </c>
      <c r="I15" s="3">
        <f t="shared" si="1"/>
        <v>113458</v>
      </c>
      <c r="J15" s="3">
        <f t="shared" si="1"/>
        <v>113458</v>
      </c>
      <c r="K15" s="3">
        <f t="shared" si="1"/>
        <v>113458</v>
      </c>
      <c r="L15" s="3">
        <f t="shared" si="1"/>
        <v>113458</v>
      </c>
      <c r="M15" s="3">
        <f t="shared" si="1"/>
        <v>113458</v>
      </c>
      <c r="N15" s="3">
        <f t="shared" si="1"/>
        <v>113458</v>
      </c>
      <c r="O15" s="3">
        <f t="shared" si="1"/>
        <v>113458</v>
      </c>
      <c r="P15" s="3">
        <f t="shared" si="1"/>
        <v>113458</v>
      </c>
      <c r="Q15" s="3">
        <f t="shared" si="1"/>
        <v>113458</v>
      </c>
      <c r="R15" s="3">
        <f t="shared" si="1"/>
        <v>113458</v>
      </c>
      <c r="S15" s="3">
        <f t="shared" si="1"/>
        <v>113458</v>
      </c>
      <c r="T15" s="3">
        <f t="shared" si="1"/>
        <v>113458</v>
      </c>
      <c r="U15" s="3">
        <f t="shared" si="1"/>
        <v>113458</v>
      </c>
      <c r="V15" s="3">
        <f t="shared" si="1"/>
        <v>113458</v>
      </c>
      <c r="W15" s="3">
        <f t="shared" si="1"/>
        <v>113458</v>
      </c>
      <c r="X15" s="3">
        <f t="shared" si="1"/>
        <v>113458</v>
      </c>
      <c r="Y15" s="3">
        <f t="shared" si="1"/>
        <v>113458</v>
      </c>
      <c r="Z15" s="3">
        <f t="shared" si="1"/>
        <v>113458</v>
      </c>
      <c r="AA15" s="3">
        <f t="shared" si="1"/>
        <v>113458</v>
      </c>
      <c r="AB15" s="3">
        <f t="shared" si="1"/>
        <v>113458</v>
      </c>
      <c r="AC15" s="3">
        <f t="shared" si="1"/>
        <v>113458</v>
      </c>
      <c r="AD15" s="3">
        <f t="shared" si="1"/>
        <v>113458</v>
      </c>
      <c r="AE15" s="3">
        <f t="shared" si="1"/>
        <v>113458</v>
      </c>
      <c r="AF15" s="3">
        <f t="shared" si="1"/>
        <v>113458</v>
      </c>
    </row>
    <row r="16" spans="1:32" x14ac:dyDescent="0.25">
      <c r="A16" t="s">
        <v>9</v>
      </c>
      <c r="B16">
        <f>$B$10*$B$9</f>
        <v>2269.16</v>
      </c>
      <c r="C16">
        <f t="shared" ref="C16:AF16" si="2">$B$10*$B$9</f>
        <v>2269.16</v>
      </c>
      <c r="D16">
        <f t="shared" si="2"/>
        <v>2269.16</v>
      </c>
      <c r="E16">
        <f t="shared" si="2"/>
        <v>2269.16</v>
      </c>
      <c r="F16">
        <f t="shared" si="2"/>
        <v>2269.16</v>
      </c>
      <c r="G16">
        <f t="shared" si="2"/>
        <v>2269.16</v>
      </c>
      <c r="H16">
        <f t="shared" si="2"/>
        <v>2269.16</v>
      </c>
      <c r="I16">
        <f t="shared" si="2"/>
        <v>2269.16</v>
      </c>
      <c r="J16">
        <f t="shared" si="2"/>
        <v>2269.16</v>
      </c>
      <c r="K16">
        <f t="shared" si="2"/>
        <v>2269.16</v>
      </c>
      <c r="L16">
        <f t="shared" si="2"/>
        <v>2269.16</v>
      </c>
      <c r="M16">
        <f t="shared" si="2"/>
        <v>2269.16</v>
      </c>
      <c r="N16">
        <f t="shared" si="2"/>
        <v>2269.16</v>
      </c>
      <c r="O16">
        <f t="shared" si="2"/>
        <v>2269.16</v>
      </c>
      <c r="P16">
        <f t="shared" si="2"/>
        <v>2269.16</v>
      </c>
      <c r="Q16">
        <f t="shared" si="2"/>
        <v>2269.16</v>
      </c>
      <c r="R16">
        <f t="shared" si="2"/>
        <v>2269.16</v>
      </c>
      <c r="S16">
        <f t="shared" si="2"/>
        <v>2269.16</v>
      </c>
      <c r="T16">
        <f t="shared" si="2"/>
        <v>2269.16</v>
      </c>
      <c r="U16">
        <f t="shared" si="2"/>
        <v>2269.16</v>
      </c>
      <c r="V16">
        <f t="shared" si="2"/>
        <v>2269.16</v>
      </c>
      <c r="W16">
        <f t="shared" si="2"/>
        <v>2269.16</v>
      </c>
      <c r="X16">
        <f t="shared" si="2"/>
        <v>2269.16</v>
      </c>
      <c r="Y16">
        <f t="shared" si="2"/>
        <v>2269.16</v>
      </c>
      <c r="Z16">
        <f t="shared" si="2"/>
        <v>2269.16</v>
      </c>
      <c r="AA16">
        <f t="shared" si="2"/>
        <v>2269.16</v>
      </c>
      <c r="AB16">
        <f t="shared" si="2"/>
        <v>2269.16</v>
      </c>
      <c r="AC16">
        <f t="shared" si="2"/>
        <v>2269.16</v>
      </c>
      <c r="AD16">
        <f t="shared" si="2"/>
        <v>2269.16</v>
      </c>
      <c r="AE16">
        <f t="shared" si="2"/>
        <v>2269.16</v>
      </c>
      <c r="AF16">
        <f t="shared" si="2"/>
        <v>2269.16</v>
      </c>
    </row>
    <row r="19" spans="1:12" x14ac:dyDescent="0.25">
      <c r="A19" t="s">
        <v>35</v>
      </c>
      <c r="B19">
        <v>2020</v>
      </c>
      <c r="C19">
        <v>2023</v>
      </c>
      <c r="D19">
        <v>2026</v>
      </c>
      <c r="E19">
        <v>2029</v>
      </c>
      <c r="F19">
        <v>2032</v>
      </c>
      <c r="G19">
        <v>2035</v>
      </c>
      <c r="H19">
        <v>2038</v>
      </c>
      <c r="I19">
        <v>2041</v>
      </c>
      <c r="J19">
        <v>2044</v>
      </c>
      <c r="K19">
        <v>2047</v>
      </c>
      <c r="L19">
        <v>2050</v>
      </c>
    </row>
    <row r="20" spans="1:12" x14ac:dyDescent="0.25">
      <c r="A20" t="s">
        <v>34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</row>
    <row r="21" spans="1:12" x14ac:dyDescent="0.25">
      <c r="A21" t="s">
        <v>91</v>
      </c>
      <c r="B21">
        <f>INDEX($B14:$AF14,MATCH(B$19,$B$12:$AF$12))</f>
        <v>108919.67999999999</v>
      </c>
      <c r="C21">
        <f t="shared" ref="C21:L21" si="3">INDEX($B14:$AF14,MATCH(C$19,$B$12:$AF$12))</f>
        <v>108919.67999999999</v>
      </c>
      <c r="D21">
        <f t="shared" si="3"/>
        <v>108919.67999999999</v>
      </c>
      <c r="E21">
        <f t="shared" si="3"/>
        <v>108919.67999999999</v>
      </c>
      <c r="F21">
        <f t="shared" si="3"/>
        <v>108919.67999999999</v>
      </c>
      <c r="G21">
        <f t="shared" si="3"/>
        <v>108919.67999999999</v>
      </c>
      <c r="H21">
        <f t="shared" si="3"/>
        <v>108919.67999999999</v>
      </c>
      <c r="I21">
        <f t="shared" si="3"/>
        <v>108919.67999999999</v>
      </c>
      <c r="J21">
        <f t="shared" si="3"/>
        <v>108919.67999999999</v>
      </c>
      <c r="K21">
        <f t="shared" si="3"/>
        <v>108919.67999999999</v>
      </c>
      <c r="L21">
        <f t="shared" si="3"/>
        <v>108919.67999999999</v>
      </c>
    </row>
    <row r="22" spans="1:12" x14ac:dyDescent="0.25">
      <c r="A22" t="s">
        <v>4</v>
      </c>
      <c r="B22">
        <f>INDEX($B15:$AF15,MATCH(B$19,$B$12:$AF$12))</f>
        <v>113458</v>
      </c>
      <c r="C22">
        <f t="shared" ref="C22:L22" si="4">INDEX($B15:$AF15,MATCH(C$19,$B$12:$AF$12))</f>
        <v>113458</v>
      </c>
      <c r="D22">
        <f t="shared" si="4"/>
        <v>113458</v>
      </c>
      <c r="E22">
        <f t="shared" si="4"/>
        <v>113458</v>
      </c>
      <c r="F22">
        <f t="shared" si="4"/>
        <v>113458</v>
      </c>
      <c r="G22">
        <f t="shared" si="4"/>
        <v>113458</v>
      </c>
      <c r="H22">
        <f t="shared" si="4"/>
        <v>113458</v>
      </c>
      <c r="I22">
        <f t="shared" si="4"/>
        <v>113458</v>
      </c>
      <c r="J22">
        <f t="shared" si="4"/>
        <v>113458</v>
      </c>
      <c r="K22">
        <f t="shared" si="4"/>
        <v>113458</v>
      </c>
      <c r="L22">
        <f t="shared" si="4"/>
        <v>113458</v>
      </c>
    </row>
    <row r="23" spans="1:12" x14ac:dyDescent="0.25">
      <c r="A23" t="s">
        <v>9</v>
      </c>
      <c r="B23">
        <f>INDEX($B16:$AF16,MATCH(B$19,$B$12:$AF$12))</f>
        <v>2269.16</v>
      </c>
      <c r="C23">
        <f t="shared" ref="C23:L23" si="5">INDEX($B16:$AF16,MATCH(C$19,$B$12:$AF$12))</f>
        <v>2269.16</v>
      </c>
      <c r="D23">
        <f t="shared" si="5"/>
        <v>2269.16</v>
      </c>
      <c r="E23">
        <f t="shared" si="5"/>
        <v>2269.16</v>
      </c>
      <c r="F23">
        <f t="shared" si="5"/>
        <v>2269.16</v>
      </c>
      <c r="G23">
        <f t="shared" si="5"/>
        <v>2269.16</v>
      </c>
      <c r="H23">
        <f t="shared" si="5"/>
        <v>2269.16</v>
      </c>
      <c r="I23">
        <f t="shared" si="5"/>
        <v>2269.16</v>
      </c>
      <c r="J23">
        <f t="shared" si="5"/>
        <v>2269.16</v>
      </c>
      <c r="K23">
        <f t="shared" si="5"/>
        <v>2269.16</v>
      </c>
      <c r="L23">
        <f t="shared" si="5"/>
        <v>2269.16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114F-8D0E-4B44-88E7-0468FA8129CB}">
  <dimension ref="A1:AQ54"/>
  <sheetViews>
    <sheetView workbookViewId="0">
      <selection activeCell="B3" sqref="B3"/>
    </sheetView>
  </sheetViews>
  <sheetFormatPr defaultRowHeight="15" x14ac:dyDescent="0.25"/>
  <cols>
    <col min="1" max="1" width="26" customWidth="1"/>
    <col min="13" max="13" width="12" bestFit="1" customWidth="1"/>
  </cols>
  <sheetData>
    <row r="1" spans="1:43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43" x14ac:dyDescent="0.25">
      <c r="A2" t="s">
        <v>96</v>
      </c>
      <c r="B2">
        <v>0.18</v>
      </c>
      <c r="C2" t="s">
        <v>101</v>
      </c>
      <c r="D2" t="s">
        <v>109</v>
      </c>
      <c r="E2" t="s">
        <v>130</v>
      </c>
    </row>
    <row r="3" spans="1:43" x14ac:dyDescent="0.25">
      <c r="A3" t="s">
        <v>30</v>
      </c>
      <c r="B3">
        <f>($B$4*(1+$B$4)^$B$12)/((1+$B$4)^$B$12-1)</f>
        <v>9.3678779051968114E-2</v>
      </c>
      <c r="C3" t="s">
        <v>16</v>
      </c>
      <c r="D3" t="s">
        <v>15</v>
      </c>
      <c r="E3" t="s">
        <v>21</v>
      </c>
    </row>
    <row r="4" spans="1:43" x14ac:dyDescent="0.25">
      <c r="A4" t="s">
        <v>24</v>
      </c>
      <c r="B4" s="2">
        <v>0.08</v>
      </c>
      <c r="C4" t="s">
        <v>87</v>
      </c>
      <c r="E4" t="s">
        <v>21</v>
      </c>
    </row>
    <row r="5" spans="1:43" x14ac:dyDescent="0.25">
      <c r="A5" t="s">
        <v>144</v>
      </c>
      <c r="B5" s="4">
        <v>50000</v>
      </c>
      <c r="C5" t="s">
        <v>145</v>
      </c>
    </row>
    <row r="6" spans="1:43" x14ac:dyDescent="0.25">
      <c r="A6" s="1" t="s">
        <v>50</v>
      </c>
      <c r="L6" t="s">
        <v>50</v>
      </c>
      <c r="M6">
        <v>2020</v>
      </c>
      <c r="N6">
        <v>2021</v>
      </c>
      <c r="O6">
        <v>2022</v>
      </c>
      <c r="P6">
        <v>2023</v>
      </c>
      <c r="Q6">
        <v>2024</v>
      </c>
      <c r="R6">
        <v>2025</v>
      </c>
      <c r="S6">
        <v>2026</v>
      </c>
      <c r="T6">
        <v>2027</v>
      </c>
      <c r="U6">
        <v>2028</v>
      </c>
      <c r="V6">
        <v>2029</v>
      </c>
      <c r="W6">
        <v>2030</v>
      </c>
      <c r="X6">
        <v>2031</v>
      </c>
      <c r="Y6">
        <v>2032</v>
      </c>
      <c r="Z6">
        <v>2033</v>
      </c>
      <c r="AA6">
        <v>2034</v>
      </c>
      <c r="AB6">
        <v>2035</v>
      </c>
      <c r="AC6">
        <v>2036</v>
      </c>
      <c r="AD6">
        <v>2037</v>
      </c>
      <c r="AE6">
        <v>2038</v>
      </c>
      <c r="AF6">
        <v>2039</v>
      </c>
      <c r="AG6">
        <v>2040</v>
      </c>
      <c r="AH6">
        <v>2041</v>
      </c>
      <c r="AI6">
        <v>2042</v>
      </c>
      <c r="AJ6">
        <v>2043</v>
      </c>
      <c r="AK6">
        <v>2044</v>
      </c>
      <c r="AL6">
        <v>2045</v>
      </c>
      <c r="AM6">
        <v>2046</v>
      </c>
      <c r="AN6">
        <v>2047</v>
      </c>
      <c r="AO6">
        <v>2048</v>
      </c>
      <c r="AP6">
        <v>2049</v>
      </c>
      <c r="AQ6">
        <v>2050</v>
      </c>
    </row>
    <row r="7" spans="1:43" x14ac:dyDescent="0.25">
      <c r="A7" t="s">
        <v>97</v>
      </c>
      <c r="B7">
        <v>10000</v>
      </c>
      <c r="C7" t="s">
        <v>102</v>
      </c>
      <c r="E7" t="s">
        <v>130</v>
      </c>
      <c r="L7" t="s">
        <v>23</v>
      </c>
      <c r="M7">
        <v>0</v>
      </c>
      <c r="N7">
        <v>1</v>
      </c>
      <c r="O7">
        <v>2</v>
      </c>
      <c r="P7">
        <v>4</v>
      </c>
      <c r="Q7">
        <v>5</v>
      </c>
      <c r="R7">
        <v>6</v>
      </c>
      <c r="S7">
        <v>7</v>
      </c>
      <c r="T7">
        <v>8</v>
      </c>
      <c r="U7">
        <v>9</v>
      </c>
      <c r="V7">
        <v>10</v>
      </c>
      <c r="W7">
        <v>11</v>
      </c>
      <c r="X7">
        <v>12</v>
      </c>
      <c r="Y7">
        <v>13</v>
      </c>
      <c r="Z7">
        <v>14</v>
      </c>
      <c r="AA7">
        <v>15</v>
      </c>
      <c r="AB7">
        <v>16</v>
      </c>
      <c r="AC7">
        <v>17</v>
      </c>
      <c r="AD7">
        <v>18</v>
      </c>
      <c r="AE7">
        <v>19</v>
      </c>
      <c r="AF7">
        <v>20</v>
      </c>
      <c r="AG7">
        <v>21</v>
      </c>
      <c r="AH7">
        <v>22</v>
      </c>
      <c r="AI7">
        <v>23</v>
      </c>
      <c r="AJ7">
        <v>24</v>
      </c>
      <c r="AK7">
        <v>25</v>
      </c>
      <c r="AL7">
        <v>26</v>
      </c>
      <c r="AM7">
        <v>27</v>
      </c>
      <c r="AN7">
        <v>28</v>
      </c>
      <c r="AO7">
        <v>29</v>
      </c>
      <c r="AP7">
        <v>30</v>
      </c>
      <c r="AQ7">
        <v>31</v>
      </c>
    </row>
    <row r="8" spans="1:43" x14ac:dyDescent="0.25">
      <c r="A8" t="s">
        <v>98</v>
      </c>
      <c r="B8">
        <f>100000/365</f>
        <v>273.97260273972603</v>
      </c>
      <c r="C8" t="s">
        <v>99</v>
      </c>
      <c r="D8" t="s">
        <v>100</v>
      </c>
      <c r="E8" t="s">
        <v>21</v>
      </c>
      <c r="L8" t="s">
        <v>116</v>
      </c>
      <c r="M8">
        <f>$B$3*M9+M10</f>
        <v>7373999.7322123339</v>
      </c>
      <c r="N8">
        <f t="shared" ref="N8:AQ8" si="0">$B$3*N9+N10</f>
        <v>7373999.7322123339</v>
      </c>
      <c r="O8">
        <f t="shared" si="0"/>
        <v>7373999.7322123339</v>
      </c>
      <c r="P8">
        <f t="shared" si="0"/>
        <v>7373999.7322123339</v>
      </c>
      <c r="Q8">
        <f t="shared" si="0"/>
        <v>7373999.7322123339</v>
      </c>
      <c r="R8">
        <f t="shared" si="0"/>
        <v>7373999.7322123339</v>
      </c>
      <c r="S8">
        <f t="shared" si="0"/>
        <v>7373999.7322123339</v>
      </c>
      <c r="T8">
        <f t="shared" si="0"/>
        <v>7373999.7322123339</v>
      </c>
      <c r="U8">
        <f t="shared" si="0"/>
        <v>7373999.7322123339</v>
      </c>
      <c r="V8">
        <f t="shared" si="0"/>
        <v>7373999.7322123339</v>
      </c>
      <c r="W8">
        <f t="shared" si="0"/>
        <v>7373999.7322123339</v>
      </c>
      <c r="X8">
        <f t="shared" si="0"/>
        <v>7373999.7322123339</v>
      </c>
      <c r="Y8">
        <f t="shared" si="0"/>
        <v>7373999.7322123339</v>
      </c>
      <c r="Z8">
        <f t="shared" si="0"/>
        <v>7373999.7322123339</v>
      </c>
      <c r="AA8">
        <f t="shared" si="0"/>
        <v>7373999.7322123339</v>
      </c>
      <c r="AB8">
        <f t="shared" si="0"/>
        <v>7373999.7322123339</v>
      </c>
      <c r="AC8">
        <f t="shared" si="0"/>
        <v>7373999.7322123339</v>
      </c>
      <c r="AD8">
        <f t="shared" si="0"/>
        <v>7373999.7322123339</v>
      </c>
      <c r="AE8">
        <f t="shared" si="0"/>
        <v>7373999.7322123339</v>
      </c>
      <c r="AF8">
        <f t="shared" si="0"/>
        <v>7373999.7322123339</v>
      </c>
      <c r="AG8">
        <f t="shared" si="0"/>
        <v>7373999.7322123339</v>
      </c>
      <c r="AH8">
        <f t="shared" si="0"/>
        <v>7373999.7322123339</v>
      </c>
      <c r="AI8">
        <f t="shared" si="0"/>
        <v>7373999.7322123339</v>
      </c>
      <c r="AJ8">
        <f t="shared" si="0"/>
        <v>7373999.7322123339</v>
      </c>
      <c r="AK8">
        <f t="shared" si="0"/>
        <v>7373999.7322123339</v>
      </c>
      <c r="AL8">
        <f t="shared" si="0"/>
        <v>7373999.7322123339</v>
      </c>
      <c r="AM8">
        <f t="shared" si="0"/>
        <v>7373999.7322123339</v>
      </c>
      <c r="AN8">
        <f t="shared" si="0"/>
        <v>7373999.7322123339</v>
      </c>
      <c r="AO8">
        <f t="shared" si="0"/>
        <v>7373999.7322123339</v>
      </c>
      <c r="AP8">
        <f t="shared" si="0"/>
        <v>7373999.7322123339</v>
      </c>
      <c r="AQ8">
        <f t="shared" si="0"/>
        <v>7373999.7322123339</v>
      </c>
    </row>
    <row r="9" spans="1:43" x14ac:dyDescent="0.25">
      <c r="A9" t="s">
        <v>104</v>
      </c>
      <c r="B9">
        <v>80</v>
      </c>
      <c r="C9" t="s">
        <v>105</v>
      </c>
      <c r="D9" t="s">
        <v>100</v>
      </c>
      <c r="E9" t="s">
        <v>21</v>
      </c>
      <c r="L9" t="s">
        <v>4</v>
      </c>
      <c r="M9">
        <f>M17*$B$11</f>
        <v>66666666.666666649</v>
      </c>
      <c r="N9">
        <f t="shared" ref="N9:AQ9" si="1">N17*$B$11</f>
        <v>66666666.666666649</v>
      </c>
      <c r="O9">
        <f t="shared" si="1"/>
        <v>66666666.666666649</v>
      </c>
      <c r="P9">
        <f t="shared" si="1"/>
        <v>66666666.666666649</v>
      </c>
      <c r="Q9">
        <f t="shared" si="1"/>
        <v>66666666.666666649</v>
      </c>
      <c r="R9">
        <f t="shared" si="1"/>
        <v>66666666.666666649</v>
      </c>
      <c r="S9">
        <f t="shared" si="1"/>
        <v>66666666.666666649</v>
      </c>
      <c r="T9">
        <f t="shared" si="1"/>
        <v>66666666.666666649</v>
      </c>
      <c r="U9">
        <f t="shared" si="1"/>
        <v>66666666.666666649</v>
      </c>
      <c r="V9">
        <f t="shared" si="1"/>
        <v>66666666.666666649</v>
      </c>
      <c r="W9">
        <f t="shared" si="1"/>
        <v>66666666.666666649</v>
      </c>
      <c r="X9">
        <f t="shared" si="1"/>
        <v>66666666.666666649</v>
      </c>
      <c r="Y9">
        <f t="shared" si="1"/>
        <v>66666666.666666649</v>
      </c>
      <c r="Z9">
        <f t="shared" si="1"/>
        <v>66666666.666666649</v>
      </c>
      <c r="AA9">
        <f t="shared" si="1"/>
        <v>66666666.666666649</v>
      </c>
      <c r="AB9">
        <f t="shared" si="1"/>
        <v>66666666.666666649</v>
      </c>
      <c r="AC9">
        <f t="shared" si="1"/>
        <v>66666666.666666649</v>
      </c>
      <c r="AD9">
        <f t="shared" si="1"/>
        <v>66666666.666666649</v>
      </c>
      <c r="AE9">
        <f t="shared" si="1"/>
        <v>66666666.666666649</v>
      </c>
      <c r="AF9">
        <f t="shared" si="1"/>
        <v>66666666.666666649</v>
      </c>
      <c r="AG9">
        <f t="shared" si="1"/>
        <v>66666666.666666649</v>
      </c>
      <c r="AH9">
        <f t="shared" si="1"/>
        <v>66666666.666666649</v>
      </c>
      <c r="AI9">
        <f t="shared" si="1"/>
        <v>66666666.666666649</v>
      </c>
      <c r="AJ9">
        <f t="shared" si="1"/>
        <v>66666666.666666649</v>
      </c>
      <c r="AK9">
        <f t="shared" si="1"/>
        <v>66666666.666666649</v>
      </c>
      <c r="AL9">
        <f t="shared" si="1"/>
        <v>66666666.666666649</v>
      </c>
      <c r="AM9">
        <f t="shared" si="1"/>
        <v>66666666.666666649</v>
      </c>
      <c r="AN9">
        <f t="shared" si="1"/>
        <v>66666666.666666649</v>
      </c>
      <c r="AO9">
        <f t="shared" si="1"/>
        <v>66666666.666666649</v>
      </c>
      <c r="AP9">
        <f t="shared" si="1"/>
        <v>66666666.666666649</v>
      </c>
      <c r="AQ9">
        <f t="shared" si="1"/>
        <v>66666666.666666649</v>
      </c>
    </row>
    <row r="10" spans="1:43" x14ac:dyDescent="0.25">
      <c r="A10" t="s">
        <v>107</v>
      </c>
      <c r="B10">
        <f>0.177/$B$2</f>
        <v>0.98333333333333328</v>
      </c>
      <c r="C10" t="s">
        <v>16</v>
      </c>
      <c r="D10" t="s">
        <v>100</v>
      </c>
      <c r="E10" t="s">
        <v>21</v>
      </c>
      <c r="L10" t="s">
        <v>9</v>
      </c>
      <c r="M10">
        <f>M18*$B$11</f>
        <v>1128747.7954144618</v>
      </c>
      <c r="N10">
        <f t="shared" ref="N10:AQ10" si="2">N18*$B$11</f>
        <v>1128747.7954144618</v>
      </c>
      <c r="O10">
        <f t="shared" si="2"/>
        <v>1128747.7954144618</v>
      </c>
      <c r="P10">
        <f t="shared" si="2"/>
        <v>1128747.7954144618</v>
      </c>
      <c r="Q10">
        <f t="shared" si="2"/>
        <v>1128747.7954144618</v>
      </c>
      <c r="R10">
        <f t="shared" si="2"/>
        <v>1128747.7954144618</v>
      </c>
      <c r="S10">
        <f t="shared" si="2"/>
        <v>1128747.7954144618</v>
      </c>
      <c r="T10">
        <f t="shared" si="2"/>
        <v>1128747.7954144618</v>
      </c>
      <c r="U10">
        <f t="shared" si="2"/>
        <v>1128747.7954144618</v>
      </c>
      <c r="V10">
        <f t="shared" si="2"/>
        <v>1128747.7954144618</v>
      </c>
      <c r="W10">
        <f t="shared" si="2"/>
        <v>1128747.7954144618</v>
      </c>
      <c r="X10">
        <f t="shared" si="2"/>
        <v>1128747.7954144618</v>
      </c>
      <c r="Y10">
        <f t="shared" si="2"/>
        <v>1128747.7954144618</v>
      </c>
      <c r="Z10">
        <f t="shared" si="2"/>
        <v>1128747.7954144618</v>
      </c>
      <c r="AA10">
        <f t="shared" si="2"/>
        <v>1128747.7954144618</v>
      </c>
      <c r="AB10">
        <f t="shared" si="2"/>
        <v>1128747.7954144618</v>
      </c>
      <c r="AC10">
        <f t="shared" si="2"/>
        <v>1128747.7954144618</v>
      </c>
      <c r="AD10">
        <f t="shared" si="2"/>
        <v>1128747.7954144618</v>
      </c>
      <c r="AE10">
        <f t="shared" si="2"/>
        <v>1128747.7954144618</v>
      </c>
      <c r="AF10">
        <f t="shared" si="2"/>
        <v>1128747.7954144618</v>
      </c>
      <c r="AG10">
        <f t="shared" si="2"/>
        <v>1128747.7954144618</v>
      </c>
      <c r="AH10">
        <f t="shared" si="2"/>
        <v>1128747.7954144618</v>
      </c>
      <c r="AI10">
        <f t="shared" si="2"/>
        <v>1128747.7954144618</v>
      </c>
      <c r="AJ10">
        <f t="shared" si="2"/>
        <v>1128747.7954144618</v>
      </c>
      <c r="AK10">
        <f t="shared" si="2"/>
        <v>1128747.7954144618</v>
      </c>
      <c r="AL10">
        <f t="shared" si="2"/>
        <v>1128747.7954144618</v>
      </c>
      <c r="AM10">
        <f t="shared" si="2"/>
        <v>1128747.7954144618</v>
      </c>
      <c r="AN10">
        <f t="shared" si="2"/>
        <v>1128747.7954144618</v>
      </c>
      <c r="AO10">
        <f t="shared" si="2"/>
        <v>1128747.7954144618</v>
      </c>
      <c r="AP10">
        <f t="shared" si="2"/>
        <v>1128747.7954144618</v>
      </c>
      <c r="AQ10">
        <f t="shared" si="2"/>
        <v>1128747.7954144618</v>
      </c>
    </row>
    <row r="11" spans="1:43" x14ac:dyDescent="0.25">
      <c r="A11" t="s">
        <v>112</v>
      </c>
      <c r="B11">
        <f>B9/B16*B15/B8</f>
        <v>5.5619047619047608</v>
      </c>
      <c r="C11" t="s">
        <v>16</v>
      </c>
      <c r="D11" t="s">
        <v>113</v>
      </c>
      <c r="E11" t="s">
        <v>21</v>
      </c>
      <c r="F11" t="s">
        <v>114</v>
      </c>
    </row>
    <row r="12" spans="1:43" x14ac:dyDescent="0.25">
      <c r="A12" t="s">
        <v>26</v>
      </c>
      <c r="B12">
        <v>25</v>
      </c>
      <c r="C12" t="s">
        <v>27</v>
      </c>
      <c r="E12" t="s">
        <v>130</v>
      </c>
    </row>
    <row r="13" spans="1:43" x14ac:dyDescent="0.25">
      <c r="A13" s="1" t="s">
        <v>93</v>
      </c>
    </row>
    <row r="14" spans="1:43" x14ac:dyDescent="0.25">
      <c r="A14" t="s">
        <v>97</v>
      </c>
      <c r="B14">
        <v>10000</v>
      </c>
      <c r="C14" t="s">
        <v>102</v>
      </c>
      <c r="E14" t="s">
        <v>130</v>
      </c>
      <c r="L14" t="s">
        <v>115</v>
      </c>
      <c r="M14">
        <v>2020</v>
      </c>
      <c r="N14">
        <v>2021</v>
      </c>
      <c r="O14">
        <v>2022</v>
      </c>
      <c r="P14">
        <v>2023</v>
      </c>
      <c r="Q14">
        <v>2024</v>
      </c>
      <c r="R14">
        <v>2025</v>
      </c>
      <c r="S14">
        <v>2026</v>
      </c>
      <c r="T14">
        <v>2027</v>
      </c>
      <c r="U14">
        <v>2028</v>
      </c>
      <c r="V14">
        <v>2029</v>
      </c>
      <c r="W14">
        <v>2030</v>
      </c>
      <c r="X14">
        <v>2031</v>
      </c>
      <c r="Y14">
        <v>2032</v>
      </c>
      <c r="Z14">
        <v>2033</v>
      </c>
      <c r="AA14">
        <v>2034</v>
      </c>
      <c r="AB14">
        <v>2035</v>
      </c>
      <c r="AC14">
        <v>2036</v>
      </c>
      <c r="AD14">
        <v>2037</v>
      </c>
      <c r="AE14">
        <v>2038</v>
      </c>
      <c r="AF14">
        <v>2039</v>
      </c>
      <c r="AG14">
        <v>2040</v>
      </c>
      <c r="AH14">
        <v>2041</v>
      </c>
      <c r="AI14">
        <v>2042</v>
      </c>
      <c r="AJ14">
        <v>2043</v>
      </c>
      <c r="AK14">
        <v>2044</v>
      </c>
      <c r="AL14">
        <v>2045</v>
      </c>
      <c r="AM14">
        <v>2046</v>
      </c>
      <c r="AN14">
        <v>2047</v>
      </c>
      <c r="AO14">
        <v>2048</v>
      </c>
      <c r="AP14">
        <v>2049</v>
      </c>
      <c r="AQ14">
        <v>2050</v>
      </c>
    </row>
    <row r="15" spans="1:43" x14ac:dyDescent="0.25">
      <c r="A15" t="s">
        <v>103</v>
      </c>
      <c r="B15">
        <v>1200</v>
      </c>
      <c r="C15" t="s">
        <v>99</v>
      </c>
      <c r="D15" t="s">
        <v>100</v>
      </c>
      <c r="E15" t="s">
        <v>21</v>
      </c>
      <c r="L15" t="s">
        <v>23</v>
      </c>
      <c r="M15">
        <v>0</v>
      </c>
      <c r="N15">
        <v>1</v>
      </c>
      <c r="O15">
        <v>2</v>
      </c>
      <c r="P15">
        <v>4</v>
      </c>
      <c r="Q15">
        <v>5</v>
      </c>
      <c r="R15">
        <v>6</v>
      </c>
      <c r="S15">
        <v>7</v>
      </c>
      <c r="T15">
        <v>8</v>
      </c>
      <c r="U15">
        <v>9</v>
      </c>
      <c r="V15">
        <v>10</v>
      </c>
      <c r="W15">
        <v>11</v>
      </c>
      <c r="X15">
        <v>12</v>
      </c>
      <c r="Y15">
        <v>13</v>
      </c>
      <c r="Z15">
        <v>14</v>
      </c>
      <c r="AA15">
        <v>15</v>
      </c>
      <c r="AB15">
        <v>16</v>
      </c>
      <c r="AC15">
        <v>17</v>
      </c>
      <c r="AD15">
        <v>18</v>
      </c>
      <c r="AE15">
        <v>19</v>
      </c>
      <c r="AF15">
        <v>20</v>
      </c>
      <c r="AG15">
        <v>21</v>
      </c>
      <c r="AH15">
        <v>22</v>
      </c>
      <c r="AI15">
        <v>23</v>
      </c>
      <c r="AJ15">
        <v>24</v>
      </c>
      <c r="AK15">
        <v>25</v>
      </c>
      <c r="AL15">
        <v>26</v>
      </c>
      <c r="AM15">
        <v>27</v>
      </c>
      <c r="AN15">
        <v>28</v>
      </c>
      <c r="AO15">
        <v>29</v>
      </c>
      <c r="AP15">
        <v>30</v>
      </c>
      <c r="AQ15">
        <v>31</v>
      </c>
    </row>
    <row r="16" spans="1:43" x14ac:dyDescent="0.25">
      <c r="A16" t="s">
        <v>106</v>
      </c>
      <c r="B16">
        <v>63</v>
      </c>
      <c r="C16" t="s">
        <v>105</v>
      </c>
      <c r="D16" t="s">
        <v>100</v>
      </c>
      <c r="E16" t="s">
        <v>21</v>
      </c>
      <c r="L16" t="s">
        <v>117</v>
      </c>
      <c r="M16">
        <f>$B$3*M17+M18</f>
        <v>1325804.7463737933</v>
      </c>
      <c r="N16">
        <f t="shared" ref="N16:AQ16" si="3">$B$3*N17+N18</f>
        <v>1325804.7463737933</v>
      </c>
      <c r="O16">
        <f t="shared" si="3"/>
        <v>1325804.7463737933</v>
      </c>
      <c r="P16">
        <f t="shared" si="3"/>
        <v>1325804.7463737933</v>
      </c>
      <c r="Q16">
        <f t="shared" si="3"/>
        <v>1325804.7463737933</v>
      </c>
      <c r="R16">
        <f t="shared" si="3"/>
        <v>1325804.7463737933</v>
      </c>
      <c r="S16">
        <f t="shared" si="3"/>
        <v>1325804.7463737933</v>
      </c>
      <c r="T16">
        <f t="shared" si="3"/>
        <v>1325804.7463737933</v>
      </c>
      <c r="U16">
        <f t="shared" si="3"/>
        <v>1325804.7463737933</v>
      </c>
      <c r="V16">
        <f t="shared" si="3"/>
        <v>1325804.7463737933</v>
      </c>
      <c r="W16">
        <f t="shared" si="3"/>
        <v>1325804.7463737933</v>
      </c>
      <c r="X16">
        <f t="shared" si="3"/>
        <v>1325804.7463737933</v>
      </c>
      <c r="Y16">
        <f t="shared" si="3"/>
        <v>1325804.7463737933</v>
      </c>
      <c r="Z16">
        <f t="shared" si="3"/>
        <v>1325804.7463737933</v>
      </c>
      <c r="AA16">
        <f t="shared" si="3"/>
        <v>1325804.7463737933</v>
      </c>
      <c r="AB16">
        <f t="shared" si="3"/>
        <v>1325804.7463737933</v>
      </c>
      <c r="AC16">
        <f t="shared" si="3"/>
        <v>1325804.7463737933</v>
      </c>
      <c r="AD16">
        <f t="shared" si="3"/>
        <v>1325804.7463737933</v>
      </c>
      <c r="AE16">
        <f t="shared" si="3"/>
        <v>1325804.7463737933</v>
      </c>
      <c r="AF16">
        <f t="shared" si="3"/>
        <v>1325804.7463737933</v>
      </c>
      <c r="AG16">
        <f t="shared" si="3"/>
        <v>1325804.7463737933</v>
      </c>
      <c r="AH16">
        <f t="shared" si="3"/>
        <v>1325804.7463737933</v>
      </c>
      <c r="AI16">
        <f t="shared" si="3"/>
        <v>1325804.7463737933</v>
      </c>
      <c r="AJ16">
        <f t="shared" si="3"/>
        <v>1325804.7463737933</v>
      </c>
      <c r="AK16">
        <f t="shared" si="3"/>
        <v>1325804.7463737933</v>
      </c>
      <c r="AL16">
        <f t="shared" si="3"/>
        <v>1325804.7463737933</v>
      </c>
      <c r="AM16">
        <f t="shared" si="3"/>
        <v>1325804.7463737933</v>
      </c>
      <c r="AN16">
        <f t="shared" si="3"/>
        <v>1325804.7463737933</v>
      </c>
      <c r="AO16">
        <f t="shared" si="3"/>
        <v>1325804.7463737933</v>
      </c>
      <c r="AP16">
        <f t="shared" si="3"/>
        <v>1325804.7463737933</v>
      </c>
      <c r="AQ16">
        <f t="shared" si="3"/>
        <v>1325804.7463737933</v>
      </c>
    </row>
    <row r="17" spans="1:43" x14ac:dyDescent="0.25">
      <c r="A17" t="s">
        <v>108</v>
      </c>
      <c r="B17">
        <f>0.177/$B$2</f>
        <v>0.98333333333333328</v>
      </c>
      <c r="C17" t="s">
        <v>16</v>
      </c>
      <c r="D17" t="s">
        <v>100</v>
      </c>
      <c r="E17" t="s">
        <v>21</v>
      </c>
      <c r="L17" t="s">
        <v>4</v>
      </c>
      <c r="M17">
        <f>($B$18*$B$14/$B$2)/($B$15*365)</f>
        <v>11986301.369863013</v>
      </c>
      <c r="N17">
        <f t="shared" ref="N17:AQ17" si="4">($B$18*$B$14/$B$2)/($B$15*365)</f>
        <v>11986301.369863013</v>
      </c>
      <c r="O17">
        <f t="shared" si="4"/>
        <v>11986301.369863013</v>
      </c>
      <c r="P17">
        <f t="shared" si="4"/>
        <v>11986301.369863013</v>
      </c>
      <c r="Q17">
        <f t="shared" si="4"/>
        <v>11986301.369863013</v>
      </c>
      <c r="R17">
        <f t="shared" si="4"/>
        <v>11986301.369863013</v>
      </c>
      <c r="S17">
        <f t="shared" si="4"/>
        <v>11986301.369863013</v>
      </c>
      <c r="T17">
        <f t="shared" si="4"/>
        <v>11986301.369863013</v>
      </c>
      <c r="U17">
        <f t="shared" si="4"/>
        <v>11986301.369863013</v>
      </c>
      <c r="V17">
        <f t="shared" si="4"/>
        <v>11986301.369863013</v>
      </c>
      <c r="W17">
        <f t="shared" si="4"/>
        <v>11986301.369863013</v>
      </c>
      <c r="X17">
        <f t="shared" si="4"/>
        <v>11986301.369863013</v>
      </c>
      <c r="Y17">
        <f t="shared" si="4"/>
        <v>11986301.369863013</v>
      </c>
      <c r="Z17">
        <f t="shared" si="4"/>
        <v>11986301.369863013</v>
      </c>
      <c r="AA17">
        <f t="shared" si="4"/>
        <v>11986301.369863013</v>
      </c>
      <c r="AB17">
        <f t="shared" si="4"/>
        <v>11986301.369863013</v>
      </c>
      <c r="AC17">
        <f t="shared" si="4"/>
        <v>11986301.369863013</v>
      </c>
      <c r="AD17">
        <f t="shared" si="4"/>
        <v>11986301.369863013</v>
      </c>
      <c r="AE17">
        <f t="shared" si="4"/>
        <v>11986301.369863013</v>
      </c>
      <c r="AF17">
        <f t="shared" si="4"/>
        <v>11986301.369863013</v>
      </c>
      <c r="AG17">
        <f t="shared" si="4"/>
        <v>11986301.369863013</v>
      </c>
      <c r="AH17">
        <f t="shared" si="4"/>
        <v>11986301.369863013</v>
      </c>
      <c r="AI17">
        <f t="shared" si="4"/>
        <v>11986301.369863013</v>
      </c>
      <c r="AJ17">
        <f t="shared" si="4"/>
        <v>11986301.369863013</v>
      </c>
      <c r="AK17">
        <f t="shared" si="4"/>
        <v>11986301.369863013</v>
      </c>
      <c r="AL17">
        <f t="shared" si="4"/>
        <v>11986301.369863013</v>
      </c>
      <c r="AM17">
        <f t="shared" si="4"/>
        <v>11986301.369863013</v>
      </c>
      <c r="AN17">
        <f t="shared" si="4"/>
        <v>11986301.369863013</v>
      </c>
      <c r="AO17">
        <f t="shared" si="4"/>
        <v>11986301.369863013</v>
      </c>
      <c r="AP17">
        <f t="shared" si="4"/>
        <v>11986301.369863013</v>
      </c>
      <c r="AQ17">
        <f t="shared" si="4"/>
        <v>11986301.369863013</v>
      </c>
    </row>
    <row r="18" spans="1:43" x14ac:dyDescent="0.25">
      <c r="A18" t="s">
        <v>4</v>
      </c>
      <c r="B18">
        <f>94500000</f>
        <v>94500000</v>
      </c>
      <c r="C18" t="s">
        <v>110</v>
      </c>
      <c r="D18" t="s">
        <v>100</v>
      </c>
      <c r="E18" t="s">
        <v>21</v>
      </c>
      <c r="L18" t="s">
        <v>9</v>
      </c>
      <c r="M18">
        <f>($B$19*$B$14/$B$2)/($B$15*365)</f>
        <v>202942.66869609334</v>
      </c>
      <c r="N18">
        <f t="shared" ref="N18:AQ18" si="5">($B$19*$B$14/$B$2)/($B$15*365)</f>
        <v>202942.66869609334</v>
      </c>
      <c r="O18">
        <f t="shared" si="5"/>
        <v>202942.66869609334</v>
      </c>
      <c r="P18">
        <f t="shared" si="5"/>
        <v>202942.66869609334</v>
      </c>
      <c r="Q18">
        <f t="shared" si="5"/>
        <v>202942.66869609334</v>
      </c>
      <c r="R18">
        <f t="shared" si="5"/>
        <v>202942.66869609334</v>
      </c>
      <c r="S18">
        <f t="shared" si="5"/>
        <v>202942.66869609334</v>
      </c>
      <c r="T18">
        <f t="shared" si="5"/>
        <v>202942.66869609334</v>
      </c>
      <c r="U18">
        <f t="shared" si="5"/>
        <v>202942.66869609334</v>
      </c>
      <c r="V18">
        <f t="shared" si="5"/>
        <v>202942.66869609334</v>
      </c>
      <c r="W18">
        <f t="shared" si="5"/>
        <v>202942.66869609334</v>
      </c>
      <c r="X18">
        <f t="shared" si="5"/>
        <v>202942.66869609334</v>
      </c>
      <c r="Y18">
        <f t="shared" si="5"/>
        <v>202942.66869609334</v>
      </c>
      <c r="Z18">
        <f t="shared" si="5"/>
        <v>202942.66869609334</v>
      </c>
      <c r="AA18">
        <f t="shared" si="5"/>
        <v>202942.66869609334</v>
      </c>
      <c r="AB18">
        <f t="shared" si="5"/>
        <v>202942.66869609334</v>
      </c>
      <c r="AC18">
        <f t="shared" si="5"/>
        <v>202942.66869609334</v>
      </c>
      <c r="AD18">
        <f t="shared" si="5"/>
        <v>202942.66869609334</v>
      </c>
      <c r="AE18">
        <f t="shared" si="5"/>
        <v>202942.66869609334</v>
      </c>
      <c r="AF18">
        <f t="shared" si="5"/>
        <v>202942.66869609334</v>
      </c>
      <c r="AG18">
        <f t="shared" si="5"/>
        <v>202942.66869609334</v>
      </c>
      <c r="AH18">
        <f t="shared" si="5"/>
        <v>202942.66869609334</v>
      </c>
      <c r="AI18">
        <f t="shared" si="5"/>
        <v>202942.66869609334</v>
      </c>
      <c r="AJ18">
        <f t="shared" si="5"/>
        <v>202942.66869609334</v>
      </c>
      <c r="AK18">
        <f t="shared" si="5"/>
        <v>202942.66869609334</v>
      </c>
      <c r="AL18">
        <f t="shared" si="5"/>
        <v>202942.66869609334</v>
      </c>
      <c r="AM18">
        <f t="shared" si="5"/>
        <v>202942.66869609334</v>
      </c>
      <c r="AN18">
        <f t="shared" si="5"/>
        <v>202942.66869609334</v>
      </c>
      <c r="AO18">
        <f t="shared" si="5"/>
        <v>202942.66869609334</v>
      </c>
      <c r="AP18">
        <f t="shared" si="5"/>
        <v>202942.66869609334</v>
      </c>
      <c r="AQ18">
        <f t="shared" si="5"/>
        <v>202942.66869609334</v>
      </c>
    </row>
    <row r="19" spans="1:43" x14ac:dyDescent="0.25">
      <c r="A19" t="s">
        <v>9</v>
      </c>
      <c r="B19">
        <f>1600000</f>
        <v>1600000</v>
      </c>
      <c r="C19" t="s">
        <v>111</v>
      </c>
      <c r="D19" t="s">
        <v>100</v>
      </c>
      <c r="E19" t="s">
        <v>21</v>
      </c>
    </row>
    <row r="20" spans="1:43" x14ac:dyDescent="0.25">
      <c r="A20" t="s">
        <v>123</v>
      </c>
      <c r="B20">
        <v>25</v>
      </c>
      <c r="C20" t="s">
        <v>27</v>
      </c>
      <c r="E20" t="s">
        <v>130</v>
      </c>
    </row>
    <row r="22" spans="1:43" x14ac:dyDescent="0.25">
      <c r="A22" s="1" t="s">
        <v>92</v>
      </c>
    </row>
    <row r="23" spans="1:43" x14ac:dyDescent="0.25">
      <c r="A23" t="s">
        <v>124</v>
      </c>
      <c r="B23" t="s">
        <v>94</v>
      </c>
    </row>
    <row r="24" spans="1:43" x14ac:dyDescent="0.25">
      <c r="A24" t="s">
        <v>133</v>
      </c>
      <c r="B24">
        <f>50*0.94</f>
        <v>47</v>
      </c>
      <c r="C24" t="s">
        <v>125</v>
      </c>
      <c r="D24" t="s">
        <v>126</v>
      </c>
      <c r="E24" t="s">
        <v>20</v>
      </c>
      <c r="F24" t="s">
        <v>127</v>
      </c>
    </row>
    <row r="25" spans="1:43" x14ac:dyDescent="0.25">
      <c r="A25" t="s">
        <v>134</v>
      </c>
      <c r="B25">
        <f>70*0.94</f>
        <v>65.8</v>
      </c>
      <c r="C25" t="s">
        <v>125</v>
      </c>
      <c r="D25" t="s">
        <v>126</v>
      </c>
      <c r="E25" t="s">
        <v>20</v>
      </c>
      <c r="F25" t="s">
        <v>128</v>
      </c>
    </row>
    <row r="26" spans="1:43" x14ac:dyDescent="0.25">
      <c r="A26" t="s">
        <v>135</v>
      </c>
      <c r="B26">
        <f>B24/B2</f>
        <v>261.11111111111114</v>
      </c>
      <c r="C26" t="s">
        <v>131</v>
      </c>
      <c r="D26" t="s">
        <v>15</v>
      </c>
      <c r="E26" t="s">
        <v>20</v>
      </c>
      <c r="F26" t="s">
        <v>137</v>
      </c>
      <c r="G26" t="s">
        <v>132</v>
      </c>
    </row>
    <row r="27" spans="1:43" x14ac:dyDescent="0.25">
      <c r="A27" t="s">
        <v>136</v>
      </c>
      <c r="B27">
        <f>B25/B2</f>
        <v>365.55555555555554</v>
      </c>
      <c r="C27" t="s">
        <v>131</v>
      </c>
      <c r="D27" t="s">
        <v>15</v>
      </c>
      <c r="E27" t="s">
        <v>20</v>
      </c>
      <c r="F27" t="s">
        <v>138</v>
      </c>
      <c r="G27" t="s">
        <v>132</v>
      </c>
    </row>
    <row r="28" spans="1:43" x14ac:dyDescent="0.25">
      <c r="A28" t="s">
        <v>139</v>
      </c>
      <c r="B28">
        <f>(B27-B26)/(20000-10000)</f>
        <v>1.044444444444444E-2</v>
      </c>
      <c r="C28" t="s">
        <v>142</v>
      </c>
      <c r="D28" t="s">
        <v>15</v>
      </c>
      <c r="E28" t="s">
        <v>20</v>
      </c>
      <c r="F28" t="s">
        <v>141</v>
      </c>
    </row>
    <row r="29" spans="1:43" x14ac:dyDescent="0.25">
      <c r="A29" t="s">
        <v>140</v>
      </c>
      <c r="B29">
        <f>B26-B28*10000</f>
        <v>156.66666666666674</v>
      </c>
      <c r="C29" t="s">
        <v>131</v>
      </c>
      <c r="D29" t="s">
        <v>15</v>
      </c>
      <c r="E29" t="s">
        <v>20</v>
      </c>
      <c r="F29" t="s">
        <v>143</v>
      </c>
    </row>
    <row r="32" spans="1:43" x14ac:dyDescent="0.25"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5">
      <c r="A33" t="s">
        <v>23</v>
      </c>
      <c r="B33">
        <v>0</v>
      </c>
      <c r="C33">
        <v>1</v>
      </c>
      <c r="D33">
        <v>2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</row>
    <row r="34" spans="1:32" x14ac:dyDescent="0.25">
      <c r="A34" t="s">
        <v>146</v>
      </c>
      <c r="B34">
        <f>$B$29</f>
        <v>156.66666666666674</v>
      </c>
      <c r="C34">
        <f t="shared" ref="C34:AF34" si="6">$B$29</f>
        <v>156.66666666666674</v>
      </c>
      <c r="D34">
        <f t="shared" si="6"/>
        <v>156.66666666666674</v>
      </c>
      <c r="E34">
        <f t="shared" si="6"/>
        <v>156.66666666666674</v>
      </c>
      <c r="F34">
        <f t="shared" si="6"/>
        <v>156.66666666666674</v>
      </c>
      <c r="G34">
        <f t="shared" si="6"/>
        <v>156.66666666666674</v>
      </c>
      <c r="H34">
        <f t="shared" si="6"/>
        <v>156.66666666666674</v>
      </c>
      <c r="I34">
        <f t="shared" si="6"/>
        <v>156.66666666666674</v>
      </c>
      <c r="J34">
        <f t="shared" si="6"/>
        <v>156.66666666666674</v>
      </c>
      <c r="K34">
        <f t="shared" si="6"/>
        <v>156.66666666666674</v>
      </c>
      <c r="L34">
        <f t="shared" si="6"/>
        <v>156.66666666666674</v>
      </c>
      <c r="M34">
        <f t="shared" si="6"/>
        <v>156.66666666666674</v>
      </c>
      <c r="N34">
        <f t="shared" si="6"/>
        <v>156.66666666666674</v>
      </c>
      <c r="O34">
        <f t="shared" si="6"/>
        <v>156.66666666666674</v>
      </c>
      <c r="P34">
        <f t="shared" si="6"/>
        <v>156.66666666666674</v>
      </c>
      <c r="Q34">
        <f t="shared" si="6"/>
        <v>156.66666666666674</v>
      </c>
      <c r="R34">
        <f t="shared" si="6"/>
        <v>156.66666666666674</v>
      </c>
      <c r="S34">
        <f t="shared" si="6"/>
        <v>156.66666666666674</v>
      </c>
      <c r="T34">
        <f t="shared" si="6"/>
        <v>156.66666666666674</v>
      </c>
      <c r="U34">
        <f t="shared" si="6"/>
        <v>156.66666666666674</v>
      </c>
      <c r="V34">
        <f t="shared" si="6"/>
        <v>156.66666666666674</v>
      </c>
      <c r="W34">
        <f t="shared" si="6"/>
        <v>156.66666666666674</v>
      </c>
      <c r="X34">
        <f t="shared" si="6"/>
        <v>156.66666666666674</v>
      </c>
      <c r="Y34">
        <f t="shared" si="6"/>
        <v>156.66666666666674</v>
      </c>
      <c r="Z34">
        <f t="shared" si="6"/>
        <v>156.66666666666674</v>
      </c>
      <c r="AA34">
        <f t="shared" si="6"/>
        <v>156.66666666666674</v>
      </c>
      <c r="AB34">
        <f t="shared" si="6"/>
        <v>156.66666666666674</v>
      </c>
      <c r="AC34">
        <f t="shared" si="6"/>
        <v>156.66666666666674</v>
      </c>
      <c r="AD34">
        <f t="shared" si="6"/>
        <v>156.66666666666674</v>
      </c>
      <c r="AE34">
        <f t="shared" si="6"/>
        <v>156.66666666666674</v>
      </c>
      <c r="AF34">
        <f t="shared" si="6"/>
        <v>156.66666666666674</v>
      </c>
    </row>
    <row r="35" spans="1:32" x14ac:dyDescent="0.25">
      <c r="A35" t="s">
        <v>147</v>
      </c>
      <c r="B35">
        <f>$B$28</f>
        <v>1.044444444444444E-2</v>
      </c>
      <c r="C35">
        <f t="shared" ref="C35:AF35" si="7">$B$28</f>
        <v>1.044444444444444E-2</v>
      </c>
      <c r="D35">
        <f t="shared" si="7"/>
        <v>1.044444444444444E-2</v>
      </c>
      <c r="E35">
        <f t="shared" si="7"/>
        <v>1.044444444444444E-2</v>
      </c>
      <c r="F35">
        <f t="shared" si="7"/>
        <v>1.044444444444444E-2</v>
      </c>
      <c r="G35">
        <f t="shared" si="7"/>
        <v>1.044444444444444E-2</v>
      </c>
      <c r="H35">
        <f t="shared" si="7"/>
        <v>1.044444444444444E-2</v>
      </c>
      <c r="I35">
        <f t="shared" si="7"/>
        <v>1.044444444444444E-2</v>
      </c>
      <c r="J35">
        <f t="shared" si="7"/>
        <v>1.044444444444444E-2</v>
      </c>
      <c r="K35">
        <f t="shared" si="7"/>
        <v>1.044444444444444E-2</v>
      </c>
      <c r="L35">
        <f t="shared" si="7"/>
        <v>1.044444444444444E-2</v>
      </c>
      <c r="M35">
        <f t="shared" si="7"/>
        <v>1.044444444444444E-2</v>
      </c>
      <c r="N35">
        <f t="shared" si="7"/>
        <v>1.044444444444444E-2</v>
      </c>
      <c r="O35">
        <f t="shared" si="7"/>
        <v>1.044444444444444E-2</v>
      </c>
      <c r="P35">
        <f t="shared" si="7"/>
        <v>1.044444444444444E-2</v>
      </c>
      <c r="Q35">
        <f t="shared" si="7"/>
        <v>1.044444444444444E-2</v>
      </c>
      <c r="R35">
        <f t="shared" si="7"/>
        <v>1.044444444444444E-2</v>
      </c>
      <c r="S35">
        <f t="shared" si="7"/>
        <v>1.044444444444444E-2</v>
      </c>
      <c r="T35">
        <f t="shared" si="7"/>
        <v>1.044444444444444E-2</v>
      </c>
      <c r="U35">
        <f t="shared" si="7"/>
        <v>1.044444444444444E-2</v>
      </c>
      <c r="V35">
        <f t="shared" si="7"/>
        <v>1.044444444444444E-2</v>
      </c>
      <c r="W35">
        <f t="shared" si="7"/>
        <v>1.044444444444444E-2</v>
      </c>
      <c r="X35">
        <f t="shared" si="7"/>
        <v>1.044444444444444E-2</v>
      </c>
      <c r="Y35">
        <f t="shared" si="7"/>
        <v>1.044444444444444E-2</v>
      </c>
      <c r="Z35">
        <f t="shared" si="7"/>
        <v>1.044444444444444E-2</v>
      </c>
      <c r="AA35">
        <f t="shared" si="7"/>
        <v>1.044444444444444E-2</v>
      </c>
      <c r="AB35">
        <f t="shared" si="7"/>
        <v>1.044444444444444E-2</v>
      </c>
      <c r="AC35">
        <f t="shared" si="7"/>
        <v>1.044444444444444E-2</v>
      </c>
      <c r="AD35">
        <f t="shared" si="7"/>
        <v>1.044444444444444E-2</v>
      </c>
      <c r="AE35">
        <f t="shared" si="7"/>
        <v>1.044444444444444E-2</v>
      </c>
      <c r="AF35">
        <f t="shared" si="7"/>
        <v>1.044444444444444E-2</v>
      </c>
    </row>
    <row r="38" spans="1:32" x14ac:dyDescent="0.25">
      <c r="A38" t="s">
        <v>35</v>
      </c>
      <c r="B38">
        <v>2020</v>
      </c>
      <c r="C38">
        <v>2023</v>
      </c>
      <c r="D38">
        <v>2026</v>
      </c>
      <c r="E38">
        <v>2029</v>
      </c>
      <c r="F38">
        <v>2032</v>
      </c>
      <c r="G38">
        <v>2035</v>
      </c>
      <c r="H38">
        <v>2038</v>
      </c>
      <c r="I38">
        <v>2041</v>
      </c>
      <c r="J38">
        <v>2044</v>
      </c>
      <c r="K38">
        <v>2047</v>
      </c>
      <c r="L38">
        <v>2050</v>
      </c>
    </row>
    <row r="39" spans="1:32" x14ac:dyDescent="0.25">
      <c r="A39" t="s">
        <v>34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</row>
    <row r="40" spans="1:32" x14ac:dyDescent="0.25">
      <c r="A40" t="s">
        <v>146</v>
      </c>
      <c r="B40">
        <f t="shared" ref="B40:L40" si="8">INDEX($B34:$AF34,MATCH(B$38,$B$32:$AF$32))</f>
        <v>156.66666666666674</v>
      </c>
      <c r="C40">
        <f t="shared" si="8"/>
        <v>156.66666666666674</v>
      </c>
      <c r="D40">
        <f t="shared" si="8"/>
        <v>156.66666666666674</v>
      </c>
      <c r="E40">
        <f t="shared" si="8"/>
        <v>156.66666666666674</v>
      </c>
      <c r="F40">
        <f t="shared" si="8"/>
        <v>156.66666666666674</v>
      </c>
      <c r="G40">
        <f t="shared" si="8"/>
        <v>156.66666666666674</v>
      </c>
      <c r="H40">
        <f t="shared" si="8"/>
        <v>156.66666666666674</v>
      </c>
      <c r="I40">
        <f t="shared" si="8"/>
        <v>156.66666666666674</v>
      </c>
      <c r="J40">
        <f t="shared" si="8"/>
        <v>156.66666666666674</v>
      </c>
      <c r="K40">
        <f t="shared" si="8"/>
        <v>156.66666666666674</v>
      </c>
      <c r="L40">
        <f t="shared" si="8"/>
        <v>156.66666666666674</v>
      </c>
    </row>
    <row r="41" spans="1:32" x14ac:dyDescent="0.25">
      <c r="A41" t="s">
        <v>147</v>
      </c>
      <c r="B41">
        <f t="shared" ref="B41:L41" si="9">INDEX($B35:$AF35,MATCH(B$38,$B$32:$AF$32))</f>
        <v>1.044444444444444E-2</v>
      </c>
      <c r="C41">
        <f t="shared" si="9"/>
        <v>1.044444444444444E-2</v>
      </c>
      <c r="D41">
        <f t="shared" si="9"/>
        <v>1.044444444444444E-2</v>
      </c>
      <c r="E41">
        <f t="shared" si="9"/>
        <v>1.044444444444444E-2</v>
      </c>
      <c r="F41">
        <f t="shared" si="9"/>
        <v>1.044444444444444E-2</v>
      </c>
      <c r="G41">
        <f t="shared" si="9"/>
        <v>1.044444444444444E-2</v>
      </c>
      <c r="H41">
        <f t="shared" si="9"/>
        <v>1.044444444444444E-2</v>
      </c>
      <c r="I41">
        <f t="shared" si="9"/>
        <v>1.044444444444444E-2</v>
      </c>
      <c r="J41">
        <f t="shared" si="9"/>
        <v>1.044444444444444E-2</v>
      </c>
      <c r="K41">
        <f t="shared" si="9"/>
        <v>1.044444444444444E-2</v>
      </c>
      <c r="L41">
        <f t="shared" si="9"/>
        <v>1.044444444444444E-2</v>
      </c>
    </row>
    <row r="44" spans="1:32" x14ac:dyDescent="0.25">
      <c r="A44" t="s">
        <v>35</v>
      </c>
      <c r="B44">
        <v>2020</v>
      </c>
      <c r="C44">
        <v>2023</v>
      </c>
      <c r="D44">
        <v>2026</v>
      </c>
      <c r="E44">
        <v>2029</v>
      </c>
      <c r="F44">
        <v>2032</v>
      </c>
      <c r="G44">
        <v>2035</v>
      </c>
      <c r="H44">
        <v>2038</v>
      </c>
      <c r="I44">
        <v>2041</v>
      </c>
      <c r="J44">
        <v>2044</v>
      </c>
      <c r="K44">
        <v>2047</v>
      </c>
      <c r="L44">
        <v>2050</v>
      </c>
    </row>
    <row r="45" spans="1:32" x14ac:dyDescent="0.25">
      <c r="A45" t="s">
        <v>34</v>
      </c>
      <c r="B45">
        <v>0</v>
      </c>
      <c r="C45">
        <v>1</v>
      </c>
      <c r="D45">
        <v>2</v>
      </c>
      <c r="E45">
        <v>3</v>
      </c>
      <c r="F45">
        <v>4</v>
      </c>
      <c r="G45">
        <v>5</v>
      </c>
      <c r="H45">
        <v>6</v>
      </c>
      <c r="I45">
        <v>7</v>
      </c>
      <c r="J45">
        <v>8</v>
      </c>
      <c r="K45">
        <v>9</v>
      </c>
      <c r="L45">
        <v>10</v>
      </c>
    </row>
    <row r="46" spans="1:32" x14ac:dyDescent="0.25">
      <c r="A46" t="s">
        <v>116</v>
      </c>
      <c r="B46">
        <f>INDEX($M8:$AQ8,MATCH(B$44,$M$6:$AQ$6))</f>
        <v>7373999.7322123339</v>
      </c>
      <c r="C46">
        <f t="shared" ref="C46:L46" si="10">INDEX($M8:$AQ8,MATCH(C$44,$M$6:$AQ$6))</f>
        <v>7373999.7322123339</v>
      </c>
      <c r="D46">
        <f t="shared" si="10"/>
        <v>7373999.7322123339</v>
      </c>
      <c r="E46">
        <f t="shared" si="10"/>
        <v>7373999.7322123339</v>
      </c>
      <c r="F46">
        <f t="shared" si="10"/>
        <v>7373999.7322123339</v>
      </c>
      <c r="G46">
        <f t="shared" si="10"/>
        <v>7373999.7322123339</v>
      </c>
      <c r="H46">
        <f t="shared" si="10"/>
        <v>7373999.7322123339</v>
      </c>
      <c r="I46">
        <f t="shared" si="10"/>
        <v>7373999.7322123339</v>
      </c>
      <c r="J46">
        <f t="shared" si="10"/>
        <v>7373999.7322123339</v>
      </c>
      <c r="K46">
        <f t="shared" si="10"/>
        <v>7373999.7322123339</v>
      </c>
      <c r="L46">
        <f t="shared" si="10"/>
        <v>7373999.7322123339</v>
      </c>
    </row>
    <row r="47" spans="1:32" x14ac:dyDescent="0.25">
      <c r="A47" t="s">
        <v>4</v>
      </c>
      <c r="B47">
        <f t="shared" ref="B47:L47" si="11">INDEX($M9:$AQ9,MATCH(B$44,$M$6:$AQ$6))</f>
        <v>66666666.666666649</v>
      </c>
      <c r="C47">
        <f t="shared" si="11"/>
        <v>66666666.666666649</v>
      </c>
      <c r="D47">
        <f t="shared" si="11"/>
        <v>66666666.666666649</v>
      </c>
      <c r="E47">
        <f t="shared" si="11"/>
        <v>66666666.666666649</v>
      </c>
      <c r="F47">
        <f t="shared" si="11"/>
        <v>66666666.666666649</v>
      </c>
      <c r="G47">
        <f t="shared" si="11"/>
        <v>66666666.666666649</v>
      </c>
      <c r="H47">
        <f t="shared" si="11"/>
        <v>66666666.666666649</v>
      </c>
      <c r="I47">
        <f t="shared" si="11"/>
        <v>66666666.666666649</v>
      </c>
      <c r="J47">
        <f t="shared" si="11"/>
        <v>66666666.666666649</v>
      </c>
      <c r="K47">
        <f t="shared" si="11"/>
        <v>66666666.666666649</v>
      </c>
      <c r="L47">
        <f t="shared" si="11"/>
        <v>66666666.666666649</v>
      </c>
    </row>
    <row r="48" spans="1:32" x14ac:dyDescent="0.25">
      <c r="A48" t="s">
        <v>9</v>
      </c>
      <c r="B48">
        <f t="shared" ref="B48:L48" si="12">INDEX($M10:$AQ10,MATCH(B$44,$M$6:$AQ$6))</f>
        <v>1128747.7954144618</v>
      </c>
      <c r="C48">
        <f t="shared" si="12"/>
        <v>1128747.7954144618</v>
      </c>
      <c r="D48">
        <f t="shared" si="12"/>
        <v>1128747.7954144618</v>
      </c>
      <c r="E48">
        <f t="shared" si="12"/>
        <v>1128747.7954144618</v>
      </c>
      <c r="F48">
        <f t="shared" si="12"/>
        <v>1128747.7954144618</v>
      </c>
      <c r="G48">
        <f t="shared" si="12"/>
        <v>1128747.7954144618</v>
      </c>
      <c r="H48">
        <f t="shared" si="12"/>
        <v>1128747.7954144618</v>
      </c>
      <c r="I48">
        <f t="shared" si="12"/>
        <v>1128747.7954144618</v>
      </c>
      <c r="J48">
        <f t="shared" si="12"/>
        <v>1128747.7954144618</v>
      </c>
      <c r="K48">
        <f t="shared" si="12"/>
        <v>1128747.7954144618</v>
      </c>
      <c r="L48">
        <f t="shared" si="12"/>
        <v>1128747.7954144618</v>
      </c>
    </row>
    <row r="50" spans="1:12" x14ac:dyDescent="0.25">
      <c r="A50" t="s">
        <v>35</v>
      </c>
      <c r="B50">
        <v>2020</v>
      </c>
      <c r="C50">
        <v>2023</v>
      </c>
      <c r="D50">
        <v>2026</v>
      </c>
      <c r="E50">
        <v>2029</v>
      </c>
      <c r="F50">
        <v>2032</v>
      </c>
      <c r="G50">
        <v>2035</v>
      </c>
      <c r="H50">
        <v>2038</v>
      </c>
      <c r="I50">
        <v>2041</v>
      </c>
      <c r="J50">
        <v>2044</v>
      </c>
      <c r="K50">
        <v>2047</v>
      </c>
      <c r="L50">
        <v>2050</v>
      </c>
    </row>
    <row r="51" spans="1:12" x14ac:dyDescent="0.25">
      <c r="A51" t="s">
        <v>34</v>
      </c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</row>
    <row r="52" spans="1:12" x14ac:dyDescent="0.25">
      <c r="A52" t="s">
        <v>117</v>
      </c>
      <c r="B52">
        <f>INDEX($M16:$AQ16,MATCH(B$50,$M$14:$AQ$14))</f>
        <v>1325804.7463737933</v>
      </c>
      <c r="C52">
        <f t="shared" ref="C52:L52" si="13">INDEX($M16:$AQ16,MATCH(C$50,$M$14:$AQ$14))</f>
        <v>1325804.7463737933</v>
      </c>
      <c r="D52">
        <f t="shared" si="13"/>
        <v>1325804.7463737933</v>
      </c>
      <c r="E52">
        <f t="shared" si="13"/>
        <v>1325804.7463737933</v>
      </c>
      <c r="F52">
        <f t="shared" si="13"/>
        <v>1325804.7463737933</v>
      </c>
      <c r="G52">
        <f t="shared" si="13"/>
        <v>1325804.7463737933</v>
      </c>
      <c r="H52">
        <f t="shared" si="13"/>
        <v>1325804.7463737933</v>
      </c>
      <c r="I52">
        <f t="shared" si="13"/>
        <v>1325804.7463737933</v>
      </c>
      <c r="J52">
        <f t="shared" si="13"/>
        <v>1325804.7463737933</v>
      </c>
      <c r="K52">
        <f t="shared" si="13"/>
        <v>1325804.7463737933</v>
      </c>
      <c r="L52">
        <f t="shared" si="13"/>
        <v>1325804.7463737933</v>
      </c>
    </row>
    <row r="53" spans="1:12" x14ac:dyDescent="0.25">
      <c r="A53" t="s">
        <v>4</v>
      </c>
      <c r="B53">
        <f t="shared" ref="B53:L53" si="14">INDEX($M17:$AQ17,MATCH(B$50,$M$14:$AQ$14))</f>
        <v>11986301.369863013</v>
      </c>
      <c r="C53">
        <f t="shared" si="14"/>
        <v>11986301.369863013</v>
      </c>
      <c r="D53">
        <f t="shared" si="14"/>
        <v>11986301.369863013</v>
      </c>
      <c r="E53">
        <f t="shared" si="14"/>
        <v>11986301.369863013</v>
      </c>
      <c r="F53">
        <f t="shared" si="14"/>
        <v>11986301.369863013</v>
      </c>
      <c r="G53">
        <f t="shared" si="14"/>
        <v>11986301.369863013</v>
      </c>
      <c r="H53">
        <f t="shared" si="14"/>
        <v>11986301.369863013</v>
      </c>
      <c r="I53">
        <f t="shared" si="14"/>
        <v>11986301.369863013</v>
      </c>
      <c r="J53">
        <f t="shared" si="14"/>
        <v>11986301.369863013</v>
      </c>
      <c r="K53">
        <f t="shared" si="14"/>
        <v>11986301.369863013</v>
      </c>
      <c r="L53">
        <f t="shared" si="14"/>
        <v>11986301.369863013</v>
      </c>
    </row>
    <row r="54" spans="1:12" x14ac:dyDescent="0.25">
      <c r="A54" t="s">
        <v>9</v>
      </c>
      <c r="B54">
        <f t="shared" ref="B54:L54" si="15">INDEX($M18:$AQ18,MATCH(B$50,$M$14:$AQ$14))</f>
        <v>202942.66869609334</v>
      </c>
      <c r="C54">
        <f t="shared" si="15"/>
        <v>202942.66869609334</v>
      </c>
      <c r="D54">
        <f t="shared" si="15"/>
        <v>202942.66869609334</v>
      </c>
      <c r="E54">
        <f t="shared" si="15"/>
        <v>202942.66869609334</v>
      </c>
      <c r="F54">
        <f t="shared" si="15"/>
        <v>202942.66869609334</v>
      </c>
      <c r="G54">
        <f t="shared" si="15"/>
        <v>202942.66869609334</v>
      </c>
      <c r="H54">
        <f t="shared" si="15"/>
        <v>202942.66869609334</v>
      </c>
      <c r="I54">
        <f t="shared" si="15"/>
        <v>202942.66869609334</v>
      </c>
      <c r="J54">
        <f t="shared" si="15"/>
        <v>202942.66869609334</v>
      </c>
      <c r="K54">
        <f t="shared" si="15"/>
        <v>202942.66869609334</v>
      </c>
      <c r="L54">
        <f t="shared" si="15"/>
        <v>202942.66869609334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C67D-2E51-465D-9A9F-97B4D21DB2EC}">
  <dimension ref="A1:AQ51"/>
  <sheetViews>
    <sheetView topLeftCell="A13" workbookViewId="0">
      <selection activeCell="B24" sqref="B24"/>
    </sheetView>
  </sheetViews>
  <sheetFormatPr defaultRowHeight="15" x14ac:dyDescent="0.25"/>
  <cols>
    <col min="1" max="1" width="26" customWidth="1"/>
    <col min="13" max="13" width="12" bestFit="1" customWidth="1"/>
  </cols>
  <sheetData>
    <row r="1" spans="1:43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43" x14ac:dyDescent="0.25">
      <c r="L2" t="s">
        <v>151</v>
      </c>
      <c r="M2" t="s">
        <v>153</v>
      </c>
    </row>
    <row r="3" spans="1:43" x14ac:dyDescent="0.25">
      <c r="A3" t="s">
        <v>30</v>
      </c>
      <c r="B3">
        <f>($B$4*(1+$B$4)^$B$9)/((1+$B$4)^$B$9-1)</f>
        <v>8.8827433387272267E-2</v>
      </c>
      <c r="C3" t="s">
        <v>16</v>
      </c>
      <c r="D3" t="s">
        <v>15</v>
      </c>
      <c r="E3" t="s">
        <v>21</v>
      </c>
      <c r="L3" t="s">
        <v>149</v>
      </c>
      <c r="M3">
        <v>5623.931623931624</v>
      </c>
      <c r="N3">
        <v>5567.6923076923076</v>
      </c>
      <c r="O3">
        <v>5511.4529914529921</v>
      </c>
      <c r="P3">
        <v>5455.2136752136757</v>
      </c>
      <c r="Q3">
        <v>5398.9743589743603</v>
      </c>
      <c r="R3">
        <v>5342.7350427350439</v>
      </c>
      <c r="S3">
        <v>5286.4957264957284</v>
      </c>
      <c r="T3">
        <v>5230.256410256412</v>
      </c>
      <c r="U3">
        <v>5174.0170940170956</v>
      </c>
      <c r="V3">
        <v>5117.7777777777801</v>
      </c>
      <c r="W3">
        <v>5061.538461538461</v>
      </c>
      <c r="X3">
        <v>5010.9230769230762</v>
      </c>
      <c r="Y3">
        <v>4960.3076923076915</v>
      </c>
      <c r="Z3">
        <v>4909.6923076923067</v>
      </c>
      <c r="AA3">
        <v>4859.076923076921</v>
      </c>
      <c r="AB3">
        <v>4808.4615384615363</v>
      </c>
      <c r="AC3">
        <v>4757.8461538461515</v>
      </c>
      <c r="AD3">
        <v>4707.2307692307668</v>
      </c>
      <c r="AE3">
        <v>4656.6153846153811</v>
      </c>
      <c r="AF3">
        <v>4605.9999999999964</v>
      </c>
      <c r="AG3">
        <v>4555.3846153846116</v>
      </c>
      <c r="AH3">
        <v>4504.7692307692259</v>
      </c>
      <c r="AI3">
        <v>4454.1538461538412</v>
      </c>
      <c r="AJ3">
        <v>4403.5384615384564</v>
      </c>
      <c r="AK3">
        <v>4352.9230769230717</v>
      </c>
      <c r="AL3">
        <v>4302.307692307686</v>
      </c>
      <c r="AM3">
        <v>4251.6923076923013</v>
      </c>
      <c r="AN3">
        <v>4201.0769230769165</v>
      </c>
      <c r="AO3">
        <v>4150.4615384615308</v>
      </c>
      <c r="AP3">
        <v>4099.8461538461461</v>
      </c>
      <c r="AQ3">
        <v>4049.2307692307691</v>
      </c>
    </row>
    <row r="4" spans="1:43" x14ac:dyDescent="0.25">
      <c r="A4" t="s">
        <v>24</v>
      </c>
      <c r="B4" s="2">
        <v>0.08</v>
      </c>
      <c r="C4" t="s">
        <v>87</v>
      </c>
      <c r="D4" t="s">
        <v>15</v>
      </c>
      <c r="E4" t="s">
        <v>21</v>
      </c>
      <c r="L4" t="s">
        <v>150</v>
      </c>
      <c r="M4">
        <v>224.95726495726498</v>
      </c>
      <c r="N4">
        <v>222.70769230769233</v>
      </c>
      <c r="O4">
        <v>220.4581196581197</v>
      </c>
      <c r="P4">
        <v>218.20854700854704</v>
      </c>
      <c r="Q4">
        <v>215.95897435897442</v>
      </c>
      <c r="R4">
        <v>213.70940170940176</v>
      </c>
      <c r="S4">
        <v>211.45982905982913</v>
      </c>
      <c r="T4">
        <v>209.21025641025648</v>
      </c>
      <c r="U4">
        <v>206.96068376068385</v>
      </c>
      <c r="V4">
        <v>204.71111111111119</v>
      </c>
      <c r="W4">
        <v>202.46153846153845</v>
      </c>
      <c r="X4">
        <v>200.43692307692305</v>
      </c>
      <c r="Y4">
        <v>198.41230769230768</v>
      </c>
      <c r="Z4">
        <v>196.38769230769225</v>
      </c>
      <c r="AA4">
        <v>194.36307692307687</v>
      </c>
      <c r="AB4">
        <v>192.33846153846144</v>
      </c>
      <c r="AC4">
        <v>190.31384615384604</v>
      </c>
      <c r="AD4">
        <v>188.28923076923067</v>
      </c>
      <c r="AE4">
        <v>186.26461538461524</v>
      </c>
      <c r="AF4">
        <v>184.23999999999987</v>
      </c>
      <c r="AG4">
        <v>182.21538461538447</v>
      </c>
      <c r="AH4">
        <v>180.19076923076904</v>
      </c>
      <c r="AI4">
        <v>178.16615384615366</v>
      </c>
      <c r="AJ4">
        <v>176.14153846153826</v>
      </c>
      <c r="AK4">
        <v>174.11692307692286</v>
      </c>
      <c r="AL4">
        <v>172.09230769230746</v>
      </c>
      <c r="AM4">
        <v>170.06769230769203</v>
      </c>
      <c r="AN4">
        <v>168.04307692307665</v>
      </c>
      <c r="AO4">
        <v>166.01846153846125</v>
      </c>
      <c r="AP4">
        <v>163.99384615384585</v>
      </c>
      <c r="AQ4">
        <v>161.96923076923076</v>
      </c>
    </row>
    <row r="5" spans="1:43" x14ac:dyDescent="0.25">
      <c r="A5" t="s">
        <v>144</v>
      </c>
      <c r="B5" s="4">
        <v>50000</v>
      </c>
      <c r="C5" t="s">
        <v>145</v>
      </c>
      <c r="D5" t="s">
        <v>15</v>
      </c>
    </row>
    <row r="6" spans="1:43" x14ac:dyDescent="0.25">
      <c r="A6" s="1" t="s">
        <v>50</v>
      </c>
      <c r="L6" t="s">
        <v>50</v>
      </c>
      <c r="M6">
        <v>2020</v>
      </c>
      <c r="N6">
        <v>2021</v>
      </c>
      <c r="O6">
        <v>2022</v>
      </c>
      <c r="P6">
        <v>2023</v>
      </c>
      <c r="Q6">
        <v>2024</v>
      </c>
      <c r="R6">
        <v>2025</v>
      </c>
      <c r="S6">
        <v>2026</v>
      </c>
      <c r="T6">
        <v>2027</v>
      </c>
      <c r="U6">
        <v>2028</v>
      </c>
      <c r="V6">
        <v>2029</v>
      </c>
      <c r="W6">
        <v>2030</v>
      </c>
      <c r="X6">
        <v>2031</v>
      </c>
      <c r="Y6">
        <v>2032</v>
      </c>
      <c r="Z6">
        <v>2033</v>
      </c>
      <c r="AA6">
        <v>2034</v>
      </c>
      <c r="AB6">
        <v>2035</v>
      </c>
      <c r="AC6">
        <v>2036</v>
      </c>
      <c r="AD6">
        <v>2037</v>
      </c>
      <c r="AE6">
        <v>2038</v>
      </c>
      <c r="AF6">
        <v>2039</v>
      </c>
      <c r="AG6">
        <v>2040</v>
      </c>
      <c r="AH6">
        <v>2041</v>
      </c>
      <c r="AI6">
        <v>2042</v>
      </c>
      <c r="AJ6">
        <v>2043</v>
      </c>
      <c r="AK6">
        <v>2044</v>
      </c>
      <c r="AL6">
        <v>2045</v>
      </c>
      <c r="AM6">
        <v>2046</v>
      </c>
      <c r="AN6">
        <v>2047</v>
      </c>
      <c r="AO6">
        <v>2048</v>
      </c>
      <c r="AP6">
        <v>2049</v>
      </c>
      <c r="AQ6">
        <v>2050</v>
      </c>
    </row>
    <row r="7" spans="1:43" x14ac:dyDescent="0.25">
      <c r="A7" t="s">
        <v>97</v>
      </c>
      <c r="B7">
        <v>10000</v>
      </c>
      <c r="C7" t="s">
        <v>102</v>
      </c>
      <c r="D7" t="s">
        <v>15</v>
      </c>
      <c r="E7" t="s">
        <v>130</v>
      </c>
      <c r="L7" t="s">
        <v>23</v>
      </c>
      <c r="M7">
        <v>0</v>
      </c>
      <c r="N7">
        <v>1</v>
      </c>
      <c r="O7">
        <v>2</v>
      </c>
      <c r="P7">
        <v>4</v>
      </c>
      <c r="Q7">
        <v>5</v>
      </c>
      <c r="R7">
        <v>6</v>
      </c>
      <c r="S7">
        <v>7</v>
      </c>
      <c r="T7">
        <v>8</v>
      </c>
      <c r="U7">
        <v>9</v>
      </c>
      <c r="V7">
        <v>10</v>
      </c>
      <c r="W7">
        <v>11</v>
      </c>
      <c r="X7">
        <v>12</v>
      </c>
      <c r="Y7">
        <v>13</v>
      </c>
      <c r="Z7">
        <v>14</v>
      </c>
      <c r="AA7">
        <v>15</v>
      </c>
      <c r="AB7">
        <v>16</v>
      </c>
      <c r="AC7">
        <v>17</v>
      </c>
      <c r="AD7">
        <v>18</v>
      </c>
      <c r="AE7">
        <v>19</v>
      </c>
      <c r="AF7">
        <v>20</v>
      </c>
      <c r="AG7">
        <v>21</v>
      </c>
      <c r="AH7">
        <v>22</v>
      </c>
      <c r="AI7">
        <v>23</v>
      </c>
      <c r="AJ7">
        <v>24</v>
      </c>
      <c r="AK7">
        <v>25</v>
      </c>
      <c r="AL7">
        <v>26</v>
      </c>
      <c r="AM7">
        <v>27</v>
      </c>
      <c r="AN7">
        <v>28</v>
      </c>
      <c r="AO7">
        <v>29</v>
      </c>
      <c r="AP7">
        <v>30</v>
      </c>
      <c r="AQ7">
        <v>31</v>
      </c>
    </row>
    <row r="8" spans="1:43" x14ac:dyDescent="0.25">
      <c r="A8" t="s">
        <v>107</v>
      </c>
      <c r="B8">
        <v>1</v>
      </c>
      <c r="C8" t="s">
        <v>16</v>
      </c>
      <c r="D8" t="s">
        <v>15</v>
      </c>
      <c r="E8" t="s">
        <v>21</v>
      </c>
      <c r="F8" t="s">
        <v>152</v>
      </c>
      <c r="L8" t="s">
        <v>155</v>
      </c>
      <c r="M8">
        <f>$B$3*M9+M10</f>
        <v>7245166.7665662523</v>
      </c>
      <c r="N8">
        <f t="shared" ref="N8:AQ8" si="0">$B$3*N9+N10</f>
        <v>7172715.0989005901</v>
      </c>
      <c r="O8">
        <f t="shared" si="0"/>
        <v>7100263.4312349278</v>
      </c>
      <c r="P8">
        <f t="shared" si="0"/>
        <v>7027811.7635692656</v>
      </c>
      <c r="Q8">
        <f t="shared" si="0"/>
        <v>6955360.0959036034</v>
      </c>
      <c r="R8">
        <f t="shared" si="0"/>
        <v>6882908.4282379411</v>
      </c>
      <c r="S8">
        <f t="shared" si="0"/>
        <v>6810456.7605722807</v>
      </c>
      <c r="T8">
        <f t="shared" si="0"/>
        <v>6738005.0929066166</v>
      </c>
      <c r="U8">
        <f t="shared" si="0"/>
        <v>6665553.4252409544</v>
      </c>
      <c r="V8">
        <f t="shared" si="0"/>
        <v>6593101.7575752921</v>
      </c>
      <c r="W8">
        <f t="shared" si="0"/>
        <v>6520650.0899096262</v>
      </c>
      <c r="X8">
        <f t="shared" si="0"/>
        <v>6455443.5890105292</v>
      </c>
      <c r="Y8">
        <f t="shared" si="0"/>
        <v>6390237.0881114341</v>
      </c>
      <c r="Z8">
        <f t="shared" si="0"/>
        <v>6325030.5872123372</v>
      </c>
      <c r="AA8">
        <f t="shared" si="0"/>
        <v>6259824.0863132402</v>
      </c>
      <c r="AB8">
        <f t="shared" si="0"/>
        <v>6194617.5854141433</v>
      </c>
      <c r="AC8">
        <f t="shared" si="0"/>
        <v>6129411.0845150454</v>
      </c>
      <c r="AD8">
        <f t="shared" si="0"/>
        <v>6064204.5836159503</v>
      </c>
      <c r="AE8">
        <f t="shared" si="0"/>
        <v>5998998.0827168524</v>
      </c>
      <c r="AF8">
        <f t="shared" si="0"/>
        <v>5933791.5818177555</v>
      </c>
      <c r="AG8">
        <f t="shared" si="0"/>
        <v>5868585.0809186595</v>
      </c>
      <c r="AH8">
        <f t="shared" si="0"/>
        <v>5803378.5800195616</v>
      </c>
      <c r="AI8">
        <f t="shared" si="0"/>
        <v>5738172.0791204656</v>
      </c>
      <c r="AJ8">
        <f t="shared" si="0"/>
        <v>5672965.5782213695</v>
      </c>
      <c r="AK8">
        <f t="shared" si="0"/>
        <v>5607759.0773222726</v>
      </c>
      <c r="AL8">
        <f t="shared" si="0"/>
        <v>5542552.5764231756</v>
      </c>
      <c r="AM8">
        <f t="shared" si="0"/>
        <v>5477346.0755240787</v>
      </c>
      <c r="AN8">
        <f t="shared" si="0"/>
        <v>5412139.5746249817</v>
      </c>
      <c r="AO8">
        <f t="shared" si="0"/>
        <v>5346933.0737258848</v>
      </c>
      <c r="AP8">
        <f t="shared" si="0"/>
        <v>5281726.5728267878</v>
      </c>
      <c r="AQ8">
        <f t="shared" si="0"/>
        <v>5216520.0719277011</v>
      </c>
    </row>
    <row r="9" spans="1:43" x14ac:dyDescent="0.25">
      <c r="A9" t="s">
        <v>26</v>
      </c>
      <c r="B9">
        <v>30</v>
      </c>
      <c r="C9" t="s">
        <v>27</v>
      </c>
      <c r="D9" t="s">
        <v>15</v>
      </c>
      <c r="E9" t="s">
        <v>130</v>
      </c>
      <c r="L9" t="s">
        <v>4</v>
      </c>
      <c r="M9">
        <f>M3*$B$7</f>
        <v>56239316.23931624</v>
      </c>
      <c r="N9">
        <f t="shared" ref="N9:AQ9" si="1">N3*$B$7</f>
        <v>55676923.07692308</v>
      </c>
      <c r="O9">
        <f t="shared" si="1"/>
        <v>55114529.91452992</v>
      </c>
      <c r="P9">
        <f t="shared" si="1"/>
        <v>54552136.752136759</v>
      </c>
      <c r="Q9">
        <f t="shared" si="1"/>
        <v>53989743.589743599</v>
      </c>
      <c r="R9">
        <f t="shared" si="1"/>
        <v>53427350.427350439</v>
      </c>
      <c r="S9">
        <f t="shared" si="1"/>
        <v>52864957.264957286</v>
      </c>
      <c r="T9">
        <f t="shared" si="1"/>
        <v>52302564.102564119</v>
      </c>
      <c r="U9">
        <f t="shared" si="1"/>
        <v>51740170.940170959</v>
      </c>
      <c r="V9">
        <f t="shared" si="1"/>
        <v>51177777.777777798</v>
      </c>
      <c r="W9">
        <f t="shared" si="1"/>
        <v>50615384.615384609</v>
      </c>
      <c r="X9">
        <f t="shared" si="1"/>
        <v>50109230.769230761</v>
      </c>
      <c r="Y9">
        <f t="shared" si="1"/>
        <v>49603076.923076913</v>
      </c>
      <c r="Z9">
        <f t="shared" si="1"/>
        <v>49096923.076923065</v>
      </c>
      <c r="AA9">
        <f t="shared" si="1"/>
        <v>48590769.23076921</v>
      </c>
      <c r="AB9">
        <f t="shared" si="1"/>
        <v>48084615.384615362</v>
      </c>
      <c r="AC9">
        <f t="shared" si="1"/>
        <v>47578461.538461514</v>
      </c>
      <c r="AD9">
        <f t="shared" si="1"/>
        <v>47072307.692307666</v>
      </c>
      <c r="AE9">
        <f t="shared" si="1"/>
        <v>46566153.846153811</v>
      </c>
      <c r="AF9">
        <f t="shared" si="1"/>
        <v>46059999.999999963</v>
      </c>
      <c r="AG9">
        <f t="shared" si="1"/>
        <v>45553846.153846115</v>
      </c>
      <c r="AH9">
        <f t="shared" si="1"/>
        <v>45047692.30769226</v>
      </c>
      <c r="AI9">
        <f t="shared" si="1"/>
        <v>44541538.461538412</v>
      </c>
      <c r="AJ9">
        <f t="shared" si="1"/>
        <v>44035384.615384564</v>
      </c>
      <c r="AK9">
        <f t="shared" si="1"/>
        <v>43529230.769230716</v>
      </c>
      <c r="AL9">
        <f t="shared" si="1"/>
        <v>43023076.923076861</v>
      </c>
      <c r="AM9">
        <f t="shared" si="1"/>
        <v>42516923.076923013</v>
      </c>
      <c r="AN9">
        <f t="shared" si="1"/>
        <v>42010769.230769165</v>
      </c>
      <c r="AO9">
        <f t="shared" si="1"/>
        <v>41504615.38461531</v>
      </c>
      <c r="AP9">
        <f t="shared" si="1"/>
        <v>40998461.538461462</v>
      </c>
      <c r="AQ9">
        <f t="shared" si="1"/>
        <v>40492307.692307688</v>
      </c>
    </row>
    <row r="10" spans="1:43" x14ac:dyDescent="0.25">
      <c r="A10" s="1" t="s">
        <v>93</v>
      </c>
      <c r="L10" t="s">
        <v>9</v>
      </c>
      <c r="M10">
        <f>M4*$B$7</f>
        <v>2249572.64957265</v>
      </c>
      <c r="N10">
        <f t="shared" ref="N10:AQ10" si="2">N4*$B$7</f>
        <v>2227076.9230769235</v>
      </c>
      <c r="O10">
        <f t="shared" si="2"/>
        <v>2204581.196581197</v>
      </c>
      <c r="P10">
        <f t="shared" si="2"/>
        <v>2182085.4700854705</v>
      </c>
      <c r="Q10">
        <f t="shared" si="2"/>
        <v>2159589.743589744</v>
      </c>
      <c r="R10">
        <f t="shared" si="2"/>
        <v>2137094.0170940175</v>
      </c>
      <c r="S10">
        <f t="shared" si="2"/>
        <v>2114598.2905982914</v>
      </c>
      <c r="T10">
        <f t="shared" si="2"/>
        <v>2092102.5641025647</v>
      </c>
      <c r="U10">
        <f t="shared" si="2"/>
        <v>2069606.8376068384</v>
      </c>
      <c r="V10">
        <f t="shared" si="2"/>
        <v>2047111.1111111119</v>
      </c>
      <c r="W10">
        <f t="shared" si="2"/>
        <v>2024615.3846153845</v>
      </c>
      <c r="X10">
        <f t="shared" si="2"/>
        <v>2004369.2307692305</v>
      </c>
      <c r="Y10">
        <f t="shared" si="2"/>
        <v>1984123.0769230768</v>
      </c>
      <c r="Z10">
        <f t="shared" si="2"/>
        <v>1963876.9230769225</v>
      </c>
      <c r="AA10">
        <f t="shared" si="2"/>
        <v>1943630.7692307688</v>
      </c>
      <c r="AB10">
        <f t="shared" si="2"/>
        <v>1923384.6153846146</v>
      </c>
      <c r="AC10">
        <f t="shared" si="2"/>
        <v>1903138.4615384603</v>
      </c>
      <c r="AD10">
        <f t="shared" si="2"/>
        <v>1882892.3076923068</v>
      </c>
      <c r="AE10">
        <f t="shared" si="2"/>
        <v>1862646.1538461524</v>
      </c>
      <c r="AF10">
        <f t="shared" si="2"/>
        <v>1842399.9999999986</v>
      </c>
      <c r="AG10">
        <f t="shared" si="2"/>
        <v>1822153.8461538446</v>
      </c>
      <c r="AH10">
        <f t="shared" si="2"/>
        <v>1801907.6923076904</v>
      </c>
      <c r="AI10">
        <f t="shared" si="2"/>
        <v>1781661.5384615366</v>
      </c>
      <c r="AJ10">
        <f t="shared" si="2"/>
        <v>1761415.3846153826</v>
      </c>
      <c r="AK10">
        <f t="shared" si="2"/>
        <v>1741169.2307692287</v>
      </c>
      <c r="AL10">
        <f t="shared" si="2"/>
        <v>1720923.0769230747</v>
      </c>
      <c r="AM10">
        <f t="shared" si="2"/>
        <v>1700676.9230769202</v>
      </c>
      <c r="AN10">
        <f t="shared" si="2"/>
        <v>1680430.7692307665</v>
      </c>
      <c r="AO10">
        <f t="shared" si="2"/>
        <v>1660184.6153846125</v>
      </c>
      <c r="AP10">
        <f t="shared" si="2"/>
        <v>1639938.4615384585</v>
      </c>
      <c r="AQ10">
        <f t="shared" si="2"/>
        <v>1619692.3076923075</v>
      </c>
    </row>
    <row r="11" spans="1:43" x14ac:dyDescent="0.25">
      <c r="A11" t="s">
        <v>97</v>
      </c>
      <c r="B11">
        <v>10000</v>
      </c>
      <c r="C11" t="s">
        <v>102</v>
      </c>
      <c r="E11" t="s">
        <v>130</v>
      </c>
    </row>
    <row r="12" spans="1:43" x14ac:dyDescent="0.25">
      <c r="A12" t="s">
        <v>112</v>
      </c>
      <c r="B12">
        <f>250/1250</f>
        <v>0.2</v>
      </c>
      <c r="C12" t="s">
        <v>16</v>
      </c>
      <c r="D12" t="s">
        <v>148</v>
      </c>
      <c r="E12" t="s">
        <v>130</v>
      </c>
      <c r="F12" t="s">
        <v>154</v>
      </c>
    </row>
    <row r="13" spans="1:43" x14ac:dyDescent="0.25">
      <c r="A13" t="s">
        <v>108</v>
      </c>
      <c r="B13">
        <v>1</v>
      </c>
      <c r="C13" t="s">
        <v>16</v>
      </c>
      <c r="D13" t="s">
        <v>15</v>
      </c>
      <c r="E13" t="s">
        <v>21</v>
      </c>
    </row>
    <row r="14" spans="1:43" x14ac:dyDescent="0.25">
      <c r="A14" t="s">
        <v>4</v>
      </c>
      <c r="C14" t="s">
        <v>110</v>
      </c>
      <c r="D14" t="s">
        <v>157</v>
      </c>
      <c r="E14" t="s">
        <v>21</v>
      </c>
      <c r="L14" t="s">
        <v>115</v>
      </c>
      <c r="M14">
        <v>2020</v>
      </c>
      <c r="N14">
        <v>2021</v>
      </c>
      <c r="O14">
        <v>2022</v>
      </c>
      <c r="P14">
        <v>2023</v>
      </c>
      <c r="Q14">
        <v>2024</v>
      </c>
      <c r="R14">
        <v>2025</v>
      </c>
      <c r="S14">
        <v>2026</v>
      </c>
      <c r="T14">
        <v>2027</v>
      </c>
      <c r="U14">
        <v>2028</v>
      </c>
      <c r="V14">
        <v>2029</v>
      </c>
      <c r="W14">
        <v>2030</v>
      </c>
      <c r="X14">
        <v>2031</v>
      </c>
      <c r="Y14">
        <v>2032</v>
      </c>
      <c r="Z14">
        <v>2033</v>
      </c>
      <c r="AA14">
        <v>2034</v>
      </c>
      <c r="AB14">
        <v>2035</v>
      </c>
      <c r="AC14">
        <v>2036</v>
      </c>
      <c r="AD14">
        <v>2037</v>
      </c>
      <c r="AE14">
        <v>2038</v>
      </c>
      <c r="AF14">
        <v>2039</v>
      </c>
      <c r="AG14">
        <v>2040</v>
      </c>
      <c r="AH14">
        <v>2041</v>
      </c>
      <c r="AI14">
        <v>2042</v>
      </c>
      <c r="AJ14">
        <v>2043</v>
      </c>
      <c r="AK14">
        <v>2044</v>
      </c>
      <c r="AL14">
        <v>2045</v>
      </c>
      <c r="AM14">
        <v>2046</v>
      </c>
      <c r="AN14">
        <v>2047</v>
      </c>
      <c r="AO14">
        <v>2048</v>
      </c>
      <c r="AP14">
        <v>2049</v>
      </c>
      <c r="AQ14">
        <v>2050</v>
      </c>
    </row>
    <row r="15" spans="1:43" x14ac:dyDescent="0.25">
      <c r="A15" t="s">
        <v>9</v>
      </c>
      <c r="C15" t="s">
        <v>111</v>
      </c>
      <c r="D15" t="s">
        <v>157</v>
      </c>
      <c r="E15" t="s">
        <v>21</v>
      </c>
      <c r="L15" t="s">
        <v>23</v>
      </c>
      <c r="M15">
        <v>0</v>
      </c>
      <c r="N15">
        <v>1</v>
      </c>
      <c r="O15">
        <v>2</v>
      </c>
      <c r="P15">
        <v>4</v>
      </c>
      <c r="Q15">
        <v>5</v>
      </c>
      <c r="R15">
        <v>6</v>
      </c>
      <c r="S15">
        <v>7</v>
      </c>
      <c r="T15">
        <v>8</v>
      </c>
      <c r="U15">
        <v>9</v>
      </c>
      <c r="V15">
        <v>10</v>
      </c>
      <c r="W15">
        <v>11</v>
      </c>
      <c r="X15">
        <v>12</v>
      </c>
      <c r="Y15">
        <v>13</v>
      </c>
      <c r="Z15">
        <v>14</v>
      </c>
      <c r="AA15">
        <v>15</v>
      </c>
      <c r="AB15">
        <v>16</v>
      </c>
      <c r="AC15">
        <v>17</v>
      </c>
      <c r="AD15">
        <v>18</v>
      </c>
      <c r="AE15">
        <v>19</v>
      </c>
      <c r="AF15">
        <v>20</v>
      </c>
      <c r="AG15">
        <v>21</v>
      </c>
      <c r="AH15">
        <v>22</v>
      </c>
      <c r="AI15">
        <v>23</v>
      </c>
      <c r="AJ15">
        <v>24</v>
      </c>
      <c r="AK15">
        <v>25</v>
      </c>
      <c r="AL15">
        <v>26</v>
      </c>
      <c r="AM15">
        <v>27</v>
      </c>
      <c r="AN15">
        <v>28</v>
      </c>
      <c r="AO15">
        <v>29</v>
      </c>
      <c r="AP15">
        <v>30</v>
      </c>
      <c r="AQ15">
        <v>31</v>
      </c>
    </row>
    <row r="16" spans="1:43" x14ac:dyDescent="0.25">
      <c r="A16" t="s">
        <v>123</v>
      </c>
      <c r="B16">
        <v>30</v>
      </c>
      <c r="C16" t="s">
        <v>27</v>
      </c>
      <c r="D16" t="s">
        <v>15</v>
      </c>
      <c r="E16" t="s">
        <v>130</v>
      </c>
      <c r="L16" t="s">
        <v>156</v>
      </c>
      <c r="M16">
        <f>$B$3*M17+M18</f>
        <v>1449033.3533132505</v>
      </c>
      <c r="N16">
        <f t="shared" ref="N16:AQ16" si="3">$B$3*N17+N18</f>
        <v>1434543.019780118</v>
      </c>
      <c r="O16">
        <f t="shared" si="3"/>
        <v>1420052.6862469856</v>
      </c>
      <c r="P16">
        <f t="shared" si="3"/>
        <v>1405562.3527138531</v>
      </c>
      <c r="Q16">
        <f t="shared" si="3"/>
        <v>1391072.0191807207</v>
      </c>
      <c r="R16">
        <f t="shared" si="3"/>
        <v>1376581.6856475882</v>
      </c>
      <c r="S16">
        <f t="shared" si="3"/>
        <v>1362091.352114456</v>
      </c>
      <c r="T16">
        <f t="shared" si="3"/>
        <v>1347601.0185813233</v>
      </c>
      <c r="U16">
        <f t="shared" si="3"/>
        <v>1333110.6850481909</v>
      </c>
      <c r="V16">
        <f t="shared" si="3"/>
        <v>1318620.3515150584</v>
      </c>
      <c r="W16">
        <f t="shared" si="3"/>
        <v>1304130.0179819253</v>
      </c>
      <c r="X16">
        <f t="shared" si="3"/>
        <v>1291088.7178021059</v>
      </c>
      <c r="Y16">
        <f t="shared" si="3"/>
        <v>1278047.4176222868</v>
      </c>
      <c r="Z16">
        <f t="shared" si="3"/>
        <v>1265006.1174424675</v>
      </c>
      <c r="AA16">
        <f t="shared" si="3"/>
        <v>1251964.8172626479</v>
      </c>
      <c r="AB16">
        <f t="shared" si="3"/>
        <v>1238923.5170828286</v>
      </c>
      <c r="AC16">
        <f t="shared" si="3"/>
        <v>1225882.2169030092</v>
      </c>
      <c r="AD16">
        <f t="shared" si="3"/>
        <v>1212840.9167231901</v>
      </c>
      <c r="AE16">
        <f t="shared" si="3"/>
        <v>1199799.6165433705</v>
      </c>
      <c r="AF16">
        <f t="shared" si="3"/>
        <v>1186758.3163635512</v>
      </c>
      <c r="AG16">
        <f t="shared" si="3"/>
        <v>1173717.0161837318</v>
      </c>
      <c r="AH16">
        <f t="shared" si="3"/>
        <v>1160675.7160039125</v>
      </c>
      <c r="AI16">
        <f t="shared" si="3"/>
        <v>1147634.4158240932</v>
      </c>
      <c r="AJ16">
        <f t="shared" si="3"/>
        <v>1134593.1156442738</v>
      </c>
      <c r="AK16">
        <f t="shared" si="3"/>
        <v>1121551.8154644545</v>
      </c>
      <c r="AL16">
        <f t="shared" si="3"/>
        <v>1108510.5152846351</v>
      </c>
      <c r="AM16">
        <f t="shared" si="3"/>
        <v>1095469.2151048156</v>
      </c>
      <c r="AN16">
        <f t="shared" si="3"/>
        <v>1082427.9149249964</v>
      </c>
      <c r="AO16">
        <f t="shared" si="3"/>
        <v>1069386.6147451769</v>
      </c>
      <c r="AP16">
        <f t="shared" si="3"/>
        <v>1056345.3145653578</v>
      </c>
      <c r="AQ16">
        <f t="shared" si="3"/>
        <v>1043304.0143855403</v>
      </c>
    </row>
    <row r="17" spans="1:43" x14ac:dyDescent="0.25">
      <c r="L17" t="s">
        <v>4</v>
      </c>
      <c r="M17">
        <f t="shared" ref="M17:AQ17" si="4">M9*$B$12</f>
        <v>11247863.247863248</v>
      </c>
      <c r="N17">
        <f t="shared" si="4"/>
        <v>11135384.615384616</v>
      </c>
      <c r="O17">
        <f t="shared" si="4"/>
        <v>11022905.982905984</v>
      </c>
      <c r="P17">
        <f t="shared" si="4"/>
        <v>10910427.350427352</v>
      </c>
      <c r="Q17">
        <f t="shared" si="4"/>
        <v>10797948.71794872</v>
      </c>
      <c r="R17">
        <f t="shared" si="4"/>
        <v>10685470.085470088</v>
      </c>
      <c r="S17">
        <f t="shared" si="4"/>
        <v>10572991.452991458</v>
      </c>
      <c r="T17">
        <f t="shared" si="4"/>
        <v>10460512.820512824</v>
      </c>
      <c r="U17">
        <f t="shared" si="4"/>
        <v>10348034.188034192</v>
      </c>
      <c r="V17">
        <f t="shared" si="4"/>
        <v>10235555.55555556</v>
      </c>
      <c r="W17">
        <f t="shared" si="4"/>
        <v>10123076.923076922</v>
      </c>
      <c r="X17">
        <f t="shared" si="4"/>
        <v>10021846.153846152</v>
      </c>
      <c r="Y17">
        <f t="shared" si="4"/>
        <v>9920615.3846153822</v>
      </c>
      <c r="Z17">
        <f t="shared" si="4"/>
        <v>9819384.6153846141</v>
      </c>
      <c r="AA17">
        <f t="shared" si="4"/>
        <v>9718153.8461538423</v>
      </c>
      <c r="AB17">
        <f t="shared" si="4"/>
        <v>9616923.0769230723</v>
      </c>
      <c r="AC17">
        <f t="shared" si="4"/>
        <v>9515692.3076923024</v>
      </c>
      <c r="AD17">
        <f t="shared" si="4"/>
        <v>9414461.5384615343</v>
      </c>
      <c r="AE17">
        <f t="shared" si="4"/>
        <v>9313230.7692307625</v>
      </c>
      <c r="AF17">
        <f t="shared" si="4"/>
        <v>9211999.9999999925</v>
      </c>
      <c r="AG17">
        <f t="shared" si="4"/>
        <v>9110769.2307692226</v>
      </c>
      <c r="AH17">
        <f t="shared" si="4"/>
        <v>9009538.4615384527</v>
      </c>
      <c r="AI17">
        <f t="shared" si="4"/>
        <v>8908307.6923076827</v>
      </c>
      <c r="AJ17">
        <f t="shared" si="4"/>
        <v>8807076.9230769128</v>
      </c>
      <c r="AK17">
        <f t="shared" si="4"/>
        <v>8705846.1538461428</v>
      </c>
      <c r="AL17">
        <f t="shared" si="4"/>
        <v>8604615.3846153729</v>
      </c>
      <c r="AM17">
        <f t="shared" si="4"/>
        <v>8503384.6153846029</v>
      </c>
      <c r="AN17">
        <f t="shared" si="4"/>
        <v>8402153.846153833</v>
      </c>
      <c r="AO17">
        <f t="shared" si="4"/>
        <v>8300923.0769230621</v>
      </c>
      <c r="AP17">
        <f t="shared" si="4"/>
        <v>8199692.3076922931</v>
      </c>
      <c r="AQ17">
        <f t="shared" si="4"/>
        <v>8098461.538461538</v>
      </c>
    </row>
    <row r="18" spans="1:43" x14ac:dyDescent="0.25">
      <c r="L18" t="s">
        <v>9</v>
      </c>
      <c r="M18">
        <f t="shared" ref="M18:AQ18" si="5">M10*$B$12</f>
        <v>449914.52991452999</v>
      </c>
      <c r="N18">
        <f t="shared" si="5"/>
        <v>445415.38461538474</v>
      </c>
      <c r="O18">
        <f t="shared" si="5"/>
        <v>440916.23931623943</v>
      </c>
      <c r="P18">
        <f t="shared" si="5"/>
        <v>436417.09401709412</v>
      </c>
      <c r="Q18">
        <f t="shared" si="5"/>
        <v>431917.94871794881</v>
      </c>
      <c r="R18">
        <f t="shared" si="5"/>
        <v>427418.80341880349</v>
      </c>
      <c r="S18">
        <f t="shared" si="5"/>
        <v>422919.6581196583</v>
      </c>
      <c r="T18">
        <f t="shared" si="5"/>
        <v>418420.51282051299</v>
      </c>
      <c r="U18">
        <f t="shared" si="5"/>
        <v>413921.36752136773</v>
      </c>
      <c r="V18">
        <f t="shared" si="5"/>
        <v>409422.22222222242</v>
      </c>
      <c r="W18">
        <f t="shared" si="5"/>
        <v>404923.07692307694</v>
      </c>
      <c r="X18">
        <f t="shared" si="5"/>
        <v>400873.84615384613</v>
      </c>
      <c r="Y18">
        <f t="shared" si="5"/>
        <v>396824.61538461538</v>
      </c>
      <c r="Z18">
        <f t="shared" si="5"/>
        <v>392775.38461538451</v>
      </c>
      <c r="AA18">
        <f t="shared" si="5"/>
        <v>388726.15384615376</v>
      </c>
      <c r="AB18">
        <f t="shared" si="5"/>
        <v>384676.92307692295</v>
      </c>
      <c r="AC18">
        <f t="shared" si="5"/>
        <v>380627.69230769208</v>
      </c>
      <c r="AD18">
        <f t="shared" si="5"/>
        <v>376578.46153846139</v>
      </c>
      <c r="AE18">
        <f t="shared" si="5"/>
        <v>372529.23076923052</v>
      </c>
      <c r="AF18">
        <f t="shared" si="5"/>
        <v>368479.99999999977</v>
      </c>
      <c r="AG18">
        <f t="shared" si="5"/>
        <v>364430.76923076896</v>
      </c>
      <c r="AH18">
        <f t="shared" si="5"/>
        <v>360381.53846153809</v>
      </c>
      <c r="AI18">
        <f t="shared" si="5"/>
        <v>356332.30769230734</v>
      </c>
      <c r="AJ18">
        <f t="shared" si="5"/>
        <v>352283.07692307653</v>
      </c>
      <c r="AK18">
        <f t="shared" si="5"/>
        <v>348233.84615384578</v>
      </c>
      <c r="AL18">
        <f t="shared" si="5"/>
        <v>344184.61538461497</v>
      </c>
      <c r="AM18">
        <f t="shared" si="5"/>
        <v>340135.38461538404</v>
      </c>
      <c r="AN18">
        <f t="shared" si="5"/>
        <v>336086.15384615329</v>
      </c>
      <c r="AO18">
        <f t="shared" si="5"/>
        <v>332036.92307692254</v>
      </c>
      <c r="AP18">
        <f t="shared" si="5"/>
        <v>327987.69230769173</v>
      </c>
      <c r="AQ18">
        <f t="shared" si="5"/>
        <v>323938.4615384615</v>
      </c>
    </row>
    <row r="22" spans="1:43" x14ac:dyDescent="0.25">
      <c r="A22" s="1" t="s">
        <v>92</v>
      </c>
    </row>
    <row r="23" spans="1:43" x14ac:dyDescent="0.25">
      <c r="A23" t="s">
        <v>124</v>
      </c>
      <c r="B23" t="s">
        <v>94</v>
      </c>
    </row>
    <row r="24" spans="1:43" x14ac:dyDescent="0.25">
      <c r="A24" t="s">
        <v>135</v>
      </c>
      <c r="B24">
        <f>(2000*0.94-(2000*0.94)*0.41)</f>
        <v>1109.2</v>
      </c>
      <c r="C24" t="s">
        <v>131</v>
      </c>
      <c r="D24" t="s">
        <v>126</v>
      </c>
      <c r="E24" t="s">
        <v>20</v>
      </c>
    </row>
    <row r="25" spans="1:43" x14ac:dyDescent="0.25">
      <c r="A25" t="s">
        <v>136</v>
      </c>
      <c r="B25">
        <f>(2350*0.94-(2000*0.94)*0.41)</f>
        <v>1438.2</v>
      </c>
      <c r="C25" t="s">
        <v>131</v>
      </c>
      <c r="D25" t="s">
        <v>126</v>
      </c>
      <c r="E25" t="s">
        <v>20</v>
      </c>
    </row>
    <row r="26" spans="1:43" x14ac:dyDescent="0.25">
      <c r="A26" t="s">
        <v>139</v>
      </c>
      <c r="B26">
        <f>(B25-B24)/(20000-10000)</f>
        <v>3.2899999999999999E-2</v>
      </c>
      <c r="C26" t="s">
        <v>142</v>
      </c>
      <c r="D26" t="s">
        <v>15</v>
      </c>
      <c r="E26" t="s">
        <v>20</v>
      </c>
      <c r="F26" t="s">
        <v>141</v>
      </c>
    </row>
    <row r="27" spans="1:43" x14ac:dyDescent="0.25">
      <c r="A27" t="s">
        <v>140</v>
      </c>
      <c r="B27">
        <f>B24-B26*10000</f>
        <v>780.2</v>
      </c>
      <c r="C27" t="s">
        <v>131</v>
      </c>
      <c r="D27" t="s">
        <v>15</v>
      </c>
      <c r="E27" t="s">
        <v>20</v>
      </c>
      <c r="F27" t="s">
        <v>143</v>
      </c>
    </row>
    <row r="30" spans="1:43" x14ac:dyDescent="0.25">
      <c r="B30">
        <v>2020</v>
      </c>
      <c r="C30">
        <v>2021</v>
      </c>
      <c r="D30">
        <v>2022</v>
      </c>
      <c r="E30">
        <v>2023</v>
      </c>
      <c r="F30">
        <v>2024</v>
      </c>
      <c r="G30">
        <v>2025</v>
      </c>
      <c r="H30">
        <v>2026</v>
      </c>
      <c r="I30">
        <v>2027</v>
      </c>
      <c r="J30">
        <v>2028</v>
      </c>
      <c r="K30">
        <v>2029</v>
      </c>
      <c r="L30">
        <v>2030</v>
      </c>
      <c r="M30">
        <v>2031</v>
      </c>
      <c r="N30">
        <v>2032</v>
      </c>
      <c r="O30">
        <v>2033</v>
      </c>
      <c r="P30">
        <v>2034</v>
      </c>
      <c r="Q30">
        <v>2035</v>
      </c>
      <c r="R30">
        <v>2036</v>
      </c>
      <c r="S30">
        <v>2037</v>
      </c>
      <c r="T30">
        <v>2038</v>
      </c>
      <c r="U30">
        <v>2039</v>
      </c>
      <c r="V30">
        <v>2040</v>
      </c>
      <c r="W30">
        <v>2041</v>
      </c>
      <c r="X30">
        <v>2042</v>
      </c>
      <c r="Y30">
        <v>2043</v>
      </c>
      <c r="Z30">
        <v>2044</v>
      </c>
      <c r="AA30">
        <v>2045</v>
      </c>
      <c r="AB30">
        <v>2046</v>
      </c>
      <c r="AC30">
        <v>2047</v>
      </c>
      <c r="AD30">
        <v>2048</v>
      </c>
      <c r="AE30">
        <v>2049</v>
      </c>
      <c r="AF30">
        <v>2050</v>
      </c>
    </row>
    <row r="31" spans="1:43" x14ac:dyDescent="0.25">
      <c r="A31" t="s">
        <v>23</v>
      </c>
      <c r="B31">
        <v>0</v>
      </c>
      <c r="C31">
        <v>1</v>
      </c>
      <c r="D31">
        <v>2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  <c r="AE31">
        <v>30</v>
      </c>
      <c r="AF31">
        <v>31</v>
      </c>
    </row>
    <row r="32" spans="1:43" x14ac:dyDescent="0.25">
      <c r="A32" t="s">
        <v>146</v>
      </c>
      <c r="B32">
        <f>$B$27</f>
        <v>780.2</v>
      </c>
      <c r="C32">
        <f t="shared" ref="C32:AF32" si="6">$B$27</f>
        <v>780.2</v>
      </c>
      <c r="D32">
        <f t="shared" si="6"/>
        <v>780.2</v>
      </c>
      <c r="E32">
        <f t="shared" si="6"/>
        <v>780.2</v>
      </c>
      <c r="F32">
        <f t="shared" si="6"/>
        <v>780.2</v>
      </c>
      <c r="G32">
        <f t="shared" si="6"/>
        <v>780.2</v>
      </c>
      <c r="H32">
        <f t="shared" si="6"/>
        <v>780.2</v>
      </c>
      <c r="I32">
        <f t="shared" si="6"/>
        <v>780.2</v>
      </c>
      <c r="J32">
        <f t="shared" si="6"/>
        <v>780.2</v>
      </c>
      <c r="K32">
        <f t="shared" si="6"/>
        <v>780.2</v>
      </c>
      <c r="L32">
        <f t="shared" si="6"/>
        <v>780.2</v>
      </c>
      <c r="M32">
        <f t="shared" si="6"/>
        <v>780.2</v>
      </c>
      <c r="N32">
        <f t="shared" si="6"/>
        <v>780.2</v>
      </c>
      <c r="O32">
        <f t="shared" si="6"/>
        <v>780.2</v>
      </c>
      <c r="P32">
        <f t="shared" si="6"/>
        <v>780.2</v>
      </c>
      <c r="Q32">
        <f t="shared" si="6"/>
        <v>780.2</v>
      </c>
      <c r="R32">
        <f t="shared" si="6"/>
        <v>780.2</v>
      </c>
      <c r="S32">
        <f t="shared" si="6"/>
        <v>780.2</v>
      </c>
      <c r="T32">
        <f t="shared" si="6"/>
        <v>780.2</v>
      </c>
      <c r="U32">
        <f t="shared" si="6"/>
        <v>780.2</v>
      </c>
      <c r="V32">
        <f t="shared" si="6"/>
        <v>780.2</v>
      </c>
      <c r="W32">
        <f t="shared" si="6"/>
        <v>780.2</v>
      </c>
      <c r="X32">
        <f t="shared" si="6"/>
        <v>780.2</v>
      </c>
      <c r="Y32">
        <f t="shared" si="6"/>
        <v>780.2</v>
      </c>
      <c r="Z32">
        <f t="shared" si="6"/>
        <v>780.2</v>
      </c>
      <c r="AA32">
        <f t="shared" si="6"/>
        <v>780.2</v>
      </c>
      <c r="AB32">
        <f t="shared" si="6"/>
        <v>780.2</v>
      </c>
      <c r="AC32">
        <f t="shared" si="6"/>
        <v>780.2</v>
      </c>
      <c r="AD32">
        <f t="shared" si="6"/>
        <v>780.2</v>
      </c>
      <c r="AE32">
        <f t="shared" si="6"/>
        <v>780.2</v>
      </c>
      <c r="AF32">
        <f t="shared" si="6"/>
        <v>780.2</v>
      </c>
    </row>
    <row r="33" spans="1:32" x14ac:dyDescent="0.25">
      <c r="A33" t="s">
        <v>147</v>
      </c>
      <c r="B33">
        <f>$B$26</f>
        <v>3.2899999999999999E-2</v>
      </c>
      <c r="C33">
        <f t="shared" ref="C33:AF33" si="7">$B$26</f>
        <v>3.2899999999999999E-2</v>
      </c>
      <c r="D33">
        <f t="shared" si="7"/>
        <v>3.2899999999999999E-2</v>
      </c>
      <c r="E33">
        <f t="shared" si="7"/>
        <v>3.2899999999999999E-2</v>
      </c>
      <c r="F33">
        <f t="shared" si="7"/>
        <v>3.2899999999999999E-2</v>
      </c>
      <c r="G33">
        <f t="shared" si="7"/>
        <v>3.2899999999999999E-2</v>
      </c>
      <c r="H33">
        <f t="shared" si="7"/>
        <v>3.2899999999999999E-2</v>
      </c>
      <c r="I33">
        <f t="shared" si="7"/>
        <v>3.2899999999999999E-2</v>
      </c>
      <c r="J33">
        <f t="shared" si="7"/>
        <v>3.2899999999999999E-2</v>
      </c>
      <c r="K33">
        <f t="shared" si="7"/>
        <v>3.2899999999999999E-2</v>
      </c>
      <c r="L33">
        <f t="shared" si="7"/>
        <v>3.2899999999999999E-2</v>
      </c>
      <c r="M33">
        <f t="shared" si="7"/>
        <v>3.2899999999999999E-2</v>
      </c>
      <c r="N33">
        <f t="shared" si="7"/>
        <v>3.2899999999999999E-2</v>
      </c>
      <c r="O33">
        <f t="shared" si="7"/>
        <v>3.2899999999999999E-2</v>
      </c>
      <c r="P33">
        <f t="shared" si="7"/>
        <v>3.2899999999999999E-2</v>
      </c>
      <c r="Q33">
        <f t="shared" si="7"/>
        <v>3.2899999999999999E-2</v>
      </c>
      <c r="R33">
        <f t="shared" si="7"/>
        <v>3.2899999999999999E-2</v>
      </c>
      <c r="S33">
        <f t="shared" si="7"/>
        <v>3.2899999999999999E-2</v>
      </c>
      <c r="T33">
        <f t="shared" si="7"/>
        <v>3.2899999999999999E-2</v>
      </c>
      <c r="U33">
        <f t="shared" si="7"/>
        <v>3.2899999999999999E-2</v>
      </c>
      <c r="V33">
        <f t="shared" si="7"/>
        <v>3.2899999999999999E-2</v>
      </c>
      <c r="W33">
        <f t="shared" si="7"/>
        <v>3.2899999999999999E-2</v>
      </c>
      <c r="X33">
        <f t="shared" si="7"/>
        <v>3.2899999999999999E-2</v>
      </c>
      <c r="Y33">
        <f t="shared" si="7"/>
        <v>3.2899999999999999E-2</v>
      </c>
      <c r="Z33">
        <f t="shared" si="7"/>
        <v>3.2899999999999999E-2</v>
      </c>
      <c r="AA33">
        <f t="shared" si="7"/>
        <v>3.2899999999999999E-2</v>
      </c>
      <c r="AB33">
        <f t="shared" si="7"/>
        <v>3.2899999999999999E-2</v>
      </c>
      <c r="AC33">
        <f t="shared" si="7"/>
        <v>3.2899999999999999E-2</v>
      </c>
      <c r="AD33">
        <f t="shared" si="7"/>
        <v>3.2899999999999999E-2</v>
      </c>
      <c r="AE33">
        <f t="shared" si="7"/>
        <v>3.2899999999999999E-2</v>
      </c>
      <c r="AF33">
        <f t="shared" si="7"/>
        <v>3.2899999999999999E-2</v>
      </c>
    </row>
    <row r="36" spans="1:32" x14ac:dyDescent="0.25">
      <c r="A36" t="s">
        <v>35</v>
      </c>
      <c r="B36">
        <v>2020</v>
      </c>
      <c r="C36">
        <v>2023</v>
      </c>
      <c r="D36">
        <v>2026</v>
      </c>
      <c r="E36">
        <v>2029</v>
      </c>
      <c r="F36">
        <v>2032</v>
      </c>
      <c r="G36">
        <v>2035</v>
      </c>
      <c r="H36">
        <v>2038</v>
      </c>
      <c r="I36">
        <v>2041</v>
      </c>
      <c r="J36">
        <v>2044</v>
      </c>
      <c r="K36">
        <v>2047</v>
      </c>
      <c r="L36">
        <v>2050</v>
      </c>
    </row>
    <row r="37" spans="1:32" x14ac:dyDescent="0.25">
      <c r="A37" t="s">
        <v>34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</row>
    <row r="38" spans="1:32" x14ac:dyDescent="0.25">
      <c r="A38" t="s">
        <v>146</v>
      </c>
      <c r="B38">
        <f t="shared" ref="B38:L38" si="8">INDEX($B32:$AF32,MATCH(B$36,$B$30:$AF$30))</f>
        <v>780.2</v>
      </c>
      <c r="C38">
        <f t="shared" si="8"/>
        <v>780.2</v>
      </c>
      <c r="D38">
        <f t="shared" si="8"/>
        <v>780.2</v>
      </c>
      <c r="E38">
        <f t="shared" si="8"/>
        <v>780.2</v>
      </c>
      <c r="F38">
        <f t="shared" si="8"/>
        <v>780.2</v>
      </c>
      <c r="G38">
        <f t="shared" si="8"/>
        <v>780.2</v>
      </c>
      <c r="H38">
        <f t="shared" si="8"/>
        <v>780.2</v>
      </c>
      <c r="I38">
        <f t="shared" si="8"/>
        <v>780.2</v>
      </c>
      <c r="J38">
        <f t="shared" si="8"/>
        <v>780.2</v>
      </c>
      <c r="K38">
        <f t="shared" si="8"/>
        <v>780.2</v>
      </c>
      <c r="L38">
        <f t="shared" si="8"/>
        <v>780.2</v>
      </c>
    </row>
    <row r="39" spans="1:32" x14ac:dyDescent="0.25">
      <c r="A39" t="s">
        <v>147</v>
      </c>
      <c r="B39">
        <f t="shared" ref="B39:L39" si="9">INDEX($B33:$AF33,MATCH(B$36,$B$30:$AF$30))</f>
        <v>3.2899999999999999E-2</v>
      </c>
      <c r="C39">
        <f t="shared" si="9"/>
        <v>3.2899999999999999E-2</v>
      </c>
      <c r="D39">
        <f t="shared" si="9"/>
        <v>3.2899999999999999E-2</v>
      </c>
      <c r="E39">
        <f t="shared" si="9"/>
        <v>3.2899999999999999E-2</v>
      </c>
      <c r="F39">
        <f t="shared" si="9"/>
        <v>3.2899999999999999E-2</v>
      </c>
      <c r="G39">
        <f t="shared" si="9"/>
        <v>3.2899999999999999E-2</v>
      </c>
      <c r="H39">
        <f t="shared" si="9"/>
        <v>3.2899999999999999E-2</v>
      </c>
      <c r="I39">
        <f t="shared" si="9"/>
        <v>3.2899999999999999E-2</v>
      </c>
      <c r="J39">
        <f t="shared" si="9"/>
        <v>3.2899999999999999E-2</v>
      </c>
      <c r="K39">
        <f t="shared" si="9"/>
        <v>3.2899999999999999E-2</v>
      </c>
      <c r="L39">
        <f t="shared" si="9"/>
        <v>3.2899999999999999E-2</v>
      </c>
    </row>
    <row r="41" spans="1:32" x14ac:dyDescent="0.25">
      <c r="A41" t="s">
        <v>35</v>
      </c>
      <c r="B41">
        <v>2020</v>
      </c>
      <c r="C41">
        <v>2023</v>
      </c>
      <c r="D41">
        <v>2026</v>
      </c>
      <c r="E41">
        <v>2029</v>
      </c>
      <c r="F41">
        <v>2032</v>
      </c>
      <c r="G41">
        <v>2035</v>
      </c>
      <c r="H41">
        <v>2038</v>
      </c>
      <c r="I41">
        <v>2041</v>
      </c>
      <c r="J41">
        <v>2044</v>
      </c>
      <c r="K41">
        <v>2047</v>
      </c>
      <c r="L41">
        <v>2050</v>
      </c>
    </row>
    <row r="42" spans="1:32" x14ac:dyDescent="0.25">
      <c r="A42" t="s">
        <v>34</v>
      </c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</row>
    <row r="43" spans="1:32" x14ac:dyDescent="0.25">
      <c r="A43" t="s">
        <v>155</v>
      </c>
      <c r="B43">
        <f>INDEX($M8:$AQ8,MATCH(B$41,$M$6:$AQ$6))</f>
        <v>7245166.7665662523</v>
      </c>
      <c r="C43">
        <f t="shared" ref="C43:L43" si="10">INDEX($M8:$AQ8,MATCH(C$41,$M$6:$AQ$6))</f>
        <v>7027811.7635692656</v>
      </c>
      <c r="D43">
        <f t="shared" si="10"/>
        <v>6810456.7605722807</v>
      </c>
      <c r="E43">
        <f t="shared" si="10"/>
        <v>6593101.7575752921</v>
      </c>
      <c r="F43">
        <f t="shared" si="10"/>
        <v>6390237.0881114341</v>
      </c>
      <c r="G43">
        <f t="shared" si="10"/>
        <v>6194617.5854141433</v>
      </c>
      <c r="H43">
        <f t="shared" si="10"/>
        <v>5998998.0827168524</v>
      </c>
      <c r="I43">
        <f t="shared" si="10"/>
        <v>5803378.5800195616</v>
      </c>
      <c r="J43">
        <f t="shared" si="10"/>
        <v>5607759.0773222726</v>
      </c>
      <c r="K43">
        <f t="shared" si="10"/>
        <v>5412139.5746249817</v>
      </c>
      <c r="L43">
        <f t="shared" si="10"/>
        <v>5216520.0719277011</v>
      </c>
    </row>
    <row r="44" spans="1:32" x14ac:dyDescent="0.25">
      <c r="A44" t="s">
        <v>4</v>
      </c>
      <c r="B44">
        <f t="shared" ref="B44:L44" si="11">INDEX($M9:$AQ9,MATCH(B$41,$M$6:$AQ$6))</f>
        <v>56239316.23931624</v>
      </c>
      <c r="C44">
        <f t="shared" si="11"/>
        <v>54552136.752136759</v>
      </c>
      <c r="D44">
        <f t="shared" si="11"/>
        <v>52864957.264957286</v>
      </c>
      <c r="E44">
        <f t="shared" si="11"/>
        <v>51177777.777777798</v>
      </c>
      <c r="F44">
        <f t="shared" si="11"/>
        <v>49603076.923076913</v>
      </c>
      <c r="G44">
        <f t="shared" si="11"/>
        <v>48084615.384615362</v>
      </c>
      <c r="H44">
        <f t="shared" si="11"/>
        <v>46566153.846153811</v>
      </c>
      <c r="I44">
        <f t="shared" si="11"/>
        <v>45047692.30769226</v>
      </c>
      <c r="J44">
        <f t="shared" si="11"/>
        <v>43529230.769230716</v>
      </c>
      <c r="K44">
        <f t="shared" si="11"/>
        <v>42010769.230769165</v>
      </c>
      <c r="L44">
        <f t="shared" si="11"/>
        <v>40492307.692307688</v>
      </c>
    </row>
    <row r="45" spans="1:32" x14ac:dyDescent="0.25">
      <c r="A45" t="s">
        <v>9</v>
      </c>
      <c r="B45">
        <f t="shared" ref="B45:L45" si="12">INDEX($M10:$AQ10,MATCH(B$41,$M$6:$AQ$6))</f>
        <v>2249572.64957265</v>
      </c>
      <c r="C45">
        <f t="shared" si="12"/>
        <v>2182085.4700854705</v>
      </c>
      <c r="D45">
        <f t="shared" si="12"/>
        <v>2114598.2905982914</v>
      </c>
      <c r="E45">
        <f t="shared" si="12"/>
        <v>2047111.1111111119</v>
      </c>
      <c r="F45">
        <f t="shared" si="12"/>
        <v>1984123.0769230768</v>
      </c>
      <c r="G45">
        <f t="shared" si="12"/>
        <v>1923384.6153846146</v>
      </c>
      <c r="H45">
        <f t="shared" si="12"/>
        <v>1862646.1538461524</v>
      </c>
      <c r="I45">
        <f t="shared" si="12"/>
        <v>1801907.6923076904</v>
      </c>
      <c r="J45">
        <f t="shared" si="12"/>
        <v>1741169.2307692287</v>
      </c>
      <c r="K45">
        <f t="shared" si="12"/>
        <v>1680430.7692307665</v>
      </c>
      <c r="L45">
        <f t="shared" si="12"/>
        <v>1619692.3076923075</v>
      </c>
    </row>
    <row r="47" spans="1:32" x14ac:dyDescent="0.25">
      <c r="A47" t="s">
        <v>35</v>
      </c>
      <c r="B47">
        <v>2020</v>
      </c>
      <c r="C47">
        <v>2023</v>
      </c>
      <c r="D47">
        <v>2026</v>
      </c>
      <c r="E47">
        <v>2029</v>
      </c>
      <c r="F47">
        <v>2032</v>
      </c>
      <c r="G47">
        <v>2035</v>
      </c>
      <c r="H47">
        <v>2038</v>
      </c>
      <c r="I47">
        <v>2041</v>
      </c>
      <c r="J47">
        <v>2044</v>
      </c>
      <c r="K47">
        <v>2047</v>
      </c>
      <c r="L47">
        <v>2050</v>
      </c>
    </row>
    <row r="48" spans="1:32" x14ac:dyDescent="0.25">
      <c r="A48" t="s">
        <v>34</v>
      </c>
      <c r="B48">
        <v>0</v>
      </c>
      <c r="C48">
        <v>1</v>
      </c>
      <c r="D48">
        <v>2</v>
      </c>
      <c r="E48">
        <v>3</v>
      </c>
      <c r="F48">
        <v>4</v>
      </c>
      <c r="G48">
        <v>5</v>
      </c>
      <c r="H48">
        <v>6</v>
      </c>
      <c r="I48">
        <v>7</v>
      </c>
      <c r="J48">
        <v>8</v>
      </c>
      <c r="K48">
        <v>9</v>
      </c>
      <c r="L48">
        <v>10</v>
      </c>
    </row>
    <row r="49" spans="1:12" x14ac:dyDescent="0.25">
      <c r="A49" t="s">
        <v>155</v>
      </c>
      <c r="B49">
        <f>INDEX($M16:$AQ16,MATCH(B$47,$M$14:$AQ$14))</f>
        <v>1449033.3533132505</v>
      </c>
      <c r="C49">
        <f t="shared" ref="C49:L49" si="13">INDEX($M16:$AQ16,MATCH(C$47,$M$14:$AQ$14))</f>
        <v>1405562.3527138531</v>
      </c>
      <c r="D49">
        <f t="shared" si="13"/>
        <v>1362091.352114456</v>
      </c>
      <c r="E49">
        <f t="shared" si="13"/>
        <v>1318620.3515150584</v>
      </c>
      <c r="F49">
        <f t="shared" si="13"/>
        <v>1278047.4176222868</v>
      </c>
      <c r="G49">
        <f t="shared" si="13"/>
        <v>1238923.5170828286</v>
      </c>
      <c r="H49">
        <f t="shared" si="13"/>
        <v>1199799.6165433705</v>
      </c>
      <c r="I49">
        <f t="shared" si="13"/>
        <v>1160675.7160039125</v>
      </c>
      <c r="J49">
        <f t="shared" si="13"/>
        <v>1121551.8154644545</v>
      </c>
      <c r="K49">
        <f t="shared" si="13"/>
        <v>1082427.9149249964</v>
      </c>
      <c r="L49">
        <f t="shared" si="13"/>
        <v>1043304.0143855403</v>
      </c>
    </row>
    <row r="50" spans="1:12" x14ac:dyDescent="0.25">
      <c r="A50" t="s">
        <v>4</v>
      </c>
      <c r="B50">
        <f t="shared" ref="B50:L50" si="14">INDEX($M17:$AQ17,MATCH(B$47,$M$14:$AQ$14))</f>
        <v>11247863.247863248</v>
      </c>
      <c r="C50">
        <f t="shared" si="14"/>
        <v>10910427.350427352</v>
      </c>
      <c r="D50">
        <f t="shared" si="14"/>
        <v>10572991.452991458</v>
      </c>
      <c r="E50">
        <f t="shared" si="14"/>
        <v>10235555.55555556</v>
      </c>
      <c r="F50">
        <f t="shared" si="14"/>
        <v>9920615.3846153822</v>
      </c>
      <c r="G50">
        <f t="shared" si="14"/>
        <v>9616923.0769230723</v>
      </c>
      <c r="H50">
        <f t="shared" si="14"/>
        <v>9313230.7692307625</v>
      </c>
      <c r="I50">
        <f t="shared" si="14"/>
        <v>9009538.4615384527</v>
      </c>
      <c r="J50">
        <f t="shared" si="14"/>
        <v>8705846.1538461428</v>
      </c>
      <c r="K50">
        <f t="shared" si="14"/>
        <v>8402153.846153833</v>
      </c>
      <c r="L50">
        <f t="shared" si="14"/>
        <v>8098461.538461538</v>
      </c>
    </row>
    <row r="51" spans="1:12" x14ac:dyDescent="0.25">
      <c r="A51" t="s">
        <v>9</v>
      </c>
      <c r="B51">
        <f t="shared" ref="B51:L51" si="15">INDEX($M18:$AQ18,MATCH(B$47,$M$14:$AQ$14))</f>
        <v>449914.52991452999</v>
      </c>
      <c r="C51">
        <f t="shared" si="15"/>
        <v>436417.09401709412</v>
      </c>
      <c r="D51">
        <f t="shared" si="15"/>
        <v>422919.6581196583</v>
      </c>
      <c r="E51">
        <f t="shared" si="15"/>
        <v>409422.22222222242</v>
      </c>
      <c r="F51">
        <f t="shared" si="15"/>
        <v>396824.61538461538</v>
      </c>
      <c r="G51">
        <f t="shared" si="15"/>
        <v>384676.92307692295</v>
      </c>
      <c r="H51">
        <f t="shared" si="15"/>
        <v>372529.23076923052</v>
      </c>
      <c r="I51">
        <f t="shared" si="15"/>
        <v>360381.53846153809</v>
      </c>
      <c r="J51">
        <f t="shared" si="15"/>
        <v>348233.84615384578</v>
      </c>
      <c r="K51">
        <f t="shared" si="15"/>
        <v>336086.15384615329</v>
      </c>
      <c r="L51">
        <f t="shared" si="15"/>
        <v>323938.4615384615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86E9-831C-4CFA-BA20-93A75977E223}">
  <dimension ref="A1:AF37"/>
  <sheetViews>
    <sheetView tabSelected="1" topLeftCell="A7" workbookViewId="0">
      <selection activeCell="F14" sqref="F14"/>
    </sheetView>
  </sheetViews>
  <sheetFormatPr defaultRowHeight="15" x14ac:dyDescent="0.25"/>
  <sheetData>
    <row r="1" spans="1:6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6" x14ac:dyDescent="0.25">
      <c r="A2" t="s">
        <v>30</v>
      </c>
      <c r="B2">
        <f>($B$3*(1+$B$3)^$B$7)/((1+$B$3)^$B$7-1)</f>
        <v>8.8827433387272267E-2</v>
      </c>
      <c r="C2" t="s">
        <v>16</v>
      </c>
      <c r="D2" t="s">
        <v>15</v>
      </c>
      <c r="E2" t="s">
        <v>21</v>
      </c>
    </row>
    <row r="3" spans="1:6" x14ac:dyDescent="0.25">
      <c r="A3" t="s">
        <v>24</v>
      </c>
      <c r="B3" s="2">
        <v>0.08</v>
      </c>
      <c r="C3" t="s">
        <v>87</v>
      </c>
      <c r="D3" t="s">
        <v>15</v>
      </c>
      <c r="E3" t="s">
        <v>21</v>
      </c>
    </row>
    <row r="4" spans="1:6" x14ac:dyDescent="0.25">
      <c r="A4" t="s">
        <v>144</v>
      </c>
      <c r="B4" s="4">
        <v>50000</v>
      </c>
      <c r="C4" t="s">
        <v>145</v>
      </c>
      <c r="D4" t="s">
        <v>15</v>
      </c>
      <c r="E4" t="s">
        <v>20</v>
      </c>
    </row>
    <row r="5" spans="1:6" x14ac:dyDescent="0.25">
      <c r="A5" s="1" t="s">
        <v>92</v>
      </c>
    </row>
    <row r="6" spans="1:6" x14ac:dyDescent="0.25">
      <c r="A6" t="s">
        <v>124</v>
      </c>
      <c r="B6" t="s">
        <v>95</v>
      </c>
    </row>
    <row r="7" spans="1:6" x14ac:dyDescent="0.25">
      <c r="A7" t="s">
        <v>26</v>
      </c>
      <c r="B7">
        <v>30</v>
      </c>
      <c r="C7" t="s">
        <v>27</v>
      </c>
      <c r="D7" t="s">
        <v>158</v>
      </c>
    </row>
    <row r="8" spans="1:6" x14ac:dyDescent="0.25">
      <c r="A8" t="s">
        <v>176</v>
      </c>
      <c r="B8">
        <f>B10*B9</f>
        <v>1231288.1328360164</v>
      </c>
    </row>
    <row r="9" spans="1:6" x14ac:dyDescent="0.25">
      <c r="A9" t="s">
        <v>159</v>
      </c>
      <c r="B9">
        <f>4000000*B11*B11+598600*B11+329000</f>
        <v>615644.06641800818</v>
      </c>
    </row>
    <row r="10" spans="1:6" x14ac:dyDescent="0.25">
      <c r="A10" t="s">
        <v>160</v>
      </c>
      <c r="B10">
        <v>2</v>
      </c>
      <c r="C10" t="s">
        <v>16</v>
      </c>
    </row>
    <row r="11" spans="1:6" x14ac:dyDescent="0.25">
      <c r="A11" t="s">
        <v>204</v>
      </c>
      <c r="B11">
        <f>SQRT((4*B13)/(PI()*B12))</f>
        <v>0.20313146642865143</v>
      </c>
      <c r="C11" t="s">
        <v>14</v>
      </c>
      <c r="E11" t="s">
        <v>20</v>
      </c>
      <c r="F11" t="s">
        <v>209</v>
      </c>
    </row>
    <row r="12" spans="1:6" x14ac:dyDescent="0.25">
      <c r="A12" t="s">
        <v>205</v>
      </c>
      <c r="B12">
        <v>15</v>
      </c>
      <c r="C12" t="s">
        <v>171</v>
      </c>
    </row>
    <row r="13" spans="1:6" x14ac:dyDescent="0.25">
      <c r="A13" t="s">
        <v>206</v>
      </c>
      <c r="B13">
        <f>B14/B15</f>
        <v>0.4861111111111111</v>
      </c>
    </row>
    <row r="14" spans="1:6" x14ac:dyDescent="0.25">
      <c r="A14" t="s">
        <v>207</v>
      </c>
      <c r="B14">
        <f>'Electrolyzer (k=3)'!B7*B19*1000/3600</f>
        <v>3.8888888888888888</v>
      </c>
      <c r="C14" t="s">
        <v>175</v>
      </c>
      <c r="D14" t="s">
        <v>15</v>
      </c>
      <c r="E14" t="s">
        <v>20</v>
      </c>
      <c r="F14" t="s">
        <v>210</v>
      </c>
    </row>
    <row r="15" spans="1:6" x14ac:dyDescent="0.25">
      <c r="A15" t="s">
        <v>208</v>
      </c>
      <c r="B15">
        <v>8</v>
      </c>
      <c r="C15" t="s">
        <v>172</v>
      </c>
    </row>
    <row r="16" spans="1:6" x14ac:dyDescent="0.25">
      <c r="A16" t="s">
        <v>162</v>
      </c>
      <c r="B16">
        <f>0.02*B8</f>
        <v>24625.762656720326</v>
      </c>
      <c r="F16" t="s">
        <v>170</v>
      </c>
    </row>
    <row r="17" spans="1:32" x14ac:dyDescent="0.25">
      <c r="A17" t="s">
        <v>163</v>
      </c>
      <c r="B17">
        <v>20</v>
      </c>
      <c r="C17" t="s">
        <v>165</v>
      </c>
    </row>
    <row r="18" spans="1:32" x14ac:dyDescent="0.25">
      <c r="A18" t="s">
        <v>167</v>
      </c>
      <c r="B18">
        <v>700</v>
      </c>
      <c r="C18" t="s">
        <v>164</v>
      </c>
      <c r="D18" t="s">
        <v>168</v>
      </c>
    </row>
    <row r="19" spans="1:32" x14ac:dyDescent="0.25">
      <c r="A19" t="s">
        <v>166</v>
      </c>
      <c r="B19">
        <f>B18/B17</f>
        <v>35</v>
      </c>
      <c r="E19" t="s">
        <v>20</v>
      </c>
      <c r="F19" t="s">
        <v>169</v>
      </c>
    </row>
    <row r="21" spans="1:32" x14ac:dyDescent="0.25">
      <c r="A21" t="s">
        <v>178</v>
      </c>
      <c r="B21">
        <v>1</v>
      </c>
      <c r="D21" t="s">
        <v>180</v>
      </c>
    </row>
    <row r="22" spans="1:32" x14ac:dyDescent="0.25">
      <c r="A22" t="s">
        <v>179</v>
      </c>
      <c r="B22">
        <v>1</v>
      </c>
      <c r="D22" t="s">
        <v>181</v>
      </c>
    </row>
    <row r="23" spans="1:32" x14ac:dyDescent="0.25">
      <c r="A23" t="s">
        <v>161</v>
      </c>
      <c r="B23">
        <f>B17*B19*B24</f>
        <v>3.8499999999999996</v>
      </c>
      <c r="D23" t="s">
        <v>173</v>
      </c>
    </row>
    <row r="24" spans="1:32" x14ac:dyDescent="0.25">
      <c r="A24" t="s">
        <v>174</v>
      </c>
      <c r="B24">
        <v>5.4999999999999997E-3</v>
      </c>
    </row>
    <row r="27" spans="1:32" x14ac:dyDescent="0.25">
      <c r="B27">
        <v>2020</v>
      </c>
      <c r="C27">
        <v>2021</v>
      </c>
      <c r="D27">
        <v>2022</v>
      </c>
      <c r="E27">
        <v>2023</v>
      </c>
      <c r="F27">
        <v>2024</v>
      </c>
      <c r="G27">
        <v>2025</v>
      </c>
      <c r="H27">
        <v>2026</v>
      </c>
      <c r="I27">
        <v>2027</v>
      </c>
      <c r="J27">
        <v>2028</v>
      </c>
      <c r="K27">
        <v>2029</v>
      </c>
      <c r="L27">
        <v>2030</v>
      </c>
      <c r="M27">
        <v>2031</v>
      </c>
      <c r="N27">
        <v>2032</v>
      </c>
      <c r="O27">
        <v>2033</v>
      </c>
      <c r="P27">
        <v>2034</v>
      </c>
      <c r="Q27">
        <v>2035</v>
      </c>
      <c r="R27">
        <v>2036</v>
      </c>
      <c r="S27">
        <v>2037</v>
      </c>
      <c r="T27">
        <v>2038</v>
      </c>
      <c r="U27">
        <v>2039</v>
      </c>
      <c r="V27">
        <v>2040</v>
      </c>
      <c r="W27">
        <v>2041</v>
      </c>
      <c r="X27">
        <v>2042</v>
      </c>
      <c r="Y27">
        <v>2043</v>
      </c>
      <c r="Z27">
        <v>2044</v>
      </c>
      <c r="AA27">
        <v>2045</v>
      </c>
      <c r="AB27">
        <v>2046</v>
      </c>
      <c r="AC27">
        <v>2047</v>
      </c>
      <c r="AD27">
        <v>2048</v>
      </c>
      <c r="AE27">
        <v>2049</v>
      </c>
      <c r="AF27">
        <v>2050</v>
      </c>
    </row>
    <row r="28" spans="1:32" x14ac:dyDescent="0.25">
      <c r="A28" t="s">
        <v>23</v>
      </c>
      <c r="B28">
        <v>0</v>
      </c>
      <c r="C28">
        <v>1</v>
      </c>
      <c r="D28">
        <v>2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</row>
    <row r="29" spans="1:32" x14ac:dyDescent="0.25">
      <c r="A29" t="s">
        <v>176</v>
      </c>
      <c r="B29">
        <f>$B$2*$B$8</f>
        <v>109372.1646000301</v>
      </c>
      <c r="C29">
        <f t="shared" ref="C29:AF29" si="0">$B$2*$B$8</f>
        <v>109372.1646000301</v>
      </c>
      <c r="D29">
        <f t="shared" si="0"/>
        <v>109372.1646000301</v>
      </c>
      <c r="E29">
        <f t="shared" si="0"/>
        <v>109372.1646000301</v>
      </c>
      <c r="F29">
        <f t="shared" si="0"/>
        <v>109372.1646000301</v>
      </c>
      <c r="G29">
        <f t="shared" si="0"/>
        <v>109372.1646000301</v>
      </c>
      <c r="H29">
        <f t="shared" si="0"/>
        <v>109372.1646000301</v>
      </c>
      <c r="I29">
        <f t="shared" si="0"/>
        <v>109372.1646000301</v>
      </c>
      <c r="J29">
        <f t="shared" si="0"/>
        <v>109372.1646000301</v>
      </c>
      <c r="K29">
        <f t="shared" si="0"/>
        <v>109372.1646000301</v>
      </c>
      <c r="L29">
        <f t="shared" si="0"/>
        <v>109372.1646000301</v>
      </c>
      <c r="M29">
        <f t="shared" si="0"/>
        <v>109372.1646000301</v>
      </c>
      <c r="N29">
        <f t="shared" si="0"/>
        <v>109372.1646000301</v>
      </c>
      <c r="O29">
        <f t="shared" si="0"/>
        <v>109372.1646000301</v>
      </c>
      <c r="P29">
        <f t="shared" si="0"/>
        <v>109372.1646000301</v>
      </c>
      <c r="Q29">
        <f t="shared" si="0"/>
        <v>109372.1646000301</v>
      </c>
      <c r="R29">
        <f t="shared" si="0"/>
        <v>109372.1646000301</v>
      </c>
      <c r="S29">
        <f t="shared" si="0"/>
        <v>109372.1646000301</v>
      </c>
      <c r="T29">
        <f t="shared" si="0"/>
        <v>109372.1646000301</v>
      </c>
      <c r="U29">
        <f t="shared" si="0"/>
        <v>109372.1646000301</v>
      </c>
      <c r="V29">
        <f t="shared" si="0"/>
        <v>109372.1646000301</v>
      </c>
      <c r="W29">
        <f t="shared" si="0"/>
        <v>109372.1646000301</v>
      </c>
      <c r="X29">
        <f t="shared" si="0"/>
        <v>109372.1646000301</v>
      </c>
      <c r="Y29">
        <f t="shared" si="0"/>
        <v>109372.1646000301</v>
      </c>
      <c r="Z29">
        <f t="shared" si="0"/>
        <v>109372.1646000301</v>
      </c>
      <c r="AA29">
        <f t="shared" si="0"/>
        <v>109372.1646000301</v>
      </c>
      <c r="AB29">
        <f t="shared" si="0"/>
        <v>109372.1646000301</v>
      </c>
      <c r="AC29">
        <f t="shared" si="0"/>
        <v>109372.1646000301</v>
      </c>
      <c r="AD29">
        <f t="shared" si="0"/>
        <v>109372.1646000301</v>
      </c>
      <c r="AE29">
        <f t="shared" si="0"/>
        <v>109372.1646000301</v>
      </c>
      <c r="AF29">
        <f t="shared" si="0"/>
        <v>109372.1646000301</v>
      </c>
    </row>
    <row r="30" spans="1:32" x14ac:dyDescent="0.25">
      <c r="A30" t="s">
        <v>177</v>
      </c>
      <c r="B30">
        <f>$B$16</f>
        <v>24625.762656720326</v>
      </c>
      <c r="C30">
        <f t="shared" ref="C30:AF30" si="1">$B$16</f>
        <v>24625.762656720326</v>
      </c>
      <c r="D30">
        <f t="shared" si="1"/>
        <v>24625.762656720326</v>
      </c>
      <c r="E30">
        <f t="shared" si="1"/>
        <v>24625.762656720326</v>
      </c>
      <c r="F30">
        <f t="shared" si="1"/>
        <v>24625.762656720326</v>
      </c>
      <c r="G30">
        <f t="shared" si="1"/>
        <v>24625.762656720326</v>
      </c>
      <c r="H30">
        <f t="shared" si="1"/>
        <v>24625.762656720326</v>
      </c>
      <c r="I30">
        <f t="shared" si="1"/>
        <v>24625.762656720326</v>
      </c>
      <c r="J30">
        <f t="shared" si="1"/>
        <v>24625.762656720326</v>
      </c>
      <c r="K30">
        <f t="shared" si="1"/>
        <v>24625.762656720326</v>
      </c>
      <c r="L30">
        <f t="shared" si="1"/>
        <v>24625.762656720326</v>
      </c>
      <c r="M30">
        <f t="shared" si="1"/>
        <v>24625.762656720326</v>
      </c>
      <c r="N30">
        <f t="shared" si="1"/>
        <v>24625.762656720326</v>
      </c>
      <c r="O30">
        <f t="shared" si="1"/>
        <v>24625.762656720326</v>
      </c>
      <c r="P30">
        <f t="shared" si="1"/>
        <v>24625.762656720326</v>
      </c>
      <c r="Q30">
        <f t="shared" si="1"/>
        <v>24625.762656720326</v>
      </c>
      <c r="R30">
        <f t="shared" si="1"/>
        <v>24625.762656720326</v>
      </c>
      <c r="S30">
        <f t="shared" si="1"/>
        <v>24625.762656720326</v>
      </c>
      <c r="T30">
        <f t="shared" si="1"/>
        <v>24625.762656720326</v>
      </c>
      <c r="U30">
        <f t="shared" si="1"/>
        <v>24625.762656720326</v>
      </c>
      <c r="V30">
        <f t="shared" si="1"/>
        <v>24625.762656720326</v>
      </c>
      <c r="W30">
        <f t="shared" si="1"/>
        <v>24625.762656720326</v>
      </c>
      <c r="X30">
        <f t="shared" si="1"/>
        <v>24625.762656720326</v>
      </c>
      <c r="Y30">
        <f t="shared" si="1"/>
        <v>24625.762656720326</v>
      </c>
      <c r="Z30">
        <f t="shared" si="1"/>
        <v>24625.762656720326</v>
      </c>
      <c r="AA30">
        <f t="shared" si="1"/>
        <v>24625.762656720326</v>
      </c>
      <c r="AB30">
        <f t="shared" si="1"/>
        <v>24625.762656720326</v>
      </c>
      <c r="AC30">
        <f t="shared" si="1"/>
        <v>24625.762656720326</v>
      </c>
      <c r="AD30">
        <f t="shared" si="1"/>
        <v>24625.762656720326</v>
      </c>
      <c r="AE30">
        <f t="shared" si="1"/>
        <v>24625.762656720326</v>
      </c>
      <c r="AF30">
        <f t="shared" si="1"/>
        <v>24625.762656720326</v>
      </c>
    </row>
    <row r="34" spans="1:12" x14ac:dyDescent="0.25">
      <c r="A34" t="s">
        <v>35</v>
      </c>
      <c r="B34">
        <v>2020</v>
      </c>
      <c r="C34">
        <v>2023</v>
      </c>
      <c r="D34">
        <v>2026</v>
      </c>
      <c r="E34">
        <v>2029</v>
      </c>
      <c r="F34">
        <v>2032</v>
      </c>
      <c r="G34">
        <v>2035</v>
      </c>
      <c r="H34">
        <v>2038</v>
      </c>
      <c r="I34">
        <v>2041</v>
      </c>
      <c r="J34">
        <v>2044</v>
      </c>
      <c r="K34">
        <v>2047</v>
      </c>
      <c r="L34">
        <v>2050</v>
      </c>
    </row>
    <row r="35" spans="1:12" x14ac:dyDescent="0.25">
      <c r="A35" t="s">
        <v>34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</row>
    <row r="36" spans="1:12" x14ac:dyDescent="0.25">
      <c r="A36" t="s">
        <v>176</v>
      </c>
      <c r="B36">
        <f>INDEX($B29:$AF29,MATCH(B$34,$B$27:$AF$27))</f>
        <v>109372.1646000301</v>
      </c>
      <c r="C36">
        <f t="shared" ref="C36:L36" si="2">INDEX($B29:$AF29,MATCH(C$34,$B$27:$AF$27))</f>
        <v>109372.1646000301</v>
      </c>
      <c r="D36">
        <f t="shared" si="2"/>
        <v>109372.1646000301</v>
      </c>
      <c r="E36">
        <f t="shared" si="2"/>
        <v>109372.1646000301</v>
      </c>
      <c r="F36">
        <f t="shared" si="2"/>
        <v>109372.1646000301</v>
      </c>
      <c r="G36">
        <f t="shared" si="2"/>
        <v>109372.1646000301</v>
      </c>
      <c r="H36">
        <f t="shared" si="2"/>
        <v>109372.1646000301</v>
      </c>
      <c r="I36">
        <f t="shared" si="2"/>
        <v>109372.1646000301</v>
      </c>
      <c r="J36">
        <f t="shared" si="2"/>
        <v>109372.1646000301</v>
      </c>
      <c r="K36">
        <f t="shared" si="2"/>
        <v>109372.1646000301</v>
      </c>
      <c r="L36">
        <f t="shared" si="2"/>
        <v>109372.1646000301</v>
      </c>
    </row>
    <row r="37" spans="1:12" x14ac:dyDescent="0.25">
      <c r="A37" t="s">
        <v>177</v>
      </c>
      <c r="B37">
        <f>INDEX($B30:$AF30,MATCH(B$34,$B$27:$AF$27))</f>
        <v>24625.762656720326</v>
      </c>
      <c r="C37">
        <f t="shared" ref="C37:L37" si="3">INDEX($B30:$AF30,MATCH(C$34,$B$27:$AF$27))</f>
        <v>24625.762656720326</v>
      </c>
      <c r="D37">
        <f t="shared" si="3"/>
        <v>24625.762656720326</v>
      </c>
      <c r="E37">
        <f t="shared" si="3"/>
        <v>24625.762656720326</v>
      </c>
      <c r="F37">
        <f t="shared" si="3"/>
        <v>24625.762656720326</v>
      </c>
      <c r="G37">
        <f t="shared" si="3"/>
        <v>24625.762656720326</v>
      </c>
      <c r="H37">
        <f t="shared" si="3"/>
        <v>24625.762656720326</v>
      </c>
      <c r="I37">
        <f t="shared" si="3"/>
        <v>24625.762656720326</v>
      </c>
      <c r="J37">
        <f t="shared" si="3"/>
        <v>24625.762656720326</v>
      </c>
      <c r="K37">
        <f t="shared" si="3"/>
        <v>24625.762656720326</v>
      </c>
      <c r="L37">
        <f t="shared" si="3"/>
        <v>24625.762656720326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BB92-747B-4C1B-980D-77BFC0C24FF8}">
  <dimension ref="A1:K20"/>
  <sheetViews>
    <sheetView workbookViewId="0">
      <selection activeCell="K10" sqref="K10"/>
    </sheetView>
  </sheetViews>
  <sheetFormatPr defaultRowHeight="15" x14ac:dyDescent="0.25"/>
  <sheetData>
    <row r="1" spans="1:11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11" x14ac:dyDescent="0.25">
      <c r="A2" s="1" t="s">
        <v>92</v>
      </c>
    </row>
    <row r="3" spans="1:11" x14ac:dyDescent="0.25">
      <c r="A3" t="s">
        <v>124</v>
      </c>
      <c r="B3" t="s">
        <v>95</v>
      </c>
    </row>
    <row r="4" spans="1:11" x14ac:dyDescent="0.25">
      <c r="A4" t="s">
        <v>30</v>
      </c>
      <c r="B4">
        <f>($B$6*(1+$B$6)^$B$5)/((1+$B$6)^$B$5-1)</f>
        <v>8.8827433387272267E-2</v>
      </c>
      <c r="C4" t="s">
        <v>16</v>
      </c>
    </row>
    <row r="5" spans="1:11" x14ac:dyDescent="0.25">
      <c r="A5" t="s">
        <v>191</v>
      </c>
      <c r="B5">
        <v>30</v>
      </c>
      <c r="C5" t="s">
        <v>27</v>
      </c>
    </row>
    <row r="6" spans="1:11" x14ac:dyDescent="0.25">
      <c r="A6" t="s">
        <v>192</v>
      </c>
      <c r="B6" s="2">
        <v>0.08</v>
      </c>
      <c r="C6" t="s">
        <v>25</v>
      </c>
    </row>
    <row r="9" spans="1:11" x14ac:dyDescent="0.25">
      <c r="A9" t="s">
        <v>182</v>
      </c>
      <c r="B9" t="s">
        <v>197</v>
      </c>
      <c r="E9" t="s">
        <v>185</v>
      </c>
    </row>
    <row r="10" spans="1:11" ht="15.75" x14ac:dyDescent="0.25">
      <c r="A10" t="s">
        <v>193</v>
      </c>
      <c r="B10">
        <v>2</v>
      </c>
      <c r="E10" t="s">
        <v>183</v>
      </c>
      <c r="F10" t="s">
        <v>184</v>
      </c>
      <c r="K10" s="7"/>
    </row>
    <row r="11" spans="1:11" x14ac:dyDescent="0.25">
      <c r="A11" t="s">
        <v>199</v>
      </c>
      <c r="B11">
        <v>771000</v>
      </c>
      <c r="C11" t="s">
        <v>186</v>
      </c>
      <c r="D11" t="s">
        <v>187</v>
      </c>
    </row>
    <row r="12" spans="1:11" x14ac:dyDescent="0.25">
      <c r="A12" t="s">
        <v>200</v>
      </c>
      <c r="B12">
        <v>1800000</v>
      </c>
    </row>
    <row r="13" spans="1:11" x14ac:dyDescent="0.25">
      <c r="A13" t="s">
        <v>188</v>
      </c>
      <c r="B13">
        <f>_xlfn.CEILING.MATH(B19/B14)</f>
        <v>1</v>
      </c>
      <c r="E13" t="s">
        <v>194</v>
      </c>
    </row>
    <row r="14" spans="1:11" x14ac:dyDescent="0.25">
      <c r="A14" t="s">
        <v>195</v>
      </c>
      <c r="B14">
        <v>128</v>
      </c>
    </row>
    <row r="16" spans="1:11" x14ac:dyDescent="0.25">
      <c r="A16" t="s">
        <v>189</v>
      </c>
      <c r="B16" t="s">
        <v>198</v>
      </c>
      <c r="C16" t="s">
        <v>190</v>
      </c>
    </row>
    <row r="19" spans="1:5" x14ac:dyDescent="0.25">
      <c r="A19" t="s">
        <v>201</v>
      </c>
      <c r="B19">
        <v>100</v>
      </c>
      <c r="D19" t="s">
        <v>202</v>
      </c>
      <c r="E19">
        <f>B4*B10*(B11*B19+B12*B13)</f>
        <v>14016968.988511564</v>
      </c>
    </row>
    <row r="20" spans="1:5" x14ac:dyDescent="0.25">
      <c r="D20" t="s">
        <v>203</v>
      </c>
      <c r="E20">
        <f>0.02*B10*(B11*B19+B12*B13)</f>
        <v>3156000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 Report</vt:lpstr>
      <vt:lpstr>Wind (k=1)</vt:lpstr>
      <vt:lpstr>Solar (k=2)</vt:lpstr>
      <vt:lpstr>Electrolyzer (k=3)</vt:lpstr>
      <vt:lpstr>Desalination (k=4)</vt:lpstr>
      <vt:lpstr>NH3 (j=1)(i=1,2)</vt:lpstr>
      <vt:lpstr>LH2 (j=2)(i=1,2)</vt:lpstr>
      <vt:lpstr>GH2 (j=3)</vt:lpstr>
      <vt:lpstr>NH3 (j=4)</vt:lpstr>
      <vt:lpstr>Storage (n=1)</vt:lpstr>
      <vt:lpstr>FPSO (n=2)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2015-06-05T18:19:34Z</dcterms:created>
  <dcterms:modified xsi:type="dcterms:W3CDTF">2024-08-11T15:45:17Z</dcterms:modified>
</cp:coreProperties>
</file>