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ATWP\Documents\TestyANPRWIM\2023\mostki\"/>
    </mc:Choice>
  </mc:AlternateContent>
  <xr:revisionPtr revIDLastSave="0" documentId="13_ncr:1_{EDB284AC-94CC-4846-B0FF-2462F994297B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Identyfikacja" sheetId="1" r:id="rId1"/>
    <sheet name="Klasyfikacja" sheetId="2" r:id="rId2"/>
  </sheets>
  <calcPr calcId="191029"/>
</workbook>
</file>

<file path=xl/calcChain.xml><?xml version="1.0" encoding="utf-8"?>
<calcChain xmlns="http://schemas.openxmlformats.org/spreadsheetml/2006/main">
  <c r="N21" i="1" l="1"/>
  <c r="S219" i="2" l="1"/>
  <c r="R219" i="2"/>
  <c r="Q219" i="2"/>
  <c r="P219" i="2" s="1"/>
  <c r="T219" i="2" s="1"/>
  <c r="AA218" i="2"/>
  <c r="Z218" i="2"/>
  <c r="Y218" i="2" s="1"/>
  <c r="AC218" i="2" s="1"/>
  <c r="R218" i="2"/>
  <c r="AB217" i="2"/>
  <c r="AA217" i="2"/>
  <c r="Z217" i="2"/>
  <c r="Y217" i="2"/>
  <c r="AC217" i="2" s="1"/>
  <c r="AA216" i="2"/>
  <c r="AB215" i="2"/>
  <c r="R215" i="2"/>
  <c r="Q215" i="2"/>
  <c r="P215" i="2" s="1"/>
  <c r="T215" i="2" s="1"/>
  <c r="AA214" i="2"/>
  <c r="Z214" i="2"/>
  <c r="Y214" i="2" s="1"/>
  <c r="AC214" i="2" s="1"/>
  <c r="S214" i="2"/>
  <c r="AB213" i="2"/>
  <c r="AA213" i="2"/>
  <c r="Z213" i="2"/>
  <c r="Y213" i="2"/>
  <c r="AC213" i="2" s="1"/>
  <c r="S212" i="2"/>
  <c r="R212" i="2"/>
  <c r="P212" i="2" s="1"/>
  <c r="T212" i="2" s="1"/>
  <c r="Q212" i="2"/>
  <c r="R211" i="2"/>
  <c r="Q211" i="2"/>
  <c r="P211" i="2" s="1"/>
  <c r="T211" i="2" s="1"/>
  <c r="S208" i="2"/>
  <c r="R208" i="2"/>
  <c r="Q208" i="2"/>
  <c r="AB207" i="2"/>
  <c r="AA207" i="2"/>
  <c r="Z207" i="2"/>
  <c r="R207" i="2"/>
  <c r="AB206" i="2"/>
  <c r="AA206" i="2"/>
  <c r="Z206" i="2"/>
  <c r="Y206" i="2" s="1"/>
  <c r="AC206" i="2" s="1"/>
  <c r="S206" i="2"/>
  <c r="Q206" i="2"/>
  <c r="AB205" i="2"/>
  <c r="AA205" i="2"/>
  <c r="Y205" i="2" s="1"/>
  <c r="AC205" i="2" s="1"/>
  <c r="Z205" i="2"/>
  <c r="S205" i="2"/>
  <c r="AB204" i="2"/>
  <c r="S204" i="2"/>
  <c r="R204" i="2"/>
  <c r="Q204" i="2"/>
  <c r="AA203" i="2"/>
  <c r="Z203" i="2"/>
  <c r="Y203" i="2" s="1"/>
  <c r="AC203" i="2" s="1"/>
  <c r="S203" i="2"/>
  <c r="R203" i="2"/>
  <c r="AB202" i="2"/>
  <c r="AA202" i="2"/>
  <c r="Z202" i="2"/>
  <c r="Y202" i="2" s="1"/>
  <c r="AC202" i="2" s="1"/>
  <c r="S202" i="2"/>
  <c r="R202" i="2"/>
  <c r="AB201" i="2"/>
  <c r="S201" i="2"/>
  <c r="R201" i="2"/>
  <c r="Q201" i="2"/>
  <c r="D201" i="2"/>
  <c r="AB200" i="2"/>
  <c r="AA200" i="2"/>
  <c r="S200" i="2"/>
  <c r="R200" i="2"/>
  <c r="Q200" i="2"/>
  <c r="P200" i="2" s="1"/>
  <c r="T200" i="2" s="1"/>
  <c r="D200" i="2"/>
  <c r="D199" i="2"/>
  <c r="D198" i="2"/>
  <c r="S197" i="2"/>
  <c r="R197" i="2"/>
  <c r="Q197" i="2"/>
  <c r="P197" i="2"/>
  <c r="T197" i="2" s="1"/>
  <c r="D197" i="2"/>
  <c r="AB196" i="2"/>
  <c r="AA196" i="2"/>
  <c r="Z196" i="2"/>
  <c r="Y196" i="2" s="1"/>
  <c r="AC196" i="2" s="1"/>
  <c r="S196" i="2"/>
  <c r="R196" i="2"/>
  <c r="D196" i="2"/>
  <c r="AA204" i="2" s="1"/>
  <c r="AB195" i="2"/>
  <c r="AA195" i="2"/>
  <c r="Z195" i="2"/>
  <c r="Y195" i="2"/>
  <c r="AC195" i="2" s="1"/>
  <c r="S195" i="2"/>
  <c r="R195" i="2"/>
  <c r="Q195" i="2"/>
  <c r="P195" i="2" s="1"/>
  <c r="T195" i="2" s="1"/>
  <c r="D195" i="2"/>
  <c r="R217" i="2" s="1"/>
  <c r="AB194" i="2"/>
  <c r="AA194" i="2"/>
  <c r="Z194" i="2"/>
  <c r="Y194" i="2"/>
  <c r="AC194" i="2" s="1"/>
  <c r="S194" i="2"/>
  <c r="R194" i="2"/>
  <c r="Q194" i="2"/>
  <c r="P194" i="2"/>
  <c r="T194" i="2" s="1"/>
  <c r="D194" i="2"/>
  <c r="Q203" i="2" s="1"/>
  <c r="P203" i="2" s="1"/>
  <c r="T203" i="2" s="1"/>
  <c r="AB193" i="2"/>
  <c r="S193" i="2"/>
  <c r="R193" i="2"/>
  <c r="Q193" i="2"/>
  <c r="P193" i="2"/>
  <c r="T193" i="2" s="1"/>
  <c r="D193" i="2"/>
  <c r="S207" i="2" s="1"/>
  <c r="AB192" i="2"/>
  <c r="AA192" i="2"/>
  <c r="Z192" i="2"/>
  <c r="Y192" i="2" s="1"/>
  <c r="AC192" i="2" s="1"/>
  <c r="S192" i="2"/>
  <c r="R192" i="2"/>
  <c r="P192" i="2" s="1"/>
  <c r="T192" i="2" s="1"/>
  <c r="Q192" i="2"/>
  <c r="D192" i="2"/>
  <c r="AB191" i="2"/>
  <c r="AA191" i="2"/>
  <c r="Z191" i="2"/>
  <c r="Y191" i="2"/>
  <c r="AC191" i="2" s="1"/>
  <c r="S191" i="2"/>
  <c r="R191" i="2"/>
  <c r="D191" i="2"/>
  <c r="AB190" i="2"/>
  <c r="AA190" i="2"/>
  <c r="Z190" i="2"/>
  <c r="Y190" i="2"/>
  <c r="AC190" i="2" s="1"/>
  <c r="S190" i="2"/>
  <c r="R190" i="2"/>
  <c r="Q190" i="2"/>
  <c r="P190" i="2" s="1"/>
  <c r="T190" i="2" s="1"/>
  <c r="D190" i="2"/>
  <c r="AB189" i="2"/>
  <c r="AA189" i="2"/>
  <c r="S189" i="2"/>
  <c r="R189" i="2"/>
  <c r="Q189" i="2"/>
  <c r="P189" i="2"/>
  <c r="T189" i="2" s="1"/>
  <c r="D189" i="2"/>
  <c r="D188" i="2"/>
  <c r="D187" i="2"/>
  <c r="S186" i="2"/>
  <c r="R186" i="2"/>
  <c r="Q186" i="2"/>
  <c r="P186" i="2"/>
  <c r="T186" i="2" s="1"/>
  <c r="D186" i="2"/>
  <c r="R205" i="2" s="1"/>
  <c r="AB185" i="2"/>
  <c r="AA185" i="2"/>
  <c r="Z185" i="2"/>
  <c r="Y185" i="2" s="1"/>
  <c r="AC185" i="2" s="1"/>
  <c r="R185" i="2"/>
  <c r="D185" i="2"/>
  <c r="AB184" i="2"/>
  <c r="AA184" i="2"/>
  <c r="Z184" i="2"/>
  <c r="Y184" i="2"/>
  <c r="AC184" i="2" s="1"/>
  <c r="S184" i="2"/>
  <c r="R184" i="2"/>
  <c r="D184" i="2"/>
  <c r="Q202" i="2" s="1"/>
  <c r="P202" i="2" s="1"/>
  <c r="T202" i="2" s="1"/>
  <c r="AB183" i="2"/>
  <c r="AA183" i="2"/>
  <c r="S183" i="2"/>
  <c r="R183" i="2"/>
  <c r="D183" i="2"/>
  <c r="Q205" i="2" s="1"/>
  <c r="AB182" i="2"/>
  <c r="AA182" i="2"/>
  <c r="S182" i="2"/>
  <c r="R182" i="2"/>
  <c r="Q182" i="2"/>
  <c r="P182" i="2"/>
  <c r="T182" i="2" s="1"/>
  <c r="D182" i="2"/>
  <c r="AA181" i="2"/>
  <c r="Z181" i="2"/>
  <c r="Y181" i="2" s="1"/>
  <c r="AC181" i="2" s="1"/>
  <c r="S181" i="2"/>
  <c r="R181" i="2"/>
  <c r="D181" i="2"/>
  <c r="Q207" i="2" s="1"/>
  <c r="P207" i="2" s="1"/>
  <c r="T207" i="2" s="1"/>
  <c r="AB180" i="2"/>
  <c r="AA180" i="2"/>
  <c r="Z180" i="2"/>
  <c r="Y180" i="2"/>
  <c r="AC180" i="2" s="1"/>
  <c r="S180" i="2"/>
  <c r="R180" i="2"/>
  <c r="Q180" i="2"/>
  <c r="P180" i="2" s="1"/>
  <c r="T180" i="2" s="1"/>
  <c r="D180" i="2"/>
  <c r="AB179" i="2"/>
  <c r="AA179" i="2"/>
  <c r="S179" i="2"/>
  <c r="R179" i="2"/>
  <c r="Q179" i="2"/>
  <c r="P179" i="2"/>
  <c r="T179" i="2" s="1"/>
  <c r="D179" i="2"/>
  <c r="AB178" i="2"/>
  <c r="AA178" i="2"/>
  <c r="S178" i="2"/>
  <c r="R178" i="2"/>
  <c r="Q178" i="2"/>
  <c r="P178" i="2"/>
  <c r="T178" i="2" s="1"/>
  <c r="D178" i="2"/>
  <c r="D177" i="2"/>
  <c r="AA193" i="2" s="1"/>
  <c r="D176" i="2"/>
  <c r="S175" i="2"/>
  <c r="R175" i="2"/>
  <c r="Q175" i="2"/>
  <c r="P175" i="2"/>
  <c r="T175" i="2" s="1"/>
  <c r="D175" i="2"/>
  <c r="AB174" i="2"/>
  <c r="AA174" i="2"/>
  <c r="Z174" i="2"/>
  <c r="Y174" i="2" s="1"/>
  <c r="AC174" i="2" s="1"/>
  <c r="R174" i="2"/>
  <c r="D174" i="2"/>
  <c r="Q191" i="2" s="1"/>
  <c r="P191" i="2" s="1"/>
  <c r="T191" i="2" s="1"/>
  <c r="AB173" i="2"/>
  <c r="AA173" i="2"/>
  <c r="Z173" i="2"/>
  <c r="Y173" i="2"/>
  <c r="AC173" i="2" s="1"/>
  <c r="R173" i="2"/>
  <c r="Q173" i="2"/>
  <c r="P173" i="2" s="1"/>
  <c r="T173" i="2" s="1"/>
  <c r="D173" i="2"/>
  <c r="AA172" i="2"/>
  <c r="Z172" i="2"/>
  <c r="Y172" i="2"/>
  <c r="AC172" i="2" s="1"/>
  <c r="S172" i="2"/>
  <c r="R172" i="2"/>
  <c r="Q172" i="2"/>
  <c r="P172" i="2"/>
  <c r="T172" i="2" s="1"/>
  <c r="D172" i="2"/>
  <c r="AB171" i="2"/>
  <c r="S171" i="2"/>
  <c r="R171" i="2"/>
  <c r="Q171" i="2"/>
  <c r="P171" i="2"/>
  <c r="T171" i="2" s="1"/>
  <c r="D171" i="2"/>
  <c r="AA170" i="2"/>
  <c r="Z170" i="2"/>
  <c r="Y170" i="2" s="1"/>
  <c r="AC170" i="2" s="1"/>
  <c r="S170" i="2"/>
  <c r="R170" i="2"/>
  <c r="P170" i="2" s="1"/>
  <c r="T170" i="2" s="1"/>
  <c r="Q170" i="2"/>
  <c r="D170" i="2"/>
  <c r="AB169" i="2"/>
  <c r="AA169" i="2"/>
  <c r="Z169" i="2"/>
  <c r="Y169" i="2"/>
  <c r="AC169" i="2" s="1"/>
  <c r="R169" i="2"/>
  <c r="D169" i="2"/>
  <c r="AB168" i="2"/>
  <c r="AA168" i="2"/>
  <c r="Z168" i="2"/>
  <c r="Y168" i="2"/>
  <c r="AC168" i="2" s="1"/>
  <c r="S168" i="2"/>
  <c r="R168" i="2"/>
  <c r="Q168" i="2"/>
  <c r="P168" i="2"/>
  <c r="T168" i="2" s="1"/>
  <c r="D168" i="2"/>
  <c r="AA167" i="2"/>
  <c r="S167" i="2"/>
  <c r="R167" i="2"/>
  <c r="Q167" i="2"/>
  <c r="P167" i="2"/>
  <c r="T167" i="2" s="1"/>
  <c r="D167" i="2"/>
  <c r="D166" i="2"/>
  <c r="Q196" i="2" s="1"/>
  <c r="P196" i="2" s="1"/>
  <c r="T196" i="2" s="1"/>
  <c r="D165" i="2"/>
  <c r="S164" i="2"/>
  <c r="R164" i="2"/>
  <c r="Q164" i="2"/>
  <c r="P164" i="2" s="1"/>
  <c r="T164" i="2" s="1"/>
  <c r="D164" i="2"/>
  <c r="Q184" i="2" s="1"/>
  <c r="P184" i="2" s="1"/>
  <c r="T184" i="2" s="1"/>
  <c r="AA163" i="2"/>
  <c r="Z163" i="2"/>
  <c r="Y163" i="2" s="1"/>
  <c r="AC163" i="2" s="1"/>
  <c r="R163" i="2"/>
  <c r="D163" i="2"/>
  <c r="AB162" i="2"/>
  <c r="AA162" i="2"/>
  <c r="Y162" i="2" s="1"/>
  <c r="AC162" i="2" s="1"/>
  <c r="Z162" i="2"/>
  <c r="R162" i="2"/>
  <c r="Q162" i="2"/>
  <c r="P162" i="2" s="1"/>
  <c r="T162" i="2" s="1"/>
  <c r="D162" i="2"/>
  <c r="AA161" i="2"/>
  <c r="Y161" i="2" s="1"/>
  <c r="AC161" i="2" s="1"/>
  <c r="Z161" i="2"/>
  <c r="S161" i="2"/>
  <c r="Q161" i="2"/>
  <c r="D161" i="2"/>
  <c r="AB160" i="2"/>
  <c r="S160" i="2"/>
  <c r="R160" i="2"/>
  <c r="P160" i="2" s="1"/>
  <c r="T160" i="2" s="1"/>
  <c r="Q160" i="2"/>
  <c r="D160" i="2"/>
  <c r="AA159" i="2"/>
  <c r="Z159" i="2"/>
  <c r="S159" i="2"/>
  <c r="R159" i="2"/>
  <c r="Q159" i="2"/>
  <c r="D159" i="2"/>
  <c r="AB181" i="2" s="1"/>
  <c r="AB158" i="2"/>
  <c r="AA158" i="2"/>
  <c r="Z158" i="2"/>
  <c r="Y158" i="2" s="1"/>
  <c r="AC158" i="2" s="1"/>
  <c r="S158" i="2"/>
  <c r="R158" i="2"/>
  <c r="D158" i="2"/>
  <c r="AB157" i="2"/>
  <c r="Z157" i="2"/>
  <c r="S157" i="2"/>
  <c r="R157" i="2"/>
  <c r="P157" i="2" s="1"/>
  <c r="T157" i="2" s="1"/>
  <c r="Q157" i="2"/>
  <c r="D157" i="2"/>
  <c r="Q181" i="2" s="1"/>
  <c r="P181" i="2" s="1"/>
  <c r="T181" i="2" s="1"/>
  <c r="AB156" i="2"/>
  <c r="AA156" i="2"/>
  <c r="R156" i="2"/>
  <c r="Q156" i="2"/>
  <c r="D156" i="2"/>
  <c r="D155" i="2"/>
  <c r="Z179" i="2" s="1"/>
  <c r="Y179" i="2" s="1"/>
  <c r="AC179" i="2" s="1"/>
  <c r="D154" i="2"/>
  <c r="S153" i="2"/>
  <c r="R153" i="2"/>
  <c r="Q153" i="2"/>
  <c r="D153" i="2"/>
  <c r="AA152" i="2"/>
  <c r="Z152" i="2"/>
  <c r="S152" i="2"/>
  <c r="R152" i="2"/>
  <c r="D152" i="2"/>
  <c r="AB151" i="2"/>
  <c r="AA151" i="2"/>
  <c r="Z151" i="2"/>
  <c r="S151" i="2"/>
  <c r="R151" i="2"/>
  <c r="Q151" i="2"/>
  <c r="D151" i="2"/>
  <c r="AB150" i="2"/>
  <c r="AA150" i="2"/>
  <c r="Z150" i="2"/>
  <c r="S150" i="2"/>
  <c r="R150" i="2"/>
  <c r="Q150" i="2"/>
  <c r="P150" i="2" s="1"/>
  <c r="T150" i="2" s="1"/>
  <c r="D150" i="2"/>
  <c r="AB149" i="2"/>
  <c r="AA149" i="2"/>
  <c r="S149" i="2"/>
  <c r="R149" i="2"/>
  <c r="Q149" i="2"/>
  <c r="D149" i="2"/>
  <c r="AB148" i="2"/>
  <c r="AA148" i="2"/>
  <c r="Z148" i="2"/>
  <c r="S148" i="2"/>
  <c r="R148" i="2"/>
  <c r="D148" i="2"/>
  <c r="AA171" i="2" s="1"/>
  <c r="AB147" i="2"/>
  <c r="AA147" i="2"/>
  <c r="Z147" i="2"/>
  <c r="S147" i="2"/>
  <c r="R147" i="2"/>
  <c r="D147" i="2"/>
  <c r="AB146" i="2"/>
  <c r="AA146" i="2"/>
  <c r="Z146" i="2"/>
  <c r="S146" i="2"/>
  <c r="R146" i="2"/>
  <c r="Q146" i="2"/>
  <c r="D146" i="2"/>
  <c r="AB145" i="2"/>
  <c r="AA145" i="2"/>
  <c r="R145" i="2"/>
  <c r="P145" i="2" s="1"/>
  <c r="T145" i="2" s="1"/>
  <c r="Q145" i="2"/>
  <c r="D145" i="2"/>
  <c r="D144" i="2"/>
  <c r="D143" i="2"/>
  <c r="S142" i="2"/>
  <c r="R142" i="2"/>
  <c r="Q142" i="2"/>
  <c r="P142" i="2" s="1"/>
  <c r="T142" i="2" s="1"/>
  <c r="D142" i="2"/>
  <c r="AB141" i="2"/>
  <c r="AA141" i="2"/>
  <c r="Z141" i="2"/>
  <c r="S141" i="2"/>
  <c r="R141" i="2"/>
  <c r="D141" i="2"/>
  <c r="AB140" i="2"/>
  <c r="AA140" i="2"/>
  <c r="Z140" i="2"/>
  <c r="Y140" i="2" s="1"/>
  <c r="AC140" i="2" s="1"/>
  <c r="S140" i="2"/>
  <c r="R140" i="2"/>
  <c r="Q140" i="2"/>
  <c r="D140" i="2"/>
  <c r="AB163" i="2" s="1"/>
  <c r="AB139" i="2"/>
  <c r="AA139" i="2"/>
  <c r="Z139" i="2"/>
  <c r="Y139" i="2" s="1"/>
  <c r="AC139" i="2" s="1"/>
  <c r="S139" i="2"/>
  <c r="R139" i="2"/>
  <c r="Q139" i="2"/>
  <c r="D139" i="2"/>
  <c r="AB138" i="2"/>
  <c r="AA138" i="2"/>
  <c r="S138" i="2"/>
  <c r="R138" i="2"/>
  <c r="Q138" i="2"/>
  <c r="P138" i="2" s="1"/>
  <c r="T138" i="2" s="1"/>
  <c r="D138" i="2"/>
  <c r="AB137" i="2"/>
  <c r="AA137" i="2"/>
  <c r="Z137" i="2"/>
  <c r="S137" i="2"/>
  <c r="R137" i="2"/>
  <c r="Q137" i="2"/>
  <c r="D137" i="2"/>
  <c r="AB136" i="2"/>
  <c r="AA136" i="2"/>
  <c r="Z136" i="2"/>
  <c r="S136" i="2"/>
  <c r="R136" i="2"/>
  <c r="D136" i="2"/>
  <c r="AA160" i="2" s="1"/>
  <c r="AB135" i="2"/>
  <c r="AA135" i="2"/>
  <c r="Z135" i="2"/>
  <c r="Y135" i="2" s="1"/>
  <c r="AC135" i="2" s="1"/>
  <c r="S135" i="2"/>
  <c r="R135" i="2"/>
  <c r="Q135" i="2"/>
  <c r="P135" i="2" s="1"/>
  <c r="T135" i="2" s="1"/>
  <c r="D135" i="2"/>
  <c r="Z156" i="2" s="1"/>
  <c r="Y156" i="2" s="1"/>
  <c r="AC156" i="2" s="1"/>
  <c r="AB134" i="2"/>
  <c r="AA134" i="2"/>
  <c r="S134" i="2"/>
  <c r="R134" i="2"/>
  <c r="Q134" i="2"/>
  <c r="D134" i="2"/>
  <c r="D133" i="2"/>
  <c r="D132" i="2"/>
  <c r="S131" i="2"/>
  <c r="R131" i="2"/>
  <c r="Q131" i="2"/>
  <c r="P131" i="2" s="1"/>
  <c r="T131" i="2" s="1"/>
  <c r="D131" i="2"/>
  <c r="Q147" i="2" s="1"/>
  <c r="P147" i="2" s="1"/>
  <c r="T147" i="2" s="1"/>
  <c r="AB130" i="2"/>
  <c r="AA130" i="2"/>
  <c r="Z130" i="2"/>
  <c r="Y130" i="2" s="1"/>
  <c r="AC130" i="2" s="1"/>
  <c r="S130" i="2"/>
  <c r="R130" i="2"/>
  <c r="D130" i="2"/>
  <c r="Q148" i="2" s="1"/>
  <c r="P148" i="2" s="1"/>
  <c r="T148" i="2" s="1"/>
  <c r="AB129" i="2"/>
  <c r="AA129" i="2"/>
  <c r="Z129" i="2"/>
  <c r="S129" i="2"/>
  <c r="R129" i="2"/>
  <c r="Q129" i="2"/>
  <c r="P129" i="2" s="1"/>
  <c r="T129" i="2" s="1"/>
  <c r="D129" i="2"/>
  <c r="S145" i="2" s="1"/>
  <c r="AB128" i="2"/>
  <c r="AA128" i="2"/>
  <c r="Z128" i="2"/>
  <c r="Y128" i="2" s="1"/>
  <c r="AC128" i="2" s="1"/>
  <c r="S128" i="2"/>
  <c r="R128" i="2"/>
  <c r="Q128" i="2"/>
  <c r="P128" i="2" s="1"/>
  <c r="T128" i="2" s="1"/>
  <c r="D128" i="2"/>
  <c r="AB127" i="2"/>
  <c r="S127" i="2"/>
  <c r="R127" i="2"/>
  <c r="Q127" i="2"/>
  <c r="P127" i="2" s="1"/>
  <c r="T127" i="2" s="1"/>
  <c r="D127" i="2"/>
  <c r="AB126" i="2"/>
  <c r="AA126" i="2"/>
  <c r="Z126" i="2"/>
  <c r="Y126" i="2" s="1"/>
  <c r="AC126" i="2" s="1"/>
  <c r="S126" i="2"/>
  <c r="R126" i="2"/>
  <c r="D126" i="2"/>
  <c r="Q136" i="2" s="1"/>
  <c r="P136" i="2" s="1"/>
  <c r="T136" i="2" s="1"/>
  <c r="AB125" i="2"/>
  <c r="AA125" i="2"/>
  <c r="Z125" i="2"/>
  <c r="S125" i="2"/>
  <c r="R125" i="2"/>
  <c r="D125" i="2"/>
  <c r="Q141" i="2" s="1"/>
  <c r="P141" i="2" s="1"/>
  <c r="T141" i="2" s="1"/>
  <c r="AB124" i="2"/>
  <c r="Z124" i="2"/>
  <c r="Y124" i="2" s="1"/>
  <c r="AC124" i="2" s="1"/>
  <c r="S124" i="2"/>
  <c r="R124" i="2"/>
  <c r="Q124" i="2"/>
  <c r="D124" i="2"/>
  <c r="AB123" i="2"/>
  <c r="AA123" i="2"/>
  <c r="S123" i="2"/>
  <c r="R123" i="2"/>
  <c r="Q123" i="2"/>
  <c r="P123" i="2" s="1"/>
  <c r="T123" i="2" s="1"/>
  <c r="D123" i="2"/>
  <c r="Q126" i="2" s="1"/>
  <c r="P126" i="2" s="1"/>
  <c r="T126" i="2" s="1"/>
  <c r="D122" i="2"/>
  <c r="AA124" i="2" s="1"/>
  <c r="D121" i="2"/>
  <c r="Q125" i="2" s="1"/>
  <c r="P125" i="2" s="1"/>
  <c r="T125" i="2" s="1"/>
  <c r="S120" i="2"/>
  <c r="R120" i="2"/>
  <c r="Q120" i="2"/>
  <c r="D120" i="2"/>
  <c r="AB119" i="2"/>
  <c r="AA119" i="2"/>
  <c r="Z119" i="2"/>
  <c r="S119" i="2"/>
  <c r="R119" i="2"/>
  <c r="D119" i="2"/>
  <c r="Z127" i="2" s="1"/>
  <c r="AB118" i="2"/>
  <c r="AA118" i="2"/>
  <c r="Z118" i="2"/>
  <c r="Y118" i="2" s="1"/>
  <c r="AC118" i="2" s="1"/>
  <c r="S118" i="2"/>
  <c r="R118" i="2"/>
  <c r="Q118" i="2"/>
  <c r="P118" i="2" s="1"/>
  <c r="T118" i="2" s="1"/>
  <c r="D118" i="2"/>
  <c r="AA127" i="2" s="1"/>
  <c r="AB117" i="2"/>
  <c r="AA117" i="2"/>
  <c r="Z117" i="2"/>
  <c r="Y117" i="2" s="1"/>
  <c r="AC117" i="2" s="1"/>
  <c r="S117" i="2"/>
  <c r="R117" i="2"/>
  <c r="D117" i="2"/>
  <c r="AB116" i="2"/>
  <c r="AA116" i="2"/>
  <c r="S116" i="2"/>
  <c r="R116" i="2"/>
  <c r="Q116" i="2"/>
  <c r="P116" i="2" s="1"/>
  <c r="T116" i="2" s="1"/>
  <c r="D116" i="2"/>
  <c r="AB115" i="2"/>
  <c r="AA115" i="2"/>
  <c r="Z115" i="2"/>
  <c r="Y115" i="2" s="1"/>
  <c r="AC115" i="2" s="1"/>
  <c r="S115" i="2"/>
  <c r="R115" i="2"/>
  <c r="D115" i="2"/>
  <c r="Q117" i="2" s="1"/>
  <c r="AB114" i="2"/>
  <c r="AA114" i="2"/>
  <c r="Z114" i="2"/>
  <c r="S114" i="2"/>
  <c r="R114" i="2"/>
  <c r="Q114" i="2"/>
  <c r="P114" i="2" s="1"/>
  <c r="T114" i="2" s="1"/>
  <c r="D114" i="2"/>
  <c r="AB113" i="2"/>
  <c r="AA113" i="2"/>
  <c r="Z113" i="2"/>
  <c r="Y113" i="2" s="1"/>
  <c r="AC113" i="2" s="1"/>
  <c r="S113" i="2"/>
  <c r="R113" i="2"/>
  <c r="Q113" i="2"/>
  <c r="P113" i="2" s="1"/>
  <c r="T113" i="2" s="1"/>
  <c r="D113" i="2"/>
  <c r="Q119" i="2" s="1"/>
  <c r="P119" i="2" s="1"/>
  <c r="T119" i="2" s="1"/>
  <c r="AB112" i="2"/>
  <c r="AA112" i="2"/>
  <c r="S112" i="2"/>
  <c r="R112" i="2"/>
  <c r="Q112" i="2"/>
  <c r="D112" i="2"/>
  <c r="Q115" i="2" s="1"/>
  <c r="D111" i="2"/>
  <c r="D110" i="2"/>
  <c r="S109" i="2"/>
  <c r="R109" i="2"/>
  <c r="Q109" i="2"/>
  <c r="P109" i="2" s="1"/>
  <c r="T109" i="2" s="1"/>
  <c r="D109" i="2"/>
  <c r="AB108" i="2"/>
  <c r="AA108" i="2"/>
  <c r="Z108" i="2"/>
  <c r="Y108" i="2" s="1"/>
  <c r="AC108" i="2" s="1"/>
  <c r="S108" i="2"/>
  <c r="R108" i="2"/>
  <c r="D108" i="2"/>
  <c r="Q107" i="2" s="1"/>
  <c r="AB107" i="2"/>
  <c r="AA107" i="2"/>
  <c r="Z107" i="2"/>
  <c r="S107" i="2"/>
  <c r="R107" i="2"/>
  <c r="D107" i="2"/>
  <c r="Q103" i="2" s="1"/>
  <c r="AB106" i="2"/>
  <c r="AA106" i="2"/>
  <c r="Z106" i="2"/>
  <c r="Y106" i="2" s="1"/>
  <c r="AC106" i="2" s="1"/>
  <c r="S106" i="2"/>
  <c r="R106" i="2"/>
  <c r="Q106" i="2"/>
  <c r="D106" i="2"/>
  <c r="AB105" i="2"/>
  <c r="AA105" i="2"/>
  <c r="S105" i="2"/>
  <c r="R105" i="2"/>
  <c r="Q105" i="2"/>
  <c r="P105" i="2" s="1"/>
  <c r="T105" i="2" s="1"/>
  <c r="D105" i="2"/>
  <c r="Q104" i="2" s="1"/>
  <c r="P104" i="2" s="1"/>
  <c r="T104" i="2" s="1"/>
  <c r="AB104" i="2"/>
  <c r="AA104" i="2"/>
  <c r="Z104" i="2"/>
  <c r="Y104" i="2" s="1"/>
  <c r="AC104" i="2" s="1"/>
  <c r="S104" i="2"/>
  <c r="R104" i="2"/>
  <c r="D104" i="2"/>
  <c r="Q108" i="2" s="1"/>
  <c r="AB103" i="2"/>
  <c r="AA103" i="2"/>
  <c r="Z103" i="2"/>
  <c r="S103" i="2"/>
  <c r="R103" i="2"/>
  <c r="D103" i="2"/>
  <c r="Q92" i="2" s="1"/>
  <c r="AB102" i="2"/>
  <c r="AA102" i="2"/>
  <c r="Z102" i="2"/>
  <c r="Y102" i="2" s="1"/>
  <c r="AC102" i="2" s="1"/>
  <c r="S102" i="2"/>
  <c r="R102" i="2"/>
  <c r="Q102" i="2"/>
  <c r="D102" i="2"/>
  <c r="AB101" i="2"/>
  <c r="AA101" i="2"/>
  <c r="S101" i="2"/>
  <c r="R101" i="2"/>
  <c r="Q101" i="2"/>
  <c r="P101" i="2" s="1"/>
  <c r="T101" i="2" s="1"/>
  <c r="D101" i="2"/>
  <c r="Q97" i="2" s="1"/>
  <c r="D100" i="2"/>
  <c r="D99" i="2"/>
  <c r="S97" i="2" s="1"/>
  <c r="S98" i="2"/>
  <c r="R98" i="2"/>
  <c r="Q98" i="2"/>
  <c r="P98" i="2" s="1"/>
  <c r="T98" i="2" s="1"/>
  <c r="D98" i="2"/>
  <c r="AB97" i="2"/>
  <c r="AA97" i="2"/>
  <c r="Z97" i="2"/>
  <c r="Y97" i="2" s="1"/>
  <c r="AC97" i="2" s="1"/>
  <c r="R97" i="2"/>
  <c r="P97" i="2" s="1"/>
  <c r="T97" i="2" s="1"/>
  <c r="D97" i="2"/>
  <c r="AB96" i="2"/>
  <c r="AA96" i="2"/>
  <c r="Z96" i="2"/>
  <c r="S96" i="2"/>
  <c r="R96" i="2"/>
  <c r="Q96" i="2"/>
  <c r="P96" i="2" s="1"/>
  <c r="T96" i="2" s="1"/>
  <c r="D96" i="2"/>
  <c r="AB95" i="2"/>
  <c r="AA95" i="2"/>
  <c r="Z95" i="2"/>
  <c r="Y95" i="2" s="1"/>
  <c r="AC95" i="2" s="1"/>
  <c r="S95" i="2"/>
  <c r="R95" i="2"/>
  <c r="Q95" i="2"/>
  <c r="D95" i="2"/>
  <c r="AB94" i="2"/>
  <c r="AA94" i="2"/>
  <c r="S94" i="2"/>
  <c r="R94" i="2"/>
  <c r="Q94" i="2"/>
  <c r="P94" i="2" s="1"/>
  <c r="T94" i="2" s="1"/>
  <c r="D94" i="2"/>
  <c r="AB93" i="2"/>
  <c r="AA93" i="2"/>
  <c r="Z93" i="2"/>
  <c r="S93" i="2"/>
  <c r="R93" i="2"/>
  <c r="Q93" i="2"/>
  <c r="D93" i="2"/>
  <c r="AB92" i="2"/>
  <c r="AA92" i="2"/>
  <c r="Z92" i="2"/>
  <c r="Y92" i="2" s="1"/>
  <c r="AC92" i="2" s="1"/>
  <c r="S92" i="2"/>
  <c r="R92" i="2"/>
  <c r="D92" i="2"/>
  <c r="AB91" i="2"/>
  <c r="AA91" i="2"/>
  <c r="Z91" i="2"/>
  <c r="Y91" i="2" s="1"/>
  <c r="AC91" i="2" s="1"/>
  <c r="S91" i="2"/>
  <c r="R91" i="2"/>
  <c r="Q91" i="2"/>
  <c r="D91" i="2"/>
  <c r="AB90" i="2"/>
  <c r="AA90" i="2"/>
  <c r="S90" i="2"/>
  <c r="R90" i="2"/>
  <c r="Q90" i="2"/>
  <c r="D90" i="2"/>
  <c r="Z83" i="2" s="1"/>
  <c r="D89" i="2"/>
  <c r="D88" i="2"/>
  <c r="S86" i="2" s="1"/>
  <c r="S87" i="2"/>
  <c r="R87" i="2"/>
  <c r="Q87" i="2"/>
  <c r="D87" i="2"/>
  <c r="AB86" i="2"/>
  <c r="AA86" i="2"/>
  <c r="Z86" i="2"/>
  <c r="R86" i="2"/>
  <c r="D86" i="2"/>
  <c r="AB85" i="2"/>
  <c r="AA85" i="2"/>
  <c r="Z85" i="2"/>
  <c r="S85" i="2"/>
  <c r="R85" i="2"/>
  <c r="Q85" i="2"/>
  <c r="D85" i="2"/>
  <c r="AB84" i="2"/>
  <c r="AA84" i="2"/>
  <c r="Z84" i="2"/>
  <c r="S84" i="2"/>
  <c r="Q84" i="2"/>
  <c r="D84" i="2"/>
  <c r="Q86" i="2" s="1"/>
  <c r="P86" i="2" s="1"/>
  <c r="T86" i="2" s="1"/>
  <c r="AB83" i="2"/>
  <c r="AA83" i="2"/>
  <c r="Y83" i="2" s="1"/>
  <c r="AC83" i="2" s="1"/>
  <c r="S83" i="2"/>
  <c r="R83" i="2"/>
  <c r="Q83" i="2"/>
  <c r="D83" i="2"/>
  <c r="AA80" i="2" s="1"/>
  <c r="AB82" i="2"/>
  <c r="AA82" i="2"/>
  <c r="Z82" i="2"/>
  <c r="S82" i="2"/>
  <c r="R82" i="2"/>
  <c r="D82" i="2"/>
  <c r="AB81" i="2"/>
  <c r="AA81" i="2"/>
  <c r="Z81" i="2"/>
  <c r="S81" i="2"/>
  <c r="R81" i="2"/>
  <c r="Q81" i="2"/>
  <c r="D81" i="2"/>
  <c r="Q75" i="2" s="1"/>
  <c r="AB80" i="2"/>
  <c r="Z80" i="2"/>
  <c r="Y80" i="2" s="1"/>
  <c r="AC80" i="2" s="1"/>
  <c r="S80" i="2"/>
  <c r="R80" i="2"/>
  <c r="Q80" i="2"/>
  <c r="D80" i="2"/>
  <c r="AB79" i="2"/>
  <c r="AA79" i="2"/>
  <c r="S79" i="2"/>
  <c r="R79" i="2"/>
  <c r="Q79" i="2"/>
  <c r="P79" i="2" s="1"/>
  <c r="T79" i="2" s="1"/>
  <c r="D79" i="2"/>
  <c r="D78" i="2"/>
  <c r="D77" i="2"/>
  <c r="S76" i="2"/>
  <c r="R76" i="2"/>
  <c r="Q76" i="2"/>
  <c r="P76" i="2" s="1"/>
  <c r="T76" i="2" s="1"/>
  <c r="D76" i="2"/>
  <c r="AB75" i="2"/>
  <c r="AA75" i="2"/>
  <c r="Z75" i="2"/>
  <c r="S75" i="2"/>
  <c r="R75" i="2"/>
  <c r="D75" i="2"/>
  <c r="AB74" i="2"/>
  <c r="AA74" i="2"/>
  <c r="Z74" i="2"/>
  <c r="Y74" i="2"/>
  <c r="AC74" i="2" s="1"/>
  <c r="S74" i="2"/>
  <c r="R74" i="2"/>
  <c r="Q74" i="2"/>
  <c r="D74" i="2"/>
  <c r="AB73" i="2"/>
  <c r="AA73" i="2"/>
  <c r="Z73" i="2"/>
  <c r="S73" i="2"/>
  <c r="R73" i="2"/>
  <c r="Q73" i="2"/>
  <c r="P73" i="2" s="1"/>
  <c r="T73" i="2" s="1"/>
  <c r="D73" i="2"/>
  <c r="AB72" i="2"/>
  <c r="AA72" i="2"/>
  <c r="Z72" i="2"/>
  <c r="S72" i="2"/>
  <c r="R72" i="2"/>
  <c r="Q72" i="2"/>
  <c r="D72" i="2"/>
  <c r="AB71" i="2"/>
  <c r="AA71" i="2"/>
  <c r="Z71" i="2"/>
  <c r="S71" i="2"/>
  <c r="R71" i="2"/>
  <c r="Q71" i="2"/>
  <c r="D71" i="2"/>
  <c r="AB70" i="2"/>
  <c r="AA70" i="2"/>
  <c r="Z70" i="2"/>
  <c r="S70" i="2"/>
  <c r="R70" i="2"/>
  <c r="Q70" i="2"/>
  <c r="D70" i="2"/>
  <c r="AB69" i="2"/>
  <c r="AA69" i="2"/>
  <c r="Z69" i="2"/>
  <c r="S69" i="2"/>
  <c r="R69" i="2"/>
  <c r="Q69" i="2"/>
  <c r="P69" i="2" s="1"/>
  <c r="T69" i="2" s="1"/>
  <c r="D69" i="2"/>
  <c r="AB68" i="2"/>
  <c r="AA68" i="2"/>
  <c r="Z68" i="2"/>
  <c r="S68" i="2"/>
  <c r="R68" i="2"/>
  <c r="Q68" i="2"/>
  <c r="D68" i="2"/>
  <c r="D67" i="2"/>
  <c r="D66" i="2"/>
  <c r="S65" i="2"/>
  <c r="R65" i="2"/>
  <c r="Q65" i="2"/>
  <c r="D65" i="2"/>
  <c r="AB64" i="2"/>
  <c r="AA64" i="2"/>
  <c r="Z64" i="2"/>
  <c r="S64" i="2"/>
  <c r="R64" i="2"/>
  <c r="Q64" i="2"/>
  <c r="D64" i="2"/>
  <c r="AB63" i="2"/>
  <c r="AA63" i="2"/>
  <c r="Z63" i="2"/>
  <c r="S63" i="2"/>
  <c r="R63" i="2"/>
  <c r="Q63" i="2"/>
  <c r="D63" i="2"/>
  <c r="AB62" i="2"/>
  <c r="AA62" i="2"/>
  <c r="Z62" i="2"/>
  <c r="S62" i="2"/>
  <c r="R62" i="2"/>
  <c r="Q62" i="2"/>
  <c r="P62" i="2" s="1"/>
  <c r="T62" i="2" s="1"/>
  <c r="D62" i="2"/>
  <c r="AB61" i="2"/>
  <c r="AA61" i="2"/>
  <c r="Z61" i="2"/>
  <c r="S61" i="2"/>
  <c r="R61" i="2"/>
  <c r="Q61" i="2"/>
  <c r="D61" i="2"/>
  <c r="AB60" i="2"/>
  <c r="AA60" i="2"/>
  <c r="Z60" i="2"/>
  <c r="S60" i="2"/>
  <c r="R60" i="2"/>
  <c r="Q60" i="2"/>
  <c r="D60" i="2"/>
  <c r="AB59" i="2"/>
  <c r="AA59" i="2"/>
  <c r="Z59" i="2"/>
  <c r="Y59" i="2" s="1"/>
  <c r="AC59" i="2" s="1"/>
  <c r="S59" i="2"/>
  <c r="R59" i="2"/>
  <c r="Q59" i="2"/>
  <c r="P59" i="2" s="1"/>
  <c r="T59" i="2" s="1"/>
  <c r="D59" i="2"/>
  <c r="Q53" i="2" s="1"/>
  <c r="AB58" i="2"/>
  <c r="AA58" i="2"/>
  <c r="Z58" i="2"/>
  <c r="Y58" i="2" s="1"/>
  <c r="AC58" i="2" s="1"/>
  <c r="S58" i="2"/>
  <c r="R58" i="2"/>
  <c r="Q58" i="2"/>
  <c r="P58" i="2"/>
  <c r="T58" i="2" s="1"/>
  <c r="D58" i="2"/>
  <c r="AB57" i="2"/>
  <c r="AA57" i="2"/>
  <c r="Z57" i="2"/>
  <c r="S57" i="2"/>
  <c r="R57" i="2"/>
  <c r="Q57" i="2"/>
  <c r="D57" i="2"/>
  <c r="D56" i="2"/>
  <c r="D55" i="2"/>
  <c r="S54" i="2"/>
  <c r="R54" i="2"/>
  <c r="Q54" i="2"/>
  <c r="D54" i="2"/>
  <c r="AB53" i="2"/>
  <c r="AA53" i="2"/>
  <c r="Z53" i="2"/>
  <c r="S53" i="2"/>
  <c r="R53" i="2"/>
  <c r="D53" i="2"/>
  <c r="AB52" i="2"/>
  <c r="AA52" i="2"/>
  <c r="Z52" i="2"/>
  <c r="Y52" i="2" s="1"/>
  <c r="AC52" i="2" s="1"/>
  <c r="S52" i="2"/>
  <c r="R52" i="2"/>
  <c r="Q52" i="2"/>
  <c r="P52" i="2" s="1"/>
  <c r="T52" i="2" s="1"/>
  <c r="D52" i="2"/>
  <c r="AB51" i="2"/>
  <c r="AA51" i="2"/>
  <c r="Z51" i="2"/>
  <c r="Y51" i="2" s="1"/>
  <c r="AC51" i="2" s="1"/>
  <c r="S51" i="2"/>
  <c r="R51" i="2"/>
  <c r="P51" i="2" s="1"/>
  <c r="T51" i="2" s="1"/>
  <c r="Q51" i="2"/>
  <c r="D51" i="2"/>
  <c r="AB50" i="2"/>
  <c r="AA50" i="2"/>
  <c r="Z50" i="2"/>
  <c r="S50" i="2"/>
  <c r="R50" i="2"/>
  <c r="Q50" i="2"/>
  <c r="D50" i="2"/>
  <c r="Q40" i="2" s="1"/>
  <c r="AB49" i="2"/>
  <c r="AA49" i="2"/>
  <c r="Z49" i="2"/>
  <c r="S49" i="2"/>
  <c r="R49" i="2"/>
  <c r="Q49" i="2"/>
  <c r="D49" i="2"/>
  <c r="AB48" i="2"/>
  <c r="AA48" i="2"/>
  <c r="Z48" i="2"/>
  <c r="Y48" i="2" s="1"/>
  <c r="AC48" i="2" s="1"/>
  <c r="S48" i="2"/>
  <c r="R48" i="2"/>
  <c r="Q48" i="2"/>
  <c r="P48" i="2" s="1"/>
  <c r="T48" i="2" s="1"/>
  <c r="D48" i="2"/>
  <c r="AB47" i="2"/>
  <c r="AA47" i="2"/>
  <c r="Z47" i="2"/>
  <c r="Y47" i="2" s="1"/>
  <c r="AC47" i="2" s="1"/>
  <c r="S47" i="2"/>
  <c r="R47" i="2"/>
  <c r="P47" i="2" s="1"/>
  <c r="T47" i="2" s="1"/>
  <c r="Q47" i="2"/>
  <c r="D47" i="2"/>
  <c r="AB46" i="2"/>
  <c r="AA46" i="2"/>
  <c r="Z46" i="2"/>
  <c r="S46" i="2"/>
  <c r="R46" i="2"/>
  <c r="Q46" i="2"/>
  <c r="D46" i="2"/>
  <c r="AB35" i="2" s="1"/>
  <c r="D45" i="2"/>
  <c r="D44" i="2"/>
  <c r="Z39" i="2" s="1"/>
  <c r="S43" i="2"/>
  <c r="R43" i="2"/>
  <c r="Q43" i="2"/>
  <c r="D43" i="2"/>
  <c r="AB42" i="2"/>
  <c r="AA42" i="2"/>
  <c r="Z42" i="2"/>
  <c r="S42" i="2"/>
  <c r="R42" i="2"/>
  <c r="D42" i="2"/>
  <c r="Q42" i="2" s="1"/>
  <c r="P42" i="2" s="1"/>
  <c r="T42" i="2" s="1"/>
  <c r="AB41" i="2"/>
  <c r="AA41" i="2"/>
  <c r="Z41" i="2"/>
  <c r="Y41" i="2"/>
  <c r="AC41" i="2" s="1"/>
  <c r="S41" i="2"/>
  <c r="R41" i="2"/>
  <c r="Q41" i="2"/>
  <c r="D41" i="2"/>
  <c r="Z35" i="2" s="1"/>
  <c r="AB40" i="2"/>
  <c r="AA40" i="2"/>
  <c r="Z40" i="2"/>
  <c r="S40" i="2"/>
  <c r="R40" i="2"/>
  <c r="D40" i="2"/>
  <c r="Q214" i="2" s="1"/>
  <c r="AB39" i="2"/>
  <c r="AA39" i="2"/>
  <c r="S39" i="2"/>
  <c r="R39" i="2"/>
  <c r="Q39" i="2"/>
  <c r="D39" i="2"/>
  <c r="AB38" i="2"/>
  <c r="AA38" i="2"/>
  <c r="Z38" i="2"/>
  <c r="S38" i="2"/>
  <c r="R38" i="2"/>
  <c r="Q38" i="2"/>
  <c r="D38" i="2"/>
  <c r="AB37" i="2"/>
  <c r="AA37" i="2"/>
  <c r="Z37" i="2"/>
  <c r="S37" i="2"/>
  <c r="R37" i="2"/>
  <c r="Q37" i="2"/>
  <c r="P37" i="2" s="1"/>
  <c r="T37" i="2" s="1"/>
  <c r="D37" i="2"/>
  <c r="Q31" i="2" s="1"/>
  <c r="AB36" i="2"/>
  <c r="AA36" i="2"/>
  <c r="Z36" i="2"/>
  <c r="Y36" i="2" s="1"/>
  <c r="AC36" i="2" s="1"/>
  <c r="S36" i="2"/>
  <c r="R36" i="2"/>
  <c r="Q36" i="2"/>
  <c r="D36" i="2"/>
  <c r="AA35" i="2"/>
  <c r="S35" i="2"/>
  <c r="R35" i="2"/>
  <c r="Q35" i="2"/>
  <c r="D35" i="2"/>
  <c r="D34" i="2"/>
  <c r="D33" i="2"/>
  <c r="R213" i="2" s="1"/>
  <c r="S32" i="2"/>
  <c r="R32" i="2"/>
  <c r="Q32" i="2"/>
  <c r="D32" i="2"/>
  <c r="S29" i="2" s="1"/>
  <c r="AB31" i="2"/>
  <c r="AA31" i="2"/>
  <c r="Z31" i="2"/>
  <c r="R31" i="2"/>
  <c r="D31" i="2"/>
  <c r="AB30" i="2"/>
  <c r="AA30" i="2"/>
  <c r="Z30" i="2"/>
  <c r="Y30" i="2" s="1"/>
  <c r="AC30" i="2" s="1"/>
  <c r="S30" i="2"/>
  <c r="R30" i="2"/>
  <c r="Q30" i="2"/>
  <c r="D30" i="2"/>
  <c r="S31" i="2" s="1"/>
  <c r="AB29" i="2"/>
  <c r="AA29" i="2"/>
  <c r="Z29" i="2"/>
  <c r="R29" i="2"/>
  <c r="Q29" i="2"/>
  <c r="D29" i="2"/>
  <c r="AB28" i="2"/>
  <c r="AA28" i="2"/>
  <c r="S28" i="2"/>
  <c r="R28" i="2"/>
  <c r="Q28" i="2"/>
  <c r="D28" i="2"/>
  <c r="AA14" i="2" s="1"/>
  <c r="AB27" i="2"/>
  <c r="AA27" i="2"/>
  <c r="Z27" i="2"/>
  <c r="S27" i="2"/>
  <c r="R27" i="2"/>
  <c r="Q27" i="2"/>
  <c r="D27" i="2"/>
  <c r="AB26" i="2"/>
  <c r="AA26" i="2"/>
  <c r="Z26" i="2"/>
  <c r="S26" i="2"/>
  <c r="Q26" i="2"/>
  <c r="D26" i="2"/>
  <c r="AB25" i="2"/>
  <c r="AA25" i="2"/>
  <c r="Z25" i="2"/>
  <c r="S25" i="2"/>
  <c r="R25" i="2"/>
  <c r="Q25" i="2"/>
  <c r="D25" i="2"/>
  <c r="AB24" i="2"/>
  <c r="AA24" i="2"/>
  <c r="S24" i="2"/>
  <c r="R24" i="2"/>
  <c r="Q24" i="2"/>
  <c r="D24" i="2"/>
  <c r="D23" i="2"/>
  <c r="D22" i="2"/>
  <c r="S21" i="2"/>
  <c r="R21" i="2"/>
  <c r="Q21" i="2"/>
  <c r="D21" i="2"/>
  <c r="AB20" i="2"/>
  <c r="AA20" i="2"/>
  <c r="Z20" i="2"/>
  <c r="R20" i="2"/>
  <c r="D20" i="2"/>
  <c r="AB19" i="2"/>
  <c r="AA19" i="2"/>
  <c r="Z19" i="2"/>
  <c r="Y19" i="2" s="1"/>
  <c r="AC19" i="2" s="1"/>
  <c r="S19" i="2"/>
  <c r="R19" i="2"/>
  <c r="Q19" i="2"/>
  <c r="D19" i="2"/>
  <c r="AB18" i="2"/>
  <c r="AA18" i="2"/>
  <c r="Z18" i="2"/>
  <c r="S18" i="2"/>
  <c r="R18" i="2"/>
  <c r="Q18" i="2"/>
  <c r="D18" i="2"/>
  <c r="AB17" i="2"/>
  <c r="S17" i="2"/>
  <c r="R17" i="2"/>
  <c r="Q17" i="2"/>
  <c r="D17" i="2"/>
  <c r="AA17" i="2" s="1"/>
  <c r="AB16" i="2"/>
  <c r="AA16" i="2"/>
  <c r="Z16" i="2"/>
  <c r="S16" i="2"/>
  <c r="R16" i="2"/>
  <c r="Q16" i="2"/>
  <c r="D16" i="2"/>
  <c r="Q20" i="2" s="1"/>
  <c r="P20" i="2" s="1"/>
  <c r="T20" i="2" s="1"/>
  <c r="AB15" i="2"/>
  <c r="AA15" i="2"/>
  <c r="Z15" i="2"/>
  <c r="Y15" i="2" s="1"/>
  <c r="AC15" i="2" s="1"/>
  <c r="S15" i="2"/>
  <c r="R15" i="2"/>
  <c r="Q15" i="2"/>
  <c r="D15" i="2"/>
  <c r="Z13" i="2" s="1"/>
  <c r="AB14" i="2"/>
  <c r="Z14" i="2"/>
  <c r="S14" i="2"/>
  <c r="R14" i="2"/>
  <c r="Q14" i="2"/>
  <c r="D14" i="2"/>
  <c r="S20" i="2" s="1"/>
  <c r="AB13" i="2"/>
  <c r="AA13" i="2"/>
  <c r="S13" i="2"/>
  <c r="R13" i="2"/>
  <c r="Q13" i="2"/>
  <c r="D13" i="2"/>
  <c r="D12" i="2"/>
  <c r="D11" i="2"/>
  <c r="AA215" i="2" s="1"/>
  <c r="S10" i="2"/>
  <c r="R10" i="2"/>
  <c r="Q10" i="2"/>
  <c r="D10" i="2"/>
  <c r="Q7" i="2" s="1"/>
  <c r="AB9" i="2"/>
  <c r="AA9" i="2"/>
  <c r="Z9" i="2"/>
  <c r="S9" i="2"/>
  <c r="R9" i="2"/>
  <c r="D9" i="2"/>
  <c r="AB8" i="2"/>
  <c r="AA8" i="2"/>
  <c r="Z8" i="2"/>
  <c r="Y8" i="2" s="1"/>
  <c r="AC8" i="2" s="1"/>
  <c r="S8" i="2"/>
  <c r="R8" i="2"/>
  <c r="Q8" i="2"/>
  <c r="D8" i="2"/>
  <c r="AB7" i="2"/>
  <c r="AA7" i="2"/>
  <c r="Z7" i="2"/>
  <c r="D7" i="2"/>
  <c r="AB6" i="2"/>
  <c r="AA6" i="2"/>
  <c r="S6" i="2"/>
  <c r="R6" i="2"/>
  <c r="Q6" i="2"/>
  <c r="D6" i="2"/>
  <c r="R7" i="2" s="1"/>
  <c r="AB5" i="2"/>
  <c r="AA5" i="2"/>
  <c r="Z5" i="2"/>
  <c r="S5" i="2"/>
  <c r="R5" i="2"/>
  <c r="Q5" i="2"/>
  <c r="D5" i="2"/>
  <c r="AB4" i="2"/>
  <c r="AA4" i="2"/>
  <c r="Z4" i="2"/>
  <c r="S4" i="2"/>
  <c r="R4" i="2"/>
  <c r="Q4" i="2"/>
  <c r="P4" i="2" s="1"/>
  <c r="T4" i="2" s="1"/>
  <c r="D4" i="2"/>
  <c r="Z2" i="2" s="1"/>
  <c r="AB3" i="2"/>
  <c r="Z3" i="2"/>
  <c r="S3" i="2"/>
  <c r="R3" i="2"/>
  <c r="Q3" i="2"/>
  <c r="D3" i="2"/>
  <c r="AB2" i="2"/>
  <c r="AA2" i="2"/>
  <c r="S2" i="2"/>
  <c r="R2" i="2"/>
  <c r="Q2" i="2"/>
  <c r="D2" i="2"/>
  <c r="W21" i="1"/>
  <c r="V21" i="1"/>
  <c r="U21" i="1"/>
  <c r="P21" i="1"/>
  <c r="M21" i="1"/>
  <c r="L21" i="1"/>
  <c r="W20" i="1"/>
  <c r="V20" i="1"/>
  <c r="U20" i="1"/>
  <c r="P20" i="1"/>
  <c r="M20" i="1"/>
  <c r="L20" i="1"/>
  <c r="W19" i="1"/>
  <c r="V19" i="1"/>
  <c r="U19" i="1"/>
  <c r="P19" i="1"/>
  <c r="M19" i="1"/>
  <c r="L19" i="1"/>
  <c r="W18" i="1"/>
  <c r="V18" i="1"/>
  <c r="U18" i="1"/>
  <c r="P18" i="1"/>
  <c r="M18" i="1"/>
  <c r="L18" i="1"/>
  <c r="K18" i="1"/>
  <c r="N18" i="1" s="1"/>
  <c r="W17" i="1"/>
  <c r="V17" i="1"/>
  <c r="U17" i="1"/>
  <c r="P17" i="1"/>
  <c r="M17" i="1"/>
  <c r="L17" i="1"/>
  <c r="W16" i="1"/>
  <c r="V16" i="1"/>
  <c r="K16" i="1" s="1"/>
  <c r="N16" i="1" s="1"/>
  <c r="U16" i="1"/>
  <c r="P16" i="1"/>
  <c r="M16" i="1"/>
  <c r="L16" i="1"/>
  <c r="W15" i="1"/>
  <c r="V15" i="1"/>
  <c r="U15" i="1"/>
  <c r="P15" i="1"/>
  <c r="M15" i="1"/>
  <c r="L15" i="1"/>
  <c r="W14" i="1"/>
  <c r="K14" i="1" s="1"/>
  <c r="N14" i="1" s="1"/>
  <c r="V14" i="1"/>
  <c r="U14" i="1"/>
  <c r="P14" i="1"/>
  <c r="M14" i="1"/>
  <c r="L14" i="1"/>
  <c r="W13" i="1"/>
  <c r="V13" i="1"/>
  <c r="U13" i="1"/>
  <c r="P13" i="1"/>
  <c r="M13" i="1"/>
  <c r="L13" i="1"/>
  <c r="W12" i="1"/>
  <c r="V12" i="1"/>
  <c r="K12" i="1" s="1"/>
  <c r="N12" i="1" s="1"/>
  <c r="U12" i="1"/>
  <c r="P12" i="1"/>
  <c r="M12" i="1"/>
  <c r="L12" i="1"/>
  <c r="W11" i="1"/>
  <c r="V11" i="1"/>
  <c r="U11" i="1"/>
  <c r="P11" i="1"/>
  <c r="M11" i="1"/>
  <c r="L11" i="1"/>
  <c r="W10" i="1"/>
  <c r="V10" i="1"/>
  <c r="U10" i="1"/>
  <c r="K10" i="1" s="1"/>
  <c r="N10" i="1" s="1"/>
  <c r="P10" i="1"/>
  <c r="M10" i="1"/>
  <c r="L10" i="1"/>
  <c r="W9" i="1"/>
  <c r="V9" i="1"/>
  <c r="U9" i="1"/>
  <c r="P9" i="1"/>
  <c r="M9" i="1"/>
  <c r="L9" i="1"/>
  <c r="W8" i="1"/>
  <c r="V8" i="1"/>
  <c r="K8" i="1" s="1"/>
  <c r="N8" i="1" s="1"/>
  <c r="U8" i="1"/>
  <c r="P8" i="1"/>
  <c r="M8" i="1"/>
  <c r="L8" i="1"/>
  <c r="W7" i="1"/>
  <c r="V7" i="1"/>
  <c r="U7" i="1"/>
  <c r="P7" i="1"/>
  <c r="M7" i="1"/>
  <c r="L7" i="1"/>
  <c r="W6" i="1"/>
  <c r="V6" i="1"/>
  <c r="U6" i="1"/>
  <c r="K6" i="1" s="1"/>
  <c r="N6" i="1" s="1"/>
  <c r="P6" i="1"/>
  <c r="M6" i="1"/>
  <c r="L6" i="1"/>
  <c r="W5" i="1"/>
  <c r="V5" i="1"/>
  <c r="K5" i="1" s="1"/>
  <c r="N5" i="1" s="1"/>
  <c r="U5" i="1"/>
  <c r="P5" i="1"/>
  <c r="M5" i="1"/>
  <c r="L5" i="1"/>
  <c r="W4" i="1"/>
  <c r="V4" i="1"/>
  <c r="U4" i="1"/>
  <c r="K4" i="1" s="1"/>
  <c r="N4" i="1" s="1"/>
  <c r="P4" i="1"/>
  <c r="M4" i="1"/>
  <c r="L4" i="1"/>
  <c r="W3" i="1"/>
  <c r="V3" i="1"/>
  <c r="U3" i="1"/>
  <c r="K3" i="1" s="1"/>
  <c r="N3" i="1" s="1"/>
  <c r="P3" i="1"/>
  <c r="M3" i="1"/>
  <c r="L3" i="1"/>
  <c r="W2" i="1"/>
  <c r="V2" i="1"/>
  <c r="U2" i="1"/>
  <c r="P2" i="1"/>
  <c r="M2" i="1"/>
  <c r="L2" i="1"/>
  <c r="P15" i="2" l="1"/>
  <c r="T15" i="2" s="1"/>
  <c r="P18" i="2"/>
  <c r="T18" i="2" s="1"/>
  <c r="P29" i="2"/>
  <c r="T29" i="2" s="1"/>
  <c r="P57" i="2"/>
  <c r="T57" i="2" s="1"/>
  <c r="Y63" i="2"/>
  <c r="AC63" i="2" s="1"/>
  <c r="P64" i="2"/>
  <c r="T64" i="2" s="1"/>
  <c r="P68" i="2"/>
  <c r="T68" i="2" s="1"/>
  <c r="Y68" i="2"/>
  <c r="AC68" i="2" s="1"/>
  <c r="Y71" i="2"/>
  <c r="AC71" i="2" s="1"/>
  <c r="P72" i="2"/>
  <c r="T72" i="2" s="1"/>
  <c r="Y72" i="2"/>
  <c r="AC72" i="2" s="1"/>
  <c r="Y75" i="2"/>
  <c r="AC75" i="2" s="1"/>
  <c r="P83" i="2"/>
  <c r="T83" i="2" s="1"/>
  <c r="Y84" i="2"/>
  <c r="AC84" i="2" s="1"/>
  <c r="P85" i="2"/>
  <c r="T85" i="2" s="1"/>
  <c r="P87" i="2"/>
  <c r="T87" i="2" s="1"/>
  <c r="Y141" i="2"/>
  <c r="AC141" i="2" s="1"/>
  <c r="Y147" i="2"/>
  <c r="AC147" i="2" s="1"/>
  <c r="P3" i="2"/>
  <c r="T3" i="2" s="1"/>
  <c r="P14" i="2"/>
  <c r="T14" i="2" s="1"/>
  <c r="Y18" i="2"/>
  <c r="AC18" i="2" s="1"/>
  <c r="P19" i="2"/>
  <c r="T19" i="2" s="1"/>
  <c r="P25" i="2"/>
  <c r="T25" i="2" s="1"/>
  <c r="Y29" i="2"/>
  <c r="AC29" i="2" s="1"/>
  <c r="P30" i="2"/>
  <c r="T30" i="2" s="1"/>
  <c r="P36" i="2"/>
  <c r="T36" i="2" s="1"/>
  <c r="P41" i="2"/>
  <c r="T41" i="2" s="1"/>
  <c r="P40" i="2"/>
  <c r="T40" i="2" s="1"/>
  <c r="Y53" i="2"/>
  <c r="AC53" i="2" s="1"/>
  <c r="P54" i="2"/>
  <c r="T54" i="2" s="1"/>
  <c r="P53" i="2"/>
  <c r="T53" i="2" s="1"/>
  <c r="Y60" i="2"/>
  <c r="AC60" i="2" s="1"/>
  <c r="P61" i="2"/>
  <c r="T61" i="2" s="1"/>
  <c r="Y61" i="2"/>
  <c r="AC61" i="2" s="1"/>
  <c r="Y64" i="2"/>
  <c r="AC64" i="2" s="1"/>
  <c r="P65" i="2"/>
  <c r="T65" i="2" s="1"/>
  <c r="Y70" i="2"/>
  <c r="AC70" i="2" s="1"/>
  <c r="P71" i="2"/>
  <c r="T71" i="2" s="1"/>
  <c r="P80" i="2"/>
  <c r="T80" i="2" s="1"/>
  <c r="P75" i="2"/>
  <c r="T75" i="2" s="1"/>
  <c r="Y81" i="2"/>
  <c r="AC81" i="2" s="1"/>
  <c r="P90" i="2"/>
  <c r="T90" i="2" s="1"/>
  <c r="P93" i="2"/>
  <c r="T93" i="2" s="1"/>
  <c r="P137" i="2"/>
  <c r="T137" i="2" s="1"/>
  <c r="Y146" i="2"/>
  <c r="AC146" i="2" s="1"/>
  <c r="P149" i="2"/>
  <c r="T149" i="2" s="1"/>
  <c r="Y151" i="2"/>
  <c r="AC151" i="2" s="1"/>
  <c r="P156" i="2"/>
  <c r="T156" i="2" s="1"/>
  <c r="Y4" i="2"/>
  <c r="AC4" i="2" s="1"/>
  <c r="Y26" i="2"/>
  <c r="AC26" i="2" s="1"/>
  <c r="Y37" i="2"/>
  <c r="AC37" i="2" s="1"/>
  <c r="Y107" i="2"/>
  <c r="AC107" i="2" s="1"/>
  <c r="P112" i="2"/>
  <c r="T112" i="2" s="1"/>
  <c r="Y114" i="2"/>
  <c r="AC114" i="2" s="1"/>
  <c r="Y127" i="2"/>
  <c r="AC127" i="2" s="1"/>
  <c r="Y129" i="2"/>
  <c r="AC129" i="2" s="1"/>
  <c r="P134" i="2"/>
  <c r="T134" i="2" s="1"/>
  <c r="P139" i="2"/>
  <c r="T139" i="2" s="1"/>
  <c r="P140" i="2"/>
  <c r="T140" i="2" s="1"/>
  <c r="P146" i="2"/>
  <c r="T146" i="2" s="1"/>
  <c r="P153" i="2"/>
  <c r="T153" i="2" s="1"/>
  <c r="Y159" i="2"/>
  <c r="AC159" i="2" s="1"/>
  <c r="Y207" i="2"/>
  <c r="AC207" i="2" s="1"/>
  <c r="P205" i="2"/>
  <c r="T205" i="2" s="1"/>
  <c r="P204" i="2"/>
  <c r="T204" i="2" s="1"/>
  <c r="P201" i="2"/>
  <c r="T201" i="2" s="1"/>
  <c r="P208" i="2"/>
  <c r="T208" i="2" s="1"/>
  <c r="K20" i="1"/>
  <c r="N20" i="1" s="1"/>
  <c r="P5" i="2"/>
  <c r="T5" i="2" s="1"/>
  <c r="Y7" i="2"/>
  <c r="AC7" i="2" s="1"/>
  <c r="P8" i="2"/>
  <c r="T8" i="2" s="1"/>
  <c r="P13" i="2"/>
  <c r="T13" i="2" s="1"/>
  <c r="Y13" i="2"/>
  <c r="AC13" i="2" s="1"/>
  <c r="Y16" i="2"/>
  <c r="AC16" i="2" s="1"/>
  <c r="P17" i="2"/>
  <c r="T17" i="2" s="1"/>
  <c r="P24" i="2"/>
  <c r="T24" i="2" s="1"/>
  <c r="Y27" i="2"/>
  <c r="AC27" i="2" s="1"/>
  <c r="P28" i="2"/>
  <c r="T28" i="2" s="1"/>
  <c r="P35" i="2"/>
  <c r="T35" i="2" s="1"/>
  <c r="P31" i="2"/>
  <c r="T31" i="2" s="1"/>
  <c r="Y38" i="2"/>
  <c r="AC38" i="2" s="1"/>
  <c r="P39" i="2"/>
  <c r="T39" i="2" s="1"/>
  <c r="Y40" i="2"/>
  <c r="AC40" i="2" s="1"/>
  <c r="P46" i="2"/>
  <c r="T46" i="2" s="1"/>
  <c r="Y46" i="2"/>
  <c r="AC46" i="2" s="1"/>
  <c r="P49" i="2"/>
  <c r="T49" i="2" s="1"/>
  <c r="Y73" i="2"/>
  <c r="AC73" i="2" s="1"/>
  <c r="P74" i="2"/>
  <c r="T74" i="2" s="1"/>
  <c r="P81" i="2"/>
  <c r="T81" i="2" s="1"/>
  <c r="P103" i="2"/>
  <c r="T103" i="2" s="1"/>
  <c r="Y39" i="2"/>
  <c r="AC39" i="2" s="1"/>
  <c r="Y57" i="2"/>
  <c r="AC57" i="2" s="1"/>
  <c r="P60" i="2"/>
  <c r="T60" i="2" s="1"/>
  <c r="P108" i="2"/>
  <c r="T108" i="2" s="1"/>
  <c r="K2" i="1"/>
  <c r="N2" i="1" s="1"/>
  <c r="P2" i="2"/>
  <c r="T2" i="2" s="1"/>
  <c r="Y2" i="2"/>
  <c r="AC2" i="2" s="1"/>
  <c r="Y5" i="2"/>
  <c r="AC5" i="2" s="1"/>
  <c r="P6" i="2"/>
  <c r="T6" i="2" s="1"/>
  <c r="Y9" i="2"/>
  <c r="AC9" i="2" s="1"/>
  <c r="P10" i="2"/>
  <c r="T10" i="2" s="1"/>
  <c r="P16" i="2"/>
  <c r="T16" i="2" s="1"/>
  <c r="Y20" i="2"/>
  <c r="AC20" i="2" s="1"/>
  <c r="P21" i="2"/>
  <c r="T21" i="2" s="1"/>
  <c r="Y25" i="2"/>
  <c r="AC25" i="2" s="1"/>
  <c r="P27" i="2"/>
  <c r="T27" i="2" s="1"/>
  <c r="Y31" i="2"/>
  <c r="AC31" i="2" s="1"/>
  <c r="P32" i="2"/>
  <c r="T32" i="2" s="1"/>
  <c r="P38" i="2"/>
  <c r="T38" i="2" s="1"/>
  <c r="Y42" i="2"/>
  <c r="AC42" i="2" s="1"/>
  <c r="P43" i="2"/>
  <c r="T43" i="2" s="1"/>
  <c r="Y49" i="2"/>
  <c r="AC49" i="2" s="1"/>
  <c r="P50" i="2"/>
  <c r="T50" i="2" s="1"/>
  <c r="Y50" i="2"/>
  <c r="AC50" i="2" s="1"/>
  <c r="Y62" i="2"/>
  <c r="AC62" i="2" s="1"/>
  <c r="P63" i="2"/>
  <c r="T63" i="2" s="1"/>
  <c r="Y69" i="2"/>
  <c r="AC69" i="2" s="1"/>
  <c r="P70" i="2"/>
  <c r="T70" i="2" s="1"/>
  <c r="Y85" i="2"/>
  <c r="AC85" i="2" s="1"/>
  <c r="Y103" i="2"/>
  <c r="AC103" i="2" s="1"/>
  <c r="P106" i="2"/>
  <c r="T106" i="2" s="1"/>
  <c r="P107" i="2"/>
  <c r="T107" i="2" s="1"/>
  <c r="P115" i="2"/>
  <c r="T115" i="2" s="1"/>
  <c r="P117" i="2"/>
  <c r="T117" i="2" s="1"/>
  <c r="Y119" i="2"/>
  <c r="AC119" i="2" s="1"/>
  <c r="P120" i="2"/>
  <c r="T120" i="2" s="1"/>
  <c r="P124" i="2"/>
  <c r="T124" i="2" s="1"/>
  <c r="Y125" i="2"/>
  <c r="AC125" i="2" s="1"/>
  <c r="Y136" i="2"/>
  <c r="AC136" i="2" s="1"/>
  <c r="Y137" i="2"/>
  <c r="AC137" i="2" s="1"/>
  <c r="Y150" i="2"/>
  <c r="AC150" i="2" s="1"/>
  <c r="P151" i="2"/>
  <c r="T151" i="2" s="1"/>
  <c r="P159" i="2"/>
  <c r="T159" i="2" s="1"/>
  <c r="Y35" i="2"/>
  <c r="AC35" i="2" s="1"/>
  <c r="P7" i="2"/>
  <c r="T7" i="2" s="1"/>
  <c r="Y14" i="2"/>
  <c r="AC14" i="2" s="1"/>
  <c r="T2" i="1"/>
  <c r="X2" i="1" s="1"/>
  <c r="T4" i="1"/>
  <c r="X4" i="1" s="1"/>
  <c r="T6" i="1"/>
  <c r="X6" i="1" s="1"/>
  <c r="T8" i="1"/>
  <c r="X8" i="1" s="1"/>
  <c r="T10" i="1"/>
  <c r="X10" i="1" s="1"/>
  <c r="T12" i="1"/>
  <c r="X12" i="1" s="1"/>
  <c r="T14" i="1"/>
  <c r="X14" i="1" s="1"/>
  <c r="T16" i="1"/>
  <c r="X16" i="1" s="1"/>
  <c r="T18" i="1"/>
  <c r="X18" i="1" s="1"/>
  <c r="T20" i="1"/>
  <c r="X20" i="1" s="1"/>
  <c r="R216" i="2"/>
  <c r="AA212" i="2"/>
  <c r="R26" i="2"/>
  <c r="P26" i="2" s="1"/>
  <c r="T26" i="2" s="1"/>
  <c r="Y86" i="2"/>
  <c r="AC86" i="2" s="1"/>
  <c r="P95" i="2"/>
  <c r="T95" i="2" s="1"/>
  <c r="Y96" i="2"/>
  <c r="AC96" i="2" s="1"/>
  <c r="K7" i="1"/>
  <c r="N7" i="1" s="1"/>
  <c r="K9" i="1"/>
  <c r="N9" i="1" s="1"/>
  <c r="K11" i="1"/>
  <c r="N11" i="1" s="1"/>
  <c r="K13" i="1"/>
  <c r="N13" i="1" s="1"/>
  <c r="K15" i="1"/>
  <c r="N15" i="1" s="1"/>
  <c r="K17" i="1"/>
  <c r="N17" i="1" s="1"/>
  <c r="K19" i="1"/>
  <c r="N19" i="1" s="1"/>
  <c r="K21" i="1"/>
  <c r="Q218" i="2"/>
  <c r="P218" i="2" s="1"/>
  <c r="T218" i="2" s="1"/>
  <c r="Z215" i="2"/>
  <c r="Y215" i="2" s="1"/>
  <c r="AC215" i="2" s="1"/>
  <c r="Z216" i="2"/>
  <c r="Y216" i="2" s="1"/>
  <c r="AC216" i="2" s="1"/>
  <c r="Q217" i="2"/>
  <c r="P217" i="2" s="1"/>
  <c r="T217" i="2" s="1"/>
  <c r="P102" i="2"/>
  <c r="T102" i="2" s="1"/>
  <c r="T3" i="1"/>
  <c r="X3" i="1" s="1"/>
  <c r="T5" i="1"/>
  <c r="X5" i="1" s="1"/>
  <c r="T7" i="1"/>
  <c r="X7" i="1" s="1"/>
  <c r="T9" i="1"/>
  <c r="X9" i="1" s="1"/>
  <c r="T11" i="1"/>
  <c r="X11" i="1" s="1"/>
  <c r="T13" i="1"/>
  <c r="X13" i="1" s="1"/>
  <c r="T15" i="1"/>
  <c r="X15" i="1" s="1"/>
  <c r="T17" i="1"/>
  <c r="X17" i="1" s="1"/>
  <c r="T19" i="1"/>
  <c r="X19" i="1" s="1"/>
  <c r="T21" i="1"/>
  <c r="X21" i="1" s="1"/>
  <c r="Z211" i="2"/>
  <c r="Q213" i="2"/>
  <c r="P213" i="2" s="1"/>
  <c r="T213" i="2" s="1"/>
  <c r="AA3" i="2"/>
  <c r="Y3" i="2" s="1"/>
  <c r="AC3" i="2" s="1"/>
  <c r="Z6" i="2"/>
  <c r="Y6" i="2" s="1"/>
  <c r="AC6" i="2" s="1"/>
  <c r="AB212" i="2"/>
  <c r="S216" i="2"/>
  <c r="S7" i="2"/>
  <c r="Q9" i="2"/>
  <c r="P9" i="2" s="1"/>
  <c r="T9" i="2" s="1"/>
  <c r="AB214" i="2"/>
  <c r="S218" i="2"/>
  <c r="Z17" i="2"/>
  <c r="Y17" i="2" s="1"/>
  <c r="AC17" i="2" s="1"/>
  <c r="Z24" i="2"/>
  <c r="Y24" i="2" s="1"/>
  <c r="AC24" i="2" s="1"/>
  <c r="Z28" i="2"/>
  <c r="Y28" i="2" s="1"/>
  <c r="AC28" i="2" s="1"/>
  <c r="Y82" i="2"/>
  <c r="AC82" i="2" s="1"/>
  <c r="R84" i="2"/>
  <c r="P84" i="2" s="1"/>
  <c r="T84" i="2" s="1"/>
  <c r="Q82" i="2"/>
  <c r="P82" i="2" s="1"/>
  <c r="T82" i="2" s="1"/>
  <c r="Z79" i="2"/>
  <c r="Y79" i="2" s="1"/>
  <c r="AC79" i="2" s="1"/>
  <c r="P91" i="2"/>
  <c r="T91" i="2" s="1"/>
  <c r="Y93" i="2"/>
  <c r="AC93" i="2" s="1"/>
  <c r="Z212" i="2"/>
  <c r="Y212" i="2" s="1"/>
  <c r="AC212" i="2" s="1"/>
  <c r="Q216" i="2"/>
  <c r="P216" i="2" s="1"/>
  <c r="T216" i="2" s="1"/>
  <c r="AB211" i="2"/>
  <c r="S215" i="2"/>
  <c r="S217" i="2"/>
  <c r="AB216" i="2"/>
  <c r="R214" i="2"/>
  <c r="P214" i="2" s="1"/>
  <c r="T214" i="2" s="1"/>
  <c r="AA211" i="2"/>
  <c r="P92" i="2"/>
  <c r="T92" i="2" s="1"/>
  <c r="Z90" i="2"/>
  <c r="Y90" i="2" s="1"/>
  <c r="AC90" i="2" s="1"/>
  <c r="Z94" i="2"/>
  <c r="Y94" i="2" s="1"/>
  <c r="AC94" i="2" s="1"/>
  <c r="Z101" i="2"/>
  <c r="Y101" i="2" s="1"/>
  <c r="AC101" i="2" s="1"/>
  <c r="Z105" i="2"/>
  <c r="Y105" i="2" s="1"/>
  <c r="AC105" i="2" s="1"/>
  <c r="Z112" i="2"/>
  <c r="Y112" i="2" s="1"/>
  <c r="AC112" i="2" s="1"/>
  <c r="Z116" i="2"/>
  <c r="Y116" i="2" s="1"/>
  <c r="AC116" i="2" s="1"/>
  <c r="Z123" i="2"/>
  <c r="Y123" i="2" s="1"/>
  <c r="AC123" i="2" s="1"/>
  <c r="Q152" i="2"/>
  <c r="P152" i="2" s="1"/>
  <c r="T152" i="2" s="1"/>
  <c r="Z149" i="2"/>
  <c r="Y149" i="2" s="1"/>
  <c r="AC149" i="2" s="1"/>
  <c r="Q130" i="2"/>
  <c r="P130" i="2" s="1"/>
  <c r="T130" i="2" s="1"/>
  <c r="Z134" i="2"/>
  <c r="Y134" i="2" s="1"/>
  <c r="AC134" i="2" s="1"/>
  <c r="Z138" i="2"/>
  <c r="Y138" i="2" s="1"/>
  <c r="AC138" i="2" s="1"/>
  <c r="S213" i="2"/>
  <c r="S169" i="2"/>
  <c r="AB167" i="2"/>
  <c r="Z145" i="2"/>
  <c r="Y145" i="2" s="1"/>
  <c r="AC145" i="2" s="1"/>
  <c r="Q158" i="2"/>
  <c r="P158" i="2" s="1"/>
  <c r="T158" i="2" s="1"/>
  <c r="Q163" i="2"/>
  <c r="P163" i="2" s="1"/>
  <c r="T163" i="2" s="1"/>
  <c r="Z160" i="2"/>
  <c r="Y160" i="2" s="1"/>
  <c r="AC160" i="2" s="1"/>
  <c r="AA157" i="2"/>
  <c r="Y157" i="2" s="1"/>
  <c r="AC157" i="2" s="1"/>
  <c r="R161" i="2"/>
  <c r="P161" i="2" s="1"/>
  <c r="T161" i="2" s="1"/>
  <c r="AB159" i="2"/>
  <c r="S163" i="2"/>
  <c r="Q174" i="2"/>
  <c r="P174" i="2" s="1"/>
  <c r="T174" i="2" s="1"/>
  <c r="Z171" i="2"/>
  <c r="Y171" i="2" s="1"/>
  <c r="AC171" i="2" s="1"/>
  <c r="Y148" i="2"/>
  <c r="AC148" i="2" s="1"/>
  <c r="Y152" i="2"/>
  <c r="AC152" i="2" s="1"/>
  <c r="AB161" i="2"/>
  <c r="S162" i="2"/>
  <c r="AB172" i="2"/>
  <c r="S173" i="2"/>
  <c r="S211" i="2"/>
  <c r="AB218" i="2"/>
  <c r="AB152" i="2"/>
  <c r="AB170" i="2"/>
  <c r="S174" i="2"/>
  <c r="Q169" i="2"/>
  <c r="P169" i="2" s="1"/>
  <c r="T169" i="2" s="1"/>
  <c r="Z167" i="2"/>
  <c r="Y167" i="2" s="1"/>
  <c r="AC167" i="2" s="1"/>
  <c r="Q185" i="2"/>
  <c r="P185" i="2" s="1"/>
  <c r="T185" i="2" s="1"/>
  <c r="Z182" i="2"/>
  <c r="Y182" i="2" s="1"/>
  <c r="AC182" i="2" s="1"/>
  <c r="S156" i="2"/>
  <c r="Q183" i="2"/>
  <c r="P183" i="2" s="1"/>
  <c r="T183" i="2" s="1"/>
  <c r="S185" i="2"/>
  <c r="AB203" i="2"/>
  <c r="Z204" i="2"/>
  <c r="Y204" i="2" s="1"/>
  <c r="AC204" i="2" s="1"/>
  <c r="R206" i="2"/>
  <c r="P206" i="2" s="1"/>
  <c r="T206" i="2" s="1"/>
  <c r="Z183" i="2"/>
  <c r="Y183" i="2" s="1"/>
  <c r="AC183" i="2" s="1"/>
  <c r="Z201" i="2"/>
  <c r="Z178" i="2"/>
  <c r="Y178" i="2" s="1"/>
  <c r="AC178" i="2" s="1"/>
  <c r="Z189" i="2"/>
  <c r="Y189" i="2" s="1"/>
  <c r="AC189" i="2" s="1"/>
  <c r="Z193" i="2"/>
  <c r="Y193" i="2" s="1"/>
  <c r="AC193" i="2" s="1"/>
  <c r="Z200" i="2"/>
  <c r="Y200" i="2" s="1"/>
  <c r="AC200" i="2" s="1"/>
  <c r="AA201" i="2"/>
  <c r="Y201" i="2" l="1"/>
  <c r="AC201" i="2" s="1"/>
  <c r="Y211" i="2"/>
  <c r="AC211" i="2" s="1"/>
</calcChain>
</file>

<file path=xl/sharedStrings.xml><?xml version="1.0" encoding="utf-8"?>
<sst xmlns="http://schemas.openxmlformats.org/spreadsheetml/2006/main" count="1013" uniqueCount="246">
  <si>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</si>
  <si>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</si>
  <si>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</si>
  <si>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</si>
  <si>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</si>
  <si>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</si>
  <si>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</si>
  <si>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</si>
  <si>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</si>
  <si>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</si>
  <si>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</si>
  <si>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</si>
  <si>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</si>
  <si>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</si>
  <si>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</si>
  <si>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</si>
  <si>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</si>
  <si>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</si>
  <si>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</si>
  <si>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F0JBPIS</t>
  </si>
  <si>
    <t>B040582</t>
  </si>
  <si>
    <t>TKI1474H</t>
  </si>
  <si>
    <t>PE04030</t>
  </si>
  <si>
    <t>CLPMK407</t>
  </si>
  <si>
    <t>P2MALWA</t>
  </si>
  <si>
    <t>PWL54472</t>
  </si>
  <si>
    <t>WS7820F</t>
  </si>
  <si>
    <t>WGM07762</t>
  </si>
  <si>
    <t>PO742PK</t>
  </si>
  <si>
    <t>MAS230</t>
  </si>
  <si>
    <t>AC4437CI</t>
  </si>
  <si>
    <t>BA8040AX</t>
  </si>
  <si>
    <t>W56DBG</t>
  </si>
  <si>
    <t>W48DBG</t>
  </si>
  <si>
    <t>W57DBG</t>
  </si>
  <si>
    <t>POS12802</t>
  </si>
  <si>
    <t>FZI74287</t>
  </si>
  <si>
    <t>FSW84XC</t>
  </si>
  <si>
    <t>Suma:</t>
  </si>
  <si>
    <t>MYK186</t>
  </si>
  <si>
    <t>BIA72880</t>
  </si>
  <si>
    <t>PP9276R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</si>
  <si>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</si>
  <si>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FZI81892</t>
  </si>
  <si>
    <t>NOL1613E</t>
  </si>
  <si>
    <t>BKL24330</t>
  </si>
  <si>
    <t>PSZ92825</t>
  </si>
  <si>
    <t>DH04293</t>
  </si>
  <si>
    <t>AC2138BT</t>
  </si>
  <si>
    <t>MGZ396</t>
  </si>
  <si>
    <t>PSZ88471</t>
  </si>
  <si>
    <t>DKL49889</t>
  </si>
  <si>
    <t>ZS708RJ</t>
  </si>
  <si>
    <t>FZG58138</t>
  </si>
  <si>
    <t>FSWHH20</t>
  </si>
  <si>
    <t>347PHX</t>
  </si>
  <si>
    <t>BS3124C</t>
  </si>
  <si>
    <t>FSWRE32</t>
  </si>
  <si>
    <t>AM6299EI</t>
  </si>
  <si>
    <t>WE7M054</t>
  </si>
  <si>
    <t>SG7346V</t>
  </si>
  <si>
    <t>FSWHC08</t>
  </si>
  <si>
    <t>PO7KX15</t>
  </si>
  <si>
    <t>FZI99232</t>
  </si>
  <si>
    <t>9970HB4</t>
  </si>
  <si>
    <t>PZ894TX</t>
  </si>
  <si>
    <t>KWPL92</t>
  </si>
  <si>
    <t>AC7738BO</t>
  </si>
  <si>
    <t>WE043VN</t>
  </si>
  <si>
    <t>PY03619</t>
  </si>
  <si>
    <t>SPNDT300</t>
  </si>
  <si>
    <t>CB724NG</t>
  </si>
  <si>
    <t>PNT87485</t>
  </si>
  <si>
    <t>FSWPW32</t>
  </si>
  <si>
    <t>FZ1428H</t>
  </si>
  <si>
    <t>FSWRE33</t>
  </si>
  <si>
    <t>FSWPY98</t>
  </si>
  <si>
    <t>BC7018IA</t>
  </si>
  <si>
    <t>WMA48551</t>
  </si>
  <si>
    <t>LNK720</t>
  </si>
  <si>
    <t>WPI6869C</t>
  </si>
  <si>
    <t>EPA02148</t>
  </si>
  <si>
    <t>PKS21Y7</t>
  </si>
  <si>
    <t>NO531AA</t>
  </si>
  <si>
    <t>LGP691</t>
  </si>
  <si>
    <t>ELC55110</t>
  </si>
  <si>
    <t>PO1PJ18</t>
  </si>
  <si>
    <t>BK0292HK</t>
  </si>
  <si>
    <t>PSE05622</t>
  </si>
  <si>
    <t>DL6059F</t>
  </si>
  <si>
    <t>FSWNM42</t>
  </si>
  <si>
    <t>FSW34VH</t>
  </si>
  <si>
    <t>PO3NN47</t>
  </si>
  <si>
    <t>FG1496K</t>
  </si>
  <si>
    <t>WGM68041</t>
  </si>
  <si>
    <t>PO1FT12</t>
  </si>
  <si>
    <t>WSC440AU</t>
  </si>
  <si>
    <t>FSWHW40</t>
  </si>
  <si>
    <t>WE5W840</t>
  </si>
  <si>
    <t>WGM7865A</t>
  </si>
  <si>
    <t>WB1161U</t>
  </si>
  <si>
    <t>LUB6685E</t>
  </si>
  <si>
    <t>WGM7040C</t>
  </si>
  <si>
    <t>CWA50TX</t>
  </si>
  <si>
    <t>CSWGC79</t>
  </si>
  <si>
    <t>6VKN98</t>
  </si>
  <si>
    <t>AC8409HI</t>
  </si>
  <si>
    <t>PNT71046</t>
  </si>
  <si>
    <t>AC7985EI</t>
  </si>
  <si>
    <t>FKR311CT</t>
  </si>
  <si>
    <t>FZ8921P</t>
  </si>
  <si>
    <t>NEL26464</t>
  </si>
  <si>
    <t>WE400XP</t>
  </si>
  <si>
    <t>OK3141A</t>
  </si>
  <si>
    <t>CSE2X06</t>
  </si>
  <si>
    <t>WGM0231C</t>
  </si>
  <si>
    <t>AB9119CE</t>
  </si>
  <si>
    <t>AC9815CK</t>
  </si>
  <si>
    <t>WI9830R</t>
  </si>
  <si>
    <t>ELW04390</t>
  </si>
  <si>
    <t>FSWNG84</t>
  </si>
  <si>
    <t>PZ485WT</t>
  </si>
  <si>
    <t>EBRAA27</t>
  </si>
  <si>
    <t>DLU8054A</t>
  </si>
  <si>
    <t>TK214AU</t>
  </si>
  <si>
    <t>FSWNU05</t>
  </si>
  <si>
    <t>LLL491</t>
  </si>
  <si>
    <t>BPW2181</t>
  </si>
  <si>
    <t>WGM66170</t>
  </si>
  <si>
    <t>PZ2V928</t>
  </si>
  <si>
    <t>FSWHN16</t>
  </si>
  <si>
    <t>WPR3182N</t>
  </si>
  <si>
    <t>WGM7914A</t>
  </si>
  <si>
    <t>PL7806C</t>
  </si>
  <si>
    <t>PO9NK07</t>
  </si>
  <si>
    <t>WND0838A</t>
  </si>
  <si>
    <t>PNT87009</t>
  </si>
  <si>
    <t>LLU90624</t>
  </si>
  <si>
    <t>LB87103</t>
  </si>
  <si>
    <t>FSW03LK</t>
  </si>
  <si>
    <t>KBC74990</t>
  </si>
  <si>
    <t>SK924XK</t>
  </si>
  <si>
    <t>PO9TJ49</t>
  </si>
  <si>
    <t>WGM0012J</t>
  </si>
  <si>
    <t>DW7PT22</t>
  </si>
  <si>
    <t>ST04045</t>
  </si>
  <si>
    <t>WSI07X1</t>
  </si>
  <si>
    <t>PNT89802</t>
  </si>
  <si>
    <t>SK892UH</t>
  </si>
  <si>
    <t>BLM43874</t>
  </si>
  <si>
    <t>AC5739HE</t>
  </si>
  <si>
    <t>WPR4836M</t>
  </si>
  <si>
    <t>PP1318M</t>
  </si>
  <si>
    <t>DKL30352</t>
  </si>
  <si>
    <t>WZ119EY</t>
  </si>
  <si>
    <t>KNS2861J</t>
  </si>
  <si>
    <t>SK866RY</t>
  </si>
  <si>
    <t>ETM12315</t>
  </si>
  <si>
    <t>AC8393HE</t>
  </si>
  <si>
    <t>AC8700CI</t>
  </si>
  <si>
    <t>BO0881CK</t>
  </si>
  <si>
    <t>BC8919CI</t>
  </si>
  <si>
    <t>MYM257</t>
  </si>
  <si>
    <t>SJ56BYS</t>
  </si>
  <si>
    <t>PO6AX69</t>
  </si>
  <si>
    <t>WI190JE</t>
  </si>
  <si>
    <t>WGM0980C</t>
  </si>
  <si>
    <t>FSWML48</t>
  </si>
  <si>
    <t>RZ983CT</t>
  </si>
  <si>
    <t>PTU0061E</t>
  </si>
  <si>
    <t>PWL51055</t>
  </si>
  <si>
    <t>FZ8155R</t>
  </si>
  <si>
    <t>BK4030CB</t>
  </si>
  <si>
    <t>PGN405JV</t>
  </si>
  <si>
    <t>HK2731AB</t>
  </si>
  <si>
    <t>ST04047</t>
  </si>
  <si>
    <t>BI903GW</t>
  </si>
  <si>
    <t>WML23218</t>
  </si>
  <si>
    <t>WSC926CN</t>
  </si>
  <si>
    <t>EZD22N3</t>
  </si>
  <si>
    <t>PES240</t>
  </si>
  <si>
    <t>GDA17807</t>
  </si>
  <si>
    <t>PZ2W659</t>
  </si>
  <si>
    <t>CT4961M</t>
  </si>
  <si>
    <t>CT1596M</t>
  </si>
  <si>
    <t>PNT92031</t>
  </si>
  <si>
    <t>AC3413HC</t>
  </si>
  <si>
    <t>PZ1L532</t>
  </si>
  <si>
    <t>PP7641M</t>
  </si>
  <si>
    <t>FSL803AW</t>
  </si>
  <si>
    <t>WGM1053J</t>
  </si>
  <si>
    <t>FZI83539</t>
  </si>
  <si>
    <t>WPR9905P</t>
  </si>
  <si>
    <t>NO3507Y</t>
  </si>
  <si>
    <t>AA8815EC</t>
  </si>
  <si>
    <t>FMI59825</t>
  </si>
  <si>
    <t>PGO44464</t>
  </si>
  <si>
    <t>WGM3502H</t>
  </si>
  <si>
    <t>FZ5418S</t>
  </si>
  <si>
    <t>CTR24330</t>
  </si>
  <si>
    <t>WSC953AV</t>
  </si>
  <si>
    <t>WE5C412</t>
  </si>
  <si>
    <t>MAD761</t>
  </si>
  <si>
    <t>AC3200BO</t>
  </si>
  <si>
    <t>CBR3FS6</t>
  </si>
  <si>
    <t>FSWLJ97</t>
  </si>
  <si>
    <t>WSE4FA9</t>
  </si>
  <si>
    <t>FSWAW26</t>
  </si>
  <si>
    <t>AC6899CI</t>
  </si>
  <si>
    <t>OP1448P</t>
  </si>
  <si>
    <t>FSWJK79</t>
  </si>
  <si>
    <t>POS3942A</t>
  </si>
  <si>
    <t>OP1957P</t>
  </si>
  <si>
    <t>WE3P075</t>
  </si>
  <si>
    <t>OP0463T</t>
  </si>
  <si>
    <t>WGM3494A</t>
  </si>
  <si>
    <t>MGH698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</si>
  <si>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</si>
  <si>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</si>
  <si>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</si>
  <si>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</si>
  <si>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</si>
  <si>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</si>
  <si>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</si>
  <si>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</si>
  <si>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</si>
  <si>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</si>
  <si>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</si>
  <si>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</si>
  <si>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</si>
  <si>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</si>
  <si>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</si>
  <si>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</si>
  <si>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</si>
  <si>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</si>
  <si>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</si>
  <si>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</si>
  <si>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</si>
  <si>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</si>
  <si>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</si>
  <si>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</si>
  <si>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</si>
  <si>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</si>
  <si>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Ciągniki s. 5-7 osi, max 3 w grupie</t>
  </si>
  <si>
    <t>N200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</si>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</sst>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abSelected="1" topLeftCell="E1" workbookViewId="0">
      <selection activeCell="N22" sqref="N22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45069</v>
      </c>
      <c r="C2" s="2">
        <v>0.87413194444444442</v>
      </c>
      <c r="D2">
        <v>1</v>
      </c>
      <c r="E2" s="5" t="s">
        <v>19</v>
      </c>
      <c r="F2">
        <v>0</v>
      </c>
      <c r="I2" s="6">
        <v>0.87413194444444442</v>
      </c>
      <c r="J2" s="6">
        <v>0.88454861111111116</v>
      </c>
      <c r="K2" s="3">
        <f t="shared" ref="K2:K21" si="0">U2+V2+W2</f>
        <v>12</v>
      </c>
      <c r="L2" s="3">
        <f t="shared" ref="L2:L13" si="1">COUNTIFS(C:C,"&gt;="&amp;I2,C:C,"&lt;"&amp;J2,F:F,"=1",A:A,"",D:D,"&lt;&gt;x")</f>
        <v>0</v>
      </c>
      <c r="M2" s="3">
        <f t="shared" ref="M2:M13" si="2">COUNTIFS(C:C,"&gt;="&amp;I2,C:C,"&lt;"&amp;J2,F:F,"=f",D:D,"&lt;&gt;x")</f>
        <v>0</v>
      </c>
      <c r="N2" s="7">
        <f t="shared" ref="N2:N21" si="3">(K2-L2-M2)/K2</f>
        <v>1</v>
      </c>
      <c r="P2" s="4">
        <f t="shared" ref="P2:P13" si="4">COUNTIFS(C:C,"&gt;="&amp;I2,C:C,"&lt;"&amp;J2,D:D,"=x")</f>
        <v>0</v>
      </c>
      <c r="R2" s="6">
        <v>0.87413194444444442</v>
      </c>
      <c r="S2" s="6">
        <v>0.88454861111111116</v>
      </c>
      <c r="T2" s="3">
        <f t="shared" ref="T2:T21" si="5">U2+V2</f>
        <v>11</v>
      </c>
      <c r="U2" s="3">
        <f t="shared" ref="U2:U13" si="6">COUNTIFS(C:C,"&gt;="&amp;I2,C:C,"&lt;"&amp;J2,F:F,"=0",D:D,"&lt;&gt;x")</f>
        <v>11</v>
      </c>
      <c r="V2" s="3">
        <f t="shared" ref="V2:V13" si="7">COUNTIFS(C:C,"&gt;="&amp;I2,C:C,"&lt;"&amp;J2,F:F,"=1",D:D,"&lt;&gt;x")</f>
        <v>0</v>
      </c>
      <c r="W2" s="3">
        <f t="shared" ref="W2:W13" si="8">COUNTIFS(C:C,"&gt;="&amp;I2,C:C,"&lt;"&amp;J2,F:F,"=2",D:D,"&lt;&gt;x")</f>
        <v>1</v>
      </c>
      <c r="X2" s="7">
        <f t="shared" ref="X2:X21" si="9">U2/T2</f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45069</v>
      </c>
      <c r="C3" s="2">
        <v>0.87509259259259264</v>
      </c>
      <c r="D3">
        <v>2</v>
      </c>
      <c r="E3" s="5" t="s">
        <v>20</v>
      </c>
      <c r="F3">
        <v>0</v>
      </c>
      <c r="I3" s="6">
        <v>0.88454861111111116</v>
      </c>
      <c r="J3" s="6">
        <v>0.89496527777777779</v>
      </c>
      <c r="K3" s="3">
        <f t="shared" si="0"/>
        <v>16</v>
      </c>
      <c r="L3" s="3">
        <f t="shared" si="1"/>
        <v>0</v>
      </c>
      <c r="M3" s="3">
        <f t="shared" si="2"/>
        <v>0</v>
      </c>
      <c r="N3" s="7">
        <f t="shared" si="3"/>
        <v>1</v>
      </c>
      <c r="P3" s="4">
        <f t="shared" si="4"/>
        <v>0</v>
      </c>
      <c r="R3" s="6">
        <v>0.88454861111111116</v>
      </c>
      <c r="S3" s="6">
        <v>0.89496527777777779</v>
      </c>
      <c r="T3" s="3">
        <f t="shared" si="5"/>
        <v>16</v>
      </c>
      <c r="U3" s="3">
        <f t="shared" si="6"/>
        <v>16</v>
      </c>
      <c r="V3" s="3">
        <f t="shared" si="7"/>
        <v>0</v>
      </c>
      <c r="W3" s="3">
        <f t="shared" si="8"/>
        <v>0</v>
      </c>
      <c r="X3" s="7">
        <f t="shared" si="9"/>
        <v>1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45069</v>
      </c>
      <c r="C4" s="2">
        <v>0.87511574074074072</v>
      </c>
      <c r="D4">
        <v>3</v>
      </c>
      <c r="E4" s="5" t="s">
        <v>21</v>
      </c>
      <c r="F4">
        <v>0</v>
      </c>
      <c r="I4" s="6">
        <v>0.89496527777777779</v>
      </c>
      <c r="J4" s="6">
        <v>0.90538194444444442</v>
      </c>
      <c r="K4" s="3">
        <f t="shared" si="0"/>
        <v>10</v>
      </c>
      <c r="L4" s="3">
        <f t="shared" si="1"/>
        <v>0</v>
      </c>
      <c r="M4" s="3">
        <f t="shared" si="2"/>
        <v>0</v>
      </c>
      <c r="N4" s="7">
        <f t="shared" si="3"/>
        <v>1</v>
      </c>
      <c r="P4" s="4">
        <f t="shared" si="4"/>
        <v>0</v>
      </c>
      <c r="R4" s="6">
        <v>0.89496527777777779</v>
      </c>
      <c r="S4" s="6">
        <v>0.90538194444444442</v>
      </c>
      <c r="T4" s="3">
        <f t="shared" si="5"/>
        <v>10</v>
      </c>
      <c r="U4" s="3">
        <f t="shared" si="6"/>
        <v>10</v>
      </c>
      <c r="V4" s="3">
        <f t="shared" si="7"/>
        <v>0</v>
      </c>
      <c r="W4" s="3">
        <f t="shared" si="8"/>
        <v>0</v>
      </c>
      <c r="X4" s="7">
        <f t="shared" si="9"/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45069</v>
      </c>
      <c r="C5" s="2">
        <v>0.87927083333333333</v>
      </c>
      <c r="D5">
        <v>4</v>
      </c>
      <c r="E5" s="5" t="s">
        <v>22</v>
      </c>
      <c r="F5">
        <v>0</v>
      </c>
      <c r="I5" s="6">
        <v>0.90538194444444442</v>
      </c>
      <c r="J5" s="6">
        <v>0.91579861111111116</v>
      </c>
      <c r="K5" s="3">
        <f t="shared" si="0"/>
        <v>15</v>
      </c>
      <c r="L5" s="3">
        <f t="shared" si="1"/>
        <v>0</v>
      </c>
      <c r="M5" s="3">
        <f t="shared" si="2"/>
        <v>0</v>
      </c>
      <c r="N5" s="7">
        <f t="shared" si="3"/>
        <v>1</v>
      </c>
      <c r="P5" s="4">
        <f t="shared" si="4"/>
        <v>0</v>
      </c>
      <c r="R5" s="6">
        <v>0.90538194444444442</v>
      </c>
      <c r="S5" s="6">
        <v>0.91579861111111116</v>
      </c>
      <c r="T5" s="3">
        <f t="shared" si="5"/>
        <v>15</v>
      </c>
      <c r="U5" s="3">
        <f t="shared" si="6"/>
        <v>15</v>
      </c>
      <c r="V5" s="3">
        <f t="shared" si="7"/>
        <v>0</v>
      </c>
      <c r="W5" s="3">
        <f t="shared" si="8"/>
        <v>0</v>
      </c>
      <c r="X5" s="7">
        <f t="shared" si="9"/>
        <v>1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45069</v>
      </c>
      <c r="C6" s="2">
        <v>0.87935185185185183</v>
      </c>
      <c r="D6">
        <v>5</v>
      </c>
      <c r="E6" s="5" t="s">
        <v>23</v>
      </c>
      <c r="F6">
        <v>0</v>
      </c>
      <c r="I6" s="6">
        <v>0.91579861111111116</v>
      </c>
      <c r="J6" s="6">
        <v>0.92621527777777779</v>
      </c>
      <c r="K6" s="3">
        <f t="shared" si="0"/>
        <v>12</v>
      </c>
      <c r="L6" s="3">
        <f t="shared" si="1"/>
        <v>0</v>
      </c>
      <c r="M6" s="3">
        <f t="shared" si="2"/>
        <v>0</v>
      </c>
      <c r="N6" s="7">
        <f t="shared" si="3"/>
        <v>1</v>
      </c>
      <c r="P6" s="4">
        <f t="shared" si="4"/>
        <v>0</v>
      </c>
      <c r="R6" s="6">
        <v>0.91579861111111116</v>
      </c>
      <c r="S6" s="6">
        <v>0.92621527777777779</v>
      </c>
      <c r="T6" s="3">
        <f t="shared" si="5"/>
        <v>12</v>
      </c>
      <c r="U6" s="3">
        <f t="shared" si="6"/>
        <v>12</v>
      </c>
      <c r="V6" s="3">
        <f t="shared" si="7"/>
        <v>0</v>
      </c>
      <c r="W6" s="3">
        <f t="shared" si="8"/>
        <v>0</v>
      </c>
      <c r="X6" s="7">
        <f t="shared" si="9"/>
        <v>1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45069</v>
      </c>
      <c r="C7" s="2">
        <v>0.87938657407407406</v>
      </c>
      <c r="D7">
        <v>6</v>
      </c>
      <c r="E7" s="5" t="s">
        <v>24</v>
      </c>
      <c r="F7">
        <v>0</v>
      </c>
      <c r="I7" s="6">
        <v>0.92621527777777779</v>
      </c>
      <c r="J7" s="6">
        <v>0.93663194444444442</v>
      </c>
      <c r="K7" s="3">
        <f t="shared" si="0"/>
        <v>11</v>
      </c>
      <c r="L7" s="3">
        <f t="shared" si="1"/>
        <v>0</v>
      </c>
      <c r="M7" s="3">
        <f t="shared" si="2"/>
        <v>0</v>
      </c>
      <c r="N7" s="7">
        <f t="shared" si="3"/>
        <v>1</v>
      </c>
      <c r="P7" s="4">
        <f t="shared" si="4"/>
        <v>0</v>
      </c>
      <c r="R7" s="6">
        <v>0.92621527777777779</v>
      </c>
      <c r="S7" s="6">
        <v>0.93663194444444442</v>
      </c>
      <c r="T7" s="3">
        <f t="shared" si="5"/>
        <v>11</v>
      </c>
      <c r="U7" s="3">
        <f t="shared" si="6"/>
        <v>11</v>
      </c>
      <c r="V7" s="3">
        <f t="shared" si="7"/>
        <v>0</v>
      </c>
      <c r="W7" s="3">
        <f t="shared" si="8"/>
        <v>0</v>
      </c>
      <c r="X7" s="7">
        <f t="shared" si="9"/>
        <v>1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45069</v>
      </c>
      <c r="C8" s="2">
        <v>0.88035879629629632</v>
      </c>
      <c r="D8">
        <v>7</v>
      </c>
      <c r="E8" s="5"/>
      <c r="F8">
        <v>2</v>
      </c>
      <c r="I8" s="6">
        <v>0.93663194444444442</v>
      </c>
      <c r="J8" s="6">
        <v>0.94704861111111116</v>
      </c>
      <c r="K8" s="3">
        <f t="shared" si="0"/>
        <v>5</v>
      </c>
      <c r="L8" s="3">
        <f t="shared" si="1"/>
        <v>0</v>
      </c>
      <c r="M8" s="3">
        <f t="shared" si="2"/>
        <v>0</v>
      </c>
      <c r="N8" s="7">
        <f t="shared" si="3"/>
        <v>1</v>
      </c>
      <c r="P8" s="4">
        <f t="shared" si="4"/>
        <v>0</v>
      </c>
      <c r="R8" s="6">
        <v>0.93663194444444442</v>
      </c>
      <c r="S8" s="6">
        <v>0.94704861111111116</v>
      </c>
      <c r="T8" s="3">
        <f t="shared" si="5"/>
        <v>5</v>
      </c>
      <c r="U8" s="3">
        <f t="shared" si="6"/>
        <v>5</v>
      </c>
      <c r="V8" s="3">
        <f t="shared" si="7"/>
        <v>0</v>
      </c>
      <c r="W8" s="3">
        <f t="shared" si="8"/>
        <v>0</v>
      </c>
      <c r="X8" s="7">
        <f t="shared" si="9"/>
        <v>1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45069</v>
      </c>
      <c r="C9" s="2">
        <v>0.88107638888888884</v>
      </c>
      <c r="D9">
        <v>8</v>
      </c>
      <c r="E9" s="5" t="s">
        <v>25</v>
      </c>
      <c r="F9">
        <v>0</v>
      </c>
      <c r="I9" s="6">
        <v>0.94704861111111116</v>
      </c>
      <c r="J9" s="6">
        <v>0.95746527777777779</v>
      </c>
      <c r="K9" s="3">
        <f t="shared" si="0"/>
        <v>16</v>
      </c>
      <c r="L9" s="3">
        <f t="shared" si="1"/>
        <v>0</v>
      </c>
      <c r="M9" s="3">
        <f t="shared" si="2"/>
        <v>0</v>
      </c>
      <c r="N9" s="7">
        <f t="shared" si="3"/>
        <v>1</v>
      </c>
      <c r="P9" s="4">
        <f t="shared" si="4"/>
        <v>0</v>
      </c>
      <c r="R9" s="6">
        <v>0.94704861111111116</v>
      </c>
      <c r="S9" s="6">
        <v>0.95746527777777779</v>
      </c>
      <c r="T9" s="3">
        <f t="shared" si="5"/>
        <v>16</v>
      </c>
      <c r="U9" s="3">
        <f t="shared" si="6"/>
        <v>16</v>
      </c>
      <c r="V9" s="3">
        <f t="shared" si="7"/>
        <v>0</v>
      </c>
      <c r="W9" s="3">
        <f t="shared" si="8"/>
        <v>0</v>
      </c>
      <c r="X9" s="7">
        <f t="shared" si="9"/>
        <v>1</v>
      </c>
      <c r="Y9" s="3"/>
      <c r="Z9" s="3"/>
      <c r="AA9" s="3"/>
      <c r="AB9" s="3"/>
      <c r="AC9" s="7"/>
    </row>
    <row r="10" spans="1:29" x14ac:dyDescent="0.25">
      <c r="A10">
        <v>9</v>
      </c>
      <c r="B10" s="1">
        <v>45069</v>
      </c>
      <c r="C10" s="2">
        <v>0.88168981481481479</v>
      </c>
      <c r="D10">
        <v>9</v>
      </c>
      <c r="E10" s="5" t="s">
        <v>26</v>
      </c>
      <c r="F10">
        <v>0</v>
      </c>
      <c r="I10" s="6">
        <v>0.95746527777777779</v>
      </c>
      <c r="J10" s="6">
        <v>0.96788194444444442</v>
      </c>
      <c r="K10" s="3">
        <f t="shared" si="0"/>
        <v>5</v>
      </c>
      <c r="L10" s="3">
        <f t="shared" si="1"/>
        <v>0</v>
      </c>
      <c r="M10" s="3">
        <f t="shared" si="2"/>
        <v>0</v>
      </c>
      <c r="N10" s="7">
        <f t="shared" si="3"/>
        <v>1</v>
      </c>
      <c r="P10" s="4">
        <f t="shared" si="4"/>
        <v>0</v>
      </c>
      <c r="R10" s="6">
        <v>0.95746527777777779</v>
      </c>
      <c r="S10" s="6">
        <v>0.96788194444444442</v>
      </c>
      <c r="T10" s="3">
        <f t="shared" si="5"/>
        <v>5</v>
      </c>
      <c r="U10" s="3">
        <f t="shared" si="6"/>
        <v>5</v>
      </c>
      <c r="V10" s="3">
        <f t="shared" si="7"/>
        <v>0</v>
      </c>
      <c r="W10" s="3">
        <f t="shared" si="8"/>
        <v>0</v>
      </c>
      <c r="X10" s="7">
        <f t="shared" si="9"/>
        <v>1</v>
      </c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0.88288194444444446</v>
      </c>
      <c r="D11">
        <v>10</v>
      </c>
      <c r="E11" s="5" t="s">
        <v>27</v>
      </c>
      <c r="F11">
        <v>0</v>
      </c>
      <c r="I11" s="6">
        <v>0.96788194444444442</v>
      </c>
      <c r="J11" s="6">
        <v>0.97829861111111116</v>
      </c>
      <c r="K11" s="3">
        <f t="shared" si="0"/>
        <v>8</v>
      </c>
      <c r="L11" s="3">
        <f t="shared" si="1"/>
        <v>0</v>
      </c>
      <c r="M11" s="3">
        <f t="shared" si="2"/>
        <v>0</v>
      </c>
      <c r="N11" s="7">
        <f t="shared" si="3"/>
        <v>1</v>
      </c>
      <c r="P11" s="4">
        <f t="shared" si="4"/>
        <v>0</v>
      </c>
      <c r="R11" s="6">
        <v>0.96788194444444442</v>
      </c>
      <c r="S11" s="6">
        <v>0.97829861111111116</v>
      </c>
      <c r="T11" s="3">
        <f t="shared" si="5"/>
        <v>8</v>
      </c>
      <c r="U11" s="3">
        <f t="shared" si="6"/>
        <v>8</v>
      </c>
      <c r="V11" s="3">
        <f t="shared" si="7"/>
        <v>0</v>
      </c>
      <c r="W11" s="3">
        <f t="shared" si="8"/>
        <v>0</v>
      </c>
      <c r="X11" s="7">
        <f t="shared" si="9"/>
        <v>1</v>
      </c>
      <c r="Y11" s="3"/>
      <c r="Z11" s="3"/>
      <c r="AA11" s="3"/>
      <c r="AB11" s="3"/>
      <c r="AC11" s="7"/>
    </row>
    <row r="12" spans="1:29" x14ac:dyDescent="0.25">
      <c r="A12">
        <v>11</v>
      </c>
      <c r="B12" s="1">
        <v>45069</v>
      </c>
      <c r="C12" s="2">
        <v>0.88291666666666668</v>
      </c>
      <c r="D12">
        <v>11</v>
      </c>
      <c r="E12" s="5" t="s">
        <v>28</v>
      </c>
      <c r="F12">
        <v>0</v>
      </c>
      <c r="I12" s="6">
        <v>0.97829861111111116</v>
      </c>
      <c r="J12" s="6">
        <v>0.98871527777777779</v>
      </c>
      <c r="K12" s="3">
        <f t="shared" si="0"/>
        <v>6</v>
      </c>
      <c r="L12" s="3">
        <f t="shared" si="1"/>
        <v>0</v>
      </c>
      <c r="M12" s="3">
        <f t="shared" si="2"/>
        <v>0</v>
      </c>
      <c r="N12" s="7">
        <f t="shared" si="3"/>
        <v>1</v>
      </c>
      <c r="P12" s="4">
        <f t="shared" si="4"/>
        <v>0</v>
      </c>
      <c r="R12" s="6">
        <v>0.97829861111111116</v>
      </c>
      <c r="S12" s="6">
        <v>0.98871527777777779</v>
      </c>
      <c r="T12" s="3">
        <f t="shared" si="5"/>
        <v>6</v>
      </c>
      <c r="U12" s="3">
        <f t="shared" si="6"/>
        <v>6</v>
      </c>
      <c r="V12" s="3">
        <f t="shared" si="7"/>
        <v>0</v>
      </c>
      <c r="W12" s="3">
        <f t="shared" si="8"/>
        <v>0</v>
      </c>
      <c r="X12" s="7">
        <f t="shared" si="9"/>
        <v>1</v>
      </c>
      <c r="Y12" s="3"/>
      <c r="Z12" s="3"/>
      <c r="AA12" s="3"/>
      <c r="AB12" s="3"/>
      <c r="AC12" s="7"/>
    </row>
    <row r="13" spans="1:29" x14ac:dyDescent="0.25">
      <c r="A13">
        <v>12</v>
      </c>
      <c r="B13" s="1">
        <v>45069</v>
      </c>
      <c r="C13" s="2">
        <v>0.88344907407407403</v>
      </c>
      <c r="D13">
        <v>12</v>
      </c>
      <c r="E13" s="5" t="s">
        <v>29</v>
      </c>
      <c r="F13">
        <v>0</v>
      </c>
      <c r="I13" s="6">
        <v>0.98871527777777779</v>
      </c>
      <c r="J13" s="6">
        <v>0.99913194444444442</v>
      </c>
      <c r="K13" s="3">
        <f t="shared" si="0"/>
        <v>7</v>
      </c>
      <c r="L13" s="3">
        <f t="shared" si="1"/>
        <v>0</v>
      </c>
      <c r="M13" s="3">
        <f t="shared" si="2"/>
        <v>0</v>
      </c>
      <c r="N13" s="7">
        <f t="shared" si="3"/>
        <v>1</v>
      </c>
      <c r="P13" s="4">
        <f t="shared" si="4"/>
        <v>0</v>
      </c>
      <c r="R13" s="6">
        <v>0.98871527777777779</v>
      </c>
      <c r="S13" s="6">
        <v>0.99913194444444442</v>
      </c>
      <c r="T13" s="3">
        <f t="shared" si="5"/>
        <v>7</v>
      </c>
      <c r="U13" s="3">
        <f t="shared" si="6"/>
        <v>7</v>
      </c>
      <c r="V13" s="3">
        <f t="shared" si="7"/>
        <v>0</v>
      </c>
      <c r="W13" s="3">
        <f t="shared" si="8"/>
        <v>0</v>
      </c>
      <c r="X13" s="7">
        <f t="shared" si="9"/>
        <v>1</v>
      </c>
      <c r="Y13" s="3"/>
      <c r="Z13" s="3"/>
      <c r="AA13" s="3"/>
      <c r="AB13" s="3"/>
      <c r="AC13" s="7"/>
    </row>
    <row r="14" spans="1:29" x14ac:dyDescent="0.25">
      <c r="A14">
        <v>13</v>
      </c>
      <c r="B14" s="1">
        <v>45069</v>
      </c>
      <c r="C14" s="2">
        <v>0.88531249999999995</v>
      </c>
      <c r="D14">
        <v>13</v>
      </c>
      <c r="E14" s="5" t="s">
        <v>30</v>
      </c>
      <c r="F14">
        <v>0</v>
      </c>
      <c r="I14" s="6">
        <v>0.99913194444444442</v>
      </c>
      <c r="J14" s="6">
        <v>9.5486111111111119E-3</v>
      </c>
      <c r="K14" s="3">
        <f t="shared" si="0"/>
        <v>3</v>
      </c>
      <c r="L14" s="3">
        <f>COUNTIFS(C:C,"&gt;="&amp;I14,F:F,"=1",A:A,"",D:D,"&lt;&gt;x")+COUNTIFS(C:C,"&lt;"&amp;J14,F:F,"=1",A:A,"",D:D,"&lt;&gt;x")</f>
        <v>0</v>
      </c>
      <c r="M14" s="3">
        <f>COUNTIFS(C:C,"&gt;="&amp;I14,F:F,"=f",D:D,"&lt;&gt;x")+COUNTIFS(C:C,"&lt;"&amp;J14,F:F,"=f",D:D,"&lt;&gt;x")</f>
        <v>0</v>
      </c>
      <c r="N14" s="7">
        <f t="shared" si="3"/>
        <v>1</v>
      </c>
      <c r="P14" s="4">
        <f>COUNTIFS(C:C,"&gt;="&amp;I14,D:D,"=x")+COUNTIFS(C:C,"&lt;"&amp;J14,D:D,"=x")</f>
        <v>0</v>
      </c>
      <c r="R14" s="6">
        <v>0.99913194444444442</v>
      </c>
      <c r="S14" s="6">
        <v>9.5486111111111119E-3</v>
      </c>
      <c r="T14" s="3">
        <f t="shared" si="5"/>
        <v>3</v>
      </c>
      <c r="U14" s="3">
        <f>COUNTIFS(C:C,"&gt;="&amp;I14,F:F,"=0",D:D,"&lt;&gt;x")+COUNTIFS(C:C,"&lt;"&amp;J14,F:F,"=0",D:D,"&lt;&gt;x")</f>
        <v>3</v>
      </c>
      <c r="V14" s="3">
        <f>COUNTIFS(C:C,"&gt;="&amp;I14,F:F,"=1",D:D,"&lt;&gt;x")+COUNTIFS(C:C,"&lt;"&amp;J14,F:F,"=1",D:D,"&lt;&gt;x")</f>
        <v>0</v>
      </c>
      <c r="W14" s="3">
        <f>COUNTIFS(C:C,"&gt;="&amp;I14,F:F,"=2",D:D,"&lt;&gt;x")+COUNTIFS(C:C,"&lt;"&amp;J14,F:F,"=2",D:D,"&lt;&gt;x")</f>
        <v>0</v>
      </c>
      <c r="X14" s="7">
        <f t="shared" si="9"/>
        <v>1</v>
      </c>
      <c r="Y14" s="3"/>
      <c r="Z14" s="3"/>
      <c r="AA14" s="3"/>
      <c r="AB14" s="3"/>
      <c r="AC14" s="7"/>
    </row>
    <row r="15" spans="1:29" x14ac:dyDescent="0.25">
      <c r="A15">
        <v>14</v>
      </c>
      <c r="B15" s="1">
        <v>45069</v>
      </c>
      <c r="C15" s="2">
        <v>0.88535879629629632</v>
      </c>
      <c r="D15">
        <v>14</v>
      </c>
      <c r="E15" s="5" t="s">
        <v>31</v>
      </c>
      <c r="F15">
        <v>0</v>
      </c>
      <c r="I15" s="6">
        <v>9.5486111111111119E-3</v>
      </c>
      <c r="J15" s="6">
        <v>1.996527777777778E-2</v>
      </c>
      <c r="K15" s="3">
        <f t="shared" si="0"/>
        <v>6</v>
      </c>
      <c r="L15" s="3">
        <f t="shared" ref="L15:L20" si="10">COUNTIFS(C:C,"&gt;="&amp;I15,C:C,"&lt;"&amp;J15,F:F,"=1",A:A,"",D:D,"&lt;&gt;x")</f>
        <v>0</v>
      </c>
      <c r="M15" s="3">
        <f t="shared" ref="M15:M20" si="11">COUNTIFS(C:C,"&gt;="&amp;I15,C:C,"&lt;"&amp;J15,F:F,"=f",D:D,"&lt;&gt;x")</f>
        <v>0</v>
      </c>
      <c r="N15" s="7">
        <f t="shared" si="3"/>
        <v>1</v>
      </c>
      <c r="P15" s="4">
        <f t="shared" ref="P15:P20" si="12">COUNTIFS(C:C,"&gt;="&amp;I15,C:C,"&lt;"&amp;J15,D:D,"=x")</f>
        <v>0</v>
      </c>
      <c r="R15" s="6">
        <v>9.5486111111111119E-3</v>
      </c>
      <c r="S15" s="6">
        <v>1.996527777777778E-2</v>
      </c>
      <c r="T15" s="3">
        <f t="shared" si="5"/>
        <v>6</v>
      </c>
      <c r="U15" s="3">
        <f t="shared" ref="U15:U20" si="13">COUNTIFS(C:C,"&gt;="&amp;I15,C:C,"&lt;"&amp;J15,F:F,"=0",D:D,"&lt;&gt;x")</f>
        <v>6</v>
      </c>
      <c r="V15" s="3">
        <f t="shared" ref="V15:V20" si="14">COUNTIFS(C:C,"&gt;="&amp;I15,C:C,"&lt;"&amp;J15,F:F,"=1",D:D,"&lt;&gt;x")</f>
        <v>0</v>
      </c>
      <c r="W15" s="3">
        <f t="shared" ref="W15:W20" si="15">COUNTIFS(C:C,"&gt;="&amp;I15,C:C,"&lt;"&amp;J15,F:F,"=2",D:D,"&lt;&gt;x")</f>
        <v>0</v>
      </c>
      <c r="X15" s="7">
        <f t="shared" si="9"/>
        <v>1</v>
      </c>
      <c r="Y15" s="3"/>
      <c r="Z15" s="3"/>
      <c r="AA15" s="3"/>
      <c r="AB15" s="3"/>
      <c r="AC15" s="7"/>
    </row>
    <row r="16" spans="1:29" x14ac:dyDescent="0.25">
      <c r="A16">
        <v>15</v>
      </c>
      <c r="B16" s="1">
        <v>45069</v>
      </c>
      <c r="C16" s="2">
        <v>0.88818287037037036</v>
      </c>
      <c r="D16">
        <v>15</v>
      </c>
      <c r="E16" s="5" t="s">
        <v>32</v>
      </c>
      <c r="F16">
        <v>0</v>
      </c>
      <c r="I16" s="6">
        <v>1.996527777777778E-2</v>
      </c>
      <c r="J16" s="6">
        <v>3.0381944444444441E-2</v>
      </c>
      <c r="K16" s="3">
        <f t="shared" si="0"/>
        <v>9</v>
      </c>
      <c r="L16" s="3">
        <f t="shared" si="10"/>
        <v>0</v>
      </c>
      <c r="M16" s="3">
        <f t="shared" si="11"/>
        <v>0</v>
      </c>
      <c r="N16" s="7">
        <f t="shared" si="3"/>
        <v>1</v>
      </c>
      <c r="P16" s="4">
        <f t="shared" si="12"/>
        <v>0</v>
      </c>
      <c r="R16" s="6">
        <v>1.996527777777778E-2</v>
      </c>
      <c r="S16" s="6">
        <v>3.0381944444444441E-2</v>
      </c>
      <c r="T16" s="3">
        <f t="shared" si="5"/>
        <v>8</v>
      </c>
      <c r="U16" s="3">
        <f t="shared" si="13"/>
        <v>8</v>
      </c>
      <c r="V16" s="3">
        <f t="shared" si="14"/>
        <v>0</v>
      </c>
      <c r="W16" s="3">
        <f t="shared" si="15"/>
        <v>1</v>
      </c>
      <c r="X16" s="7">
        <f t="shared" si="9"/>
        <v>1</v>
      </c>
      <c r="Y16" s="3"/>
      <c r="Z16" s="3"/>
      <c r="AA16" s="3"/>
      <c r="AB16" s="3"/>
      <c r="AC16" s="7"/>
    </row>
    <row r="17" spans="1:29" x14ac:dyDescent="0.25">
      <c r="A17">
        <v>16</v>
      </c>
      <c r="B17" s="1">
        <v>45069</v>
      </c>
      <c r="C17" s="2">
        <v>0.88821759259259259</v>
      </c>
      <c r="D17">
        <v>16</v>
      </c>
      <c r="E17" s="5" t="s">
        <v>33</v>
      </c>
      <c r="F17">
        <v>0</v>
      </c>
      <c r="I17" s="6">
        <v>3.0381944444444441E-2</v>
      </c>
      <c r="J17" s="6">
        <v>4.0798611111111112E-2</v>
      </c>
      <c r="K17" s="3">
        <f t="shared" si="0"/>
        <v>12</v>
      </c>
      <c r="L17" s="3">
        <f t="shared" si="10"/>
        <v>0</v>
      </c>
      <c r="M17" s="3">
        <f t="shared" si="11"/>
        <v>0</v>
      </c>
      <c r="N17" s="7">
        <f t="shared" si="3"/>
        <v>1</v>
      </c>
      <c r="P17" s="4">
        <f t="shared" si="12"/>
        <v>0</v>
      </c>
      <c r="R17" s="6">
        <v>3.0381944444444441E-2</v>
      </c>
      <c r="S17" s="6">
        <v>4.0798611111111112E-2</v>
      </c>
      <c r="T17" s="3">
        <f t="shared" si="5"/>
        <v>11</v>
      </c>
      <c r="U17" s="3">
        <f t="shared" si="13"/>
        <v>10</v>
      </c>
      <c r="V17" s="3">
        <f t="shared" si="14"/>
        <v>1</v>
      </c>
      <c r="W17" s="3">
        <f t="shared" si="15"/>
        <v>1</v>
      </c>
      <c r="X17" s="7">
        <f t="shared" si="9"/>
        <v>0.90909090909090906</v>
      </c>
      <c r="Y17" s="3"/>
      <c r="Z17" s="3"/>
      <c r="AA17" s="3"/>
      <c r="AB17" s="3"/>
      <c r="AC17" s="7"/>
    </row>
    <row r="18" spans="1:29" x14ac:dyDescent="0.25">
      <c r="A18">
        <v>17</v>
      </c>
      <c r="B18" s="1">
        <v>45069</v>
      </c>
      <c r="C18" s="2">
        <v>0.88825231481481481</v>
      </c>
      <c r="D18">
        <v>17</v>
      </c>
      <c r="E18" s="5" t="s">
        <v>34</v>
      </c>
      <c r="F18">
        <v>0</v>
      </c>
      <c r="I18" s="6">
        <v>4.0798611111111112E-2</v>
      </c>
      <c r="J18" s="6">
        <v>5.1215277777777783E-2</v>
      </c>
      <c r="K18" s="3">
        <f t="shared" si="0"/>
        <v>11</v>
      </c>
      <c r="L18" s="3">
        <f t="shared" si="10"/>
        <v>0</v>
      </c>
      <c r="M18" s="3">
        <f t="shared" si="11"/>
        <v>0</v>
      </c>
      <c r="N18" s="7">
        <f t="shared" si="3"/>
        <v>1</v>
      </c>
      <c r="P18" s="4">
        <f t="shared" si="12"/>
        <v>0</v>
      </c>
      <c r="R18" s="6">
        <v>4.0798611111111112E-2</v>
      </c>
      <c r="S18" s="6">
        <v>5.1215277777777783E-2</v>
      </c>
      <c r="T18" s="3">
        <f t="shared" si="5"/>
        <v>10</v>
      </c>
      <c r="U18" s="3">
        <f t="shared" si="13"/>
        <v>10</v>
      </c>
      <c r="V18" s="3">
        <f t="shared" si="14"/>
        <v>0</v>
      </c>
      <c r="W18" s="3">
        <f t="shared" si="15"/>
        <v>1</v>
      </c>
      <c r="X18" s="7">
        <f t="shared" si="9"/>
        <v>1</v>
      </c>
      <c r="Y18" s="3"/>
      <c r="Z18" s="3"/>
      <c r="AA18" s="3"/>
      <c r="AB18" s="3"/>
      <c r="AC18" s="7"/>
    </row>
    <row r="19" spans="1:29" x14ac:dyDescent="0.25">
      <c r="A19">
        <v>18</v>
      </c>
      <c r="B19" s="1">
        <v>45069</v>
      </c>
      <c r="C19" s="2">
        <v>0.88981481481481484</v>
      </c>
      <c r="D19">
        <v>18</v>
      </c>
      <c r="E19" s="5" t="s">
        <v>35</v>
      </c>
      <c r="F19">
        <v>0</v>
      </c>
      <c r="I19" s="6">
        <v>5.1215277777777783E-2</v>
      </c>
      <c r="J19" s="6">
        <v>6.1631944444444448E-2</v>
      </c>
      <c r="K19" s="3">
        <f t="shared" si="0"/>
        <v>15</v>
      </c>
      <c r="L19" s="3">
        <f t="shared" si="10"/>
        <v>0</v>
      </c>
      <c r="M19" s="3">
        <f t="shared" si="11"/>
        <v>0</v>
      </c>
      <c r="N19" s="7">
        <f t="shared" si="3"/>
        <v>1</v>
      </c>
      <c r="P19" s="4">
        <f t="shared" si="12"/>
        <v>0</v>
      </c>
      <c r="R19" s="6">
        <v>5.1215277777777783E-2</v>
      </c>
      <c r="S19" s="6">
        <v>6.1631944444444448E-2</v>
      </c>
      <c r="T19" s="3">
        <f t="shared" si="5"/>
        <v>15</v>
      </c>
      <c r="U19" s="3">
        <f t="shared" si="13"/>
        <v>15</v>
      </c>
      <c r="V19" s="3">
        <f t="shared" si="14"/>
        <v>0</v>
      </c>
      <c r="W19" s="3">
        <f t="shared" si="15"/>
        <v>0</v>
      </c>
      <c r="X19" s="7">
        <f t="shared" si="9"/>
        <v>1</v>
      </c>
      <c r="Y19" s="3"/>
      <c r="Z19" s="3"/>
      <c r="AA19" s="3"/>
      <c r="AB19" s="3"/>
      <c r="AC19" s="7"/>
    </row>
    <row r="20" spans="1:29" x14ac:dyDescent="0.25">
      <c r="A20">
        <v>19</v>
      </c>
      <c r="B20" s="1">
        <v>45069</v>
      </c>
      <c r="C20" s="2">
        <v>0.88998842592592597</v>
      </c>
      <c r="D20">
        <v>19</v>
      </c>
      <c r="E20" s="5" t="s">
        <v>36</v>
      </c>
      <c r="F20">
        <v>0</v>
      </c>
      <c r="I20" s="6">
        <v>6.1631944444444448E-2</v>
      </c>
      <c r="J20" s="8">
        <v>7.1273148148148155E-2</v>
      </c>
      <c r="K20" s="3">
        <f t="shared" si="0"/>
        <v>21</v>
      </c>
      <c r="L20" s="3">
        <f t="shared" si="10"/>
        <v>0</v>
      </c>
      <c r="M20" s="3">
        <f t="shared" si="11"/>
        <v>0</v>
      </c>
      <c r="N20" s="7">
        <f t="shared" si="3"/>
        <v>1</v>
      </c>
      <c r="P20" s="4">
        <f t="shared" si="12"/>
        <v>0</v>
      </c>
      <c r="R20" s="6">
        <v>6.1631944444444448E-2</v>
      </c>
      <c r="S20" s="8">
        <v>7.1273148148148155E-2</v>
      </c>
      <c r="T20" s="3">
        <f t="shared" si="5"/>
        <v>21</v>
      </c>
      <c r="U20" s="3">
        <f t="shared" si="13"/>
        <v>21</v>
      </c>
      <c r="V20" s="3">
        <f t="shared" si="14"/>
        <v>0</v>
      </c>
      <c r="W20" s="3">
        <f t="shared" si="15"/>
        <v>0</v>
      </c>
      <c r="X20" s="7">
        <f t="shared" si="9"/>
        <v>1</v>
      </c>
      <c r="Y20" s="3"/>
      <c r="Z20" s="3"/>
      <c r="AA20" s="3"/>
      <c r="AB20" s="3"/>
      <c r="AC20" s="7"/>
    </row>
    <row r="21" spans="1:29" x14ac:dyDescent="0.25">
      <c r="A21">
        <v>20</v>
      </c>
      <c r="B21" s="1">
        <v>45069</v>
      </c>
      <c r="C21" s="2">
        <v>0.89001157407407405</v>
      </c>
      <c r="D21">
        <v>20</v>
      </c>
      <c r="E21" s="5" t="s">
        <v>37</v>
      </c>
      <c r="F21">
        <v>0</v>
      </c>
      <c r="I21" s="3"/>
      <c r="J21" s="9" t="s">
        <v>38</v>
      </c>
      <c r="K21" s="3">
        <f t="shared" si="0"/>
        <v>200</v>
      </c>
      <c r="L21" s="3">
        <f>COUNTIFS(F:F,"=1",A:A,"",D:D,"&lt;&gt;x")</f>
        <v>0</v>
      </c>
      <c r="M21" s="3">
        <f>COUNTIFS(F:F,"=f",D:D,"&lt;&gt;x")</f>
        <v>0</v>
      </c>
      <c r="N21" s="7">
        <f>(K21-L21-M21)/K21</f>
        <v>1</v>
      </c>
      <c r="P21" s="4">
        <f>COUNTIFS(D:D,"=x")</f>
        <v>0</v>
      </c>
      <c r="R21" s="3"/>
      <c r="S21" s="3" t="s">
        <v>38</v>
      </c>
      <c r="T21" s="3">
        <f t="shared" si="5"/>
        <v>196</v>
      </c>
      <c r="U21" s="3">
        <f>COUNTIFS(F:F,"=0",D:D,"&lt;&gt;x")</f>
        <v>195</v>
      </c>
      <c r="V21" s="3">
        <f>COUNTIFS(F:F,"=1",D:D,"&lt;&gt;x")</f>
        <v>1</v>
      </c>
      <c r="W21" s="3">
        <f>COUNTIFS(F:F,"=2",D:D,"&lt;&gt;x")</f>
        <v>4</v>
      </c>
      <c r="X21" s="7">
        <f t="shared" si="9"/>
        <v>0.99489795918367352</v>
      </c>
      <c r="Y21" s="3"/>
      <c r="Z21" s="3" t="s">
        <v>38</v>
      </c>
      <c r="AA21" s="3"/>
      <c r="AB21" s="3"/>
      <c r="AC21" s="7"/>
    </row>
    <row r="22" spans="1:29" x14ac:dyDescent="0.25">
      <c r="A22">
        <v>21</v>
      </c>
      <c r="B22" s="1">
        <v>45069</v>
      </c>
      <c r="C22" s="2">
        <v>0.89129629629629625</v>
      </c>
      <c r="D22">
        <v>21</v>
      </c>
      <c r="E22" s="5" t="s">
        <v>39</v>
      </c>
      <c r="F22">
        <v>0</v>
      </c>
    </row>
    <row r="23" spans="1:29" x14ac:dyDescent="0.25">
      <c r="A23">
        <v>22</v>
      </c>
      <c r="B23" s="1">
        <v>45069</v>
      </c>
      <c r="C23" s="2">
        <v>0.89209490740740738</v>
      </c>
      <c r="D23">
        <v>22</v>
      </c>
      <c r="E23" s="5" t="s">
        <v>40</v>
      </c>
      <c r="F23">
        <v>0</v>
      </c>
    </row>
    <row r="24" spans="1:29" x14ac:dyDescent="0.25">
      <c r="A24">
        <v>23</v>
      </c>
      <c r="B24" s="1">
        <v>45069</v>
      </c>
      <c r="C24" s="2">
        <v>0.89216435185185183</v>
      </c>
      <c r="D24">
        <v>23</v>
      </c>
      <c r="E24" s="5" t="s">
        <v>41</v>
      </c>
      <c r="F24">
        <v>0</v>
      </c>
      <c r="M24" t="s">
        <v>42</v>
      </c>
    </row>
    <row r="25" spans="1:29" x14ac:dyDescent="0.25">
      <c r="A25">
        <v>24</v>
      </c>
      <c r="B25" s="1">
        <v>45069</v>
      </c>
      <c r="C25" s="2">
        <v>0.89325231481481482</v>
      </c>
      <c r="D25">
        <v>24</v>
      </c>
      <c r="E25" s="5" t="s">
        <v>43</v>
      </c>
      <c r="F25">
        <v>0</v>
      </c>
    </row>
    <row r="26" spans="1:29" x14ac:dyDescent="0.25">
      <c r="A26">
        <v>25</v>
      </c>
      <c r="B26" s="1">
        <v>45069</v>
      </c>
      <c r="C26" s="2">
        <v>0.89333333333333331</v>
      </c>
      <c r="D26">
        <v>25</v>
      </c>
      <c r="E26" s="5" t="s">
        <v>44</v>
      </c>
      <c r="F26">
        <v>0</v>
      </c>
    </row>
    <row r="27" spans="1:29" x14ac:dyDescent="0.25">
      <c r="A27">
        <v>26</v>
      </c>
      <c r="B27" s="1">
        <v>45069</v>
      </c>
      <c r="C27" s="2">
        <v>0.89394675925925926</v>
      </c>
      <c r="D27">
        <v>26</v>
      </c>
      <c r="E27" s="5" t="s">
        <v>45</v>
      </c>
      <c r="F27">
        <v>0</v>
      </c>
    </row>
    <row r="28" spans="1:29" x14ac:dyDescent="0.25">
      <c r="A28">
        <v>27</v>
      </c>
      <c r="B28" s="1">
        <v>45069</v>
      </c>
      <c r="C28" s="2">
        <v>0.89396990740740745</v>
      </c>
      <c r="D28">
        <v>27</v>
      </c>
      <c r="E28" s="5" t="s">
        <v>46</v>
      </c>
      <c r="F28">
        <v>0</v>
      </c>
    </row>
    <row r="29" spans="1:29" x14ac:dyDescent="0.25">
      <c r="A29">
        <v>28</v>
      </c>
      <c r="B29" s="1">
        <v>45069</v>
      </c>
      <c r="C29" s="2">
        <v>0.89401620370370372</v>
      </c>
      <c r="D29">
        <v>28</v>
      </c>
      <c r="E29" s="5" t="s">
        <v>47</v>
      </c>
      <c r="F29">
        <v>0</v>
      </c>
    </row>
    <row r="30" spans="1:29" x14ac:dyDescent="0.25">
      <c r="A30">
        <v>29</v>
      </c>
      <c r="B30" s="1">
        <v>45069</v>
      </c>
      <c r="C30" s="2">
        <v>0.89626157407407403</v>
      </c>
      <c r="D30">
        <v>29</v>
      </c>
      <c r="E30" s="5" t="s">
        <v>48</v>
      </c>
      <c r="F30">
        <v>0</v>
      </c>
    </row>
    <row r="31" spans="1:29" x14ac:dyDescent="0.25">
      <c r="A31">
        <v>30</v>
      </c>
      <c r="B31" s="1">
        <v>45069</v>
      </c>
      <c r="C31" s="2">
        <v>0.89746527777777774</v>
      </c>
      <c r="D31">
        <v>30</v>
      </c>
      <c r="E31" s="5" t="s">
        <v>49</v>
      </c>
      <c r="F31">
        <v>0</v>
      </c>
    </row>
    <row r="32" spans="1:29" x14ac:dyDescent="0.25">
      <c r="A32">
        <v>31</v>
      </c>
      <c r="B32" s="1">
        <v>45069</v>
      </c>
      <c r="C32" s="2">
        <v>0.89749999999999996</v>
      </c>
      <c r="D32">
        <v>31</v>
      </c>
      <c r="E32" s="5" t="s">
        <v>50</v>
      </c>
      <c r="F32">
        <v>0</v>
      </c>
    </row>
    <row r="33" spans="1:6" x14ac:dyDescent="0.25">
      <c r="A33">
        <v>32</v>
      </c>
      <c r="B33" s="1">
        <v>45069</v>
      </c>
      <c r="C33" s="2">
        <v>0.89827546296296301</v>
      </c>
      <c r="D33">
        <v>32</v>
      </c>
      <c r="E33" s="5" t="s">
        <v>51</v>
      </c>
      <c r="F33">
        <v>0</v>
      </c>
    </row>
    <row r="34" spans="1:6" x14ac:dyDescent="0.25">
      <c r="A34">
        <v>33</v>
      </c>
      <c r="B34" s="1">
        <v>45069</v>
      </c>
      <c r="C34" s="2">
        <v>0.90136574074074072</v>
      </c>
      <c r="D34">
        <v>33</v>
      </c>
      <c r="E34" s="5" t="s">
        <v>52</v>
      </c>
      <c r="F34">
        <v>0</v>
      </c>
    </row>
    <row r="35" spans="1:6" x14ac:dyDescent="0.25">
      <c r="A35">
        <v>34</v>
      </c>
      <c r="B35" s="1">
        <v>45069</v>
      </c>
      <c r="C35" s="2">
        <v>0.90359953703703699</v>
      </c>
      <c r="D35">
        <v>34</v>
      </c>
      <c r="E35" s="5" t="s">
        <v>53</v>
      </c>
      <c r="F35">
        <v>0</v>
      </c>
    </row>
    <row r="36" spans="1:6" x14ac:dyDescent="0.25">
      <c r="A36">
        <v>35</v>
      </c>
      <c r="B36" s="1">
        <v>45069</v>
      </c>
      <c r="C36" s="2">
        <v>0.9036805555555556</v>
      </c>
      <c r="D36">
        <v>35</v>
      </c>
      <c r="E36" s="5" t="s">
        <v>54</v>
      </c>
      <c r="F36">
        <v>0</v>
      </c>
    </row>
    <row r="37" spans="1:6" x14ac:dyDescent="0.25">
      <c r="A37">
        <v>36</v>
      </c>
      <c r="B37" s="1">
        <v>45069</v>
      </c>
      <c r="C37" s="2">
        <v>0.90393518518518523</v>
      </c>
      <c r="D37">
        <v>36</v>
      </c>
      <c r="E37" s="5" t="s">
        <v>55</v>
      </c>
      <c r="F37">
        <v>0</v>
      </c>
    </row>
    <row r="38" spans="1:6" x14ac:dyDescent="0.25">
      <c r="A38">
        <v>37</v>
      </c>
      <c r="B38" s="1">
        <v>45069</v>
      </c>
      <c r="C38" s="2">
        <v>0.90457175925925926</v>
      </c>
      <c r="D38">
        <v>37</v>
      </c>
      <c r="E38" s="5" t="s">
        <v>56</v>
      </c>
      <c r="F38">
        <v>0</v>
      </c>
    </row>
    <row r="39" spans="1:6" x14ac:dyDescent="0.25">
      <c r="A39">
        <v>38</v>
      </c>
      <c r="B39" s="1">
        <v>45069</v>
      </c>
      <c r="C39" s="2">
        <v>0.90530092592592593</v>
      </c>
      <c r="D39">
        <v>38</v>
      </c>
      <c r="E39" s="5" t="s">
        <v>57</v>
      </c>
      <c r="F39">
        <v>0</v>
      </c>
    </row>
    <row r="40" spans="1:6" x14ac:dyDescent="0.25">
      <c r="A40">
        <v>39</v>
      </c>
      <c r="B40" s="1">
        <v>45069</v>
      </c>
      <c r="C40" s="2">
        <v>0.9065509259259259</v>
      </c>
      <c r="D40">
        <v>39</v>
      </c>
      <c r="E40" s="5" t="s">
        <v>58</v>
      </c>
      <c r="F40">
        <v>0</v>
      </c>
    </row>
    <row r="41" spans="1:6" x14ac:dyDescent="0.25">
      <c r="A41">
        <v>40</v>
      </c>
      <c r="B41" s="1">
        <v>45069</v>
      </c>
      <c r="C41" s="2">
        <v>0.90689814814814818</v>
      </c>
      <c r="D41">
        <v>40</v>
      </c>
      <c r="E41" s="5" t="s">
        <v>59</v>
      </c>
      <c r="F41">
        <v>0</v>
      </c>
    </row>
    <row r="42" spans="1:6" x14ac:dyDescent="0.25">
      <c r="A42">
        <v>41</v>
      </c>
      <c r="B42" s="1">
        <v>45069</v>
      </c>
      <c r="C42" s="2">
        <v>0.90765046296296292</v>
      </c>
      <c r="D42">
        <v>41</v>
      </c>
      <c r="E42" s="5" t="s">
        <v>60</v>
      </c>
      <c r="F42">
        <v>0</v>
      </c>
    </row>
    <row r="43" spans="1:6" x14ac:dyDescent="0.25">
      <c r="A43">
        <v>42</v>
      </c>
      <c r="B43" s="1">
        <v>45069</v>
      </c>
      <c r="C43" s="2">
        <v>0.90767361111111111</v>
      </c>
      <c r="D43">
        <v>42</v>
      </c>
      <c r="E43" s="5" t="s">
        <v>61</v>
      </c>
      <c r="F43">
        <v>0</v>
      </c>
    </row>
    <row r="44" spans="1:6" x14ac:dyDescent="0.25">
      <c r="A44">
        <v>43</v>
      </c>
      <c r="B44" s="1">
        <v>45069</v>
      </c>
      <c r="C44" s="2">
        <v>0.91084490740740742</v>
      </c>
      <c r="D44">
        <v>43</v>
      </c>
      <c r="E44" s="5" t="s">
        <v>62</v>
      </c>
      <c r="F44">
        <v>0</v>
      </c>
    </row>
    <row r="45" spans="1:6" x14ac:dyDescent="0.25">
      <c r="A45">
        <v>44</v>
      </c>
      <c r="B45" s="1">
        <v>45069</v>
      </c>
      <c r="C45" s="2">
        <v>0.9108680555555555</v>
      </c>
      <c r="D45">
        <v>44</v>
      </c>
      <c r="E45" s="5" t="s">
        <v>63</v>
      </c>
      <c r="F45">
        <v>0</v>
      </c>
    </row>
    <row r="46" spans="1:6" x14ac:dyDescent="0.25">
      <c r="A46">
        <v>45</v>
      </c>
      <c r="B46" s="1">
        <v>45069</v>
      </c>
      <c r="C46" s="2">
        <v>0.91160879629629632</v>
      </c>
      <c r="D46">
        <v>45</v>
      </c>
      <c r="E46" s="5" t="s">
        <v>64</v>
      </c>
      <c r="F46">
        <v>0</v>
      </c>
    </row>
    <row r="47" spans="1:6" x14ac:dyDescent="0.25">
      <c r="A47">
        <v>46</v>
      </c>
      <c r="B47" s="1">
        <v>45069</v>
      </c>
      <c r="C47" s="2">
        <v>0.91271990740740738</v>
      </c>
      <c r="D47">
        <v>46</v>
      </c>
      <c r="E47" s="5" t="s">
        <v>65</v>
      </c>
      <c r="F47">
        <v>0</v>
      </c>
    </row>
    <row r="48" spans="1:6" x14ac:dyDescent="0.25">
      <c r="A48">
        <v>47</v>
      </c>
      <c r="B48" s="1">
        <v>45069</v>
      </c>
      <c r="C48" s="2">
        <v>0.91282407407407407</v>
      </c>
      <c r="D48">
        <v>47</v>
      </c>
      <c r="E48" s="5" t="s">
        <v>66</v>
      </c>
      <c r="F48">
        <v>0</v>
      </c>
    </row>
    <row r="49" spans="1:6" x14ac:dyDescent="0.25">
      <c r="A49">
        <v>48</v>
      </c>
      <c r="B49" s="1">
        <v>45069</v>
      </c>
      <c r="C49" s="2">
        <v>0.9138425925925926</v>
      </c>
      <c r="D49">
        <v>48</v>
      </c>
      <c r="E49" s="5" t="s">
        <v>67</v>
      </c>
      <c r="F49">
        <v>0</v>
      </c>
    </row>
    <row r="50" spans="1:6" x14ac:dyDescent="0.25">
      <c r="A50">
        <v>49</v>
      </c>
      <c r="B50" s="1">
        <v>45069</v>
      </c>
      <c r="C50" s="2">
        <v>0.91480324074074071</v>
      </c>
      <c r="D50">
        <v>49</v>
      </c>
      <c r="E50" s="5" t="s">
        <v>68</v>
      </c>
      <c r="F50">
        <v>0</v>
      </c>
    </row>
    <row r="51" spans="1:6" x14ac:dyDescent="0.25">
      <c r="A51">
        <v>50</v>
      </c>
      <c r="B51" s="1">
        <v>45069</v>
      </c>
      <c r="C51" s="2">
        <v>0.91530092592592593</v>
      </c>
      <c r="D51">
        <v>50</v>
      </c>
      <c r="E51" s="5" t="s">
        <v>69</v>
      </c>
      <c r="F51">
        <v>0</v>
      </c>
    </row>
    <row r="52" spans="1:6" x14ac:dyDescent="0.25">
      <c r="A52">
        <v>51</v>
      </c>
      <c r="B52" s="1">
        <v>45069</v>
      </c>
      <c r="C52" s="2">
        <v>0.9156481481481481</v>
      </c>
      <c r="D52">
        <v>51</v>
      </c>
      <c r="E52" s="5" t="s">
        <v>70</v>
      </c>
      <c r="F52">
        <v>0</v>
      </c>
    </row>
    <row r="53" spans="1:6" x14ac:dyDescent="0.25">
      <c r="A53">
        <v>52</v>
      </c>
      <c r="B53" s="1">
        <v>45069</v>
      </c>
      <c r="C53" s="2">
        <v>0.91569444444444448</v>
      </c>
      <c r="D53">
        <v>52</v>
      </c>
      <c r="E53" s="5" t="s">
        <v>71</v>
      </c>
      <c r="F53">
        <v>0</v>
      </c>
    </row>
    <row r="54" spans="1:6" x14ac:dyDescent="0.25">
      <c r="A54">
        <v>53</v>
      </c>
      <c r="B54" s="1">
        <v>45069</v>
      </c>
      <c r="C54" s="2">
        <v>0.91572916666666671</v>
      </c>
      <c r="D54">
        <v>53</v>
      </c>
      <c r="E54" s="5" t="s">
        <v>72</v>
      </c>
      <c r="F54">
        <v>0</v>
      </c>
    </row>
    <row r="55" spans="1:6" x14ac:dyDescent="0.25">
      <c r="A55">
        <v>54</v>
      </c>
      <c r="B55" s="1">
        <v>45069</v>
      </c>
      <c r="C55" s="2">
        <v>0.916412037037037</v>
      </c>
      <c r="D55">
        <v>54</v>
      </c>
      <c r="E55" s="5" t="s">
        <v>73</v>
      </c>
      <c r="F55">
        <v>0</v>
      </c>
    </row>
    <row r="56" spans="1:6" x14ac:dyDescent="0.25">
      <c r="A56">
        <v>55</v>
      </c>
      <c r="B56" s="1">
        <v>45069</v>
      </c>
      <c r="C56" s="2">
        <v>0.91696759259259264</v>
      </c>
      <c r="D56">
        <v>55</v>
      </c>
      <c r="E56" s="5" t="s">
        <v>74</v>
      </c>
      <c r="F56">
        <v>0</v>
      </c>
    </row>
    <row r="57" spans="1:6" x14ac:dyDescent="0.25">
      <c r="A57">
        <v>56</v>
      </c>
      <c r="B57" s="1">
        <v>45069</v>
      </c>
      <c r="C57" s="2">
        <v>0.91894675925925928</v>
      </c>
      <c r="D57">
        <v>56</v>
      </c>
      <c r="E57" s="5" t="s">
        <v>75</v>
      </c>
      <c r="F57">
        <v>0</v>
      </c>
    </row>
    <row r="58" spans="1:6" x14ac:dyDescent="0.25">
      <c r="A58">
        <v>57</v>
      </c>
      <c r="B58" s="1">
        <v>45069</v>
      </c>
      <c r="C58" s="2">
        <v>0.92060185185185184</v>
      </c>
      <c r="D58">
        <v>57</v>
      </c>
      <c r="E58" s="5" t="s">
        <v>76</v>
      </c>
      <c r="F58">
        <v>0</v>
      </c>
    </row>
    <row r="59" spans="1:6" x14ac:dyDescent="0.25">
      <c r="A59">
        <v>58</v>
      </c>
      <c r="B59" s="1">
        <v>45069</v>
      </c>
      <c r="C59" s="2">
        <v>0.92138888888888892</v>
      </c>
      <c r="D59">
        <v>58</v>
      </c>
      <c r="E59" s="5" t="s">
        <v>77</v>
      </c>
      <c r="F59">
        <v>0</v>
      </c>
    </row>
    <row r="60" spans="1:6" x14ac:dyDescent="0.25">
      <c r="A60">
        <v>59</v>
      </c>
      <c r="B60" s="1">
        <v>45069</v>
      </c>
      <c r="C60" s="2">
        <v>0.921412037037037</v>
      </c>
      <c r="D60">
        <v>59</v>
      </c>
      <c r="E60" s="5" t="s">
        <v>78</v>
      </c>
      <c r="F60">
        <v>0</v>
      </c>
    </row>
    <row r="61" spans="1:6" x14ac:dyDescent="0.25">
      <c r="A61">
        <v>60</v>
      </c>
      <c r="B61" s="1">
        <v>45069</v>
      </c>
      <c r="C61" s="2">
        <v>0.92218750000000005</v>
      </c>
      <c r="D61">
        <v>60</v>
      </c>
      <c r="E61" s="5" t="s">
        <v>79</v>
      </c>
      <c r="F61">
        <v>0</v>
      </c>
    </row>
    <row r="62" spans="1:6" x14ac:dyDescent="0.25">
      <c r="A62">
        <v>61</v>
      </c>
      <c r="B62" s="1">
        <v>45069</v>
      </c>
      <c r="C62" s="2">
        <v>0.92221064814814813</v>
      </c>
      <c r="D62">
        <v>61</v>
      </c>
      <c r="E62" s="5" t="s">
        <v>80</v>
      </c>
      <c r="F62">
        <v>0</v>
      </c>
    </row>
    <row r="63" spans="1:6" x14ac:dyDescent="0.25">
      <c r="A63">
        <v>62</v>
      </c>
      <c r="B63" s="1">
        <v>45069</v>
      </c>
      <c r="C63" s="2">
        <v>0.92224537037037035</v>
      </c>
      <c r="D63">
        <v>62</v>
      </c>
      <c r="E63" s="5" t="s">
        <v>81</v>
      </c>
      <c r="F63">
        <v>0</v>
      </c>
    </row>
    <row r="64" spans="1:6" x14ac:dyDescent="0.25">
      <c r="A64">
        <v>63</v>
      </c>
      <c r="B64" s="1">
        <v>45069</v>
      </c>
      <c r="C64" s="2">
        <v>0.92377314814814815</v>
      </c>
      <c r="D64">
        <v>63</v>
      </c>
      <c r="E64" s="5" t="s">
        <v>82</v>
      </c>
      <c r="F64">
        <v>0</v>
      </c>
    </row>
    <row r="65" spans="1:6" x14ac:dyDescent="0.25">
      <c r="A65">
        <v>64</v>
      </c>
      <c r="B65" s="1">
        <v>45069</v>
      </c>
      <c r="C65" s="2">
        <v>0.92497685185185186</v>
      </c>
      <c r="D65">
        <v>64</v>
      </c>
      <c r="E65" s="5" t="s">
        <v>83</v>
      </c>
      <c r="F65">
        <v>0</v>
      </c>
    </row>
    <row r="66" spans="1:6" x14ac:dyDescent="0.25">
      <c r="A66">
        <v>65</v>
      </c>
      <c r="B66" s="1">
        <v>45069</v>
      </c>
      <c r="C66" s="2">
        <v>0.9261342592592593</v>
      </c>
      <c r="D66">
        <v>65</v>
      </c>
      <c r="E66" s="5" t="s">
        <v>84</v>
      </c>
      <c r="F66">
        <v>0</v>
      </c>
    </row>
    <row r="67" spans="1:6" x14ac:dyDescent="0.25">
      <c r="A67">
        <v>66</v>
      </c>
      <c r="B67" s="1">
        <v>45069</v>
      </c>
      <c r="C67" s="2">
        <v>0.92753472222222222</v>
      </c>
      <c r="D67">
        <v>66</v>
      </c>
      <c r="E67" s="5" t="s">
        <v>85</v>
      </c>
      <c r="F67">
        <v>0</v>
      </c>
    </row>
    <row r="68" spans="1:6" x14ac:dyDescent="0.25">
      <c r="A68">
        <v>67</v>
      </c>
      <c r="B68" s="1">
        <v>45069</v>
      </c>
      <c r="C68" s="2">
        <v>0.92781250000000004</v>
      </c>
      <c r="D68">
        <v>67</v>
      </c>
      <c r="E68" s="5" t="s">
        <v>86</v>
      </c>
      <c r="F68">
        <v>0</v>
      </c>
    </row>
    <row r="69" spans="1:6" x14ac:dyDescent="0.25">
      <c r="A69">
        <v>68</v>
      </c>
      <c r="B69" s="1">
        <v>45069</v>
      </c>
      <c r="C69" s="2">
        <v>0.92822916666666666</v>
      </c>
      <c r="D69">
        <v>68</v>
      </c>
      <c r="E69" s="5" t="s">
        <v>87</v>
      </c>
      <c r="F69">
        <v>0</v>
      </c>
    </row>
    <row r="70" spans="1:6" x14ac:dyDescent="0.25">
      <c r="A70">
        <v>69</v>
      </c>
      <c r="B70" s="1">
        <v>45069</v>
      </c>
      <c r="C70" s="2">
        <v>0.92839120370370365</v>
      </c>
      <c r="D70">
        <v>69</v>
      </c>
      <c r="E70" s="5" t="s">
        <v>88</v>
      </c>
      <c r="F70">
        <v>0</v>
      </c>
    </row>
    <row r="71" spans="1:6" x14ac:dyDescent="0.25">
      <c r="A71">
        <v>70</v>
      </c>
      <c r="B71" s="1">
        <v>45069</v>
      </c>
      <c r="C71" s="2">
        <v>0.93077546296296299</v>
      </c>
      <c r="D71">
        <v>70</v>
      </c>
      <c r="E71" s="5" t="s">
        <v>89</v>
      </c>
      <c r="F71">
        <v>0</v>
      </c>
    </row>
    <row r="72" spans="1:6" x14ac:dyDescent="0.25">
      <c r="A72">
        <v>71</v>
      </c>
      <c r="B72" s="1">
        <v>45069</v>
      </c>
      <c r="C72" s="2">
        <v>0.93216435185185187</v>
      </c>
      <c r="D72">
        <v>71</v>
      </c>
      <c r="E72" s="5" t="s">
        <v>90</v>
      </c>
      <c r="F72">
        <v>0</v>
      </c>
    </row>
    <row r="73" spans="1:6" x14ac:dyDescent="0.25">
      <c r="A73">
        <v>72</v>
      </c>
      <c r="B73" s="1">
        <v>45069</v>
      </c>
      <c r="C73" s="2">
        <v>0.93364583333333329</v>
      </c>
      <c r="D73">
        <v>72</v>
      </c>
      <c r="E73" s="5" t="s">
        <v>91</v>
      </c>
      <c r="F73">
        <v>0</v>
      </c>
    </row>
    <row r="74" spans="1:6" x14ac:dyDescent="0.25">
      <c r="A74">
        <v>73</v>
      </c>
      <c r="B74" s="1">
        <v>45069</v>
      </c>
      <c r="C74" s="2">
        <v>0.93366898148148147</v>
      </c>
      <c r="D74">
        <v>73</v>
      </c>
      <c r="E74" s="5" t="s">
        <v>92</v>
      </c>
      <c r="F74">
        <v>0</v>
      </c>
    </row>
    <row r="75" spans="1:6" x14ac:dyDescent="0.25">
      <c r="A75">
        <v>74</v>
      </c>
      <c r="B75" s="1">
        <v>45069</v>
      </c>
      <c r="C75" s="2">
        <v>0.93556712962962962</v>
      </c>
      <c r="D75">
        <v>74</v>
      </c>
      <c r="E75" s="5" t="s">
        <v>93</v>
      </c>
      <c r="F75">
        <v>0</v>
      </c>
    </row>
    <row r="76" spans="1:6" x14ac:dyDescent="0.25">
      <c r="A76">
        <v>75</v>
      </c>
      <c r="B76" s="1">
        <v>45069</v>
      </c>
      <c r="C76" s="2">
        <v>0.93649305555555551</v>
      </c>
      <c r="D76">
        <v>75</v>
      </c>
      <c r="E76" s="5" t="s">
        <v>94</v>
      </c>
      <c r="F76">
        <v>0</v>
      </c>
    </row>
    <row r="77" spans="1:6" x14ac:dyDescent="0.25">
      <c r="A77">
        <v>76</v>
      </c>
      <c r="B77" s="1">
        <v>45069</v>
      </c>
      <c r="C77" s="2">
        <v>0.93655092592592593</v>
      </c>
      <c r="D77">
        <v>76</v>
      </c>
      <c r="E77" s="5" t="s">
        <v>95</v>
      </c>
      <c r="F77">
        <v>0</v>
      </c>
    </row>
    <row r="78" spans="1:6" x14ac:dyDescent="0.25">
      <c r="A78">
        <v>77</v>
      </c>
      <c r="B78" s="1">
        <v>45069</v>
      </c>
      <c r="C78" s="2">
        <v>0.93881944444444443</v>
      </c>
      <c r="D78">
        <v>77</v>
      </c>
      <c r="E78" s="5" t="s">
        <v>96</v>
      </c>
      <c r="F78">
        <v>0</v>
      </c>
    </row>
    <row r="79" spans="1:6" x14ac:dyDescent="0.25">
      <c r="A79">
        <v>78</v>
      </c>
      <c r="B79" s="1">
        <v>45069</v>
      </c>
      <c r="C79" s="2">
        <v>0.93896990740740738</v>
      </c>
      <c r="D79">
        <v>78</v>
      </c>
      <c r="E79" s="5" t="s">
        <v>97</v>
      </c>
      <c r="F79">
        <v>0</v>
      </c>
    </row>
    <row r="80" spans="1:6" x14ac:dyDescent="0.25">
      <c r="A80">
        <v>79</v>
      </c>
      <c r="B80" s="1">
        <v>45069</v>
      </c>
      <c r="C80" s="2">
        <v>0.94056712962962963</v>
      </c>
      <c r="D80">
        <v>79</v>
      </c>
      <c r="E80" s="5" t="s">
        <v>98</v>
      </c>
      <c r="F80">
        <v>0</v>
      </c>
    </row>
    <row r="81" spans="1:6" x14ac:dyDescent="0.25">
      <c r="A81">
        <v>80</v>
      </c>
      <c r="B81" s="1">
        <v>45069</v>
      </c>
      <c r="C81" s="2">
        <v>0.94138888888888894</v>
      </c>
      <c r="D81">
        <v>80</v>
      </c>
      <c r="E81" s="5" t="s">
        <v>99</v>
      </c>
      <c r="F81">
        <v>0</v>
      </c>
    </row>
    <row r="82" spans="1:6" x14ac:dyDescent="0.25">
      <c r="A82">
        <v>81</v>
      </c>
      <c r="B82" s="1">
        <v>45069</v>
      </c>
      <c r="C82" s="2">
        <v>0.94641203703703702</v>
      </c>
      <c r="D82">
        <v>81</v>
      </c>
      <c r="E82" s="5" t="s">
        <v>100</v>
      </c>
      <c r="F82">
        <v>0</v>
      </c>
    </row>
    <row r="83" spans="1:6" x14ac:dyDescent="0.25">
      <c r="A83">
        <v>82</v>
      </c>
      <c r="B83" s="1">
        <v>45069</v>
      </c>
      <c r="C83" s="2">
        <v>0.94741898148148151</v>
      </c>
      <c r="D83">
        <v>82</v>
      </c>
      <c r="E83" s="5" t="s">
        <v>101</v>
      </c>
      <c r="F83">
        <v>0</v>
      </c>
    </row>
    <row r="84" spans="1:6" x14ac:dyDescent="0.25">
      <c r="A84">
        <v>83</v>
      </c>
      <c r="B84" s="1">
        <v>45069</v>
      </c>
      <c r="C84" s="2">
        <v>0.94828703703703698</v>
      </c>
      <c r="D84">
        <v>83</v>
      </c>
      <c r="E84" s="5" t="s">
        <v>102</v>
      </c>
      <c r="F84">
        <v>0</v>
      </c>
    </row>
    <row r="85" spans="1:6" x14ac:dyDescent="0.25">
      <c r="A85">
        <v>84</v>
      </c>
      <c r="B85" s="1">
        <v>45069</v>
      </c>
      <c r="C85" s="2">
        <v>0.94837962962962963</v>
      </c>
      <c r="D85">
        <v>84</v>
      </c>
      <c r="E85" s="5" t="s">
        <v>103</v>
      </c>
      <c r="F85">
        <v>0</v>
      </c>
    </row>
    <row r="86" spans="1:6" x14ac:dyDescent="0.25">
      <c r="A86">
        <v>85</v>
      </c>
      <c r="B86" s="1">
        <v>45069</v>
      </c>
      <c r="C86" s="2">
        <v>0.94987268518518519</v>
      </c>
      <c r="D86">
        <v>85</v>
      </c>
      <c r="E86" s="5" t="s">
        <v>104</v>
      </c>
      <c r="F86">
        <v>0</v>
      </c>
    </row>
    <row r="87" spans="1:6" x14ac:dyDescent="0.25">
      <c r="A87">
        <v>86</v>
      </c>
      <c r="B87" s="1">
        <v>45069</v>
      </c>
      <c r="C87" s="2">
        <v>0.9509143518518518</v>
      </c>
      <c r="D87">
        <v>86</v>
      </c>
      <c r="E87" s="5" t="s">
        <v>105</v>
      </c>
      <c r="F87">
        <v>0</v>
      </c>
    </row>
    <row r="88" spans="1:6" x14ac:dyDescent="0.25">
      <c r="A88">
        <v>87</v>
      </c>
      <c r="B88" s="1">
        <v>45069</v>
      </c>
      <c r="C88" s="2">
        <v>0.95096064814814818</v>
      </c>
      <c r="D88">
        <v>87</v>
      </c>
      <c r="E88" s="5" t="s">
        <v>106</v>
      </c>
      <c r="F88">
        <v>0</v>
      </c>
    </row>
    <row r="89" spans="1:6" x14ac:dyDescent="0.25">
      <c r="A89">
        <v>88</v>
      </c>
      <c r="B89" s="1">
        <v>45069</v>
      </c>
      <c r="C89" s="2">
        <v>0.9515393518518519</v>
      </c>
      <c r="D89">
        <v>88</v>
      </c>
      <c r="E89" s="5" t="s">
        <v>107</v>
      </c>
      <c r="F89">
        <v>0</v>
      </c>
    </row>
    <row r="90" spans="1:6" x14ac:dyDescent="0.25">
      <c r="A90">
        <v>89</v>
      </c>
      <c r="B90" s="1">
        <v>45069</v>
      </c>
      <c r="C90" s="2">
        <v>0.95216435185185189</v>
      </c>
      <c r="D90">
        <v>89</v>
      </c>
      <c r="E90" s="5" t="s">
        <v>108</v>
      </c>
      <c r="F90">
        <v>0</v>
      </c>
    </row>
    <row r="91" spans="1:6" x14ac:dyDescent="0.25">
      <c r="A91">
        <v>90</v>
      </c>
      <c r="B91" s="1">
        <v>45069</v>
      </c>
      <c r="C91" s="2">
        <v>0.95283564814814814</v>
      </c>
      <c r="D91">
        <v>90</v>
      </c>
      <c r="E91" s="5" t="s">
        <v>109</v>
      </c>
      <c r="F91">
        <v>0</v>
      </c>
    </row>
    <row r="92" spans="1:6" x14ac:dyDescent="0.25">
      <c r="A92">
        <v>91</v>
      </c>
      <c r="B92" s="1">
        <v>45069</v>
      </c>
      <c r="C92" s="2">
        <v>0.95371527777777776</v>
      </c>
      <c r="D92">
        <v>91</v>
      </c>
      <c r="E92" s="5" t="s">
        <v>110</v>
      </c>
      <c r="F92">
        <v>0</v>
      </c>
    </row>
    <row r="93" spans="1:6" x14ac:dyDescent="0.25">
      <c r="A93">
        <v>92</v>
      </c>
      <c r="B93" s="1">
        <v>45069</v>
      </c>
      <c r="C93" s="2">
        <v>0.95373842592592595</v>
      </c>
      <c r="D93">
        <v>92</v>
      </c>
      <c r="E93" s="5" t="s">
        <v>111</v>
      </c>
      <c r="F93">
        <v>0</v>
      </c>
    </row>
    <row r="94" spans="1:6" x14ac:dyDescent="0.25">
      <c r="A94">
        <v>93</v>
      </c>
      <c r="B94" s="1">
        <v>45069</v>
      </c>
      <c r="C94" s="2">
        <v>0.9538078703703704</v>
      </c>
      <c r="D94">
        <v>93</v>
      </c>
      <c r="E94" s="5" t="s">
        <v>112</v>
      </c>
      <c r="F94">
        <v>0</v>
      </c>
    </row>
    <row r="95" spans="1:6" x14ac:dyDescent="0.25">
      <c r="A95">
        <v>94</v>
      </c>
      <c r="B95" s="1">
        <v>45069</v>
      </c>
      <c r="C95" s="2">
        <v>0.9559375</v>
      </c>
      <c r="D95">
        <v>94</v>
      </c>
      <c r="E95" s="5" t="s">
        <v>113</v>
      </c>
      <c r="F95">
        <v>0</v>
      </c>
    </row>
    <row r="96" spans="1:6" x14ac:dyDescent="0.25">
      <c r="A96">
        <v>95</v>
      </c>
      <c r="B96" s="1">
        <v>45069</v>
      </c>
      <c r="C96" s="2">
        <v>0.95618055555555559</v>
      </c>
      <c r="D96">
        <v>95</v>
      </c>
      <c r="E96" s="5" t="s">
        <v>114</v>
      </c>
      <c r="F96">
        <v>0</v>
      </c>
    </row>
    <row r="97" spans="1:6" x14ac:dyDescent="0.25">
      <c r="A97">
        <v>96</v>
      </c>
      <c r="B97" s="1">
        <v>45069</v>
      </c>
      <c r="C97" s="2">
        <v>0.95643518518518522</v>
      </c>
      <c r="D97">
        <v>96</v>
      </c>
      <c r="E97" s="5" t="s">
        <v>115</v>
      </c>
      <c r="F97">
        <v>0</v>
      </c>
    </row>
    <row r="98" spans="1:6" x14ac:dyDescent="0.25">
      <c r="A98">
        <v>97</v>
      </c>
      <c r="B98" s="1">
        <v>45069</v>
      </c>
      <c r="C98" s="2">
        <v>0.95646990740740745</v>
      </c>
      <c r="D98">
        <v>97</v>
      </c>
      <c r="E98" s="5" t="s">
        <v>116</v>
      </c>
      <c r="F98">
        <v>0</v>
      </c>
    </row>
    <row r="99" spans="1:6" x14ac:dyDescent="0.25">
      <c r="A99">
        <v>98</v>
      </c>
      <c r="B99" s="1">
        <v>45069</v>
      </c>
      <c r="C99" s="2">
        <v>0.95998842592592593</v>
      </c>
      <c r="D99">
        <v>98</v>
      </c>
      <c r="E99" s="5" t="s">
        <v>117</v>
      </c>
      <c r="F99">
        <v>0</v>
      </c>
    </row>
    <row r="100" spans="1:6" x14ac:dyDescent="0.25">
      <c r="A100">
        <v>99</v>
      </c>
      <c r="B100" s="1">
        <v>45069</v>
      </c>
      <c r="C100" s="2">
        <v>0.96002314814814815</v>
      </c>
      <c r="D100">
        <v>99</v>
      </c>
      <c r="E100" s="5" t="s">
        <v>118</v>
      </c>
      <c r="F100">
        <v>0</v>
      </c>
    </row>
    <row r="101" spans="1:6" x14ac:dyDescent="0.25">
      <c r="A101">
        <v>100</v>
      </c>
      <c r="B101" s="1">
        <v>45069</v>
      </c>
      <c r="C101" s="2">
        <v>0.96354166666666663</v>
      </c>
      <c r="D101">
        <v>100</v>
      </c>
      <c r="E101" s="5" t="s">
        <v>119</v>
      </c>
      <c r="F101">
        <v>0</v>
      </c>
    </row>
    <row r="102" spans="1:6" x14ac:dyDescent="0.25">
      <c r="A102">
        <v>101</v>
      </c>
      <c r="B102" s="1">
        <v>45069</v>
      </c>
      <c r="C102" s="2">
        <v>0.96564814814814814</v>
      </c>
      <c r="D102">
        <v>101</v>
      </c>
      <c r="E102" s="5" t="s">
        <v>120</v>
      </c>
      <c r="F102">
        <v>0</v>
      </c>
    </row>
    <row r="103" spans="1:6" x14ac:dyDescent="0.25">
      <c r="A103">
        <v>102</v>
      </c>
      <c r="B103" s="1">
        <v>45069</v>
      </c>
      <c r="C103" s="2">
        <v>0.96726851851851847</v>
      </c>
      <c r="D103">
        <v>102</v>
      </c>
      <c r="E103" s="5" t="s">
        <v>121</v>
      </c>
      <c r="F103">
        <v>0</v>
      </c>
    </row>
    <row r="104" spans="1:6" x14ac:dyDescent="0.25">
      <c r="A104">
        <v>103</v>
      </c>
      <c r="B104" s="1">
        <v>45069</v>
      </c>
      <c r="C104" s="2">
        <v>0.96840277777777772</v>
      </c>
      <c r="D104">
        <v>103</v>
      </c>
      <c r="E104" s="5" t="s">
        <v>122</v>
      </c>
      <c r="F104">
        <v>0</v>
      </c>
    </row>
    <row r="105" spans="1:6" x14ac:dyDescent="0.25">
      <c r="A105">
        <v>104</v>
      </c>
      <c r="B105" s="1">
        <v>45069</v>
      </c>
      <c r="C105" s="2">
        <v>0.97174768518518517</v>
      </c>
      <c r="D105">
        <v>104</v>
      </c>
      <c r="E105" s="5" t="s">
        <v>123</v>
      </c>
      <c r="F105">
        <v>0</v>
      </c>
    </row>
    <row r="106" spans="1:6" x14ac:dyDescent="0.25">
      <c r="A106">
        <v>105</v>
      </c>
      <c r="B106" s="1">
        <v>45069</v>
      </c>
      <c r="C106" s="2">
        <v>0.9717824074074074</v>
      </c>
      <c r="D106">
        <v>105</v>
      </c>
      <c r="E106" s="5" t="s">
        <v>124</v>
      </c>
      <c r="F106">
        <v>0</v>
      </c>
    </row>
    <row r="107" spans="1:6" x14ac:dyDescent="0.25">
      <c r="A107">
        <v>106</v>
      </c>
      <c r="B107" s="1">
        <v>45069</v>
      </c>
      <c r="C107" s="2">
        <v>0.97182870370370367</v>
      </c>
      <c r="D107">
        <v>106</v>
      </c>
      <c r="E107" s="5" t="s">
        <v>125</v>
      </c>
      <c r="F107">
        <v>0</v>
      </c>
    </row>
    <row r="108" spans="1:6" x14ac:dyDescent="0.25">
      <c r="A108">
        <v>107</v>
      </c>
      <c r="B108" s="1">
        <v>45069</v>
      </c>
      <c r="C108" s="2">
        <v>0.97371527777777778</v>
      </c>
      <c r="D108">
        <v>107</v>
      </c>
      <c r="E108" s="5" t="s">
        <v>126</v>
      </c>
      <c r="F108">
        <v>0</v>
      </c>
    </row>
    <row r="109" spans="1:6" x14ac:dyDescent="0.25">
      <c r="A109">
        <v>108</v>
      </c>
      <c r="B109" s="1">
        <v>45069</v>
      </c>
      <c r="C109" s="2">
        <v>0.97467592592592589</v>
      </c>
      <c r="D109">
        <v>108</v>
      </c>
      <c r="E109" s="5" t="s">
        <v>127</v>
      </c>
      <c r="F109">
        <v>0</v>
      </c>
    </row>
    <row r="110" spans="1:6" x14ac:dyDescent="0.25">
      <c r="A110">
        <v>109</v>
      </c>
      <c r="B110" s="1">
        <v>45069</v>
      </c>
      <c r="C110" s="2">
        <v>0.97484953703703703</v>
      </c>
      <c r="D110">
        <v>109</v>
      </c>
      <c r="E110" s="5" t="s">
        <v>128</v>
      </c>
      <c r="F110">
        <v>0</v>
      </c>
    </row>
    <row r="111" spans="1:6" x14ac:dyDescent="0.25">
      <c r="A111">
        <v>110</v>
      </c>
      <c r="B111" s="1">
        <v>45069</v>
      </c>
      <c r="C111" s="2">
        <v>0.97541666666666671</v>
      </c>
      <c r="D111">
        <v>110</v>
      </c>
      <c r="E111" s="5" t="s">
        <v>129</v>
      </c>
      <c r="F111">
        <v>0</v>
      </c>
    </row>
    <row r="112" spans="1:6" x14ac:dyDescent="0.25">
      <c r="A112">
        <v>111</v>
      </c>
      <c r="B112" s="1">
        <v>45069</v>
      </c>
      <c r="C112" s="2">
        <v>0.98348379629629634</v>
      </c>
      <c r="D112">
        <v>111</v>
      </c>
      <c r="E112" s="5" t="s">
        <v>130</v>
      </c>
      <c r="F112">
        <v>0</v>
      </c>
    </row>
    <row r="113" spans="1:6" x14ac:dyDescent="0.25">
      <c r="A113">
        <v>112</v>
      </c>
      <c r="B113" s="1">
        <v>45069</v>
      </c>
      <c r="C113" s="2">
        <v>0.98576388888888888</v>
      </c>
      <c r="D113">
        <v>112</v>
      </c>
      <c r="E113" s="5" t="s">
        <v>131</v>
      </c>
      <c r="F113">
        <v>0</v>
      </c>
    </row>
    <row r="114" spans="1:6" x14ac:dyDescent="0.25">
      <c r="A114">
        <v>113</v>
      </c>
      <c r="B114" s="1">
        <v>45069</v>
      </c>
      <c r="C114" s="2">
        <v>0.98601851851851852</v>
      </c>
      <c r="D114">
        <v>113</v>
      </c>
      <c r="E114" s="5" t="s">
        <v>132</v>
      </c>
      <c r="F114">
        <v>0</v>
      </c>
    </row>
    <row r="115" spans="1:6" x14ac:dyDescent="0.25">
      <c r="A115">
        <v>114</v>
      </c>
      <c r="B115" s="1">
        <v>45069</v>
      </c>
      <c r="C115" s="2">
        <v>0.98624999999999996</v>
      </c>
      <c r="D115">
        <v>114</v>
      </c>
      <c r="E115" s="5" t="s">
        <v>133</v>
      </c>
      <c r="F115">
        <v>0</v>
      </c>
    </row>
    <row r="116" spans="1:6" x14ac:dyDescent="0.25">
      <c r="A116">
        <v>115</v>
      </c>
      <c r="B116" s="1">
        <v>45069</v>
      </c>
      <c r="C116" s="2">
        <v>0.98667824074074073</v>
      </c>
      <c r="D116">
        <v>115</v>
      </c>
      <c r="E116" s="5" t="s">
        <v>134</v>
      </c>
      <c r="F116">
        <v>0</v>
      </c>
    </row>
    <row r="117" spans="1:6" x14ac:dyDescent="0.25">
      <c r="A117">
        <v>116</v>
      </c>
      <c r="B117" s="1">
        <v>45069</v>
      </c>
      <c r="C117" s="2">
        <v>0.98753472222222227</v>
      </c>
      <c r="D117">
        <v>116</v>
      </c>
      <c r="E117" s="5" t="s">
        <v>135</v>
      </c>
      <c r="F117">
        <v>0</v>
      </c>
    </row>
    <row r="118" spans="1:6" x14ac:dyDescent="0.25">
      <c r="A118">
        <v>117</v>
      </c>
      <c r="B118" s="1">
        <v>45069</v>
      </c>
      <c r="C118" s="2">
        <v>0.99202546296296301</v>
      </c>
      <c r="D118">
        <v>117</v>
      </c>
      <c r="E118" s="5" t="s">
        <v>136</v>
      </c>
      <c r="F118">
        <v>0</v>
      </c>
    </row>
    <row r="119" spans="1:6" x14ac:dyDescent="0.25">
      <c r="A119">
        <v>118</v>
      </c>
      <c r="B119" s="1">
        <v>45069</v>
      </c>
      <c r="C119" s="2">
        <v>0.9928703703703704</v>
      </c>
      <c r="D119">
        <v>118</v>
      </c>
      <c r="E119" s="5" t="s">
        <v>137</v>
      </c>
      <c r="F119">
        <v>0</v>
      </c>
    </row>
    <row r="120" spans="1:6" x14ac:dyDescent="0.25">
      <c r="A120">
        <v>119</v>
      </c>
      <c r="B120" s="1">
        <v>45069</v>
      </c>
      <c r="C120" s="2">
        <v>0.99290509259259263</v>
      </c>
      <c r="D120">
        <v>119</v>
      </c>
      <c r="E120" s="5" t="s">
        <v>138</v>
      </c>
      <c r="F120">
        <v>0</v>
      </c>
    </row>
    <row r="121" spans="1:6" x14ac:dyDescent="0.25">
      <c r="A121">
        <v>120</v>
      </c>
      <c r="B121" s="1">
        <v>45069</v>
      </c>
      <c r="C121" s="2">
        <v>0.99293981481481486</v>
      </c>
      <c r="D121">
        <v>120</v>
      </c>
      <c r="E121" s="5" t="s">
        <v>139</v>
      </c>
      <c r="F121">
        <v>0</v>
      </c>
    </row>
    <row r="122" spans="1:6" x14ac:dyDescent="0.25">
      <c r="A122">
        <v>121</v>
      </c>
      <c r="B122" s="1">
        <v>45069</v>
      </c>
      <c r="C122" s="2">
        <v>0.99690972222222218</v>
      </c>
      <c r="D122">
        <v>121</v>
      </c>
      <c r="E122" s="5" t="s">
        <v>140</v>
      </c>
      <c r="F122">
        <v>0</v>
      </c>
    </row>
    <row r="123" spans="1:6" x14ac:dyDescent="0.25">
      <c r="A123">
        <v>122</v>
      </c>
      <c r="B123" s="1">
        <v>45069</v>
      </c>
      <c r="C123" s="2">
        <v>0.99717592592592597</v>
      </c>
      <c r="D123">
        <v>122</v>
      </c>
      <c r="E123" s="5" t="s">
        <v>141</v>
      </c>
      <c r="F123">
        <v>0</v>
      </c>
    </row>
    <row r="124" spans="1:6" x14ac:dyDescent="0.25">
      <c r="A124">
        <v>123</v>
      </c>
      <c r="B124" s="1">
        <v>45069</v>
      </c>
      <c r="C124" s="2">
        <v>0.99729166666666669</v>
      </c>
      <c r="D124">
        <v>123</v>
      </c>
      <c r="E124" s="5" t="s">
        <v>142</v>
      </c>
      <c r="F124">
        <v>0</v>
      </c>
    </row>
    <row r="125" spans="1:6" x14ac:dyDescent="0.25">
      <c r="A125">
        <v>124</v>
      </c>
      <c r="B125" s="1">
        <v>45070</v>
      </c>
      <c r="C125" s="2">
        <v>3.391203703703704E-3</v>
      </c>
      <c r="D125">
        <v>124</v>
      </c>
      <c r="E125" s="5" t="s">
        <v>143</v>
      </c>
      <c r="F125">
        <v>0</v>
      </c>
    </row>
    <row r="126" spans="1:6" x14ac:dyDescent="0.25">
      <c r="A126">
        <v>125</v>
      </c>
      <c r="B126" s="1">
        <v>45070</v>
      </c>
      <c r="C126" s="2">
        <v>5.7291666666666663E-3</v>
      </c>
      <c r="D126">
        <v>125</v>
      </c>
      <c r="E126" s="5" t="s">
        <v>144</v>
      </c>
      <c r="F126">
        <v>0</v>
      </c>
    </row>
    <row r="127" spans="1:6" x14ac:dyDescent="0.25">
      <c r="A127">
        <v>126</v>
      </c>
      <c r="B127" s="1">
        <v>45070</v>
      </c>
      <c r="C127" s="2">
        <v>8.067129629629629E-3</v>
      </c>
      <c r="D127">
        <v>126</v>
      </c>
      <c r="E127" s="5" t="s">
        <v>145</v>
      </c>
      <c r="F127">
        <v>0</v>
      </c>
    </row>
    <row r="128" spans="1:6" x14ac:dyDescent="0.25">
      <c r="A128">
        <v>127</v>
      </c>
      <c r="B128" s="1">
        <v>45070</v>
      </c>
      <c r="C128" s="2">
        <v>1.4456018518518521E-2</v>
      </c>
      <c r="D128">
        <v>127</v>
      </c>
      <c r="E128" s="5" t="s">
        <v>146</v>
      </c>
      <c r="F128">
        <v>0</v>
      </c>
    </row>
    <row r="129" spans="1:6" x14ac:dyDescent="0.25">
      <c r="A129">
        <v>128</v>
      </c>
      <c r="B129" s="1">
        <v>45070</v>
      </c>
      <c r="C129" s="2">
        <v>1.608796296296296E-2</v>
      </c>
      <c r="D129">
        <v>128</v>
      </c>
      <c r="E129" s="5" t="s">
        <v>147</v>
      </c>
      <c r="F129">
        <v>0</v>
      </c>
    </row>
    <row r="130" spans="1:6" x14ac:dyDescent="0.25">
      <c r="A130">
        <v>129</v>
      </c>
      <c r="B130" s="1">
        <v>45070</v>
      </c>
      <c r="C130" s="2">
        <v>1.640046296296296E-2</v>
      </c>
      <c r="D130">
        <v>129</v>
      </c>
      <c r="E130" s="5" t="s">
        <v>148</v>
      </c>
      <c r="F130">
        <v>0</v>
      </c>
    </row>
    <row r="131" spans="1:6" x14ac:dyDescent="0.25">
      <c r="A131">
        <v>130</v>
      </c>
      <c r="B131" s="1">
        <v>45070</v>
      </c>
      <c r="C131" s="2">
        <v>1.695601851851852E-2</v>
      </c>
      <c r="D131">
        <v>130</v>
      </c>
      <c r="E131" s="5" t="s">
        <v>149</v>
      </c>
      <c r="F131">
        <v>0</v>
      </c>
    </row>
    <row r="132" spans="1:6" x14ac:dyDescent="0.25">
      <c r="A132">
        <v>131</v>
      </c>
      <c r="B132" s="1">
        <v>45070</v>
      </c>
      <c r="C132" s="2">
        <v>1.803240740740741E-2</v>
      </c>
      <c r="D132">
        <v>131</v>
      </c>
      <c r="E132" s="5" t="s">
        <v>150</v>
      </c>
      <c r="F132">
        <v>0</v>
      </c>
    </row>
    <row r="133" spans="1:6" x14ac:dyDescent="0.25">
      <c r="A133">
        <v>132</v>
      </c>
      <c r="B133" s="1">
        <v>45070</v>
      </c>
      <c r="C133" s="2">
        <v>1.9942129629629629E-2</v>
      </c>
      <c r="D133">
        <v>132</v>
      </c>
      <c r="E133" s="5" t="s">
        <v>151</v>
      </c>
      <c r="F133">
        <v>0</v>
      </c>
    </row>
    <row r="134" spans="1:6" x14ac:dyDescent="0.25">
      <c r="A134">
        <v>133</v>
      </c>
      <c r="B134" s="1">
        <v>45070</v>
      </c>
      <c r="C134" s="2">
        <v>2.0613425925925931E-2</v>
      </c>
      <c r="D134">
        <v>133</v>
      </c>
      <c r="E134" s="5" t="s">
        <v>152</v>
      </c>
      <c r="F134">
        <v>0</v>
      </c>
    </row>
    <row r="135" spans="1:6" x14ac:dyDescent="0.25">
      <c r="A135">
        <v>134</v>
      </c>
      <c r="B135" s="1">
        <v>45070</v>
      </c>
      <c r="C135" s="2">
        <v>2.3229166666666669E-2</v>
      </c>
      <c r="D135">
        <v>134</v>
      </c>
      <c r="E135" s="5" t="s">
        <v>153</v>
      </c>
      <c r="F135">
        <v>0</v>
      </c>
    </row>
    <row r="136" spans="1:6" x14ac:dyDescent="0.25">
      <c r="A136">
        <v>135</v>
      </c>
      <c r="B136" s="1">
        <v>45070</v>
      </c>
      <c r="C136" s="2">
        <v>2.3692129629629629E-2</v>
      </c>
      <c r="D136">
        <v>135</v>
      </c>
      <c r="E136" s="5" t="s">
        <v>154</v>
      </c>
      <c r="F136">
        <v>0</v>
      </c>
    </row>
    <row r="137" spans="1:6" x14ac:dyDescent="0.25">
      <c r="A137">
        <v>136</v>
      </c>
      <c r="B137" s="1">
        <v>45070</v>
      </c>
      <c r="C137" s="2">
        <v>2.4456018518518519E-2</v>
      </c>
      <c r="D137">
        <v>136</v>
      </c>
      <c r="E137" s="5" t="s">
        <v>155</v>
      </c>
      <c r="F137">
        <v>0</v>
      </c>
    </row>
    <row r="138" spans="1:6" x14ac:dyDescent="0.25">
      <c r="A138">
        <v>137</v>
      </c>
      <c r="B138" s="1">
        <v>45070</v>
      </c>
      <c r="C138" s="2">
        <v>2.4756944444444449E-2</v>
      </c>
      <c r="D138">
        <v>137</v>
      </c>
      <c r="E138" s="5" t="s">
        <v>156</v>
      </c>
      <c r="F138">
        <v>0</v>
      </c>
    </row>
    <row r="139" spans="1:6" x14ac:dyDescent="0.25">
      <c r="A139">
        <v>138</v>
      </c>
      <c r="B139" s="1">
        <v>45070</v>
      </c>
      <c r="C139" s="2">
        <v>2.493055555555556E-2</v>
      </c>
      <c r="D139">
        <v>138</v>
      </c>
      <c r="E139" s="5" t="s">
        <v>157</v>
      </c>
      <c r="F139">
        <v>0</v>
      </c>
    </row>
    <row r="140" spans="1:6" x14ac:dyDescent="0.25">
      <c r="A140">
        <v>139</v>
      </c>
      <c r="B140" s="1">
        <v>45070</v>
      </c>
      <c r="C140" s="2">
        <v>2.6481481481481481E-2</v>
      </c>
      <c r="D140">
        <v>139</v>
      </c>
      <c r="E140" s="5"/>
      <c r="F140">
        <v>2</v>
      </c>
    </row>
    <row r="141" spans="1:6" x14ac:dyDescent="0.25">
      <c r="A141">
        <v>140</v>
      </c>
      <c r="B141" s="1">
        <v>45070</v>
      </c>
      <c r="C141" s="2">
        <v>2.7754629629629629E-2</v>
      </c>
      <c r="D141">
        <v>140</v>
      </c>
      <c r="E141" s="5" t="s">
        <v>158</v>
      </c>
      <c r="F141">
        <v>0</v>
      </c>
    </row>
    <row r="142" spans="1:6" x14ac:dyDescent="0.25">
      <c r="A142">
        <v>141</v>
      </c>
      <c r="B142" s="1">
        <v>45070</v>
      </c>
      <c r="C142" s="2">
        <v>2.7835648148148151E-2</v>
      </c>
      <c r="D142">
        <v>141</v>
      </c>
      <c r="E142" s="5" t="s">
        <v>159</v>
      </c>
      <c r="F142">
        <v>0</v>
      </c>
    </row>
    <row r="143" spans="1:6" x14ac:dyDescent="0.25">
      <c r="A143">
        <v>142</v>
      </c>
      <c r="B143" s="1">
        <v>45070</v>
      </c>
      <c r="C143" s="2">
        <v>3.0775462962962959E-2</v>
      </c>
      <c r="D143">
        <v>142</v>
      </c>
      <c r="E143" s="5" t="s">
        <v>160</v>
      </c>
      <c r="F143">
        <v>0</v>
      </c>
    </row>
    <row r="144" spans="1:6" x14ac:dyDescent="0.25">
      <c r="A144">
        <v>143</v>
      </c>
      <c r="B144" s="1">
        <v>45070</v>
      </c>
      <c r="C144" s="2">
        <v>3.0902777777777779E-2</v>
      </c>
      <c r="D144">
        <v>143</v>
      </c>
      <c r="E144" s="5"/>
      <c r="F144">
        <v>2</v>
      </c>
    </row>
    <row r="145" spans="1:6" x14ac:dyDescent="0.25">
      <c r="A145">
        <v>144</v>
      </c>
      <c r="B145" s="1">
        <v>45070</v>
      </c>
      <c r="C145" s="2">
        <v>3.1412037037037037E-2</v>
      </c>
      <c r="D145">
        <v>144</v>
      </c>
      <c r="E145" s="5" t="s">
        <v>161</v>
      </c>
      <c r="F145">
        <v>0</v>
      </c>
    </row>
    <row r="146" spans="1:6" x14ac:dyDescent="0.25">
      <c r="A146">
        <v>145</v>
      </c>
      <c r="B146" s="1">
        <v>45070</v>
      </c>
      <c r="C146" s="2">
        <v>3.4479166666666658E-2</v>
      </c>
      <c r="D146">
        <v>145</v>
      </c>
      <c r="E146" s="5" t="s">
        <v>162</v>
      </c>
      <c r="F146">
        <v>0</v>
      </c>
    </row>
    <row r="147" spans="1:6" x14ac:dyDescent="0.25">
      <c r="A147">
        <v>146</v>
      </c>
      <c r="B147" s="1">
        <v>45070</v>
      </c>
      <c r="C147" s="2">
        <v>3.546296296296296E-2</v>
      </c>
      <c r="D147">
        <v>146</v>
      </c>
      <c r="E147" s="5" t="s">
        <v>163</v>
      </c>
      <c r="F147">
        <v>0</v>
      </c>
    </row>
    <row r="148" spans="1:6" x14ac:dyDescent="0.25">
      <c r="A148">
        <v>147</v>
      </c>
      <c r="B148" s="1">
        <v>45070</v>
      </c>
      <c r="C148" s="2">
        <v>3.5613425925925923E-2</v>
      </c>
      <c r="D148">
        <v>147</v>
      </c>
      <c r="E148" s="5" t="s">
        <v>164</v>
      </c>
      <c r="F148">
        <v>1</v>
      </c>
    </row>
    <row r="149" spans="1:6" x14ac:dyDescent="0.25">
      <c r="A149">
        <v>148</v>
      </c>
      <c r="B149" s="1">
        <v>45070</v>
      </c>
      <c r="C149" s="2">
        <v>3.7546296296296293E-2</v>
      </c>
      <c r="D149">
        <v>148</v>
      </c>
      <c r="E149" s="5" t="s">
        <v>165</v>
      </c>
      <c r="F149">
        <v>0</v>
      </c>
    </row>
    <row r="150" spans="1:6" x14ac:dyDescent="0.25">
      <c r="A150">
        <v>149</v>
      </c>
      <c r="B150" s="1">
        <v>45070</v>
      </c>
      <c r="C150" s="2">
        <v>3.7627314814814808E-2</v>
      </c>
      <c r="D150">
        <v>149</v>
      </c>
      <c r="E150" s="5" t="s">
        <v>166</v>
      </c>
      <c r="F150">
        <v>0</v>
      </c>
    </row>
    <row r="151" spans="1:6" x14ac:dyDescent="0.25">
      <c r="A151">
        <v>150</v>
      </c>
      <c r="B151" s="1">
        <v>45070</v>
      </c>
      <c r="C151" s="2">
        <v>3.9444444444444442E-2</v>
      </c>
      <c r="D151">
        <v>150</v>
      </c>
      <c r="E151" s="5" t="s">
        <v>167</v>
      </c>
      <c r="F151">
        <v>0</v>
      </c>
    </row>
    <row r="152" spans="1:6" x14ac:dyDescent="0.25">
      <c r="A152">
        <v>151</v>
      </c>
      <c r="B152" s="1">
        <v>45070</v>
      </c>
      <c r="C152" s="2">
        <v>3.9525462962962957E-2</v>
      </c>
      <c r="D152">
        <v>151</v>
      </c>
      <c r="E152" s="5" t="s">
        <v>168</v>
      </c>
      <c r="F152">
        <v>0</v>
      </c>
    </row>
    <row r="153" spans="1:6" x14ac:dyDescent="0.25">
      <c r="A153">
        <v>152</v>
      </c>
      <c r="B153" s="1">
        <v>45070</v>
      </c>
      <c r="C153" s="2">
        <v>0.04</v>
      </c>
      <c r="D153">
        <v>152</v>
      </c>
      <c r="E153" s="5" t="s">
        <v>169</v>
      </c>
      <c r="F153">
        <v>0</v>
      </c>
    </row>
    <row r="154" spans="1:6" x14ac:dyDescent="0.25">
      <c r="A154">
        <v>153</v>
      </c>
      <c r="B154" s="1">
        <v>45070</v>
      </c>
      <c r="C154" s="2">
        <v>4.0752314814814818E-2</v>
      </c>
      <c r="D154">
        <v>153</v>
      </c>
      <c r="E154" s="5" t="s">
        <v>170</v>
      </c>
      <c r="F154">
        <v>0</v>
      </c>
    </row>
    <row r="155" spans="1:6" x14ac:dyDescent="0.25">
      <c r="A155">
        <v>154</v>
      </c>
      <c r="B155" s="1">
        <v>45070</v>
      </c>
      <c r="C155" s="2">
        <v>4.252314814814815E-2</v>
      </c>
      <c r="D155">
        <v>154</v>
      </c>
      <c r="E155" s="5" t="s">
        <v>171</v>
      </c>
      <c r="F155">
        <v>0</v>
      </c>
    </row>
    <row r="156" spans="1:6" x14ac:dyDescent="0.25">
      <c r="A156">
        <v>155</v>
      </c>
      <c r="B156" s="1">
        <v>45070</v>
      </c>
      <c r="C156" s="2">
        <v>4.355324074074074E-2</v>
      </c>
      <c r="D156">
        <v>155</v>
      </c>
      <c r="E156" s="5" t="s">
        <v>172</v>
      </c>
      <c r="F156">
        <v>0</v>
      </c>
    </row>
    <row r="157" spans="1:6" x14ac:dyDescent="0.25">
      <c r="A157">
        <v>156</v>
      </c>
      <c r="B157" s="1">
        <v>45070</v>
      </c>
      <c r="C157" s="2">
        <v>4.3854166666666673E-2</v>
      </c>
      <c r="D157">
        <v>156</v>
      </c>
      <c r="E157" s="5"/>
      <c r="F157">
        <v>2</v>
      </c>
    </row>
    <row r="158" spans="1:6" x14ac:dyDescent="0.25">
      <c r="A158">
        <v>157</v>
      </c>
      <c r="B158" s="1">
        <v>45070</v>
      </c>
      <c r="C158" s="2">
        <v>4.6805555555555559E-2</v>
      </c>
      <c r="D158">
        <v>157</v>
      </c>
      <c r="E158" s="5" t="s">
        <v>173</v>
      </c>
      <c r="F158">
        <v>0</v>
      </c>
    </row>
    <row r="159" spans="1:6" x14ac:dyDescent="0.25">
      <c r="A159">
        <v>158</v>
      </c>
      <c r="B159" s="1">
        <v>45070</v>
      </c>
      <c r="C159" s="2">
        <v>4.7523148148148148E-2</v>
      </c>
      <c r="D159">
        <v>158</v>
      </c>
      <c r="E159" s="5" t="s">
        <v>174</v>
      </c>
      <c r="F159">
        <v>0</v>
      </c>
    </row>
    <row r="160" spans="1:6" x14ac:dyDescent="0.25">
      <c r="A160">
        <v>159</v>
      </c>
      <c r="B160" s="1">
        <v>45070</v>
      </c>
      <c r="C160" s="2">
        <v>4.7546296296296288E-2</v>
      </c>
      <c r="D160">
        <v>159</v>
      </c>
      <c r="E160" s="5" t="s">
        <v>175</v>
      </c>
      <c r="F160">
        <v>0</v>
      </c>
    </row>
    <row r="161" spans="1:6" x14ac:dyDescent="0.25">
      <c r="A161">
        <v>160</v>
      </c>
      <c r="B161" s="1">
        <v>45070</v>
      </c>
      <c r="C161" s="2">
        <v>4.8009259259259258E-2</v>
      </c>
      <c r="D161">
        <v>160</v>
      </c>
      <c r="E161" s="5" t="s">
        <v>176</v>
      </c>
      <c r="F161">
        <v>0</v>
      </c>
    </row>
    <row r="162" spans="1:6" x14ac:dyDescent="0.25">
      <c r="A162">
        <v>161</v>
      </c>
      <c r="B162" s="1">
        <v>45070</v>
      </c>
      <c r="C162" s="2">
        <v>4.8321759259259259E-2</v>
      </c>
      <c r="D162">
        <v>161</v>
      </c>
      <c r="E162" s="5" t="s">
        <v>177</v>
      </c>
      <c r="F162">
        <v>0</v>
      </c>
    </row>
    <row r="163" spans="1:6" x14ac:dyDescent="0.25">
      <c r="A163">
        <v>162</v>
      </c>
      <c r="B163" s="1">
        <v>45070</v>
      </c>
      <c r="C163" s="2">
        <v>4.8865740740740737E-2</v>
      </c>
      <c r="D163">
        <v>162</v>
      </c>
      <c r="E163" s="5" t="s">
        <v>178</v>
      </c>
      <c r="F163">
        <v>0</v>
      </c>
    </row>
    <row r="164" spans="1:6" x14ac:dyDescent="0.25">
      <c r="A164">
        <v>163</v>
      </c>
      <c r="B164" s="1">
        <v>45070</v>
      </c>
      <c r="C164" s="2">
        <v>5.0451388888888893E-2</v>
      </c>
      <c r="D164">
        <v>163</v>
      </c>
      <c r="E164" s="5" t="s">
        <v>179</v>
      </c>
      <c r="F164">
        <v>0</v>
      </c>
    </row>
    <row r="165" spans="1:6" x14ac:dyDescent="0.25">
      <c r="A165">
        <v>164</v>
      </c>
      <c r="B165" s="1">
        <v>45070</v>
      </c>
      <c r="C165" s="2">
        <v>5.0497685185185187E-2</v>
      </c>
      <c r="D165">
        <v>164</v>
      </c>
      <c r="E165" s="5" t="s">
        <v>180</v>
      </c>
      <c r="F165">
        <v>0</v>
      </c>
    </row>
    <row r="166" spans="1:6" x14ac:dyDescent="0.25">
      <c r="A166">
        <v>165</v>
      </c>
      <c r="B166" s="1">
        <v>45070</v>
      </c>
      <c r="C166" s="2">
        <v>5.1874999999999998E-2</v>
      </c>
      <c r="D166">
        <v>165</v>
      </c>
      <c r="E166" s="5" t="s">
        <v>181</v>
      </c>
      <c r="F166">
        <v>0</v>
      </c>
    </row>
    <row r="167" spans="1:6" x14ac:dyDescent="0.25">
      <c r="A167">
        <v>166</v>
      </c>
      <c r="B167" s="1">
        <v>45070</v>
      </c>
      <c r="C167" s="2">
        <v>5.2083333333333343E-2</v>
      </c>
      <c r="D167">
        <v>166</v>
      </c>
      <c r="E167" s="5" t="s">
        <v>182</v>
      </c>
      <c r="F167">
        <v>0</v>
      </c>
    </row>
    <row r="168" spans="1:6" x14ac:dyDescent="0.25">
      <c r="A168">
        <v>167</v>
      </c>
      <c r="B168" s="1">
        <v>45070</v>
      </c>
      <c r="C168" s="2">
        <v>5.2106481481481483E-2</v>
      </c>
      <c r="D168">
        <v>167</v>
      </c>
      <c r="E168" s="5" t="s">
        <v>183</v>
      </c>
      <c r="F168">
        <v>0</v>
      </c>
    </row>
    <row r="169" spans="1:6" x14ac:dyDescent="0.25">
      <c r="A169">
        <v>168</v>
      </c>
      <c r="B169" s="1">
        <v>45070</v>
      </c>
      <c r="C169" s="2">
        <v>5.2152777777777777E-2</v>
      </c>
      <c r="D169">
        <v>168</v>
      </c>
      <c r="E169" s="5" t="s">
        <v>184</v>
      </c>
      <c r="F169">
        <v>0</v>
      </c>
    </row>
    <row r="170" spans="1:6" x14ac:dyDescent="0.25">
      <c r="A170">
        <v>169</v>
      </c>
      <c r="B170" s="1">
        <v>45070</v>
      </c>
      <c r="C170" s="2">
        <v>5.2245370370370373E-2</v>
      </c>
      <c r="D170">
        <v>169</v>
      </c>
      <c r="E170" s="5" t="s">
        <v>185</v>
      </c>
      <c r="F170">
        <v>0</v>
      </c>
    </row>
    <row r="171" spans="1:6" x14ac:dyDescent="0.25">
      <c r="A171">
        <v>170</v>
      </c>
      <c r="B171" s="1">
        <v>45070</v>
      </c>
      <c r="C171" s="2">
        <v>5.2372685185185182E-2</v>
      </c>
      <c r="D171">
        <v>170</v>
      </c>
      <c r="E171" s="5" t="s">
        <v>186</v>
      </c>
      <c r="F171">
        <v>0</v>
      </c>
    </row>
    <row r="172" spans="1:6" x14ac:dyDescent="0.25">
      <c r="A172">
        <v>171</v>
      </c>
      <c r="B172" s="1">
        <v>45070</v>
      </c>
      <c r="C172" s="2">
        <v>5.3067129629629631E-2</v>
      </c>
      <c r="D172">
        <v>171</v>
      </c>
      <c r="E172" s="5" t="s">
        <v>187</v>
      </c>
      <c r="F172">
        <v>0</v>
      </c>
    </row>
    <row r="173" spans="1:6" x14ac:dyDescent="0.25">
      <c r="A173">
        <v>172</v>
      </c>
      <c r="B173" s="1">
        <v>45070</v>
      </c>
      <c r="C173" s="2">
        <v>5.3090277777777778E-2</v>
      </c>
      <c r="D173">
        <v>172</v>
      </c>
      <c r="E173" s="5" t="s">
        <v>188</v>
      </c>
      <c r="F173">
        <v>0</v>
      </c>
    </row>
    <row r="174" spans="1:6" x14ac:dyDescent="0.25">
      <c r="A174">
        <v>173</v>
      </c>
      <c r="B174" s="1">
        <v>45070</v>
      </c>
      <c r="C174" s="2">
        <v>5.3993055555555558E-2</v>
      </c>
      <c r="D174">
        <v>173</v>
      </c>
      <c r="E174" s="5" t="s">
        <v>189</v>
      </c>
      <c r="F174">
        <v>0</v>
      </c>
    </row>
    <row r="175" spans="1:6" x14ac:dyDescent="0.25">
      <c r="A175">
        <v>174</v>
      </c>
      <c r="B175" s="1">
        <v>45070</v>
      </c>
      <c r="C175" s="2">
        <v>5.4652777777777779E-2</v>
      </c>
      <c r="D175">
        <v>174</v>
      </c>
      <c r="E175" s="5" t="s">
        <v>190</v>
      </c>
      <c r="F175">
        <v>0</v>
      </c>
    </row>
    <row r="176" spans="1:6" x14ac:dyDescent="0.25">
      <c r="A176">
        <v>175</v>
      </c>
      <c r="B176" s="1">
        <v>45070</v>
      </c>
      <c r="C176" s="2">
        <v>5.5185185185185177E-2</v>
      </c>
      <c r="D176">
        <v>175</v>
      </c>
      <c r="E176" s="5" t="s">
        <v>191</v>
      </c>
      <c r="F176">
        <v>0</v>
      </c>
    </row>
    <row r="177" spans="1:6" x14ac:dyDescent="0.25">
      <c r="A177">
        <v>176</v>
      </c>
      <c r="B177" s="1">
        <v>45070</v>
      </c>
      <c r="C177" s="2">
        <v>5.6597222222222222E-2</v>
      </c>
      <c r="D177">
        <v>176</v>
      </c>
      <c r="E177" s="5" t="s">
        <v>192</v>
      </c>
      <c r="F177">
        <v>0</v>
      </c>
    </row>
    <row r="178" spans="1:6" x14ac:dyDescent="0.25">
      <c r="A178">
        <v>177</v>
      </c>
      <c r="B178" s="1">
        <v>45070</v>
      </c>
      <c r="C178" s="2">
        <v>5.7048611111111112E-2</v>
      </c>
      <c r="D178">
        <v>177</v>
      </c>
      <c r="E178" s="5" t="s">
        <v>193</v>
      </c>
      <c r="F178">
        <v>0</v>
      </c>
    </row>
    <row r="179" spans="1:6" x14ac:dyDescent="0.25">
      <c r="A179">
        <v>178</v>
      </c>
      <c r="B179" s="1">
        <v>45070</v>
      </c>
      <c r="C179" s="2">
        <v>5.7337962962962973E-2</v>
      </c>
      <c r="D179">
        <v>178</v>
      </c>
      <c r="E179" s="5" t="s">
        <v>194</v>
      </c>
      <c r="F179">
        <v>0</v>
      </c>
    </row>
    <row r="180" spans="1:6" x14ac:dyDescent="0.25">
      <c r="A180">
        <v>179</v>
      </c>
      <c r="B180" s="1">
        <v>45070</v>
      </c>
      <c r="C180" s="2">
        <v>6.0914351851851851E-2</v>
      </c>
      <c r="D180">
        <v>179</v>
      </c>
      <c r="E180" s="5" t="s">
        <v>195</v>
      </c>
      <c r="F180">
        <v>0</v>
      </c>
    </row>
    <row r="181" spans="1:6" x14ac:dyDescent="0.25">
      <c r="A181">
        <v>180</v>
      </c>
      <c r="B181" s="1">
        <v>45070</v>
      </c>
      <c r="C181" s="2">
        <v>6.3032407407407412E-2</v>
      </c>
      <c r="D181">
        <v>180</v>
      </c>
      <c r="E181" s="5" t="s">
        <v>196</v>
      </c>
      <c r="F181">
        <v>0</v>
      </c>
    </row>
    <row r="182" spans="1:6" x14ac:dyDescent="0.25">
      <c r="A182">
        <v>181</v>
      </c>
      <c r="B182" s="1">
        <v>45070</v>
      </c>
      <c r="C182" s="2">
        <v>6.3125000000000001E-2</v>
      </c>
      <c r="D182">
        <v>181</v>
      </c>
      <c r="E182" s="5" t="s">
        <v>197</v>
      </c>
      <c r="F182">
        <v>0</v>
      </c>
    </row>
    <row r="183" spans="1:6" x14ac:dyDescent="0.25">
      <c r="A183">
        <v>182</v>
      </c>
      <c r="B183" s="1">
        <v>45070</v>
      </c>
      <c r="C183" s="2">
        <v>6.3159722222222228E-2</v>
      </c>
      <c r="D183">
        <v>182</v>
      </c>
      <c r="E183" s="5" t="s">
        <v>198</v>
      </c>
      <c r="F183">
        <v>0</v>
      </c>
    </row>
    <row r="184" spans="1:6" x14ac:dyDescent="0.25">
      <c r="A184">
        <v>183</v>
      </c>
      <c r="B184" s="1">
        <v>45070</v>
      </c>
      <c r="C184" s="2">
        <v>6.3240740740740736E-2</v>
      </c>
      <c r="D184">
        <v>183</v>
      </c>
      <c r="E184" s="5" t="s">
        <v>199</v>
      </c>
      <c r="F184">
        <v>0</v>
      </c>
    </row>
    <row r="185" spans="1:6" x14ac:dyDescent="0.25">
      <c r="A185">
        <v>184</v>
      </c>
      <c r="B185" s="1">
        <v>45070</v>
      </c>
      <c r="C185" s="2">
        <v>6.3935185185185192E-2</v>
      </c>
      <c r="D185">
        <v>184</v>
      </c>
      <c r="E185" s="5" t="s">
        <v>200</v>
      </c>
      <c r="F185">
        <v>0</v>
      </c>
    </row>
    <row r="186" spans="1:6" x14ac:dyDescent="0.25">
      <c r="A186">
        <v>185</v>
      </c>
      <c r="B186" s="1">
        <v>45070</v>
      </c>
      <c r="C186" s="2">
        <v>6.4398148148148149E-2</v>
      </c>
      <c r="D186">
        <v>185</v>
      </c>
      <c r="E186" s="5" t="s">
        <v>201</v>
      </c>
      <c r="F186">
        <v>0</v>
      </c>
    </row>
    <row r="187" spans="1:6" x14ac:dyDescent="0.25">
      <c r="A187">
        <v>186</v>
      </c>
      <c r="B187" s="1">
        <v>45070</v>
      </c>
      <c r="C187" s="2">
        <v>6.5578703703703708E-2</v>
      </c>
      <c r="D187">
        <v>186</v>
      </c>
      <c r="E187" s="5" t="s">
        <v>202</v>
      </c>
      <c r="F187">
        <v>0</v>
      </c>
    </row>
    <row r="188" spans="1:6" x14ac:dyDescent="0.25">
      <c r="A188">
        <v>187</v>
      </c>
      <c r="B188" s="1">
        <v>45070</v>
      </c>
      <c r="C188" s="2">
        <v>6.5914351851851849E-2</v>
      </c>
      <c r="D188">
        <v>187</v>
      </c>
      <c r="E188" s="5" t="s">
        <v>203</v>
      </c>
      <c r="F188">
        <v>0</v>
      </c>
    </row>
    <row r="189" spans="1:6" x14ac:dyDescent="0.25">
      <c r="A189">
        <v>188</v>
      </c>
      <c r="B189" s="1">
        <v>45070</v>
      </c>
      <c r="C189" s="2">
        <v>6.6805555555555562E-2</v>
      </c>
      <c r="D189">
        <v>188</v>
      </c>
      <c r="E189" s="5" t="s">
        <v>204</v>
      </c>
      <c r="F189">
        <v>0</v>
      </c>
    </row>
    <row r="190" spans="1:6" x14ac:dyDescent="0.25">
      <c r="A190">
        <v>189</v>
      </c>
      <c r="B190" s="1">
        <v>45070</v>
      </c>
      <c r="C190" s="2">
        <v>6.7465277777777777E-2</v>
      </c>
      <c r="D190">
        <v>189</v>
      </c>
      <c r="E190" s="5" t="s">
        <v>205</v>
      </c>
      <c r="F190">
        <v>0</v>
      </c>
    </row>
    <row r="191" spans="1:6" x14ac:dyDescent="0.25">
      <c r="A191">
        <v>190</v>
      </c>
      <c r="B191" s="1">
        <v>45070</v>
      </c>
      <c r="C191" s="2">
        <v>6.8206018518518513E-2</v>
      </c>
      <c r="D191">
        <v>190</v>
      </c>
      <c r="E191" s="5" t="s">
        <v>206</v>
      </c>
      <c r="F191">
        <v>0</v>
      </c>
    </row>
    <row r="192" spans="1:6" x14ac:dyDescent="0.25">
      <c r="A192">
        <v>191</v>
      </c>
      <c r="B192" s="1">
        <v>45070</v>
      </c>
      <c r="C192" s="2">
        <v>6.8425925925925932E-2</v>
      </c>
      <c r="D192">
        <v>191</v>
      </c>
      <c r="E192" s="5" t="s">
        <v>207</v>
      </c>
      <c r="F192">
        <v>0</v>
      </c>
    </row>
    <row r="193" spans="1:6" x14ac:dyDescent="0.25">
      <c r="A193">
        <v>192</v>
      </c>
      <c r="B193" s="1">
        <v>45070</v>
      </c>
      <c r="C193" s="2">
        <v>6.8460648148148145E-2</v>
      </c>
      <c r="D193">
        <v>192</v>
      </c>
      <c r="E193" s="5" t="s">
        <v>208</v>
      </c>
      <c r="F193">
        <v>0</v>
      </c>
    </row>
    <row r="194" spans="1:6" x14ac:dyDescent="0.25">
      <c r="A194">
        <v>193</v>
      </c>
      <c r="B194" s="1">
        <v>45070</v>
      </c>
      <c r="C194" s="2">
        <v>6.9537037037037036E-2</v>
      </c>
      <c r="D194">
        <v>193</v>
      </c>
      <c r="E194" s="5" t="s">
        <v>209</v>
      </c>
      <c r="F194">
        <v>0</v>
      </c>
    </row>
    <row r="195" spans="1:6" x14ac:dyDescent="0.25">
      <c r="A195">
        <v>194</v>
      </c>
      <c r="B195" s="1">
        <v>45070</v>
      </c>
      <c r="C195" s="2">
        <v>6.9629629629629625E-2</v>
      </c>
      <c r="D195">
        <v>194</v>
      </c>
      <c r="E195" s="5" t="s">
        <v>210</v>
      </c>
      <c r="F195">
        <v>0</v>
      </c>
    </row>
    <row r="196" spans="1:6" x14ac:dyDescent="0.25">
      <c r="A196">
        <v>195</v>
      </c>
      <c r="B196" s="1">
        <v>45070</v>
      </c>
      <c r="C196" s="2">
        <v>7.0092592592592595E-2</v>
      </c>
      <c r="D196">
        <v>195</v>
      </c>
      <c r="E196" s="5" t="s">
        <v>211</v>
      </c>
      <c r="F196">
        <v>0</v>
      </c>
    </row>
    <row r="197" spans="1:6" x14ac:dyDescent="0.25">
      <c r="A197">
        <v>196</v>
      </c>
      <c r="B197" s="1">
        <v>45070</v>
      </c>
      <c r="C197" s="2">
        <v>7.0266203703703706E-2</v>
      </c>
      <c r="D197">
        <v>196</v>
      </c>
      <c r="E197" s="5" t="s">
        <v>212</v>
      </c>
      <c r="F197">
        <v>0</v>
      </c>
    </row>
    <row r="198" spans="1:6" x14ac:dyDescent="0.25">
      <c r="A198">
        <v>197</v>
      </c>
      <c r="B198" s="1">
        <v>45070</v>
      </c>
      <c r="C198" s="2">
        <v>7.0370370370370375E-2</v>
      </c>
      <c r="D198">
        <v>197</v>
      </c>
      <c r="E198" s="5" t="s">
        <v>213</v>
      </c>
      <c r="F198">
        <v>0</v>
      </c>
    </row>
    <row r="199" spans="1:6" x14ac:dyDescent="0.25">
      <c r="A199">
        <v>198</v>
      </c>
      <c r="B199" s="1">
        <v>45070</v>
      </c>
      <c r="C199" s="2">
        <v>7.0428240740740736E-2</v>
      </c>
      <c r="D199">
        <v>198</v>
      </c>
      <c r="E199" s="5" t="s">
        <v>214</v>
      </c>
      <c r="F199">
        <v>0</v>
      </c>
    </row>
    <row r="200" spans="1:6" x14ac:dyDescent="0.25">
      <c r="A200">
        <v>199</v>
      </c>
      <c r="B200" s="1">
        <v>45070</v>
      </c>
      <c r="C200" s="2">
        <v>7.1030092592592589E-2</v>
      </c>
      <c r="D200">
        <v>199</v>
      </c>
      <c r="E200" s="5" t="s">
        <v>215</v>
      </c>
      <c r="F200">
        <v>0</v>
      </c>
    </row>
    <row r="201" spans="1:6" x14ac:dyDescent="0.25">
      <c r="A201">
        <v>200</v>
      </c>
      <c r="B201" s="1">
        <v>45070</v>
      </c>
      <c r="C201" s="2">
        <v>7.1261574074074074E-2</v>
      </c>
      <c r="D201">
        <v>200</v>
      </c>
      <c r="E201" s="5" t="s">
        <v>216</v>
      </c>
      <c r="F201">
        <v>0</v>
      </c>
    </row>
    <row r="202" spans="1:6" x14ac:dyDescent="0.25">
      <c r="B202" s="1"/>
      <c r="C202" s="2"/>
      <c r="E202" s="5"/>
    </row>
    <row r="203" spans="1:6" x14ac:dyDescent="0.25">
      <c r="E203" s="5"/>
    </row>
    <row r="204" spans="1:6" x14ac:dyDescent="0.25">
      <c r="E204" s="5"/>
    </row>
    <row r="205" spans="1:6" x14ac:dyDescent="0.25">
      <c r="E205" s="5"/>
    </row>
    <row r="206" spans="1:6" x14ac:dyDescent="0.25">
      <c r="E206" s="5"/>
    </row>
    <row r="207" spans="1:6" x14ac:dyDescent="0.25">
      <c r="E207" s="5"/>
    </row>
    <row r="208" spans="1:6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  <ignoredErrors>
    <ignoredError sqref="U14:W14 L14:M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opLeftCell="A199" workbookViewId="0">
      <selection activeCell="K213" sqref="A202:K213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217</v>
      </c>
      <c r="B1" t="s">
        <v>1</v>
      </c>
      <c r="C1" t="s">
        <v>2</v>
      </c>
      <c r="D1" t="s">
        <v>3</v>
      </c>
      <c r="E1" t="s">
        <v>4</v>
      </c>
      <c r="F1" t="s">
        <v>218</v>
      </c>
      <c r="G1" t="s">
        <v>219</v>
      </c>
      <c r="H1" t="s">
        <v>220</v>
      </c>
      <c r="I1" t="s">
        <v>221</v>
      </c>
      <c r="J1" t="s">
        <v>219</v>
      </c>
      <c r="K1" t="s">
        <v>220</v>
      </c>
      <c r="L1" t="s">
        <v>6</v>
      </c>
      <c r="M1" s="10">
        <v>0.87413194444444442</v>
      </c>
      <c r="N1" s="10">
        <v>0.88454861111111116</v>
      </c>
      <c r="O1" s="3" t="s">
        <v>222</v>
      </c>
      <c r="P1" s="3" t="s">
        <v>223</v>
      </c>
      <c r="Q1" s="3" t="s">
        <v>224</v>
      </c>
      <c r="R1" s="3" t="s">
        <v>225</v>
      </c>
      <c r="S1" s="3" t="s">
        <v>17</v>
      </c>
      <c r="T1" s="3" t="s">
        <v>226</v>
      </c>
      <c r="V1" s="10">
        <v>0.87413194444444442</v>
      </c>
      <c r="W1" s="10">
        <v>0.88454861111111116</v>
      </c>
      <c r="X1" s="3" t="s">
        <v>227</v>
      </c>
      <c r="Y1" s="3" t="s">
        <v>223</v>
      </c>
      <c r="Z1" s="3" t="s">
        <v>224</v>
      </c>
      <c r="AA1" s="3" t="s">
        <v>225</v>
      </c>
      <c r="AB1" s="3" t="s">
        <v>17</v>
      </c>
      <c r="AC1" s="3" t="s">
        <v>226</v>
      </c>
    </row>
    <row r="2" spans="1:29" x14ac:dyDescent="0.25">
      <c r="A2">
        <v>1</v>
      </c>
      <c r="B2" s="1">
        <v>45069</v>
      </c>
      <c r="C2" s="2">
        <v>0.87413194444444442</v>
      </c>
      <c r="D2">
        <f>Identyfikacja!D2</f>
        <v>1</v>
      </c>
      <c r="E2" s="5" t="s">
        <v>19</v>
      </c>
      <c r="G2">
        <v>0</v>
      </c>
      <c r="J2">
        <v>0</v>
      </c>
      <c r="M2" s="11"/>
      <c r="N2" s="11"/>
      <c r="O2" s="3" t="s">
        <v>228</v>
      </c>
      <c r="P2" s="3">
        <f t="shared" ref="P2:P10" si="0">Q2+R2</f>
        <v>0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0</v>
      </c>
      <c r="S2" s="3">
        <f>COUNTIFS(C:C,"&gt;="&amp;M1,C:C,"&lt;"&amp;N1,F:F,"=6",G:G,"=2",D:D,"&lt;&gt;x")</f>
        <v>0</v>
      </c>
      <c r="T2" s="7" t="str">
        <f t="shared" ref="T2:T10" si="1">IF(P2&gt;0,Q2/P2,"-")</f>
        <v>-</v>
      </c>
      <c r="V2" s="11"/>
      <c r="W2" s="11"/>
      <c r="X2" s="3" t="s">
        <v>229</v>
      </c>
      <c r="Y2" s="3">
        <f t="shared" ref="Y2:Y9" si="2">Z2+AA2</f>
        <v>3</v>
      </c>
      <c r="Z2" s="3">
        <f>COUNTIFS(C:C,"&gt;="&amp;M1,C:C,"&lt;"&amp;N1,I:I,"=1",J:J,"=0",D:D,"&lt;&gt;x")</f>
        <v>3</v>
      </c>
      <c r="AA2" s="3">
        <f>COUNTIFS(C:C,"&gt;="&amp;M1,C:C,"&lt;"&amp;N1,I:I,"=1",J:J,"=1",D:D,"&lt;&gt;x")</f>
        <v>0</v>
      </c>
      <c r="AB2" s="3">
        <f>COUNTIFS(C:C,"&gt;="&amp;M1,C:C,"&lt;"&amp;N1,I:I,"=1",J:J,"=2",D:D,"&lt;&gt;x")</f>
        <v>0</v>
      </c>
      <c r="AC2" s="7">
        <f t="shared" ref="AC2:AC9" si="3">IF(Y2&gt;0,Z2/Y2,"-")</f>
        <v>1</v>
      </c>
    </row>
    <row r="3" spans="1:29" x14ac:dyDescent="0.25">
      <c r="A3">
        <v>2</v>
      </c>
      <c r="B3" s="1">
        <v>45069</v>
      </c>
      <c r="C3" s="2">
        <v>0.87509259259259264</v>
      </c>
      <c r="D3">
        <f>Identyfikacja!D3</f>
        <v>2</v>
      </c>
      <c r="E3" s="5" t="s">
        <v>20</v>
      </c>
      <c r="F3">
        <v>7</v>
      </c>
      <c r="G3">
        <v>0</v>
      </c>
      <c r="I3">
        <v>1</v>
      </c>
      <c r="J3">
        <v>0</v>
      </c>
      <c r="M3" s="11"/>
      <c r="N3" s="11"/>
      <c r="O3" s="3" t="s">
        <v>230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11"/>
      <c r="W3" s="11"/>
      <c r="X3" s="3" t="s">
        <v>231</v>
      </c>
      <c r="Y3" s="3">
        <f t="shared" si="2"/>
        <v>3</v>
      </c>
      <c r="Z3" s="3">
        <f>COUNTIFS(C:C,"&gt;="&amp;M1,C:C,"&lt;"&amp;N1,I:I,"=2",J:J,"=0",D:D,"&lt;&gt;x")</f>
        <v>1</v>
      </c>
      <c r="AA3" s="3">
        <f>COUNTIFS(C:C,"&gt;="&amp;M1,C:C,"&lt;"&amp;N1,I:I,"=2",J:J,"=1",D:D,"&lt;&gt;x")</f>
        <v>2</v>
      </c>
      <c r="AB3" s="3">
        <f>COUNTIFS(C:C,"&gt;="&amp;M1,C:C,"&lt;"&amp;N1,I:I,"=2",J:J,"=2",D:D,"&lt;&gt;x")</f>
        <v>1</v>
      </c>
      <c r="AC3" s="7">
        <f t="shared" si="3"/>
        <v>0.33333333333333331</v>
      </c>
    </row>
    <row r="4" spans="1:29" x14ac:dyDescent="0.25">
      <c r="A4">
        <v>3</v>
      </c>
      <c r="B4" s="1">
        <v>45069</v>
      </c>
      <c r="C4" s="2">
        <v>0.87511574074074072</v>
      </c>
      <c r="D4">
        <f>Identyfikacja!D4</f>
        <v>3</v>
      </c>
      <c r="E4" s="5" t="s">
        <v>21</v>
      </c>
      <c r="F4">
        <v>7</v>
      </c>
      <c r="G4">
        <v>0</v>
      </c>
      <c r="I4">
        <v>1</v>
      </c>
      <c r="J4">
        <v>0</v>
      </c>
      <c r="M4" s="11"/>
      <c r="N4" s="11"/>
      <c r="O4" s="3" t="s">
        <v>232</v>
      </c>
      <c r="P4" s="3">
        <f t="shared" si="0"/>
        <v>3</v>
      </c>
      <c r="Q4" s="3">
        <f>COUNTIFS(C:C,"&gt;="&amp;M1,C:C,"&lt;"&amp;N1,F:F,"=7",G:G,"=0",D:D,"&lt;&gt;x")</f>
        <v>3</v>
      </c>
      <c r="R4" s="3">
        <f>COUNTIFS(C:C,"&gt;="&amp;M1,C:C,"&lt;"&amp;N1,F:F,"=7",G:G,"=1",D:D,"&lt;&gt;x")</f>
        <v>0</v>
      </c>
      <c r="S4" s="3">
        <f>COUNTIFS(C:C,"&gt;="&amp;M1,C:C,"&lt;"&amp;N1,F:F,"=7",G:G,"=2",D:D,"&lt;&gt;x")</f>
        <v>0</v>
      </c>
      <c r="T4" s="7">
        <f t="shared" si="1"/>
        <v>1</v>
      </c>
      <c r="V4" s="11"/>
      <c r="W4" s="11"/>
      <c r="X4" s="3" t="s">
        <v>233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45069</v>
      </c>
      <c r="C5" s="2">
        <v>0.87927083333333333</v>
      </c>
      <c r="D5">
        <f>Identyfikacja!D5</f>
        <v>4</v>
      </c>
      <c r="E5" s="5" t="s">
        <v>22</v>
      </c>
      <c r="F5">
        <v>3</v>
      </c>
      <c r="G5">
        <v>1</v>
      </c>
      <c r="H5">
        <v>11</v>
      </c>
      <c r="I5">
        <v>2</v>
      </c>
      <c r="J5">
        <v>1</v>
      </c>
      <c r="K5">
        <v>1</v>
      </c>
      <c r="M5" s="11"/>
      <c r="N5" s="11"/>
      <c r="O5" s="3" t="s">
        <v>234</v>
      </c>
      <c r="P5" s="3">
        <f t="shared" si="0"/>
        <v>0</v>
      </c>
      <c r="Q5" s="3">
        <f>COUNTIFS(C:C,"&gt;="&amp;M1,C:C,"&lt;"&amp;N1,F:F,"=11",G:G,"=0",D:D,"&lt;&gt;x")</f>
        <v>0</v>
      </c>
      <c r="R5" s="3">
        <f>COUNTIFS(C:C,"&gt;="&amp;M1,C:C,"&lt;"&amp;N1,F:F,"=11",G:G,"=1",D:D,"&lt;&gt;x")</f>
        <v>0</v>
      </c>
      <c r="S5" s="3">
        <f>COUNTIFS(C:C,"&gt;="&amp;M1,C:C,"&lt;"&amp;N1,F:F,"=11",G:G,"=2",D:D,"&lt;&gt;x")</f>
        <v>0</v>
      </c>
      <c r="T5" s="7" t="str">
        <f t="shared" si="1"/>
        <v>-</v>
      </c>
      <c r="V5" s="11"/>
      <c r="W5" s="11"/>
      <c r="X5" s="3" t="s">
        <v>235</v>
      </c>
      <c r="Y5" s="3">
        <f t="shared" si="2"/>
        <v>0</v>
      </c>
      <c r="Z5" s="3">
        <f>COUNTIFS(C:C,"&gt;="&amp;M1,C:C,"&lt;"&amp;N1,I:I,"=4",J:J,"=0",D:D,"&lt;&gt;x")</f>
        <v>0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0</v>
      </c>
      <c r="AC5" s="7" t="str">
        <f t="shared" si="3"/>
        <v>-</v>
      </c>
    </row>
    <row r="6" spans="1:29" x14ac:dyDescent="0.25">
      <c r="A6">
        <v>5</v>
      </c>
      <c r="B6" s="1">
        <v>45069</v>
      </c>
      <c r="C6" s="2">
        <v>0.87935185185185183</v>
      </c>
      <c r="D6">
        <f>Identyfikacja!D6</f>
        <v>5</v>
      </c>
      <c r="E6" s="5" t="s">
        <v>23</v>
      </c>
      <c r="F6">
        <v>3</v>
      </c>
      <c r="G6">
        <v>1</v>
      </c>
      <c r="H6">
        <v>6</v>
      </c>
      <c r="I6">
        <v>2</v>
      </c>
      <c r="J6">
        <v>1</v>
      </c>
      <c r="K6">
        <v>8</v>
      </c>
      <c r="M6" s="11"/>
      <c r="N6" s="11"/>
      <c r="O6" s="3" t="s">
        <v>236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11"/>
      <c r="W6" s="11"/>
      <c r="X6" s="3" t="s">
        <v>237</v>
      </c>
      <c r="Y6" s="3">
        <f t="shared" si="2"/>
        <v>4</v>
      </c>
      <c r="Z6" s="3">
        <f>COUNTIFS(C:C,"&gt;="&amp;M1,C:C,"&lt;"&amp;N1,I:I,"=5",J:J,"=0",D:D,"&lt;&gt;x")</f>
        <v>3</v>
      </c>
      <c r="AA6" s="3">
        <f>COUNTIFS(C:C,"&gt;="&amp;M1,C:C,"&lt;"&amp;N1,I:I,"=5",J:J,"=1",D:D,"&lt;&gt;x")</f>
        <v>1</v>
      </c>
      <c r="AB6" s="3">
        <f>COUNTIFS(C:C,"&gt;="&amp;M1,C:C,"&lt;"&amp;N1,I:I,"=5",J:J,"=2",D:D,"&lt;&gt;x")</f>
        <v>0</v>
      </c>
      <c r="AC6" s="7">
        <f t="shared" si="3"/>
        <v>0.75</v>
      </c>
    </row>
    <row r="7" spans="1:29" x14ac:dyDescent="0.25">
      <c r="A7">
        <v>6</v>
      </c>
      <c r="B7" s="1">
        <v>45069</v>
      </c>
      <c r="C7" s="2">
        <v>0.87938657407407406</v>
      </c>
      <c r="D7">
        <f>Identyfikacja!D7</f>
        <v>6</v>
      </c>
      <c r="E7" s="5" t="s">
        <v>24</v>
      </c>
      <c r="F7">
        <v>3</v>
      </c>
      <c r="G7">
        <v>2</v>
      </c>
      <c r="H7">
        <v>3</v>
      </c>
      <c r="I7">
        <v>2</v>
      </c>
      <c r="J7">
        <v>2</v>
      </c>
      <c r="K7">
        <v>2</v>
      </c>
      <c r="M7" s="11"/>
      <c r="N7" s="11"/>
      <c r="O7" s="3" t="s">
        <v>238</v>
      </c>
      <c r="P7" s="3">
        <f t="shared" si="0"/>
        <v>3</v>
      </c>
      <c r="Q7" s="3">
        <f>COUNTIFS(C:C,"&gt;="&amp;M1,C:C,"&lt;"&amp;N1,F:F,"=3",G:G,"=0",D:D,"&lt;&gt;x")</f>
        <v>1</v>
      </c>
      <c r="R7" s="3">
        <f>COUNTIFS(C:C,"&gt;="&amp;M1,C:C,"&lt;"&amp;N1,F:F,"=3",G:G,"=1",D:D,"&lt;&gt;x")</f>
        <v>2</v>
      </c>
      <c r="S7" s="3">
        <f>COUNTIFS(C:C,"&gt;="&amp;M1,C:C,"&lt;"&amp;N1,F:F,"=3",G:G,"=2",D:D,"&lt;&gt;x")</f>
        <v>1</v>
      </c>
      <c r="T7" s="7">
        <f t="shared" si="1"/>
        <v>0.33333333333333331</v>
      </c>
      <c r="V7" s="11"/>
      <c r="W7" s="11"/>
      <c r="X7" s="3" t="s">
        <v>239</v>
      </c>
      <c r="Y7" s="3">
        <f t="shared" si="2"/>
        <v>0</v>
      </c>
      <c r="Z7" s="3">
        <f>COUNTIFS(C:C,"&gt;="&amp;M1,C:C,"&lt;"&amp;N1,I:I,"=6",J:J,"=0",D:D,"&lt;&gt;x")</f>
        <v>0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0</v>
      </c>
      <c r="AC7" s="7" t="str">
        <f t="shared" si="3"/>
        <v>-</v>
      </c>
    </row>
    <row r="8" spans="1:29" x14ac:dyDescent="0.25">
      <c r="A8">
        <v>7</v>
      </c>
      <c r="B8" s="1">
        <v>45069</v>
      </c>
      <c r="C8" s="2">
        <v>0.88035879629629632</v>
      </c>
      <c r="D8">
        <f>Identyfikacja!D8</f>
        <v>7</v>
      </c>
      <c r="E8" s="5"/>
      <c r="F8">
        <v>9</v>
      </c>
      <c r="G8">
        <v>0</v>
      </c>
      <c r="I8">
        <v>5</v>
      </c>
      <c r="J8">
        <v>0</v>
      </c>
      <c r="M8" s="11"/>
      <c r="N8" s="11"/>
      <c r="O8" s="3" t="s">
        <v>239</v>
      </c>
      <c r="P8" s="3">
        <f t="shared" si="0"/>
        <v>0</v>
      </c>
      <c r="Q8" s="3">
        <f>COUNTIFS(C:C,"&gt;="&amp;M1,C:C,"&lt;"&amp;N1,F:F,"=8",G:G,"=0",D:D,"&lt;&gt;x")</f>
        <v>0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0</v>
      </c>
      <c r="T8" s="7" t="str">
        <f t="shared" si="1"/>
        <v>-</v>
      </c>
      <c r="V8" s="11"/>
      <c r="W8" s="11"/>
      <c r="X8" s="3" t="s">
        <v>240</v>
      </c>
      <c r="Y8" s="3">
        <f t="shared" si="2"/>
        <v>0</v>
      </c>
      <c r="Z8" s="3">
        <f>COUNTIFS(C:C,"&gt;="&amp;M1,C:C,"&lt;"&amp;N1,I:I,"=7",J:J,"=0",D:D,"&lt;&gt;x")</f>
        <v>0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 t="str">
        <f t="shared" si="3"/>
        <v>-</v>
      </c>
    </row>
    <row r="9" spans="1:29" x14ac:dyDescent="0.25">
      <c r="A9">
        <v>8</v>
      </c>
      <c r="B9" s="1">
        <v>45069</v>
      </c>
      <c r="C9" s="2">
        <v>0.88107638888888884</v>
      </c>
      <c r="D9">
        <f>Identyfikacja!D9</f>
        <v>8</v>
      </c>
      <c r="E9" s="5" t="s">
        <v>25</v>
      </c>
      <c r="F9">
        <v>9</v>
      </c>
      <c r="G9">
        <v>0</v>
      </c>
      <c r="I9">
        <v>5</v>
      </c>
      <c r="J9">
        <v>0</v>
      </c>
      <c r="M9" s="11"/>
      <c r="N9" s="11"/>
      <c r="O9" s="3" t="s">
        <v>241</v>
      </c>
      <c r="P9" s="3">
        <f t="shared" si="0"/>
        <v>4</v>
      </c>
      <c r="Q9" s="3">
        <f>COUNTIFS(C:C,"&gt;="&amp;M1,C:C,"&lt;"&amp;N1,F:F,"=9",G:G,"=0",D:D,"&lt;&gt;x")</f>
        <v>4</v>
      </c>
      <c r="R9" s="3">
        <f>COUNTIFS(C:C,"&gt;="&amp;M1,C:C,"&lt;"&amp;N1,F:F,"=9",G:G,"=1",D:D,"&lt;&gt;x")</f>
        <v>0</v>
      </c>
      <c r="S9" s="3">
        <f>COUNTIFS(C:C,"&gt;="&amp;M1,C:C,"&lt;"&amp;N1,F:F,"=9",G:G,"=2",D:D,"&lt;&gt;x")</f>
        <v>0</v>
      </c>
      <c r="T9" s="7">
        <f t="shared" si="1"/>
        <v>1</v>
      </c>
      <c r="V9" s="11"/>
      <c r="W9" s="11"/>
      <c r="X9" s="3" t="s">
        <v>242</v>
      </c>
      <c r="Y9" s="3">
        <f t="shared" si="2"/>
        <v>0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0</v>
      </c>
      <c r="AB9" s="3">
        <f>COUNTIFS(C:C,"&gt;="&amp;M1,C:C,"&lt;"&amp;N1,I:I,"=8",J:J,"=2",D:D,"&lt;&gt;x")</f>
        <v>0</v>
      </c>
      <c r="AC9" s="7" t="str">
        <f t="shared" si="3"/>
        <v>-</v>
      </c>
    </row>
    <row r="10" spans="1:29" x14ac:dyDescent="0.25">
      <c r="A10">
        <v>9</v>
      </c>
      <c r="B10" s="1">
        <v>45069</v>
      </c>
      <c r="C10" s="2">
        <v>0.88168981481481479</v>
      </c>
      <c r="D10">
        <f>Identyfikacja!D10</f>
        <v>9</v>
      </c>
      <c r="E10" s="5" t="s">
        <v>26</v>
      </c>
      <c r="F10">
        <v>3</v>
      </c>
      <c r="G10">
        <v>0</v>
      </c>
      <c r="I10">
        <v>2</v>
      </c>
      <c r="J10">
        <v>0</v>
      </c>
      <c r="M10" s="11"/>
      <c r="N10" s="11"/>
      <c r="O10" s="3" t="s">
        <v>240</v>
      </c>
      <c r="P10" s="3">
        <f t="shared" si="0"/>
        <v>0</v>
      </c>
      <c r="Q10" s="3">
        <f>COUNTIFS(C:C,"&gt;="&amp;M1,C:C,"&lt;"&amp;N1,F:F,"=5",G:G,"=0",D:D,"&lt;&gt;x")</f>
        <v>0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 t="str">
        <f t="shared" si="1"/>
        <v>-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0.88288194444444446</v>
      </c>
      <c r="D11">
        <f>Identyfikacja!D11</f>
        <v>10</v>
      </c>
      <c r="E11" s="5" t="s">
        <v>27</v>
      </c>
      <c r="F11">
        <v>9</v>
      </c>
      <c r="G11">
        <v>0</v>
      </c>
      <c r="I11">
        <v>5</v>
      </c>
      <c r="J11">
        <v>1</v>
      </c>
      <c r="K11">
        <v>4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45069</v>
      </c>
      <c r="C12" s="2">
        <v>0.88291666666666668</v>
      </c>
      <c r="D12">
        <f>Identyfikacja!D12</f>
        <v>11</v>
      </c>
      <c r="E12" s="5" t="s">
        <v>28</v>
      </c>
      <c r="F12">
        <v>7</v>
      </c>
      <c r="G12">
        <v>0</v>
      </c>
      <c r="I12">
        <v>1</v>
      </c>
      <c r="J12">
        <v>0</v>
      </c>
      <c r="M12" s="10">
        <v>0.88454861111111116</v>
      </c>
      <c r="N12" s="10">
        <v>0.89496527777777779</v>
      </c>
      <c r="O12" s="3" t="s">
        <v>222</v>
      </c>
      <c r="P12" s="3" t="s">
        <v>223</v>
      </c>
      <c r="Q12" s="3" t="s">
        <v>224</v>
      </c>
      <c r="R12" s="3" t="s">
        <v>225</v>
      </c>
      <c r="S12" s="3" t="s">
        <v>17</v>
      </c>
      <c r="T12" s="3" t="s">
        <v>226</v>
      </c>
      <c r="V12" s="10">
        <v>0.88454861111111116</v>
      </c>
      <c r="W12" s="10">
        <v>0.89496527777777779</v>
      </c>
      <c r="X12" s="3" t="s">
        <v>227</v>
      </c>
      <c r="Y12" s="3" t="s">
        <v>223</v>
      </c>
      <c r="Z12" s="3" t="s">
        <v>224</v>
      </c>
      <c r="AA12" s="3" t="s">
        <v>225</v>
      </c>
      <c r="AB12" s="3" t="s">
        <v>17</v>
      </c>
      <c r="AC12" s="3" t="s">
        <v>226</v>
      </c>
    </row>
    <row r="13" spans="1:29" x14ac:dyDescent="0.25">
      <c r="A13">
        <v>12</v>
      </c>
      <c r="B13" s="1">
        <v>45069</v>
      </c>
      <c r="C13" s="2">
        <v>0.88344907407407403</v>
      </c>
      <c r="D13">
        <f>Identyfikacja!D13</f>
        <v>12</v>
      </c>
      <c r="E13" s="5" t="s">
        <v>29</v>
      </c>
      <c r="F13">
        <v>9</v>
      </c>
      <c r="G13">
        <v>0</v>
      </c>
      <c r="I13">
        <v>5</v>
      </c>
      <c r="J13">
        <v>0</v>
      </c>
      <c r="M13" s="11"/>
      <c r="N13" s="11"/>
      <c r="O13" s="3" t="s">
        <v>228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0</v>
      </c>
      <c r="T13" s="7" t="str">
        <f t="shared" ref="T13:T21" si="5">IF(P13&gt;0,Q13/P13,"-")</f>
        <v>-</v>
      </c>
      <c r="V13" s="11"/>
      <c r="W13" s="11"/>
      <c r="X13" s="3" t="s">
        <v>229</v>
      </c>
      <c r="Y13" s="3">
        <f t="shared" ref="Y13:Y20" si="6">Z13+AA13</f>
        <v>7</v>
      </c>
      <c r="Z13" s="3">
        <f>COUNTIFS(C:C,"&gt;="&amp;M12,C:C,"&lt;"&amp;N12,I:I,"=1",J:J,"=0",D:D,"&lt;&gt;x")</f>
        <v>7</v>
      </c>
      <c r="AA13" s="3">
        <f>COUNTIFS(C:C,"&gt;="&amp;M12,C:C,"&lt;"&amp;N12,I:I,"=1",J:J,"=1",D:D,"&lt;&gt;x")</f>
        <v>0</v>
      </c>
      <c r="AB13" s="3">
        <f>COUNTIFS(C:C,"&gt;="&amp;M12,C:C,"&lt;"&amp;N12,I:I,"=1",J:J,"=2",D:D,"&lt;&gt;x")</f>
        <v>0</v>
      </c>
      <c r="AC13" s="7">
        <f t="shared" ref="AC13:AC20" si="7">IF(Y13&gt;0,Z13/Y13,"-")</f>
        <v>1</v>
      </c>
    </row>
    <row r="14" spans="1:29" x14ac:dyDescent="0.25">
      <c r="A14">
        <v>13</v>
      </c>
      <c r="B14" s="1">
        <v>45069</v>
      </c>
      <c r="C14" s="2">
        <v>0.88531249999999995</v>
      </c>
      <c r="D14">
        <f>Identyfikacja!D14</f>
        <v>13</v>
      </c>
      <c r="E14" s="5" t="s">
        <v>30</v>
      </c>
      <c r="F14">
        <v>9</v>
      </c>
      <c r="G14">
        <v>2</v>
      </c>
      <c r="H14">
        <v>9</v>
      </c>
      <c r="I14">
        <v>4</v>
      </c>
      <c r="J14">
        <v>2</v>
      </c>
      <c r="K14">
        <v>4</v>
      </c>
      <c r="M14" s="11"/>
      <c r="N14" s="11"/>
      <c r="O14" s="3" t="s">
        <v>230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11"/>
      <c r="W14" s="11"/>
      <c r="X14" s="3" t="s">
        <v>231</v>
      </c>
      <c r="Y14" s="3">
        <f t="shared" si="6"/>
        <v>2</v>
      </c>
      <c r="Z14" s="3">
        <f>COUNTIFS(C:C,"&gt;="&amp;M12,C:C,"&lt;"&amp;N12,I:I,"=2",J:J,"=0",D:D,"&lt;&gt;x")</f>
        <v>0</v>
      </c>
      <c r="AA14" s="3">
        <f>COUNTIFS(C:C,"&gt;="&amp;M12,C:C,"&lt;"&amp;N12,I:I,"=2",J:J,"=1",D:D,"&lt;&gt;x")</f>
        <v>2</v>
      </c>
      <c r="AB14" s="3">
        <f>COUNTIFS(C:C,"&gt;="&amp;M12,C:C,"&lt;"&amp;N12,I:I,"=2",J:J,"=2",D:D,"&lt;&gt;x")</f>
        <v>0</v>
      </c>
      <c r="AC14" s="7">
        <f t="shared" si="7"/>
        <v>0</v>
      </c>
    </row>
    <row r="15" spans="1:29" x14ac:dyDescent="0.25">
      <c r="A15">
        <v>14</v>
      </c>
      <c r="B15" s="1">
        <v>45069</v>
      </c>
      <c r="C15" s="2">
        <v>0.88535879629629632</v>
      </c>
      <c r="D15">
        <f>Identyfikacja!D15</f>
        <v>14</v>
      </c>
      <c r="E15" s="5" t="s">
        <v>31</v>
      </c>
      <c r="F15">
        <v>7</v>
      </c>
      <c r="G15">
        <v>0</v>
      </c>
      <c r="I15">
        <v>1</v>
      </c>
      <c r="J15">
        <v>0</v>
      </c>
      <c r="M15" s="11"/>
      <c r="N15" s="11"/>
      <c r="O15" s="3" t="s">
        <v>232</v>
      </c>
      <c r="P15" s="3">
        <f t="shared" si="4"/>
        <v>7</v>
      </c>
      <c r="Q15" s="3">
        <f>COUNTIFS(C:C,"&gt;="&amp;M12,C:C,"&lt;"&amp;N12,F:F,"=7",G:G,"=0",D:D,"&lt;&gt;x")</f>
        <v>7</v>
      </c>
      <c r="R15" s="3">
        <f>COUNTIFS(C:C,"&gt;="&amp;M12,C:C,"&lt;"&amp;N12,F:F,"=7",G:G,"=1",D:D,"&lt;&gt;x")</f>
        <v>0</v>
      </c>
      <c r="S15" s="3">
        <f>COUNTIFS(C:C,"&gt;="&amp;M12,C:C,"&lt;"&amp;N12,F:F,"=7",G:G,"=2",D:D,"&lt;&gt;x")</f>
        <v>0</v>
      </c>
      <c r="T15" s="7">
        <f t="shared" si="5"/>
        <v>1</v>
      </c>
      <c r="V15" s="11"/>
      <c r="W15" s="11"/>
      <c r="X15" s="3" t="s">
        <v>233</v>
      </c>
      <c r="Y15" s="3">
        <f t="shared" si="6"/>
        <v>0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 t="str">
        <f t="shared" si="7"/>
        <v>-</v>
      </c>
    </row>
    <row r="16" spans="1:29" x14ac:dyDescent="0.25">
      <c r="A16">
        <v>15</v>
      </c>
      <c r="B16" s="1">
        <v>45069</v>
      </c>
      <c r="C16" s="2">
        <v>0.88818287037037036</v>
      </c>
      <c r="D16">
        <f>Identyfikacja!D16</f>
        <v>15</v>
      </c>
      <c r="E16" s="5" t="s">
        <v>32</v>
      </c>
      <c r="F16">
        <v>9</v>
      </c>
      <c r="G16">
        <v>0</v>
      </c>
      <c r="I16">
        <v>5</v>
      </c>
      <c r="J16">
        <v>0</v>
      </c>
      <c r="M16" s="11"/>
      <c r="N16" s="11"/>
      <c r="O16" s="3" t="s">
        <v>234</v>
      </c>
      <c r="P16" s="3">
        <f t="shared" si="4"/>
        <v>0</v>
      </c>
      <c r="Q16" s="3">
        <f>COUNTIFS(C:C,"&gt;="&amp;M12,C:C,"&lt;"&amp;N12,F:F,"=11",G:G,"=0",D:D,"&lt;&gt;x")</f>
        <v>0</v>
      </c>
      <c r="R16" s="3">
        <f>COUNTIFS(C:C,"&gt;="&amp;M12,C:C,"&lt;"&amp;N12,F:F,"=11",G:G,"=1",D:D,"&lt;&gt;x")</f>
        <v>0</v>
      </c>
      <c r="S16" s="3">
        <f>COUNTIFS(C:C,"&gt;="&amp;M12,C:C,"&lt;"&amp;N12,F:F,"=11",G:G,"=2",D:D,"&lt;&gt;x")</f>
        <v>0</v>
      </c>
      <c r="T16" s="7" t="str">
        <f t="shared" si="5"/>
        <v>-</v>
      </c>
      <c r="V16" s="11"/>
      <c r="W16" s="11"/>
      <c r="X16" s="3" t="s">
        <v>235</v>
      </c>
      <c r="Y16" s="3">
        <f t="shared" si="6"/>
        <v>0</v>
      </c>
      <c r="Z16" s="3">
        <f>COUNTIFS(C:C,"&gt;="&amp;M12,C:C,"&lt;"&amp;N12,I:I,"=4",J:J,"=0",D:D,"&lt;&gt;x")</f>
        <v>0</v>
      </c>
      <c r="AA16" s="3">
        <f>COUNTIFS(C:C,"&gt;="&amp;M12,C:C,"&lt;"&amp;N12,I:I,"=4",J:J,"=1",D:D,"&lt;&gt;x")</f>
        <v>0</v>
      </c>
      <c r="AB16" s="3">
        <f>COUNTIFS(C:C,"&gt;="&amp;M12,C:C,"&lt;"&amp;N12,I:I,"=4",J:J,"=2",D:D,"&lt;&gt;x")</f>
        <v>1</v>
      </c>
      <c r="AC16" s="7" t="str">
        <f t="shared" si="7"/>
        <v>-</v>
      </c>
    </row>
    <row r="17" spans="1:29" x14ac:dyDescent="0.25">
      <c r="A17">
        <v>16</v>
      </c>
      <c r="B17" s="1">
        <v>45069</v>
      </c>
      <c r="C17" s="2">
        <v>0.88821759259259259</v>
      </c>
      <c r="D17">
        <f>Identyfikacja!D17</f>
        <v>16</v>
      </c>
      <c r="E17" s="5" t="s">
        <v>33</v>
      </c>
      <c r="F17">
        <v>9</v>
      </c>
      <c r="G17">
        <v>0</v>
      </c>
      <c r="I17">
        <v>5</v>
      </c>
      <c r="J17">
        <v>1</v>
      </c>
      <c r="K17">
        <v>4</v>
      </c>
      <c r="M17" s="11"/>
      <c r="N17" s="11"/>
      <c r="O17" s="3" t="s">
        <v>236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11"/>
      <c r="W17" s="11"/>
      <c r="X17" s="3" t="s">
        <v>237</v>
      </c>
      <c r="Y17" s="3">
        <f t="shared" si="6"/>
        <v>5</v>
      </c>
      <c r="Z17" s="3">
        <f>COUNTIFS(C:C,"&gt;="&amp;M12,C:C,"&lt;"&amp;N12,I:I,"=5",J:J,"=0",D:D,"&lt;&gt;x")</f>
        <v>2</v>
      </c>
      <c r="AA17" s="3">
        <f>COUNTIFS(C:C,"&gt;="&amp;M12,C:C,"&lt;"&amp;N12,I:I,"=5",J:J,"=1",D:D,"&lt;&gt;x")</f>
        <v>3</v>
      </c>
      <c r="AB17" s="3">
        <f>COUNTIFS(C:C,"&gt;="&amp;M12,C:C,"&lt;"&amp;N12,I:I,"=5",J:J,"=2",D:D,"&lt;&gt;x")</f>
        <v>0</v>
      </c>
      <c r="AC17" s="7">
        <f t="shared" si="7"/>
        <v>0.4</v>
      </c>
    </row>
    <row r="18" spans="1:29" x14ac:dyDescent="0.25">
      <c r="A18">
        <v>17</v>
      </c>
      <c r="B18" s="1">
        <v>45069</v>
      </c>
      <c r="C18" s="2">
        <v>0.88825231481481481</v>
      </c>
      <c r="D18">
        <f>Identyfikacja!D18</f>
        <v>17</v>
      </c>
      <c r="E18" s="5" t="s">
        <v>34</v>
      </c>
      <c r="F18">
        <v>9</v>
      </c>
      <c r="G18">
        <v>0</v>
      </c>
      <c r="I18">
        <v>5</v>
      </c>
      <c r="J18">
        <v>1</v>
      </c>
      <c r="K18">
        <v>4</v>
      </c>
      <c r="M18" s="11"/>
      <c r="N18" s="11"/>
      <c r="O18" s="3" t="s">
        <v>238</v>
      </c>
      <c r="P18" s="3">
        <f t="shared" si="4"/>
        <v>2</v>
      </c>
      <c r="Q18" s="3">
        <f>COUNTIFS(C:C,"&gt;="&amp;M12,C:C,"&lt;"&amp;N12,F:F,"=3",G:G,"=0",D:D,"&lt;&gt;x")</f>
        <v>0</v>
      </c>
      <c r="R18" s="3">
        <f>COUNTIFS(C:C,"&gt;="&amp;M12,C:C,"&lt;"&amp;N12,F:F,"=3",G:G,"=1",D:D,"&lt;&gt;x")</f>
        <v>2</v>
      </c>
      <c r="S18" s="3">
        <f>COUNTIFS(C:C,"&gt;="&amp;M12,C:C,"&lt;"&amp;N12,F:F,"=3",G:G,"=2",D:D,"&lt;&gt;x")</f>
        <v>0</v>
      </c>
      <c r="T18" s="7">
        <f t="shared" si="5"/>
        <v>0</v>
      </c>
      <c r="V18" s="11"/>
      <c r="W18" s="11"/>
      <c r="X18" s="3" t="s">
        <v>239</v>
      </c>
      <c r="Y18" s="3">
        <f t="shared" si="6"/>
        <v>1</v>
      </c>
      <c r="Z18" s="3">
        <f>COUNTIFS(C:C,"&gt;="&amp;M12,C:C,"&lt;"&amp;N12,I:I,"=6",J:J,"=0",D:D,"&lt;&gt;x")</f>
        <v>1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>
        <f t="shared" si="7"/>
        <v>1</v>
      </c>
    </row>
    <row r="19" spans="1:29" x14ac:dyDescent="0.25">
      <c r="A19">
        <v>18</v>
      </c>
      <c r="B19" s="1">
        <v>45069</v>
      </c>
      <c r="C19" s="2">
        <v>0.88981481481481484</v>
      </c>
      <c r="D19">
        <f>Identyfikacja!D19</f>
        <v>18</v>
      </c>
      <c r="E19" s="5" t="s">
        <v>35</v>
      </c>
      <c r="F19">
        <v>9</v>
      </c>
      <c r="G19">
        <v>0</v>
      </c>
      <c r="I19">
        <v>5</v>
      </c>
      <c r="J19">
        <v>1</v>
      </c>
      <c r="K19">
        <v>4</v>
      </c>
      <c r="M19" s="11"/>
      <c r="N19" s="11"/>
      <c r="O19" s="3" t="s">
        <v>239</v>
      </c>
      <c r="P19" s="3">
        <f t="shared" si="4"/>
        <v>1</v>
      </c>
      <c r="Q19" s="3">
        <f>COUNTIFS(C:C,"&gt;="&amp;M12,C:C,"&lt;"&amp;N12,F:F,"=8",G:G,"=0",D:D,"&lt;&gt;x")</f>
        <v>1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>
        <f t="shared" si="5"/>
        <v>1</v>
      </c>
      <c r="V19" s="11"/>
      <c r="W19" s="11"/>
      <c r="X19" s="3" t="s">
        <v>240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45069</v>
      </c>
      <c r="C20" s="2">
        <v>0.88998842592592597</v>
      </c>
      <c r="D20">
        <f>Identyfikacja!D20</f>
        <v>19</v>
      </c>
      <c r="E20" s="5" t="s">
        <v>36</v>
      </c>
      <c r="F20">
        <v>7</v>
      </c>
      <c r="G20">
        <v>0</v>
      </c>
      <c r="I20">
        <v>1</v>
      </c>
      <c r="J20">
        <v>0</v>
      </c>
      <c r="M20" s="11"/>
      <c r="N20" s="11"/>
      <c r="O20" s="3" t="s">
        <v>241</v>
      </c>
      <c r="P20" s="3">
        <f t="shared" si="4"/>
        <v>5</v>
      </c>
      <c r="Q20" s="3">
        <f>COUNTIFS(C:C,"&gt;="&amp;M12,C:C,"&lt;"&amp;N12,F:F,"=9",G:G,"=0",D:D,"&lt;&gt;x")</f>
        <v>5</v>
      </c>
      <c r="R20" s="3">
        <f>COUNTIFS(C:C,"&gt;="&amp;M12,C:C,"&lt;"&amp;N12,F:F,"=9",G:G,"=1",D:D,"&lt;&gt;x")</f>
        <v>0</v>
      </c>
      <c r="S20" s="3">
        <f>COUNTIFS(C:C,"&gt;="&amp;M12,C:C,"&lt;"&amp;N12,F:F,"=9",G:G,"=2",D:D,"&lt;&gt;x")</f>
        <v>1</v>
      </c>
      <c r="T20" s="7">
        <f t="shared" si="5"/>
        <v>1</v>
      </c>
      <c r="V20" s="11"/>
      <c r="W20" s="11"/>
      <c r="X20" s="3" t="s">
        <v>242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0</v>
      </c>
      <c r="AC20" s="7" t="str">
        <f t="shared" si="7"/>
        <v>-</v>
      </c>
    </row>
    <row r="21" spans="1:29" x14ac:dyDescent="0.25">
      <c r="A21">
        <v>20</v>
      </c>
      <c r="B21" s="1">
        <v>45069</v>
      </c>
      <c r="C21" s="2">
        <v>0.89001157407407405</v>
      </c>
      <c r="D21">
        <f>Identyfikacja!D21</f>
        <v>20</v>
      </c>
      <c r="E21" s="5" t="s">
        <v>37</v>
      </c>
      <c r="F21">
        <v>7</v>
      </c>
      <c r="G21">
        <v>0</v>
      </c>
      <c r="I21">
        <v>1</v>
      </c>
      <c r="J21">
        <v>0</v>
      </c>
      <c r="M21" s="11"/>
      <c r="N21" s="11"/>
      <c r="O21" s="3" t="s">
        <v>240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45069</v>
      </c>
      <c r="C22" s="2">
        <v>0.89129629629629625</v>
      </c>
      <c r="D22">
        <f>Identyfikacja!D22</f>
        <v>21</v>
      </c>
      <c r="E22" s="5" t="s">
        <v>39</v>
      </c>
      <c r="F22">
        <v>8</v>
      </c>
      <c r="G22">
        <v>0</v>
      </c>
      <c r="I22">
        <v>6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45069</v>
      </c>
      <c r="C23" s="2">
        <v>0.89209490740740738</v>
      </c>
      <c r="D23">
        <f>Identyfikacja!D23</f>
        <v>22</v>
      </c>
      <c r="E23" s="5" t="s">
        <v>40</v>
      </c>
      <c r="F23">
        <v>3</v>
      </c>
      <c r="G23">
        <v>1</v>
      </c>
      <c r="H23">
        <v>11</v>
      </c>
      <c r="I23">
        <v>2</v>
      </c>
      <c r="J23">
        <v>1</v>
      </c>
      <c r="K23">
        <v>1</v>
      </c>
      <c r="M23" s="10">
        <v>0.89496527777777779</v>
      </c>
      <c r="N23" s="10">
        <v>0.90538194444444442</v>
      </c>
      <c r="O23" s="3" t="s">
        <v>222</v>
      </c>
      <c r="P23" s="3" t="s">
        <v>223</v>
      </c>
      <c r="Q23" s="3" t="s">
        <v>224</v>
      </c>
      <c r="R23" s="3" t="s">
        <v>225</v>
      </c>
      <c r="S23" s="3" t="s">
        <v>17</v>
      </c>
      <c r="T23" s="3" t="s">
        <v>226</v>
      </c>
      <c r="V23" s="10">
        <v>0.89496527777777779</v>
      </c>
      <c r="W23" s="10">
        <v>0.90538194444444442</v>
      </c>
      <c r="X23" s="3" t="s">
        <v>227</v>
      </c>
      <c r="Y23" s="3" t="s">
        <v>223</v>
      </c>
      <c r="Z23" s="3" t="s">
        <v>224</v>
      </c>
      <c r="AA23" s="3" t="s">
        <v>225</v>
      </c>
      <c r="AB23" s="3" t="s">
        <v>17</v>
      </c>
      <c r="AC23" s="3" t="s">
        <v>226</v>
      </c>
    </row>
    <row r="24" spans="1:29" x14ac:dyDescent="0.25">
      <c r="A24">
        <v>23</v>
      </c>
      <c r="B24" s="1">
        <v>45069</v>
      </c>
      <c r="C24" s="2">
        <v>0.89216435185185183</v>
      </c>
      <c r="D24">
        <f>Identyfikacja!D24</f>
        <v>23</v>
      </c>
      <c r="E24" s="5" t="s">
        <v>41</v>
      </c>
      <c r="F24">
        <v>7</v>
      </c>
      <c r="G24">
        <v>0</v>
      </c>
      <c r="I24">
        <v>1</v>
      </c>
      <c r="J24">
        <v>0</v>
      </c>
      <c r="M24" s="11"/>
      <c r="N24" s="11"/>
      <c r="O24" s="3" t="s">
        <v>228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11"/>
      <c r="W24" s="11"/>
      <c r="X24" s="3" t="s">
        <v>229</v>
      </c>
      <c r="Y24" s="3">
        <f t="shared" ref="Y24:Y31" si="10">Z24+AA24</f>
        <v>4</v>
      </c>
      <c r="Z24" s="3">
        <f>COUNTIFS(C:C,"&gt;="&amp;M23,C:C,"&lt;"&amp;N23,I:I,"=1",J:J,"=0",D:D,"&lt;&gt;x")</f>
        <v>4</v>
      </c>
      <c r="AA24" s="3">
        <f>COUNTIFS(C:C,"&gt;="&amp;M23,C:C,"&lt;"&amp;N23,I:I,"=1",J:J,"=1",D:D,"&lt;&gt;x")</f>
        <v>0</v>
      </c>
      <c r="AB24" s="3">
        <f>COUNTIFS(C:C,"&gt;="&amp;M23,C:C,"&lt;"&amp;N23,I:I,"=1",J:J,"=2",D:D,"&lt;&gt;x")</f>
        <v>0</v>
      </c>
      <c r="AC24" s="7">
        <f t="shared" ref="AC24:AC31" si="11">IF(Y24&gt;0,Z24/Y24,"-")</f>
        <v>1</v>
      </c>
    </row>
    <row r="25" spans="1:29" x14ac:dyDescent="0.25">
      <c r="A25">
        <v>24</v>
      </c>
      <c r="B25" s="1">
        <v>45069</v>
      </c>
      <c r="C25" s="2">
        <v>0.89325231481481482</v>
      </c>
      <c r="D25">
        <f>Identyfikacja!D25</f>
        <v>24</v>
      </c>
      <c r="E25" s="5" t="s">
        <v>43</v>
      </c>
      <c r="F25">
        <v>7</v>
      </c>
      <c r="G25">
        <v>0</v>
      </c>
      <c r="I25">
        <v>1</v>
      </c>
      <c r="J25">
        <v>0</v>
      </c>
      <c r="M25" s="11"/>
      <c r="N25" s="11"/>
      <c r="O25" s="3" t="s">
        <v>230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11"/>
      <c r="W25" s="11"/>
      <c r="X25" s="3" t="s">
        <v>231</v>
      </c>
      <c r="Y25" s="3">
        <f t="shared" si="10"/>
        <v>1</v>
      </c>
      <c r="Z25" s="3">
        <f>COUNTIFS(C:C,"&gt;="&amp;M23,C:C,"&lt;"&amp;N23,I:I,"=2",J:J,"=0",D:D,"&lt;&gt;x")</f>
        <v>1</v>
      </c>
      <c r="AA25" s="3">
        <f>COUNTIFS(C:C,"&gt;="&amp;M23,C:C,"&lt;"&amp;N23,I:I,"=2",J:J,"=1",D:D,"&lt;&gt;x")</f>
        <v>0</v>
      </c>
      <c r="AB25" s="3">
        <f>COUNTIFS(C:C,"&gt;="&amp;M23,C:C,"&lt;"&amp;N23,I:I,"=2",J:J,"=2",D:D,"&lt;&gt;x")</f>
        <v>1</v>
      </c>
      <c r="AC25" s="7">
        <f t="shared" si="11"/>
        <v>1</v>
      </c>
    </row>
    <row r="26" spans="1:29" x14ac:dyDescent="0.25">
      <c r="A26">
        <v>25</v>
      </c>
      <c r="B26" s="1">
        <v>45069</v>
      </c>
      <c r="C26" s="2">
        <v>0.89333333333333331</v>
      </c>
      <c r="D26">
        <f>Identyfikacja!D26</f>
        <v>25</v>
      </c>
      <c r="E26" s="5" t="s">
        <v>44</v>
      </c>
      <c r="F26">
        <v>9</v>
      </c>
      <c r="G26">
        <v>0</v>
      </c>
      <c r="I26">
        <v>5</v>
      </c>
      <c r="J26">
        <v>0</v>
      </c>
      <c r="M26" s="11"/>
      <c r="N26" s="11"/>
      <c r="O26" s="3" t="s">
        <v>232</v>
      </c>
      <c r="P26" s="3">
        <f t="shared" si="8"/>
        <v>4</v>
      </c>
      <c r="Q26" s="3">
        <f>COUNTIFS(C:C,"&gt;="&amp;M23,C:C,"&lt;"&amp;N23,F:F,"=7",G:G,"=0",D:D,"&lt;&gt;x")</f>
        <v>3</v>
      </c>
      <c r="R26" s="3">
        <f>COUNTIFS(C:C,"&gt;="&amp;M23,C:C,"&lt;"&amp;N23,F:F,"=7",G:G,"=1",D:D,"&lt;&gt;x")</f>
        <v>1</v>
      </c>
      <c r="S26" s="3">
        <f>COUNTIFS(C:C,"&gt;="&amp;M23,C:C,"&lt;"&amp;N23,F:F,"=7",G:G,"=2",D:D,"&lt;&gt;x")</f>
        <v>0</v>
      </c>
      <c r="T26" s="7">
        <f t="shared" si="9"/>
        <v>0.75</v>
      </c>
      <c r="V26" s="11"/>
      <c r="W26" s="11"/>
      <c r="X26" s="3" t="s">
        <v>233</v>
      </c>
      <c r="Y26" s="3">
        <f t="shared" si="10"/>
        <v>0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0</v>
      </c>
      <c r="AB26" s="3">
        <f>COUNTIFS(C:C,"&gt;="&amp;M23,C:C,"&lt;"&amp;N23,I:I,"=3",J:J,"=2",D:D,"&lt;&gt;x")</f>
        <v>0</v>
      </c>
      <c r="AC26" s="7" t="str">
        <f t="shared" si="11"/>
        <v>-</v>
      </c>
    </row>
    <row r="27" spans="1:29" x14ac:dyDescent="0.25">
      <c r="A27">
        <v>26</v>
      </c>
      <c r="B27" s="1">
        <v>45069</v>
      </c>
      <c r="C27" s="2">
        <v>0.89394675925925926</v>
      </c>
      <c r="D27">
        <f>Identyfikacja!D27</f>
        <v>26</v>
      </c>
      <c r="E27" s="5" t="s">
        <v>45</v>
      </c>
      <c r="F27">
        <v>7</v>
      </c>
      <c r="G27">
        <v>0</v>
      </c>
      <c r="I27">
        <v>1</v>
      </c>
      <c r="J27">
        <v>0</v>
      </c>
      <c r="M27" s="11"/>
      <c r="N27" s="11"/>
      <c r="O27" s="3" t="s">
        <v>234</v>
      </c>
      <c r="P27" s="3">
        <f t="shared" si="8"/>
        <v>0</v>
      </c>
      <c r="Q27" s="3">
        <f>COUNTIFS(C:C,"&gt;="&amp;M23,C:C,"&lt;"&amp;N23,F:F,"=11",G:G,"=0",D:D,"&lt;&gt;x")</f>
        <v>0</v>
      </c>
      <c r="R27" s="3">
        <f>COUNTIFS(C:C,"&gt;="&amp;M23,C:C,"&lt;"&amp;N23,F:F,"=11",G:G,"=1",D:D,"&lt;&gt;x")</f>
        <v>0</v>
      </c>
      <c r="S27" s="3">
        <f>COUNTIFS(C:C,"&gt;="&amp;M23,C:C,"&lt;"&amp;N23,F:F,"=11",G:G,"=2",D:D,"&lt;&gt;x")</f>
        <v>0</v>
      </c>
      <c r="T27" s="7" t="str">
        <f t="shared" si="9"/>
        <v>-</v>
      </c>
      <c r="V27" s="11"/>
      <c r="W27" s="11"/>
      <c r="X27" s="3" t="s">
        <v>235</v>
      </c>
      <c r="Y27" s="3">
        <f t="shared" si="10"/>
        <v>0</v>
      </c>
      <c r="Z27" s="3">
        <f>COUNTIFS(C:C,"&gt;="&amp;M23,C:C,"&lt;"&amp;N23,I:I,"=4",J:J,"=0",D:D,"&lt;&gt;x")</f>
        <v>0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1</v>
      </c>
      <c r="AC27" s="7" t="str">
        <f t="shared" si="11"/>
        <v>-</v>
      </c>
    </row>
    <row r="28" spans="1:29" x14ac:dyDescent="0.25">
      <c r="A28">
        <v>27</v>
      </c>
      <c r="B28" s="1">
        <v>45069</v>
      </c>
      <c r="C28" s="2">
        <v>0.89396990740740745</v>
      </c>
      <c r="D28">
        <f>Identyfikacja!D28</f>
        <v>27</v>
      </c>
      <c r="E28" s="5" t="s">
        <v>46</v>
      </c>
      <c r="F28">
        <v>3</v>
      </c>
      <c r="G28">
        <v>1</v>
      </c>
      <c r="H28">
        <v>7</v>
      </c>
      <c r="I28">
        <v>2</v>
      </c>
      <c r="J28">
        <v>1</v>
      </c>
      <c r="K28">
        <v>1</v>
      </c>
      <c r="M28" s="11"/>
      <c r="N28" s="11"/>
      <c r="O28" s="3" t="s">
        <v>236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 t="str">
        <f t="shared" si="9"/>
        <v>-</v>
      </c>
      <c r="V28" s="11"/>
      <c r="W28" s="11"/>
      <c r="X28" s="3" t="s">
        <v>237</v>
      </c>
      <c r="Y28" s="3">
        <f t="shared" si="10"/>
        <v>2</v>
      </c>
      <c r="Z28" s="3">
        <f>COUNTIFS(C:C,"&gt;="&amp;M23,C:C,"&lt;"&amp;N23,I:I,"=5",J:J,"=0",D:D,"&lt;&gt;x")</f>
        <v>2</v>
      </c>
      <c r="AA28" s="3">
        <f>COUNTIFS(C:C,"&gt;="&amp;M23,C:C,"&lt;"&amp;N23,I:I,"=5",J:J,"=1",D:D,"&lt;&gt;x")</f>
        <v>0</v>
      </c>
      <c r="AB28" s="3">
        <f>COUNTIFS(C:C,"&gt;="&amp;M23,C:C,"&lt;"&amp;N23,I:I,"=5",J:J,"=2",D:D,"&lt;&gt;x")</f>
        <v>0</v>
      </c>
      <c r="AC28" s="7">
        <f t="shared" si="11"/>
        <v>1</v>
      </c>
    </row>
    <row r="29" spans="1:29" x14ac:dyDescent="0.25">
      <c r="A29">
        <v>28</v>
      </c>
      <c r="B29" s="1">
        <v>45069</v>
      </c>
      <c r="C29" s="2">
        <v>0.89401620370370372</v>
      </c>
      <c r="D29">
        <f>Identyfikacja!D29</f>
        <v>28</v>
      </c>
      <c r="E29" s="5" t="s">
        <v>47</v>
      </c>
      <c r="F29">
        <v>7</v>
      </c>
      <c r="G29">
        <v>0</v>
      </c>
      <c r="I29">
        <v>1</v>
      </c>
      <c r="J29">
        <v>0</v>
      </c>
      <c r="M29" s="11"/>
      <c r="N29" s="11"/>
      <c r="O29" s="3" t="s">
        <v>238</v>
      </c>
      <c r="P29" s="3">
        <f t="shared" si="8"/>
        <v>1</v>
      </c>
      <c r="Q29" s="3">
        <f>COUNTIFS(C:C,"&gt;="&amp;M23,C:C,"&lt;"&amp;N23,F:F,"=3",G:G,"=0",D:D,"&lt;&gt;x")</f>
        <v>1</v>
      </c>
      <c r="R29" s="3">
        <f>COUNTIFS(C:C,"&gt;="&amp;M23,C:C,"&lt;"&amp;N23,F:F,"=3",G:G,"=1",D:D,"&lt;&gt;x")</f>
        <v>0</v>
      </c>
      <c r="S29" s="3">
        <f>COUNTIFS(C:C,"&gt;="&amp;M23,C:C,"&lt;"&amp;N23,F:F,"=3",G:G,"=2",D:D,"&lt;&gt;x")</f>
        <v>1</v>
      </c>
      <c r="T29" s="7">
        <f t="shared" si="9"/>
        <v>1</v>
      </c>
      <c r="V29" s="11"/>
      <c r="W29" s="11"/>
      <c r="X29" s="3" t="s">
        <v>239</v>
      </c>
      <c r="Y29" s="3">
        <f t="shared" si="10"/>
        <v>1</v>
      </c>
      <c r="Z29" s="3">
        <f>COUNTIFS(C:C,"&gt;="&amp;M23,C:C,"&lt;"&amp;N23,I:I,"=6",J:J,"=0",D:D,"&lt;&gt;x")</f>
        <v>1</v>
      </c>
      <c r="AA29" s="3">
        <f>COUNTIFS(C:C,"&gt;="&amp;M23,C:C,"&lt;"&amp;N23,I:I,"=6",J:J,"=1",D:D,"&lt;&gt;x")</f>
        <v>0</v>
      </c>
      <c r="AB29" s="3">
        <f>COUNTIFS(C:C,"&gt;="&amp;M23,C:C,"&lt;"&amp;N23,I:I,"=6",J:J,"=2",D:D,"&lt;&gt;x")</f>
        <v>0</v>
      </c>
      <c r="AC29" s="7">
        <f t="shared" si="11"/>
        <v>1</v>
      </c>
    </row>
    <row r="30" spans="1:29" x14ac:dyDescent="0.25">
      <c r="A30">
        <v>29</v>
      </c>
      <c r="B30" s="1">
        <v>45069</v>
      </c>
      <c r="C30" s="2">
        <v>0.89626157407407403</v>
      </c>
      <c r="D30">
        <f>Identyfikacja!D30</f>
        <v>29</v>
      </c>
      <c r="E30" s="5" t="s">
        <v>48</v>
      </c>
      <c r="F30">
        <v>9</v>
      </c>
      <c r="G30">
        <v>2</v>
      </c>
      <c r="H30">
        <v>9</v>
      </c>
      <c r="I30">
        <v>4</v>
      </c>
      <c r="J30">
        <v>2</v>
      </c>
      <c r="K30">
        <v>4</v>
      </c>
      <c r="M30" s="11"/>
      <c r="N30" s="11"/>
      <c r="O30" s="3" t="s">
        <v>239</v>
      </c>
      <c r="P30" s="3">
        <f t="shared" si="8"/>
        <v>1</v>
      </c>
      <c r="Q30" s="3">
        <f>COUNTIFS(C:C,"&gt;="&amp;M23,C:C,"&lt;"&amp;N23,F:F,"=8",G:G,"=0",D:D,"&lt;&gt;x")</f>
        <v>1</v>
      </c>
      <c r="R30" s="3">
        <f>COUNTIFS(C:C,"&gt;="&amp;M23,C:C,"&lt;"&amp;N23,F:F,"=8",G:G,"=1",D:D,"&lt;&gt;x")</f>
        <v>0</v>
      </c>
      <c r="S30" s="3">
        <f>COUNTIFS(C:C,"&gt;="&amp;M23,C:C,"&lt;"&amp;N23,F:F,"=8",G:G,"=2",D:D,"&lt;&gt;x")</f>
        <v>0</v>
      </c>
      <c r="T30" s="7">
        <f t="shared" si="9"/>
        <v>1</v>
      </c>
      <c r="V30" s="11"/>
      <c r="W30" s="11"/>
      <c r="X30" s="3" t="s">
        <v>240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45069</v>
      </c>
      <c r="C31" s="2">
        <v>0.89746527777777774</v>
      </c>
      <c r="D31">
        <f>Identyfikacja!D31</f>
        <v>30</v>
      </c>
      <c r="E31" s="5" t="s">
        <v>49</v>
      </c>
      <c r="F31">
        <v>9</v>
      </c>
      <c r="G31">
        <v>0</v>
      </c>
      <c r="I31">
        <v>5</v>
      </c>
      <c r="J31">
        <v>0</v>
      </c>
      <c r="M31" s="11"/>
      <c r="N31" s="11"/>
      <c r="O31" s="3" t="s">
        <v>241</v>
      </c>
      <c r="P31" s="3">
        <f t="shared" si="8"/>
        <v>2</v>
      </c>
      <c r="Q31" s="3">
        <f>COUNTIFS(C:C,"&gt;="&amp;M23,C:C,"&lt;"&amp;N23,F:F,"=9",G:G,"=0",D:D,"&lt;&gt;x")</f>
        <v>2</v>
      </c>
      <c r="R31" s="3">
        <f>COUNTIFS(C:C,"&gt;="&amp;M23,C:C,"&lt;"&amp;N23,F:F,"=9",G:G,"=1",D:D,"&lt;&gt;x")</f>
        <v>0</v>
      </c>
      <c r="S31" s="3">
        <f>COUNTIFS(C:C,"&gt;="&amp;M23,C:C,"&lt;"&amp;N23,F:F,"=9",G:G,"=2",D:D,"&lt;&gt;x")</f>
        <v>1</v>
      </c>
      <c r="T31" s="7">
        <f t="shared" si="9"/>
        <v>1</v>
      </c>
      <c r="V31" s="11"/>
      <c r="W31" s="11"/>
      <c r="X31" s="3" t="s">
        <v>242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45069</v>
      </c>
      <c r="C32" s="2">
        <v>0.89749999999999996</v>
      </c>
      <c r="D32">
        <f>Identyfikacja!D32</f>
        <v>31</v>
      </c>
      <c r="E32" s="5" t="s">
        <v>50</v>
      </c>
      <c r="F32">
        <v>3</v>
      </c>
      <c r="G32">
        <v>2</v>
      </c>
      <c r="H32">
        <v>3</v>
      </c>
      <c r="I32">
        <v>2</v>
      </c>
      <c r="J32">
        <v>2</v>
      </c>
      <c r="K32">
        <v>2</v>
      </c>
      <c r="M32" s="11"/>
      <c r="N32" s="11"/>
      <c r="O32" s="3" t="s">
        <v>240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45069</v>
      </c>
      <c r="C33" s="2">
        <v>0.89827546296296301</v>
      </c>
      <c r="D33">
        <f>Identyfikacja!D33</f>
        <v>32</v>
      </c>
      <c r="E33" s="5" t="s">
        <v>51</v>
      </c>
      <c r="F33">
        <v>7</v>
      </c>
      <c r="G33">
        <v>1</v>
      </c>
      <c r="H33">
        <v>11</v>
      </c>
      <c r="I33">
        <v>1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45069</v>
      </c>
      <c r="C34" s="2">
        <v>0.90136574074074072</v>
      </c>
      <c r="D34">
        <f>Identyfikacja!D34</f>
        <v>33</v>
      </c>
      <c r="E34" s="5" t="s">
        <v>52</v>
      </c>
      <c r="F34">
        <v>8</v>
      </c>
      <c r="G34">
        <v>0</v>
      </c>
      <c r="I34">
        <v>6</v>
      </c>
      <c r="J34">
        <v>0</v>
      </c>
      <c r="M34" s="10">
        <v>0.90538194444444442</v>
      </c>
      <c r="N34" s="10">
        <v>0.91579861111111116</v>
      </c>
      <c r="O34" s="3" t="s">
        <v>222</v>
      </c>
      <c r="P34" s="3" t="s">
        <v>223</v>
      </c>
      <c r="Q34" s="3" t="s">
        <v>224</v>
      </c>
      <c r="R34" s="3" t="s">
        <v>225</v>
      </c>
      <c r="S34" s="3" t="s">
        <v>17</v>
      </c>
      <c r="T34" s="3" t="s">
        <v>226</v>
      </c>
      <c r="V34" s="10">
        <v>0.90538194444444442</v>
      </c>
      <c r="W34" s="10">
        <v>0.91579861111111116</v>
      </c>
      <c r="X34" s="3" t="s">
        <v>227</v>
      </c>
      <c r="Y34" s="3" t="s">
        <v>223</v>
      </c>
      <c r="Z34" s="3" t="s">
        <v>224</v>
      </c>
      <c r="AA34" s="3" t="s">
        <v>225</v>
      </c>
      <c r="AB34" s="3" t="s">
        <v>17</v>
      </c>
      <c r="AC34" s="3" t="s">
        <v>226</v>
      </c>
    </row>
    <row r="35" spans="1:29" x14ac:dyDescent="0.25">
      <c r="A35">
        <v>34</v>
      </c>
      <c r="B35" s="1">
        <v>45069</v>
      </c>
      <c r="C35" s="2">
        <v>0.90359953703703699</v>
      </c>
      <c r="D35">
        <f>Identyfikacja!D35</f>
        <v>34</v>
      </c>
      <c r="E35" s="5" t="s">
        <v>53</v>
      </c>
      <c r="F35">
        <v>7</v>
      </c>
      <c r="G35">
        <v>0</v>
      </c>
      <c r="I35">
        <v>1</v>
      </c>
      <c r="J35">
        <v>0</v>
      </c>
      <c r="M35" s="11"/>
      <c r="N35" s="11"/>
      <c r="O35" s="3" t="s">
        <v>228</v>
      </c>
      <c r="P35" s="3">
        <f t="shared" ref="P35:P43" si="12">Q35+R35</f>
        <v>0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0</v>
      </c>
      <c r="T35" s="7" t="str">
        <f t="shared" ref="T35:T43" si="13">IF(P35&gt;0,Q35/P35,"-")</f>
        <v>-</v>
      </c>
      <c r="V35" s="11"/>
      <c r="W35" s="11"/>
      <c r="X35" s="3" t="s">
        <v>229</v>
      </c>
      <c r="Y35" s="3">
        <f t="shared" ref="Y35:Y42" si="14">Z35+AA35</f>
        <v>7</v>
      </c>
      <c r="Z35" s="3">
        <f>COUNTIFS(C:C,"&gt;="&amp;M34,C:C,"&lt;"&amp;N34,I:I,"=1",J:J,"=0",D:D,"&lt;&gt;x")</f>
        <v>7</v>
      </c>
      <c r="AA35" s="3">
        <f>COUNTIFS(C:C,"&gt;="&amp;M34,C:C,"&lt;"&amp;N34,I:I,"=1",J:J,"=1",D:D,"&lt;&gt;x")</f>
        <v>0</v>
      </c>
      <c r="AB35" s="3">
        <f>COUNTIFS(C:C,"&gt;="&amp;M34,C:C,"&lt;"&amp;N34,I:I,"=1",J:J,"=2",D:D,"&lt;&gt;x")</f>
        <v>1</v>
      </c>
      <c r="AC35" s="7">
        <f t="shared" ref="AC35:AC42" si="15">IF(Y35&gt;0,Z35/Y35,"-")</f>
        <v>1</v>
      </c>
    </row>
    <row r="36" spans="1:29" x14ac:dyDescent="0.25">
      <c r="A36">
        <v>35</v>
      </c>
      <c r="B36" s="1">
        <v>45069</v>
      </c>
      <c r="C36" s="2">
        <v>0.9036805555555556</v>
      </c>
      <c r="D36">
        <f>Identyfikacja!D36</f>
        <v>35</v>
      </c>
      <c r="E36" s="5" t="s">
        <v>54</v>
      </c>
      <c r="F36">
        <v>7</v>
      </c>
      <c r="G36">
        <v>0</v>
      </c>
      <c r="I36">
        <v>1</v>
      </c>
      <c r="J36">
        <v>0</v>
      </c>
      <c r="M36" s="11"/>
      <c r="N36" s="11"/>
      <c r="O36" s="3" t="s">
        <v>230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11"/>
      <c r="W36" s="11"/>
      <c r="X36" s="3" t="s">
        <v>231</v>
      </c>
      <c r="Y36" s="3">
        <f t="shared" si="14"/>
        <v>2</v>
      </c>
      <c r="Z36" s="3">
        <f>COUNTIFS(C:C,"&gt;="&amp;M34,C:C,"&lt;"&amp;N34,I:I,"=2",J:J,"=0",D:D,"&lt;&gt;x")</f>
        <v>1</v>
      </c>
      <c r="AA36" s="3">
        <f>COUNTIFS(C:C,"&gt;="&amp;M34,C:C,"&lt;"&amp;N34,I:I,"=2",J:J,"=1",D:D,"&lt;&gt;x")</f>
        <v>1</v>
      </c>
      <c r="AB36" s="3">
        <f>COUNTIFS(C:C,"&gt;="&amp;M34,C:C,"&lt;"&amp;N34,I:I,"=2",J:J,"=2",D:D,"&lt;&gt;x")</f>
        <v>0</v>
      </c>
      <c r="AC36" s="7">
        <f t="shared" si="15"/>
        <v>0.5</v>
      </c>
    </row>
    <row r="37" spans="1:29" x14ac:dyDescent="0.25">
      <c r="A37">
        <v>36</v>
      </c>
      <c r="B37" s="1">
        <v>45069</v>
      </c>
      <c r="C37" s="2">
        <v>0.90393518518518523</v>
      </c>
      <c r="D37">
        <f>Identyfikacja!D37</f>
        <v>36</v>
      </c>
      <c r="E37" s="5" t="s">
        <v>55</v>
      </c>
      <c r="F37">
        <v>9</v>
      </c>
      <c r="G37">
        <v>0</v>
      </c>
      <c r="I37">
        <v>5</v>
      </c>
      <c r="J37">
        <v>0</v>
      </c>
      <c r="M37" s="11"/>
      <c r="N37" s="11"/>
      <c r="O37" s="3" t="s">
        <v>232</v>
      </c>
      <c r="P37" s="3">
        <f t="shared" si="12"/>
        <v>5</v>
      </c>
      <c r="Q37" s="3">
        <f>COUNTIFS(C:C,"&gt;="&amp;M34,C:C,"&lt;"&amp;N34,F:F,"=7",G:G,"=0",D:D,"&lt;&gt;x")</f>
        <v>5</v>
      </c>
      <c r="R37" s="3">
        <f>COUNTIFS(C:C,"&gt;="&amp;M34,C:C,"&lt;"&amp;N34,F:F,"=7",G:G,"=1",D:D,"&lt;&gt;x")</f>
        <v>0</v>
      </c>
      <c r="S37" s="3">
        <f>COUNTIFS(C:C,"&gt;="&amp;M34,C:C,"&lt;"&amp;N34,F:F,"=7",G:G,"=2",D:D,"&lt;&gt;x")</f>
        <v>0</v>
      </c>
      <c r="T37" s="7">
        <f t="shared" si="13"/>
        <v>1</v>
      </c>
      <c r="V37" s="11"/>
      <c r="W37" s="11"/>
      <c r="X37" s="3" t="s">
        <v>233</v>
      </c>
      <c r="Y37" s="3">
        <f t="shared" si="14"/>
        <v>0</v>
      </c>
      <c r="Z37" s="3">
        <f>COUNTIFS(C:C,"&gt;="&amp;M34,C:C,"&lt;"&amp;N34,I:I,"=3",J:J,"=0",D:D,"&lt;&gt;x")</f>
        <v>0</v>
      </c>
      <c r="AA37" s="3">
        <f>COUNTIFS(C:C,"&gt;="&amp;M34,C:C,"&lt;"&amp;N34,I:I,"=3",J:J,"=1",D:D,"&lt;&gt;x")</f>
        <v>0</v>
      </c>
      <c r="AB37" s="3">
        <f>COUNTIFS(C:C,"&gt;="&amp;M34,C:C,"&lt;"&amp;N34,I:I,"=3",J:J,"=2",D:D,"&lt;&gt;x")</f>
        <v>0</v>
      </c>
      <c r="AC37" s="7" t="str">
        <f t="shared" si="15"/>
        <v>-</v>
      </c>
    </row>
    <row r="38" spans="1:29" x14ac:dyDescent="0.25">
      <c r="A38">
        <v>37</v>
      </c>
      <c r="B38" s="1">
        <v>45069</v>
      </c>
      <c r="C38" s="2">
        <v>0.90457175925925926</v>
      </c>
      <c r="D38">
        <f>Identyfikacja!D38</f>
        <v>37</v>
      </c>
      <c r="E38" s="5" t="s">
        <v>56</v>
      </c>
      <c r="F38">
        <v>3</v>
      </c>
      <c r="G38">
        <v>0</v>
      </c>
      <c r="I38">
        <v>2</v>
      </c>
      <c r="J38">
        <v>0</v>
      </c>
      <c r="M38" s="11"/>
      <c r="N38" s="11"/>
      <c r="O38" s="3" t="s">
        <v>234</v>
      </c>
      <c r="P38" s="3">
        <f t="shared" si="12"/>
        <v>2</v>
      </c>
      <c r="Q38" s="3">
        <f>COUNTIFS(C:C,"&gt;="&amp;M34,C:C,"&lt;"&amp;N34,F:F,"=11",G:G,"=0",D:D,"&lt;&gt;x")</f>
        <v>2</v>
      </c>
      <c r="R38" s="3">
        <f>COUNTIFS(C:C,"&gt;="&amp;M34,C:C,"&lt;"&amp;N34,F:F,"=11",G:G,"=1",D:D,"&lt;&gt;x")</f>
        <v>0</v>
      </c>
      <c r="S38" s="3">
        <f>COUNTIFS(C:C,"&gt;="&amp;M34,C:C,"&lt;"&amp;N34,F:F,"=11",G:G,"=2",D:D,"&lt;&gt;x")</f>
        <v>0</v>
      </c>
      <c r="T38" s="7">
        <f t="shared" si="13"/>
        <v>1</v>
      </c>
      <c r="V38" s="11"/>
      <c r="W38" s="11"/>
      <c r="X38" s="3" t="s">
        <v>235</v>
      </c>
      <c r="Y38" s="3">
        <f t="shared" si="14"/>
        <v>0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0</v>
      </c>
      <c r="AC38" s="7" t="str">
        <f t="shared" si="15"/>
        <v>-</v>
      </c>
    </row>
    <row r="39" spans="1:29" x14ac:dyDescent="0.25">
      <c r="A39">
        <v>38</v>
      </c>
      <c r="B39" s="1">
        <v>45069</v>
      </c>
      <c r="C39" s="2">
        <v>0.90530092592592593</v>
      </c>
      <c r="D39">
        <f>Identyfikacja!D39</f>
        <v>38</v>
      </c>
      <c r="E39" s="5" t="s">
        <v>57</v>
      </c>
      <c r="F39">
        <v>7</v>
      </c>
      <c r="G39">
        <v>0</v>
      </c>
      <c r="I39">
        <v>1</v>
      </c>
      <c r="J39">
        <v>0</v>
      </c>
      <c r="M39" s="11"/>
      <c r="N39" s="11"/>
      <c r="O39" s="3" t="s">
        <v>236</v>
      </c>
      <c r="P39" s="3">
        <f t="shared" si="12"/>
        <v>0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1</v>
      </c>
      <c r="T39" s="7" t="str">
        <f t="shared" si="13"/>
        <v>-</v>
      </c>
      <c r="V39" s="11"/>
      <c r="W39" s="11"/>
      <c r="X39" s="3" t="s">
        <v>237</v>
      </c>
      <c r="Y39" s="3">
        <f t="shared" si="14"/>
        <v>5</v>
      </c>
      <c r="Z39" s="3">
        <f>COUNTIFS(C:C,"&gt;="&amp;M34,C:C,"&lt;"&amp;N34,I:I,"=5",J:J,"=0",D:D,"&lt;&gt;x")</f>
        <v>4</v>
      </c>
      <c r="AA39" s="3">
        <f>COUNTIFS(C:C,"&gt;="&amp;M34,C:C,"&lt;"&amp;N34,I:I,"=5",J:J,"=1",D:D,"&lt;&gt;x")</f>
        <v>1</v>
      </c>
      <c r="AB39" s="3">
        <f>COUNTIFS(C:C,"&gt;="&amp;M34,C:C,"&lt;"&amp;N34,I:I,"=5",J:J,"=2",D:D,"&lt;&gt;x")</f>
        <v>0</v>
      </c>
      <c r="AC39" s="7">
        <f t="shared" si="15"/>
        <v>0.8</v>
      </c>
    </row>
    <row r="40" spans="1:29" x14ac:dyDescent="0.25">
      <c r="A40">
        <v>39</v>
      </c>
      <c r="B40" s="1">
        <v>45069</v>
      </c>
      <c r="C40" s="2">
        <v>0.9065509259259259</v>
      </c>
      <c r="D40">
        <f>Identyfikacja!D40</f>
        <v>39</v>
      </c>
      <c r="E40" s="5" t="s">
        <v>58</v>
      </c>
      <c r="F40">
        <v>11</v>
      </c>
      <c r="G40">
        <v>0</v>
      </c>
      <c r="I40">
        <v>1</v>
      </c>
      <c r="J40">
        <v>0</v>
      </c>
      <c r="M40" s="11"/>
      <c r="N40" s="11"/>
      <c r="O40" s="3" t="s">
        <v>238</v>
      </c>
      <c r="P40" s="3">
        <f t="shared" si="12"/>
        <v>2</v>
      </c>
      <c r="Q40" s="3">
        <f>COUNTIFS(C:C,"&gt;="&amp;M34,C:C,"&lt;"&amp;N34,F:F,"=3",G:G,"=0",D:D,"&lt;&gt;x")</f>
        <v>1</v>
      </c>
      <c r="R40" s="3">
        <f>COUNTIFS(C:C,"&gt;="&amp;M34,C:C,"&lt;"&amp;N34,F:F,"=3",G:G,"=1",D:D,"&lt;&gt;x")</f>
        <v>1</v>
      </c>
      <c r="S40" s="3">
        <f>COUNTIFS(C:C,"&gt;="&amp;M34,C:C,"&lt;"&amp;N34,F:F,"=3",G:G,"=2",D:D,"&lt;&gt;x")</f>
        <v>0</v>
      </c>
      <c r="T40" s="7">
        <f t="shared" si="13"/>
        <v>0.5</v>
      </c>
      <c r="V40" s="11"/>
      <c r="W40" s="11"/>
      <c r="X40" s="3" t="s">
        <v>239</v>
      </c>
      <c r="Y40" s="3">
        <f t="shared" si="14"/>
        <v>0</v>
      </c>
      <c r="Z40" s="3">
        <f>COUNTIFS(C:C,"&gt;="&amp;M34,C:C,"&lt;"&amp;N34,I:I,"=6",J:J,"=0",D:D,"&lt;&gt;x")</f>
        <v>0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0</v>
      </c>
      <c r="AC40" s="7" t="str">
        <f t="shared" si="15"/>
        <v>-</v>
      </c>
    </row>
    <row r="41" spans="1:29" x14ac:dyDescent="0.25">
      <c r="A41">
        <v>40</v>
      </c>
      <c r="B41" s="1">
        <v>45069</v>
      </c>
      <c r="C41" s="2">
        <v>0.90689814814814818</v>
      </c>
      <c r="D41">
        <f>Identyfikacja!D41</f>
        <v>40</v>
      </c>
      <c r="E41" s="5" t="s">
        <v>59</v>
      </c>
      <c r="F41">
        <v>7</v>
      </c>
      <c r="G41">
        <v>0</v>
      </c>
      <c r="I41">
        <v>1</v>
      </c>
      <c r="J41">
        <v>0</v>
      </c>
      <c r="M41" s="11"/>
      <c r="N41" s="11"/>
      <c r="O41" s="3" t="s">
        <v>239</v>
      </c>
      <c r="P41" s="3">
        <f t="shared" si="12"/>
        <v>0</v>
      </c>
      <c r="Q41" s="3">
        <f>COUNTIFS(C:C,"&gt;="&amp;M34,C:C,"&lt;"&amp;N34,F:F,"=8",G:G,"=0",D:D,"&lt;&gt;x")</f>
        <v>0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0</v>
      </c>
      <c r="T41" s="7" t="str">
        <f t="shared" si="13"/>
        <v>-</v>
      </c>
      <c r="V41" s="11"/>
      <c r="W41" s="11"/>
      <c r="X41" s="3" t="s">
        <v>240</v>
      </c>
      <c r="Y41" s="3">
        <f t="shared" si="14"/>
        <v>0</v>
      </c>
      <c r="Z41" s="3">
        <f>COUNTIFS(C:C,"&gt;="&amp;M34,C:C,"&lt;"&amp;N34,I:I,"=7",J:J,"=0",D:D,"&lt;&gt;x")</f>
        <v>0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 t="str">
        <f t="shared" si="15"/>
        <v>-</v>
      </c>
    </row>
    <row r="42" spans="1:29" x14ac:dyDescent="0.25">
      <c r="A42">
        <v>41</v>
      </c>
      <c r="B42" s="1">
        <v>45069</v>
      </c>
      <c r="C42" s="2">
        <v>0.90765046296296292</v>
      </c>
      <c r="D42">
        <f>Identyfikacja!D42</f>
        <v>41</v>
      </c>
      <c r="E42" s="5" t="s">
        <v>60</v>
      </c>
      <c r="F42">
        <v>9</v>
      </c>
      <c r="G42">
        <v>0</v>
      </c>
      <c r="I42">
        <v>5</v>
      </c>
      <c r="J42">
        <v>0</v>
      </c>
      <c r="M42" s="11"/>
      <c r="N42" s="11"/>
      <c r="O42" s="3" t="s">
        <v>241</v>
      </c>
      <c r="P42" s="3">
        <f t="shared" si="12"/>
        <v>5</v>
      </c>
      <c r="Q42" s="3">
        <f>COUNTIFS(C:C,"&gt;="&amp;M34,C:C,"&lt;"&amp;N34,F:F,"=9",G:G,"=0",D:D,"&lt;&gt;x")</f>
        <v>5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0</v>
      </c>
      <c r="T42" s="7">
        <f t="shared" si="13"/>
        <v>1</v>
      </c>
      <c r="V42" s="11"/>
      <c r="W42" s="11"/>
      <c r="X42" s="3" t="s">
        <v>242</v>
      </c>
      <c r="Y42" s="3">
        <f t="shared" si="14"/>
        <v>0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0</v>
      </c>
      <c r="AC42" s="7" t="str">
        <f t="shared" si="15"/>
        <v>-</v>
      </c>
    </row>
    <row r="43" spans="1:29" x14ac:dyDescent="0.25">
      <c r="A43">
        <v>42</v>
      </c>
      <c r="B43" s="1">
        <v>45069</v>
      </c>
      <c r="C43" s="2">
        <v>0.90767361111111111</v>
      </c>
      <c r="D43">
        <f>Identyfikacja!D43</f>
        <v>42</v>
      </c>
      <c r="E43" s="5" t="s">
        <v>61</v>
      </c>
      <c r="F43">
        <v>7</v>
      </c>
      <c r="G43">
        <v>0</v>
      </c>
      <c r="I43">
        <v>1</v>
      </c>
      <c r="J43">
        <v>0</v>
      </c>
      <c r="M43" s="11"/>
      <c r="N43" s="11"/>
      <c r="O43" s="3" t="s">
        <v>240</v>
      </c>
      <c r="P43" s="3">
        <f t="shared" si="12"/>
        <v>0</v>
      </c>
      <c r="Q43" s="3">
        <f>COUNTIFS(C:C,"&gt;="&amp;M34,C:C,"&lt;"&amp;N34,F:F,"=5",G:G,"=0",D:D,"&lt;&gt;x")</f>
        <v>0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 t="str">
        <f t="shared" si="13"/>
        <v>-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45069</v>
      </c>
      <c r="C44" s="2">
        <v>0.91084490740740742</v>
      </c>
      <c r="D44">
        <f>Identyfikacja!D44</f>
        <v>43</v>
      </c>
      <c r="E44" s="5" t="s">
        <v>62</v>
      </c>
      <c r="F44">
        <v>9</v>
      </c>
      <c r="G44">
        <v>0</v>
      </c>
      <c r="I44">
        <v>5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45069</v>
      </c>
      <c r="C45" s="2">
        <v>0.9108680555555555</v>
      </c>
      <c r="D45">
        <f>Identyfikacja!D45</f>
        <v>44</v>
      </c>
      <c r="E45" s="5" t="s">
        <v>63</v>
      </c>
      <c r="F45">
        <v>11</v>
      </c>
      <c r="G45">
        <v>0</v>
      </c>
      <c r="I45">
        <v>1</v>
      </c>
      <c r="J45">
        <v>0</v>
      </c>
      <c r="M45" s="10">
        <v>0.91579861111111116</v>
      </c>
      <c r="N45" s="10">
        <v>0.92621527777777779</v>
      </c>
      <c r="O45" s="3" t="s">
        <v>222</v>
      </c>
      <c r="P45" s="3" t="s">
        <v>223</v>
      </c>
      <c r="Q45" s="3" t="s">
        <v>224</v>
      </c>
      <c r="R45" s="3" t="s">
        <v>225</v>
      </c>
      <c r="S45" s="3" t="s">
        <v>17</v>
      </c>
      <c r="T45" s="3" t="s">
        <v>226</v>
      </c>
      <c r="V45" s="10">
        <v>0.91579861111111116</v>
      </c>
      <c r="W45" s="10">
        <v>0.92621527777777779</v>
      </c>
      <c r="X45" s="3" t="s">
        <v>227</v>
      </c>
      <c r="Y45" s="3" t="s">
        <v>223</v>
      </c>
      <c r="Z45" s="3" t="s">
        <v>224</v>
      </c>
      <c r="AA45" s="3" t="s">
        <v>225</v>
      </c>
      <c r="AB45" s="3" t="s">
        <v>17</v>
      </c>
      <c r="AC45" s="3" t="s">
        <v>226</v>
      </c>
    </row>
    <row r="46" spans="1:29" x14ac:dyDescent="0.25">
      <c r="A46">
        <v>45</v>
      </c>
      <c r="B46" s="1">
        <v>45069</v>
      </c>
      <c r="C46" s="2">
        <v>0.91160879629629632</v>
      </c>
      <c r="D46">
        <f>Identyfikacja!D46</f>
        <v>45</v>
      </c>
      <c r="E46" s="5" t="s">
        <v>64</v>
      </c>
      <c r="F46">
        <v>2</v>
      </c>
      <c r="G46">
        <v>2</v>
      </c>
      <c r="H46">
        <v>2</v>
      </c>
      <c r="I46">
        <v>1</v>
      </c>
      <c r="J46">
        <v>2</v>
      </c>
      <c r="K46">
        <v>1</v>
      </c>
      <c r="M46" s="11"/>
      <c r="N46" s="11"/>
      <c r="O46" s="3" t="s">
        <v>228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11"/>
      <c r="W46" s="11"/>
      <c r="X46" s="3" t="s">
        <v>229</v>
      </c>
      <c r="Y46" s="3">
        <f t="shared" ref="Y46:Y53" si="18">Z46+AA46</f>
        <v>6</v>
      </c>
      <c r="Z46" s="3">
        <f>COUNTIFS(C:C,"&gt;="&amp;M45,C:C,"&lt;"&amp;N45,I:I,"=1",J:J,"=0",D:D,"&lt;&gt;x")</f>
        <v>6</v>
      </c>
      <c r="AA46" s="3">
        <f>COUNTIFS(C:C,"&gt;="&amp;M45,C:C,"&lt;"&amp;N45,I:I,"=1",J:J,"=1",D:D,"&lt;&gt;x")</f>
        <v>0</v>
      </c>
      <c r="AB46" s="3">
        <f>COUNTIFS(C:C,"&gt;="&amp;M45,C:C,"&lt;"&amp;N45,I:I,"=1",J:J,"=2",D:D,"&lt;&gt;x")</f>
        <v>0</v>
      </c>
      <c r="AC46" s="7">
        <f t="shared" ref="AC46:AC53" si="19">IF(Y46&gt;0,Z46/Y46,"-")</f>
        <v>1</v>
      </c>
    </row>
    <row r="47" spans="1:29" x14ac:dyDescent="0.25">
      <c r="A47">
        <v>46</v>
      </c>
      <c r="B47" s="1">
        <v>45069</v>
      </c>
      <c r="C47" s="2">
        <v>0.91271990740740738</v>
      </c>
      <c r="D47">
        <f>Identyfikacja!D47</f>
        <v>46</v>
      </c>
      <c r="E47" s="5" t="s">
        <v>65</v>
      </c>
      <c r="F47">
        <v>9</v>
      </c>
      <c r="G47">
        <v>0</v>
      </c>
      <c r="I47">
        <v>5</v>
      </c>
      <c r="J47">
        <v>0</v>
      </c>
      <c r="M47" s="11"/>
      <c r="N47" s="11"/>
      <c r="O47" s="3" t="s">
        <v>230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11"/>
      <c r="W47" s="11"/>
      <c r="X47" s="3" t="s">
        <v>231</v>
      </c>
      <c r="Y47" s="3">
        <f t="shared" si="18"/>
        <v>0</v>
      </c>
      <c r="Z47" s="3">
        <f>COUNTIFS(C:C,"&gt;="&amp;M45,C:C,"&lt;"&amp;N45,I:I,"=2",J:J,"=0",D:D,"&lt;&gt;x")</f>
        <v>0</v>
      </c>
      <c r="AA47" s="3">
        <f>COUNTIFS(C:C,"&gt;="&amp;M45,C:C,"&lt;"&amp;N45,I:I,"=2",J:J,"=1",D:D,"&lt;&gt;x")</f>
        <v>0</v>
      </c>
      <c r="AB47" s="3">
        <f>COUNTIFS(C:C,"&gt;="&amp;M45,C:C,"&lt;"&amp;N45,I:I,"=2",J:J,"=2",D:D,"&lt;&gt;x")</f>
        <v>0</v>
      </c>
      <c r="AC47" s="7" t="str">
        <f t="shared" si="19"/>
        <v>-</v>
      </c>
    </row>
    <row r="48" spans="1:29" x14ac:dyDescent="0.25">
      <c r="A48">
        <v>47</v>
      </c>
      <c r="B48" s="1">
        <v>45069</v>
      </c>
      <c r="C48" s="2">
        <v>0.91282407407407407</v>
      </c>
      <c r="D48">
        <f>Identyfikacja!D48</f>
        <v>47</v>
      </c>
      <c r="E48" s="5" t="s">
        <v>66</v>
      </c>
      <c r="F48">
        <v>7</v>
      </c>
      <c r="G48">
        <v>0</v>
      </c>
      <c r="I48">
        <v>1</v>
      </c>
      <c r="J48">
        <v>0</v>
      </c>
      <c r="M48" s="11"/>
      <c r="N48" s="11"/>
      <c r="O48" s="3" t="s">
        <v>232</v>
      </c>
      <c r="P48" s="3">
        <f t="shared" si="16"/>
        <v>6</v>
      </c>
      <c r="Q48" s="3">
        <f>COUNTIFS(C:C,"&gt;="&amp;M45,C:C,"&lt;"&amp;N45,F:F,"=7",G:G,"=0",D:D,"&lt;&gt;x")</f>
        <v>4</v>
      </c>
      <c r="R48" s="3">
        <f>COUNTIFS(C:C,"&gt;="&amp;M45,C:C,"&lt;"&amp;N45,F:F,"=7",G:G,"=1",D:D,"&lt;&gt;x")</f>
        <v>2</v>
      </c>
      <c r="S48" s="3">
        <f>COUNTIFS(C:C,"&gt;="&amp;M45,C:C,"&lt;"&amp;N45,F:F,"=7",G:G,"=2",D:D,"&lt;&gt;x")</f>
        <v>0</v>
      </c>
      <c r="T48" s="7">
        <f t="shared" si="17"/>
        <v>0.66666666666666663</v>
      </c>
      <c r="V48" s="11"/>
      <c r="W48" s="11"/>
      <c r="X48" s="3" t="s">
        <v>233</v>
      </c>
      <c r="Y48" s="3">
        <f t="shared" si="18"/>
        <v>0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0</v>
      </c>
      <c r="AB48" s="3">
        <f>COUNTIFS(C:C,"&gt;="&amp;M45,C:C,"&lt;"&amp;N45,I:I,"=3",J:J,"=2",D:D,"&lt;&gt;x")</f>
        <v>0</v>
      </c>
      <c r="AC48" s="7" t="str">
        <f t="shared" si="19"/>
        <v>-</v>
      </c>
    </row>
    <row r="49" spans="1:29" x14ac:dyDescent="0.25">
      <c r="A49">
        <v>48</v>
      </c>
      <c r="B49" s="1">
        <v>45069</v>
      </c>
      <c r="C49" s="2">
        <v>0.9138425925925926</v>
      </c>
      <c r="D49">
        <f>Identyfikacja!D49</f>
        <v>48</v>
      </c>
      <c r="E49" s="5" t="s">
        <v>67</v>
      </c>
      <c r="F49">
        <v>9</v>
      </c>
      <c r="G49">
        <v>0</v>
      </c>
      <c r="I49">
        <v>5</v>
      </c>
      <c r="J49">
        <v>0</v>
      </c>
      <c r="M49" s="11"/>
      <c r="N49" s="11"/>
      <c r="O49" s="3" t="s">
        <v>234</v>
      </c>
      <c r="P49" s="3">
        <f t="shared" si="16"/>
        <v>0</v>
      </c>
      <c r="Q49" s="3">
        <f>COUNTIFS(C:C,"&gt;="&amp;M45,C:C,"&lt;"&amp;N45,F:F,"=11",G:G,"=0",D:D,"&lt;&gt;x")</f>
        <v>0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 t="str">
        <f t="shared" si="17"/>
        <v>-</v>
      </c>
      <c r="V49" s="11"/>
      <c r="W49" s="11"/>
      <c r="X49" s="3" t="s">
        <v>235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0</v>
      </c>
      <c r="AC49" s="7" t="str">
        <f t="shared" si="19"/>
        <v>-</v>
      </c>
    </row>
    <row r="50" spans="1:29" x14ac:dyDescent="0.25">
      <c r="A50">
        <v>49</v>
      </c>
      <c r="B50" s="1">
        <v>45069</v>
      </c>
      <c r="C50" s="2">
        <v>0.91480324074074071</v>
      </c>
      <c r="D50">
        <f>Identyfikacja!D50</f>
        <v>49</v>
      </c>
      <c r="E50" s="5" t="s">
        <v>68</v>
      </c>
      <c r="F50">
        <v>3</v>
      </c>
      <c r="G50">
        <v>0</v>
      </c>
      <c r="I50">
        <v>2</v>
      </c>
      <c r="J50">
        <v>0</v>
      </c>
      <c r="M50" s="11"/>
      <c r="N50" s="11"/>
      <c r="O50" s="3" t="s">
        <v>236</v>
      </c>
      <c r="P50" s="3">
        <f t="shared" si="16"/>
        <v>0</v>
      </c>
      <c r="Q50" s="3">
        <f>COUNTIFS(C:C,"&gt;="&amp;M45,C:C,"&lt;"&amp;N45,F:F,"=2",G:G,"=0",D:D,"&lt;&gt;x")</f>
        <v>0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 t="str">
        <f t="shared" si="17"/>
        <v>-</v>
      </c>
      <c r="V50" s="11"/>
      <c r="W50" s="11"/>
      <c r="X50" s="3" t="s">
        <v>237</v>
      </c>
      <c r="Y50" s="3">
        <f t="shared" si="18"/>
        <v>6</v>
      </c>
      <c r="Z50" s="3">
        <f>COUNTIFS(C:C,"&gt;="&amp;M45,C:C,"&lt;"&amp;N45,I:I,"=5",J:J,"=0",D:D,"&lt;&gt;x")</f>
        <v>5</v>
      </c>
      <c r="AA50" s="3">
        <f>COUNTIFS(C:C,"&gt;="&amp;M45,C:C,"&lt;"&amp;N45,I:I,"=5",J:J,"=1",D:D,"&lt;&gt;x")</f>
        <v>1</v>
      </c>
      <c r="AB50" s="3">
        <f>COUNTIFS(C:C,"&gt;="&amp;M45,C:C,"&lt;"&amp;N45,I:I,"=5",J:J,"=2",D:D,"&lt;&gt;x")</f>
        <v>0</v>
      </c>
      <c r="AC50" s="7">
        <f t="shared" si="19"/>
        <v>0.83333333333333337</v>
      </c>
    </row>
    <row r="51" spans="1:29" x14ac:dyDescent="0.25">
      <c r="A51">
        <v>50</v>
      </c>
      <c r="B51" s="1">
        <v>45069</v>
      </c>
      <c r="C51" s="2">
        <v>0.91530092592592593</v>
      </c>
      <c r="D51">
        <f>Identyfikacja!D51</f>
        <v>50</v>
      </c>
      <c r="E51" s="5" t="s">
        <v>69</v>
      </c>
      <c r="F51">
        <v>9</v>
      </c>
      <c r="G51">
        <v>0</v>
      </c>
      <c r="I51">
        <v>5</v>
      </c>
      <c r="J51">
        <v>1</v>
      </c>
      <c r="K51">
        <v>4</v>
      </c>
      <c r="M51" s="11"/>
      <c r="N51" s="11"/>
      <c r="O51" s="3" t="s">
        <v>238</v>
      </c>
      <c r="P51" s="3">
        <f t="shared" si="16"/>
        <v>0</v>
      </c>
      <c r="Q51" s="3">
        <f>COUNTIFS(C:C,"&gt;="&amp;M45,C:C,"&lt;"&amp;N45,F:F,"=3",G:G,"=0",D:D,"&lt;&gt;x")</f>
        <v>0</v>
      </c>
      <c r="R51" s="3">
        <f>COUNTIFS(C:C,"&gt;="&amp;M45,C:C,"&lt;"&amp;N45,F:F,"=3",G:G,"=1",D:D,"&lt;&gt;x")</f>
        <v>0</v>
      </c>
      <c r="S51" s="3">
        <f>COUNTIFS(C:C,"&gt;="&amp;M45,C:C,"&lt;"&amp;N45,F:F,"=3",G:G,"=2",D:D,"&lt;&gt;x")</f>
        <v>0</v>
      </c>
      <c r="T51" s="7" t="str">
        <f t="shared" si="17"/>
        <v>-</v>
      </c>
      <c r="V51" s="11"/>
      <c r="W51" s="11"/>
      <c r="X51" s="3" t="s">
        <v>239</v>
      </c>
      <c r="Y51" s="3">
        <f t="shared" si="18"/>
        <v>0</v>
      </c>
      <c r="Z51" s="3">
        <f>COUNTIFS(C:C,"&gt;="&amp;M45,C:C,"&lt;"&amp;N45,I:I,"=6",J:J,"=0",D:D,"&lt;&gt;x")</f>
        <v>0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0</v>
      </c>
      <c r="AC51" s="7" t="str">
        <f t="shared" si="19"/>
        <v>-</v>
      </c>
    </row>
    <row r="52" spans="1:29" x14ac:dyDescent="0.25">
      <c r="A52">
        <v>51</v>
      </c>
      <c r="B52" s="1">
        <v>45069</v>
      </c>
      <c r="C52" s="2">
        <v>0.9156481481481481</v>
      </c>
      <c r="D52">
        <f>Identyfikacja!D52</f>
        <v>51</v>
      </c>
      <c r="E52" s="5" t="s">
        <v>70</v>
      </c>
      <c r="F52">
        <v>7</v>
      </c>
      <c r="G52">
        <v>0</v>
      </c>
      <c r="I52">
        <v>1</v>
      </c>
      <c r="J52">
        <v>0</v>
      </c>
      <c r="M52" s="11"/>
      <c r="N52" s="11"/>
      <c r="O52" s="3" t="s">
        <v>239</v>
      </c>
      <c r="P52" s="3">
        <f t="shared" si="16"/>
        <v>0</v>
      </c>
      <c r="Q52" s="3">
        <f>COUNTIFS(C:C,"&gt;="&amp;M45,C:C,"&lt;"&amp;N45,F:F,"=8",G:G,"=0",D:D,"&lt;&gt;x")</f>
        <v>0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0</v>
      </c>
      <c r="T52" s="7" t="str">
        <f t="shared" si="17"/>
        <v>-</v>
      </c>
      <c r="V52" s="11"/>
      <c r="W52" s="11"/>
      <c r="X52" s="3" t="s">
        <v>240</v>
      </c>
      <c r="Y52" s="3">
        <f t="shared" si="18"/>
        <v>0</v>
      </c>
      <c r="Z52" s="3">
        <f>COUNTIFS(C:C,"&gt;="&amp;M45,C:C,"&lt;"&amp;N45,I:I,"=7",J:J,"=0",D:D,"&lt;&gt;x")</f>
        <v>0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 t="str">
        <f t="shared" si="19"/>
        <v>-</v>
      </c>
    </row>
    <row r="53" spans="1:29" x14ac:dyDescent="0.25">
      <c r="A53">
        <v>52</v>
      </c>
      <c r="B53" s="1">
        <v>45069</v>
      </c>
      <c r="C53" s="2">
        <v>0.91569444444444448</v>
      </c>
      <c r="D53">
        <f>Identyfikacja!D53</f>
        <v>52</v>
      </c>
      <c r="E53" s="5" t="s">
        <v>71</v>
      </c>
      <c r="F53">
        <v>3</v>
      </c>
      <c r="G53">
        <v>1</v>
      </c>
      <c r="H53">
        <v>11</v>
      </c>
      <c r="I53">
        <v>2</v>
      </c>
      <c r="J53">
        <v>1</v>
      </c>
      <c r="K53">
        <v>1</v>
      </c>
      <c r="M53" s="11"/>
      <c r="N53" s="11"/>
      <c r="O53" s="3" t="s">
        <v>241</v>
      </c>
      <c r="P53" s="3">
        <f t="shared" si="16"/>
        <v>6</v>
      </c>
      <c r="Q53" s="3">
        <f>COUNTIFS(C:C,"&gt;="&amp;M45,C:C,"&lt;"&amp;N45,F:F,"=9",G:G,"=0",D:D,"&lt;&gt;x")</f>
        <v>6</v>
      </c>
      <c r="R53" s="3">
        <f>COUNTIFS(C:C,"&gt;="&amp;M45,C:C,"&lt;"&amp;N45,F:F,"=9",G:G,"=1",D:D,"&lt;&gt;x")</f>
        <v>0</v>
      </c>
      <c r="S53" s="3">
        <f>COUNTIFS(C:C,"&gt;="&amp;M45,C:C,"&lt;"&amp;N45,F:F,"=9",G:G,"=2",D:D,"&lt;&gt;x")</f>
        <v>0</v>
      </c>
      <c r="T53" s="7">
        <f t="shared" si="17"/>
        <v>1</v>
      </c>
      <c r="V53" s="11"/>
      <c r="W53" s="11"/>
      <c r="X53" s="3" t="s">
        <v>242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45069</v>
      </c>
      <c r="C54" s="2">
        <v>0.91572916666666671</v>
      </c>
      <c r="D54">
        <f>Identyfikacja!D54</f>
        <v>53</v>
      </c>
      <c r="E54" s="5" t="s">
        <v>72</v>
      </c>
      <c r="F54">
        <v>7</v>
      </c>
      <c r="G54">
        <v>0</v>
      </c>
      <c r="I54">
        <v>1</v>
      </c>
      <c r="J54">
        <v>0</v>
      </c>
      <c r="M54" s="11"/>
      <c r="N54" s="11"/>
      <c r="O54" s="3" t="s">
        <v>240</v>
      </c>
      <c r="P54" s="3">
        <f t="shared" si="16"/>
        <v>0</v>
      </c>
      <c r="Q54" s="3">
        <f>COUNTIFS(C:C,"&gt;="&amp;M45,C:C,"&lt;"&amp;N45,F:F,"=5",G:G,"=0",D:D,"&lt;&gt;x")</f>
        <v>0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 t="str">
        <f t="shared" si="17"/>
        <v>-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45069</v>
      </c>
      <c r="C55" s="2">
        <v>0.916412037037037</v>
      </c>
      <c r="D55">
        <f>Identyfikacja!D55</f>
        <v>54</v>
      </c>
      <c r="E55" s="5" t="s">
        <v>73</v>
      </c>
      <c r="F55">
        <v>7</v>
      </c>
      <c r="G55">
        <v>0</v>
      </c>
      <c r="I55">
        <v>1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45069</v>
      </c>
      <c r="C56" s="2">
        <v>0.91696759259259264</v>
      </c>
      <c r="D56">
        <f>Identyfikacja!D56</f>
        <v>55</v>
      </c>
      <c r="E56" s="5" t="s">
        <v>74</v>
      </c>
      <c r="F56">
        <v>7</v>
      </c>
      <c r="G56">
        <v>0</v>
      </c>
      <c r="I56">
        <v>1</v>
      </c>
      <c r="J56">
        <v>0</v>
      </c>
      <c r="M56" s="10">
        <v>0.92621527777777779</v>
      </c>
      <c r="N56" s="10">
        <v>0.93663194444444442</v>
      </c>
      <c r="O56" s="3" t="s">
        <v>222</v>
      </c>
      <c r="P56" s="3" t="s">
        <v>223</v>
      </c>
      <c r="Q56" s="3" t="s">
        <v>224</v>
      </c>
      <c r="R56" s="3" t="s">
        <v>225</v>
      </c>
      <c r="S56" s="3" t="s">
        <v>17</v>
      </c>
      <c r="T56" s="3" t="s">
        <v>226</v>
      </c>
      <c r="V56" s="10">
        <v>0.92621527777777779</v>
      </c>
      <c r="W56" s="10">
        <v>0.93663194444444442</v>
      </c>
      <c r="X56" s="3" t="s">
        <v>227</v>
      </c>
      <c r="Y56" s="3" t="s">
        <v>223</v>
      </c>
      <c r="Z56" s="3" t="s">
        <v>224</v>
      </c>
      <c r="AA56" s="3" t="s">
        <v>225</v>
      </c>
      <c r="AB56" s="3" t="s">
        <v>17</v>
      </c>
      <c r="AC56" s="3" t="s">
        <v>226</v>
      </c>
    </row>
    <row r="57" spans="1:29" x14ac:dyDescent="0.25">
      <c r="A57">
        <v>56</v>
      </c>
      <c r="B57" s="1">
        <v>45069</v>
      </c>
      <c r="C57" s="2">
        <v>0.91894675925925928</v>
      </c>
      <c r="D57">
        <f>Identyfikacja!D57</f>
        <v>56</v>
      </c>
      <c r="E57" s="5" t="s">
        <v>75</v>
      </c>
      <c r="F57">
        <v>7</v>
      </c>
      <c r="G57">
        <v>0</v>
      </c>
      <c r="I57">
        <v>1</v>
      </c>
      <c r="J57">
        <v>0</v>
      </c>
      <c r="M57" s="11"/>
      <c r="N57" s="11"/>
      <c r="O57" s="3" t="s">
        <v>228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0</v>
      </c>
      <c r="T57" s="7" t="str">
        <f t="shared" ref="T57:T65" si="21">IF(P57&gt;0,Q57/P57,"-")</f>
        <v>-</v>
      </c>
      <c r="V57" s="11"/>
      <c r="W57" s="11"/>
      <c r="X57" s="3" t="s">
        <v>229</v>
      </c>
      <c r="Y57" s="3">
        <f t="shared" ref="Y57:Y64" si="22">Z57+AA57</f>
        <v>3</v>
      </c>
      <c r="Z57" s="3">
        <f>COUNTIFS(C:C,"&gt;="&amp;M56,C:C,"&lt;"&amp;N56,I:I,"=1",J:J,"=0",D:D,"&lt;&gt;x")</f>
        <v>3</v>
      </c>
      <c r="AA57" s="3">
        <f>COUNTIFS(C:C,"&gt;="&amp;M56,C:C,"&lt;"&amp;N56,I:I,"=1",J:J,"=1",D:D,"&lt;&gt;x")</f>
        <v>0</v>
      </c>
      <c r="AB57" s="3">
        <f>COUNTIFS(C:C,"&gt;="&amp;M56,C:C,"&lt;"&amp;N56,I:I,"=1",J:J,"=2",D:D,"&lt;&gt;x")</f>
        <v>0</v>
      </c>
      <c r="AC57" s="7">
        <f t="shared" ref="AC57:AC64" si="23">IF(Y57&gt;0,Z57/Y57,"-")</f>
        <v>1</v>
      </c>
    </row>
    <row r="58" spans="1:29" x14ac:dyDescent="0.25">
      <c r="A58">
        <v>57</v>
      </c>
      <c r="B58" s="1">
        <v>45069</v>
      </c>
      <c r="C58" s="2">
        <v>0.92060185185185184</v>
      </c>
      <c r="D58">
        <f>Identyfikacja!D58</f>
        <v>57</v>
      </c>
      <c r="E58" s="5" t="s">
        <v>76</v>
      </c>
      <c r="F58">
        <v>7</v>
      </c>
      <c r="G58">
        <v>0</v>
      </c>
      <c r="I58">
        <v>1</v>
      </c>
      <c r="J58">
        <v>0</v>
      </c>
      <c r="M58" s="11"/>
      <c r="N58" s="11"/>
      <c r="O58" s="3" t="s">
        <v>230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11"/>
      <c r="W58" s="11"/>
      <c r="X58" s="3" t="s">
        <v>231</v>
      </c>
      <c r="Y58" s="3">
        <f t="shared" si="22"/>
        <v>2</v>
      </c>
      <c r="Z58" s="3">
        <f>COUNTIFS(C:C,"&gt;="&amp;M56,C:C,"&lt;"&amp;N56,I:I,"=2",J:J,"=0",D:D,"&lt;&gt;x")</f>
        <v>2</v>
      </c>
      <c r="AA58" s="3">
        <f>COUNTIFS(C:C,"&gt;="&amp;M56,C:C,"&lt;"&amp;N56,I:I,"=2",J:J,"=1",D:D,"&lt;&gt;x")</f>
        <v>0</v>
      </c>
      <c r="AB58" s="3">
        <f>COUNTIFS(C:C,"&gt;="&amp;M56,C:C,"&lt;"&amp;N56,I:I,"=2",J:J,"=2",D:D,"&lt;&gt;x")</f>
        <v>1</v>
      </c>
      <c r="AC58" s="7">
        <f t="shared" si="23"/>
        <v>1</v>
      </c>
    </row>
    <row r="59" spans="1:29" x14ac:dyDescent="0.25">
      <c r="A59">
        <v>58</v>
      </c>
      <c r="B59" s="1">
        <v>45069</v>
      </c>
      <c r="C59" s="2">
        <v>0.92138888888888892</v>
      </c>
      <c r="D59">
        <f>Identyfikacja!D59</f>
        <v>58</v>
      </c>
      <c r="E59" s="5" t="s">
        <v>77</v>
      </c>
      <c r="F59">
        <v>9</v>
      </c>
      <c r="G59">
        <v>0</v>
      </c>
      <c r="I59">
        <v>5</v>
      </c>
      <c r="J59">
        <v>0</v>
      </c>
      <c r="M59" s="11"/>
      <c r="N59" s="11"/>
      <c r="O59" s="3" t="s">
        <v>232</v>
      </c>
      <c r="P59" s="3">
        <f t="shared" si="20"/>
        <v>3</v>
      </c>
      <c r="Q59" s="3">
        <f>COUNTIFS(C:C,"&gt;="&amp;M56,C:C,"&lt;"&amp;N56,F:F,"=7",G:G,"=0",D:D,"&lt;&gt;x")</f>
        <v>3</v>
      </c>
      <c r="R59" s="3">
        <f>COUNTIFS(C:C,"&gt;="&amp;M56,C:C,"&lt;"&amp;N56,F:F,"=7",G:G,"=1",D:D,"&lt;&gt;x")</f>
        <v>0</v>
      </c>
      <c r="S59" s="3">
        <f>COUNTIFS(C:C,"&gt;="&amp;M56,C:C,"&lt;"&amp;N56,F:F,"=7",G:G,"=2",D:D,"&lt;&gt;x")</f>
        <v>0</v>
      </c>
      <c r="T59" s="7">
        <f t="shared" si="21"/>
        <v>1</v>
      </c>
      <c r="V59" s="11"/>
      <c r="W59" s="11"/>
      <c r="X59" s="3" t="s">
        <v>233</v>
      </c>
      <c r="Y59" s="3">
        <f t="shared" si="22"/>
        <v>0</v>
      </c>
      <c r="Z59" s="3">
        <f>COUNTIFS(C:C,"&gt;="&amp;M56,C:C,"&lt;"&amp;N56,I:I,"=3",J:J,"=0",D:D,"&lt;&gt;x")</f>
        <v>0</v>
      </c>
      <c r="AA59" s="3">
        <f>COUNTIFS(C:C,"&gt;="&amp;M56,C:C,"&lt;"&amp;N56,I:I,"=3",J:J,"=1",D:D,"&lt;&gt;x")</f>
        <v>0</v>
      </c>
      <c r="AB59" s="3">
        <f>COUNTIFS(C:C,"&gt;="&amp;M56,C:C,"&lt;"&amp;N56,I:I,"=3",J:J,"=2",D:D,"&lt;&gt;x")</f>
        <v>0</v>
      </c>
      <c r="AC59" s="7" t="str">
        <f t="shared" si="23"/>
        <v>-</v>
      </c>
    </row>
    <row r="60" spans="1:29" x14ac:dyDescent="0.25">
      <c r="A60">
        <v>59</v>
      </c>
      <c r="B60" s="1">
        <v>45069</v>
      </c>
      <c r="C60" s="2">
        <v>0.921412037037037</v>
      </c>
      <c r="D60">
        <f>Identyfikacja!D60</f>
        <v>59</v>
      </c>
      <c r="E60" s="5" t="s">
        <v>78</v>
      </c>
      <c r="F60">
        <v>9</v>
      </c>
      <c r="G60">
        <v>0</v>
      </c>
      <c r="I60">
        <v>5</v>
      </c>
      <c r="J60">
        <v>1</v>
      </c>
      <c r="K60">
        <v>4</v>
      </c>
      <c r="M60" s="11"/>
      <c r="N60" s="11"/>
      <c r="O60" s="3" t="s">
        <v>234</v>
      </c>
      <c r="P60" s="3">
        <f t="shared" si="20"/>
        <v>0</v>
      </c>
      <c r="Q60" s="3">
        <f>COUNTIFS(C:C,"&gt;="&amp;M56,C:C,"&lt;"&amp;N56,F:F,"=11",G:G,"=0",D:D,"&lt;&gt;x")</f>
        <v>0</v>
      </c>
      <c r="R60" s="3">
        <f>COUNTIFS(C:C,"&gt;="&amp;M56,C:C,"&lt;"&amp;N56,F:F,"=11",G:G,"=1",D:D,"&lt;&gt;x")</f>
        <v>0</v>
      </c>
      <c r="S60" s="3">
        <f>COUNTIFS(C:C,"&gt;="&amp;M56,C:C,"&lt;"&amp;N56,F:F,"=11",G:G,"=2",D:D,"&lt;&gt;x")</f>
        <v>0</v>
      </c>
      <c r="T60" s="7" t="str">
        <f t="shared" si="21"/>
        <v>-</v>
      </c>
      <c r="V60" s="11"/>
      <c r="W60" s="11"/>
      <c r="X60" s="3" t="s">
        <v>235</v>
      </c>
      <c r="Y60" s="3">
        <f t="shared" si="22"/>
        <v>0</v>
      </c>
      <c r="Z60" s="3">
        <f>COUNTIFS(C:C,"&gt;="&amp;M56,C:C,"&lt;"&amp;N56,I:I,"=4",J:J,"=0",D:D,"&lt;&gt;x")</f>
        <v>0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0</v>
      </c>
      <c r="AC60" s="7" t="str">
        <f t="shared" si="23"/>
        <v>-</v>
      </c>
    </row>
    <row r="61" spans="1:29" x14ac:dyDescent="0.25">
      <c r="A61">
        <v>60</v>
      </c>
      <c r="B61" s="1">
        <v>45069</v>
      </c>
      <c r="C61" s="2">
        <v>0.92218750000000005</v>
      </c>
      <c r="D61">
        <f>Identyfikacja!D61</f>
        <v>60</v>
      </c>
      <c r="E61" s="5" t="s">
        <v>79</v>
      </c>
      <c r="F61">
        <v>9</v>
      </c>
      <c r="G61">
        <v>0</v>
      </c>
      <c r="I61">
        <v>5</v>
      </c>
      <c r="J61">
        <v>0</v>
      </c>
      <c r="M61" s="11"/>
      <c r="N61" s="11"/>
      <c r="O61" s="3" t="s">
        <v>236</v>
      </c>
      <c r="P61" s="3">
        <f t="shared" si="20"/>
        <v>0</v>
      </c>
      <c r="Q61" s="3">
        <f>COUNTIFS(C:C,"&gt;="&amp;M56,C:C,"&lt;"&amp;N56,F:F,"=2",G:G,"=0",D:D,"&lt;&gt;x")</f>
        <v>0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0</v>
      </c>
      <c r="T61" s="7" t="str">
        <f t="shared" si="21"/>
        <v>-</v>
      </c>
      <c r="V61" s="11"/>
      <c r="W61" s="11"/>
      <c r="X61" s="3" t="s">
        <v>237</v>
      </c>
      <c r="Y61" s="3">
        <f t="shared" si="22"/>
        <v>3</v>
      </c>
      <c r="Z61" s="3">
        <f>COUNTIFS(C:C,"&gt;="&amp;M56,C:C,"&lt;"&amp;N56,I:I,"=5",J:J,"=0",D:D,"&lt;&gt;x")</f>
        <v>1</v>
      </c>
      <c r="AA61" s="3">
        <f>COUNTIFS(C:C,"&gt;="&amp;M56,C:C,"&lt;"&amp;N56,I:I,"=5",J:J,"=1",D:D,"&lt;&gt;x")</f>
        <v>2</v>
      </c>
      <c r="AB61" s="3">
        <f>COUNTIFS(C:C,"&gt;="&amp;M56,C:C,"&lt;"&amp;N56,I:I,"=5",J:J,"=2",D:D,"&lt;&gt;x")</f>
        <v>0</v>
      </c>
      <c r="AC61" s="7">
        <f t="shared" si="23"/>
        <v>0.33333333333333331</v>
      </c>
    </row>
    <row r="62" spans="1:29" x14ac:dyDescent="0.25">
      <c r="A62">
        <v>61</v>
      </c>
      <c r="B62" s="1">
        <v>45069</v>
      </c>
      <c r="C62" s="2">
        <v>0.92221064814814813</v>
      </c>
      <c r="D62">
        <f>Identyfikacja!D62</f>
        <v>61</v>
      </c>
      <c r="E62" s="5" t="s">
        <v>80</v>
      </c>
      <c r="F62">
        <v>7</v>
      </c>
      <c r="G62">
        <v>1</v>
      </c>
      <c r="H62">
        <v>11</v>
      </c>
      <c r="I62">
        <v>1</v>
      </c>
      <c r="J62">
        <v>0</v>
      </c>
      <c r="M62" s="11"/>
      <c r="N62" s="11"/>
      <c r="O62" s="3" t="s">
        <v>238</v>
      </c>
      <c r="P62" s="3">
        <f t="shared" si="20"/>
        <v>2</v>
      </c>
      <c r="Q62" s="3">
        <f>COUNTIFS(C:C,"&gt;="&amp;M56,C:C,"&lt;"&amp;N56,F:F,"=3",G:G,"=0",D:D,"&lt;&gt;x")</f>
        <v>2</v>
      </c>
      <c r="R62" s="3">
        <f>COUNTIFS(C:C,"&gt;="&amp;M56,C:C,"&lt;"&amp;N56,F:F,"=3",G:G,"=1",D:D,"&lt;&gt;x")</f>
        <v>0</v>
      </c>
      <c r="S62" s="3">
        <f>COUNTIFS(C:C,"&gt;="&amp;M56,C:C,"&lt;"&amp;N56,F:F,"=3",G:G,"=2",D:D,"&lt;&gt;x")</f>
        <v>1</v>
      </c>
      <c r="T62" s="7">
        <f t="shared" si="21"/>
        <v>1</v>
      </c>
      <c r="V62" s="11"/>
      <c r="W62" s="11"/>
      <c r="X62" s="3" t="s">
        <v>239</v>
      </c>
      <c r="Y62" s="3">
        <f t="shared" si="22"/>
        <v>0</v>
      </c>
      <c r="Z62" s="3">
        <f>COUNTIFS(C:C,"&gt;="&amp;M56,C:C,"&lt;"&amp;N56,I:I,"=6",J:J,"=0",D:D,"&lt;&gt;x")</f>
        <v>0</v>
      </c>
      <c r="AA62" s="3">
        <f>COUNTIFS(C:C,"&gt;="&amp;M56,C:C,"&lt;"&amp;N56,I:I,"=6",J:J,"=1",D:D,"&lt;&gt;x")</f>
        <v>0</v>
      </c>
      <c r="AB62" s="3">
        <f>COUNTIFS(C:C,"&gt;="&amp;M56,C:C,"&lt;"&amp;N56,I:I,"=6",J:J,"=2",D:D,"&lt;&gt;x")</f>
        <v>2</v>
      </c>
      <c r="AC62" s="7" t="str">
        <f t="shared" si="23"/>
        <v>-</v>
      </c>
    </row>
    <row r="63" spans="1:29" x14ac:dyDescent="0.25">
      <c r="A63">
        <v>62</v>
      </c>
      <c r="B63" s="1">
        <v>45069</v>
      </c>
      <c r="C63" s="2">
        <v>0.92224537037037035</v>
      </c>
      <c r="D63">
        <f>Identyfikacja!D63</f>
        <v>62</v>
      </c>
      <c r="E63" s="5" t="s">
        <v>81</v>
      </c>
      <c r="F63">
        <v>9</v>
      </c>
      <c r="G63">
        <v>0</v>
      </c>
      <c r="I63">
        <v>5</v>
      </c>
      <c r="J63">
        <v>0</v>
      </c>
      <c r="M63" s="11"/>
      <c r="N63" s="11"/>
      <c r="O63" s="3" t="s">
        <v>239</v>
      </c>
      <c r="P63" s="3">
        <f t="shared" si="20"/>
        <v>0</v>
      </c>
      <c r="Q63" s="3">
        <f>COUNTIFS(C:C,"&gt;="&amp;M56,C:C,"&lt;"&amp;N56,F:F,"=8",G:G,"=0",D:D,"&lt;&gt;x")</f>
        <v>0</v>
      </c>
      <c r="R63" s="3">
        <f>COUNTIFS(C:C,"&gt;="&amp;M56,C:C,"&lt;"&amp;N56,F:F,"=8",G:G,"=1",D:D,"&lt;&gt;x")</f>
        <v>0</v>
      </c>
      <c r="S63" s="3">
        <f>COUNTIFS(C:C,"&gt;="&amp;M56,C:C,"&lt;"&amp;N56,F:F,"=8",G:G,"=2",D:D,"&lt;&gt;x")</f>
        <v>2</v>
      </c>
      <c r="T63" s="7" t="str">
        <f t="shared" si="21"/>
        <v>-</v>
      </c>
      <c r="V63" s="11"/>
      <c r="W63" s="11"/>
      <c r="X63" s="3" t="s">
        <v>240</v>
      </c>
      <c r="Y63" s="3">
        <f t="shared" si="22"/>
        <v>0</v>
      </c>
      <c r="Z63" s="3">
        <f>COUNTIFS(C:C,"&gt;="&amp;M56,C:C,"&lt;"&amp;N56,I:I,"=7",J:J,"=0",D:D,"&lt;&gt;x")</f>
        <v>0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 t="str">
        <f t="shared" si="23"/>
        <v>-</v>
      </c>
    </row>
    <row r="64" spans="1:29" x14ac:dyDescent="0.25">
      <c r="A64">
        <v>63</v>
      </c>
      <c r="B64" s="1">
        <v>45069</v>
      </c>
      <c r="C64" s="2">
        <v>0.92377314814814815</v>
      </c>
      <c r="D64">
        <f>Identyfikacja!D64</f>
        <v>63</v>
      </c>
      <c r="E64" s="5" t="s">
        <v>82</v>
      </c>
      <c r="F64">
        <v>7</v>
      </c>
      <c r="G64">
        <v>1</v>
      </c>
      <c r="H64">
        <v>11</v>
      </c>
      <c r="I64">
        <v>1</v>
      </c>
      <c r="J64">
        <v>0</v>
      </c>
      <c r="M64" s="11"/>
      <c r="N64" s="11"/>
      <c r="O64" s="3" t="s">
        <v>241</v>
      </c>
      <c r="P64" s="3">
        <f t="shared" si="20"/>
        <v>3</v>
      </c>
      <c r="Q64" s="3">
        <f>COUNTIFS(C:C,"&gt;="&amp;M56,C:C,"&lt;"&amp;N56,F:F,"=9",G:G,"=0",D:D,"&lt;&gt;x")</f>
        <v>3</v>
      </c>
      <c r="R64" s="3">
        <f>COUNTIFS(C:C,"&gt;="&amp;M56,C:C,"&lt;"&amp;N56,F:F,"=9",G:G,"=1",D:D,"&lt;&gt;x")</f>
        <v>0</v>
      </c>
      <c r="S64" s="3">
        <f>COUNTIFS(C:C,"&gt;="&amp;M56,C:C,"&lt;"&amp;N56,F:F,"=9",G:G,"=2",D:D,"&lt;&gt;x")</f>
        <v>0</v>
      </c>
      <c r="T64" s="7">
        <f t="shared" si="21"/>
        <v>1</v>
      </c>
      <c r="V64" s="11"/>
      <c r="W64" s="11"/>
      <c r="X64" s="3" t="s">
        <v>242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0</v>
      </c>
      <c r="AC64" s="7" t="str">
        <f t="shared" si="23"/>
        <v>-</v>
      </c>
    </row>
    <row r="65" spans="1:29" x14ac:dyDescent="0.25">
      <c r="A65">
        <v>64</v>
      </c>
      <c r="B65" s="1">
        <v>45069</v>
      </c>
      <c r="C65" s="2">
        <v>0.92497685185185186</v>
      </c>
      <c r="D65">
        <f>Identyfikacja!D65</f>
        <v>64</v>
      </c>
      <c r="E65" s="5" t="s">
        <v>83</v>
      </c>
      <c r="F65">
        <v>9</v>
      </c>
      <c r="G65">
        <v>0</v>
      </c>
      <c r="I65">
        <v>5</v>
      </c>
      <c r="J65">
        <v>0</v>
      </c>
      <c r="M65" s="11"/>
      <c r="N65" s="11"/>
      <c r="O65" s="3" t="s">
        <v>240</v>
      </c>
      <c r="P65" s="3">
        <f t="shared" si="20"/>
        <v>0</v>
      </c>
      <c r="Q65" s="3">
        <f>COUNTIFS(C:C,"&gt;="&amp;M56,C:C,"&lt;"&amp;N56,F:F,"=5",G:G,"=0",D:D,"&lt;&gt;x")</f>
        <v>0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 t="str">
        <f t="shared" si="21"/>
        <v>-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45069</v>
      </c>
      <c r="C66" s="2">
        <v>0.9261342592592593</v>
      </c>
      <c r="D66">
        <f>Identyfikacja!D66</f>
        <v>65</v>
      </c>
      <c r="E66" s="5" t="s">
        <v>84</v>
      </c>
      <c r="F66">
        <v>9</v>
      </c>
      <c r="G66">
        <v>0</v>
      </c>
      <c r="I66">
        <v>5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45069</v>
      </c>
      <c r="C67" s="2">
        <v>0.92753472222222222</v>
      </c>
      <c r="D67">
        <f>Identyfikacja!D67</f>
        <v>66</v>
      </c>
      <c r="E67" s="5" t="s">
        <v>85</v>
      </c>
      <c r="F67">
        <v>9</v>
      </c>
      <c r="G67">
        <v>0</v>
      </c>
      <c r="I67">
        <v>5</v>
      </c>
      <c r="J67">
        <v>0</v>
      </c>
      <c r="M67" s="10">
        <v>0.93663194444444442</v>
      </c>
      <c r="N67" s="10">
        <v>0.94704861111111116</v>
      </c>
      <c r="O67" s="3" t="s">
        <v>222</v>
      </c>
      <c r="P67" s="3" t="s">
        <v>223</v>
      </c>
      <c r="Q67" s="3" t="s">
        <v>224</v>
      </c>
      <c r="R67" s="3" t="s">
        <v>225</v>
      </c>
      <c r="S67" s="3" t="s">
        <v>17</v>
      </c>
      <c r="T67" s="3" t="s">
        <v>226</v>
      </c>
      <c r="V67" s="10">
        <v>0.93663194444444442</v>
      </c>
      <c r="W67" s="10">
        <v>0.94704861111111116</v>
      </c>
      <c r="X67" s="3" t="s">
        <v>227</v>
      </c>
      <c r="Y67" s="3" t="s">
        <v>223</v>
      </c>
      <c r="Z67" s="3" t="s">
        <v>224</v>
      </c>
      <c r="AA67" s="3" t="s">
        <v>225</v>
      </c>
      <c r="AB67" s="3" t="s">
        <v>17</v>
      </c>
      <c r="AC67" s="3" t="s">
        <v>226</v>
      </c>
    </row>
    <row r="68" spans="1:29" x14ac:dyDescent="0.25">
      <c r="A68">
        <v>67</v>
      </c>
      <c r="B68" s="1">
        <v>45069</v>
      </c>
      <c r="C68" s="2">
        <v>0.92781250000000004</v>
      </c>
      <c r="D68">
        <f>Identyfikacja!D68</f>
        <v>67</v>
      </c>
      <c r="E68" s="5" t="s">
        <v>86</v>
      </c>
      <c r="F68">
        <v>8</v>
      </c>
      <c r="G68">
        <v>2</v>
      </c>
      <c r="H68">
        <v>8</v>
      </c>
      <c r="I68">
        <v>6</v>
      </c>
      <c r="J68">
        <v>2</v>
      </c>
      <c r="K68">
        <v>6</v>
      </c>
      <c r="M68" s="11"/>
      <c r="N68" s="11"/>
      <c r="O68" s="3" t="s">
        <v>228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0</v>
      </c>
      <c r="T68" s="7" t="str">
        <f t="shared" ref="T68:T76" si="25">IF(P68&gt;0,Q68/P68,"-")</f>
        <v>-</v>
      </c>
      <c r="V68" s="11"/>
      <c r="W68" s="11"/>
      <c r="X68" s="3" t="s">
        <v>229</v>
      </c>
      <c r="Y68" s="3">
        <f t="shared" ref="Y68:Y75" si="26">Z68+AA68</f>
        <v>1</v>
      </c>
      <c r="Z68" s="3">
        <f>COUNTIFS(C:C,"&gt;="&amp;M67,C:C,"&lt;"&amp;N67,I:I,"=1",J:J,"=0",D:D,"&lt;&gt;x")</f>
        <v>1</v>
      </c>
      <c r="AA68" s="3">
        <f>COUNTIFS(C:C,"&gt;="&amp;M67,C:C,"&lt;"&amp;N67,I:I,"=1",J:J,"=1",D:D,"&lt;&gt;x")</f>
        <v>0</v>
      </c>
      <c r="AB68" s="3">
        <f>COUNTIFS(C:C,"&gt;="&amp;M67,C:C,"&lt;"&amp;N67,I:I,"=1",J:J,"=2",D:D,"&lt;&gt;x")</f>
        <v>0</v>
      </c>
      <c r="AC68" s="7">
        <f t="shared" ref="AC68:AC75" si="27">IF(Y68&gt;0,Z68/Y68,"-")</f>
        <v>1</v>
      </c>
    </row>
    <row r="69" spans="1:29" x14ac:dyDescent="0.25">
      <c r="A69">
        <v>68</v>
      </c>
      <c r="B69" s="1">
        <v>45069</v>
      </c>
      <c r="C69" s="2">
        <v>0.92822916666666666</v>
      </c>
      <c r="D69">
        <f>Identyfikacja!D69</f>
        <v>68</v>
      </c>
      <c r="E69" s="5" t="s">
        <v>87</v>
      </c>
      <c r="F69">
        <v>8</v>
      </c>
      <c r="G69">
        <v>2</v>
      </c>
      <c r="H69">
        <v>8</v>
      </c>
      <c r="I69">
        <v>6</v>
      </c>
      <c r="J69">
        <v>2</v>
      </c>
      <c r="K69">
        <v>6</v>
      </c>
      <c r="M69" s="11"/>
      <c r="N69" s="11"/>
      <c r="O69" s="3" t="s">
        <v>230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11"/>
      <c r="W69" s="11"/>
      <c r="X69" s="3" t="s">
        <v>231</v>
      </c>
      <c r="Y69" s="3">
        <f t="shared" si="26"/>
        <v>1</v>
      </c>
      <c r="Z69" s="3">
        <f>COUNTIFS(C:C,"&gt;="&amp;M67,C:C,"&lt;"&amp;N67,I:I,"=2",J:J,"=0",D:D,"&lt;&gt;x")</f>
        <v>1</v>
      </c>
      <c r="AA69" s="3">
        <f>COUNTIFS(C:C,"&gt;="&amp;M67,C:C,"&lt;"&amp;N67,I:I,"=2",J:J,"=1",D:D,"&lt;&gt;x")</f>
        <v>0</v>
      </c>
      <c r="AB69" s="3">
        <f>COUNTIFS(C:C,"&gt;="&amp;M67,C:C,"&lt;"&amp;N67,I:I,"=2",J:J,"=2",D:D,"&lt;&gt;x")</f>
        <v>0</v>
      </c>
      <c r="AC69" s="7">
        <f t="shared" si="27"/>
        <v>1</v>
      </c>
    </row>
    <row r="70" spans="1:29" x14ac:dyDescent="0.25">
      <c r="A70">
        <v>69</v>
      </c>
      <c r="B70" s="1">
        <v>45069</v>
      </c>
      <c r="C70" s="2">
        <v>0.92839120370370365</v>
      </c>
      <c r="D70">
        <f>Identyfikacja!D70</f>
        <v>69</v>
      </c>
      <c r="E70" s="5" t="s">
        <v>88</v>
      </c>
      <c r="F70">
        <v>7</v>
      </c>
      <c r="G70">
        <v>0</v>
      </c>
      <c r="I70">
        <v>1</v>
      </c>
      <c r="J70">
        <v>0</v>
      </c>
      <c r="M70" s="11"/>
      <c r="N70" s="11"/>
      <c r="O70" s="3" t="s">
        <v>232</v>
      </c>
      <c r="P70" s="3">
        <f t="shared" si="24"/>
        <v>1</v>
      </c>
      <c r="Q70" s="3">
        <f>COUNTIFS(C:C,"&gt;="&amp;M67,C:C,"&lt;"&amp;N67,F:F,"=7",G:G,"=0",D:D,"&lt;&gt;x")</f>
        <v>1</v>
      </c>
      <c r="R70" s="3">
        <f>COUNTIFS(C:C,"&gt;="&amp;M67,C:C,"&lt;"&amp;N67,F:F,"=7",G:G,"=1",D:D,"&lt;&gt;x")</f>
        <v>0</v>
      </c>
      <c r="S70" s="3">
        <f>COUNTIFS(C:C,"&gt;="&amp;M67,C:C,"&lt;"&amp;N67,F:F,"=7",G:G,"=2",D:D,"&lt;&gt;x")</f>
        <v>0</v>
      </c>
      <c r="T70" s="7">
        <f t="shared" si="25"/>
        <v>1</v>
      </c>
      <c r="V70" s="11"/>
      <c r="W70" s="11"/>
      <c r="X70" s="3" t="s">
        <v>233</v>
      </c>
      <c r="Y70" s="3">
        <f t="shared" si="26"/>
        <v>0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0</v>
      </c>
      <c r="AB70" s="3">
        <f>COUNTIFS(C:C,"&gt;="&amp;M67,C:C,"&lt;"&amp;N67,I:I,"=3",J:J,"=2",D:D,"&lt;&gt;x")</f>
        <v>0</v>
      </c>
      <c r="AC70" s="7" t="str">
        <f t="shared" si="27"/>
        <v>-</v>
      </c>
    </row>
    <row r="71" spans="1:29" x14ac:dyDescent="0.25">
      <c r="A71">
        <v>70</v>
      </c>
      <c r="B71" s="1">
        <v>45069</v>
      </c>
      <c r="C71" s="2">
        <v>0.93077546296296299</v>
      </c>
      <c r="D71">
        <f>Identyfikacja!D71</f>
        <v>70</v>
      </c>
      <c r="E71" s="5" t="s">
        <v>89</v>
      </c>
      <c r="F71">
        <v>9</v>
      </c>
      <c r="G71">
        <v>0</v>
      </c>
      <c r="I71">
        <v>5</v>
      </c>
      <c r="J71">
        <v>1</v>
      </c>
      <c r="K71">
        <v>4</v>
      </c>
      <c r="M71" s="11"/>
      <c r="N71" s="11"/>
      <c r="O71" s="3" t="s">
        <v>234</v>
      </c>
      <c r="P71" s="3">
        <f t="shared" si="24"/>
        <v>0</v>
      </c>
      <c r="Q71" s="3">
        <f>COUNTIFS(C:C,"&gt;="&amp;M67,C:C,"&lt;"&amp;N67,F:F,"=11",G:G,"=0",D:D,"&lt;&gt;x")</f>
        <v>0</v>
      </c>
      <c r="R71" s="3">
        <f>COUNTIFS(C:C,"&gt;="&amp;M67,C:C,"&lt;"&amp;N67,F:F,"=11",G:G,"=1",D:D,"&lt;&gt;x")</f>
        <v>0</v>
      </c>
      <c r="S71" s="3">
        <f>COUNTIFS(C:C,"&gt;="&amp;M67,C:C,"&lt;"&amp;N67,F:F,"=11",G:G,"=2",D:D,"&lt;&gt;x")</f>
        <v>0</v>
      </c>
      <c r="T71" s="7" t="str">
        <f t="shared" si="25"/>
        <v>-</v>
      </c>
      <c r="V71" s="11"/>
      <c r="W71" s="11"/>
      <c r="X71" s="3" t="s">
        <v>235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0</v>
      </c>
      <c r="AC71" s="7" t="str">
        <f t="shared" si="27"/>
        <v>-</v>
      </c>
    </row>
    <row r="72" spans="1:29" x14ac:dyDescent="0.25">
      <c r="A72">
        <v>71</v>
      </c>
      <c r="B72" s="1">
        <v>45069</v>
      </c>
      <c r="C72" s="2">
        <v>0.93216435185185187</v>
      </c>
      <c r="D72">
        <f>Identyfikacja!D72</f>
        <v>71</v>
      </c>
      <c r="E72" s="5" t="s">
        <v>90</v>
      </c>
      <c r="F72">
        <v>7</v>
      </c>
      <c r="G72">
        <v>0</v>
      </c>
      <c r="I72">
        <v>1</v>
      </c>
      <c r="J72">
        <v>0</v>
      </c>
      <c r="M72" s="11"/>
      <c r="N72" s="11"/>
      <c r="O72" s="3" t="s">
        <v>236</v>
      </c>
      <c r="P72" s="3">
        <f t="shared" si="24"/>
        <v>0</v>
      </c>
      <c r="Q72" s="3">
        <f>COUNTIFS(C:C,"&gt;="&amp;M67,C:C,"&lt;"&amp;N67,F:F,"=2",G:G,"=0",D:D,"&lt;&gt;x")</f>
        <v>0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 t="str">
        <f t="shared" si="25"/>
        <v>-</v>
      </c>
      <c r="V72" s="11"/>
      <c r="W72" s="11"/>
      <c r="X72" s="3" t="s">
        <v>237</v>
      </c>
      <c r="Y72" s="3">
        <f t="shared" si="26"/>
        <v>3</v>
      </c>
      <c r="Z72" s="3">
        <f>COUNTIFS(C:C,"&gt;="&amp;M67,C:C,"&lt;"&amp;N67,I:I,"=5",J:J,"=0",D:D,"&lt;&gt;x")</f>
        <v>3</v>
      </c>
      <c r="AA72" s="3">
        <f>COUNTIFS(C:C,"&gt;="&amp;M67,C:C,"&lt;"&amp;N67,I:I,"=5",J:J,"=1",D:D,"&lt;&gt;x")</f>
        <v>0</v>
      </c>
      <c r="AB72" s="3">
        <f>COUNTIFS(C:C,"&gt;="&amp;M67,C:C,"&lt;"&amp;N67,I:I,"=5",J:J,"=2",D:D,"&lt;&gt;x")</f>
        <v>0</v>
      </c>
      <c r="AC72" s="7">
        <f t="shared" si="27"/>
        <v>1</v>
      </c>
    </row>
    <row r="73" spans="1:29" x14ac:dyDescent="0.25">
      <c r="A73">
        <v>72</v>
      </c>
      <c r="B73" s="1">
        <v>45069</v>
      </c>
      <c r="C73" s="2">
        <v>0.93364583333333329</v>
      </c>
      <c r="D73">
        <f>Identyfikacja!D73</f>
        <v>72</v>
      </c>
      <c r="E73" s="5" t="s">
        <v>91</v>
      </c>
      <c r="F73">
        <v>7</v>
      </c>
      <c r="G73">
        <v>0</v>
      </c>
      <c r="I73">
        <v>1</v>
      </c>
      <c r="J73">
        <v>0</v>
      </c>
      <c r="M73" s="11"/>
      <c r="N73" s="11"/>
      <c r="O73" s="3" t="s">
        <v>238</v>
      </c>
      <c r="P73" s="3">
        <f t="shared" si="24"/>
        <v>1</v>
      </c>
      <c r="Q73" s="3">
        <f>COUNTIFS(C:C,"&gt;="&amp;M67,C:C,"&lt;"&amp;N67,F:F,"=3",G:G,"=0",D:D,"&lt;&gt;x")</f>
        <v>1</v>
      </c>
      <c r="R73" s="3">
        <f>COUNTIFS(C:C,"&gt;="&amp;M67,C:C,"&lt;"&amp;N67,F:F,"=3",G:G,"=1",D:D,"&lt;&gt;x")</f>
        <v>0</v>
      </c>
      <c r="S73" s="3">
        <f>COUNTIFS(C:C,"&gt;="&amp;M67,C:C,"&lt;"&amp;N67,F:F,"=3",G:G,"=2",D:D,"&lt;&gt;x")</f>
        <v>0</v>
      </c>
      <c r="T73" s="7">
        <f t="shared" si="25"/>
        <v>1</v>
      </c>
      <c r="V73" s="11"/>
      <c r="W73" s="11"/>
      <c r="X73" s="3" t="s">
        <v>239</v>
      </c>
      <c r="Y73" s="3">
        <f t="shared" si="26"/>
        <v>0</v>
      </c>
      <c r="Z73" s="3">
        <f>COUNTIFS(C:C,"&gt;="&amp;M67,C:C,"&lt;"&amp;N67,I:I,"=6",J:J,"=0",D:D,"&lt;&gt;x")</f>
        <v>0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0</v>
      </c>
      <c r="AC73" s="7" t="str">
        <f t="shared" si="27"/>
        <v>-</v>
      </c>
    </row>
    <row r="74" spans="1:29" x14ac:dyDescent="0.25">
      <c r="A74">
        <v>73</v>
      </c>
      <c r="B74" s="1">
        <v>45069</v>
      </c>
      <c r="C74" s="2">
        <v>0.93366898148148147</v>
      </c>
      <c r="D74">
        <f>Identyfikacja!D74</f>
        <v>73</v>
      </c>
      <c r="E74" s="5" t="s">
        <v>92</v>
      </c>
      <c r="F74">
        <v>3</v>
      </c>
      <c r="G74">
        <v>0</v>
      </c>
      <c r="I74">
        <v>2</v>
      </c>
      <c r="J74">
        <v>0</v>
      </c>
      <c r="M74" s="11"/>
      <c r="N74" s="11"/>
      <c r="O74" s="3" t="s">
        <v>239</v>
      </c>
      <c r="P74" s="3">
        <f t="shared" si="24"/>
        <v>0</v>
      </c>
      <c r="Q74" s="3">
        <f>COUNTIFS(C:C,"&gt;="&amp;M67,C:C,"&lt;"&amp;N67,F:F,"=8",G:G,"=0",D:D,"&lt;&gt;x")</f>
        <v>0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0</v>
      </c>
      <c r="T74" s="7" t="str">
        <f t="shared" si="25"/>
        <v>-</v>
      </c>
      <c r="V74" s="11"/>
      <c r="W74" s="11"/>
      <c r="X74" s="3" t="s">
        <v>240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45069</v>
      </c>
      <c r="C75" s="2">
        <v>0.93556712962962962</v>
      </c>
      <c r="D75">
        <f>Identyfikacja!D75</f>
        <v>74</v>
      </c>
      <c r="E75" s="5" t="s">
        <v>93</v>
      </c>
      <c r="F75">
        <v>3</v>
      </c>
      <c r="G75">
        <v>0</v>
      </c>
      <c r="I75">
        <v>2</v>
      </c>
      <c r="J75">
        <v>0</v>
      </c>
      <c r="M75" s="11"/>
      <c r="N75" s="11"/>
      <c r="O75" s="3" t="s">
        <v>241</v>
      </c>
      <c r="P75" s="3">
        <f t="shared" si="24"/>
        <v>3</v>
      </c>
      <c r="Q75" s="3">
        <f>COUNTIFS(C:C,"&gt;="&amp;M67,C:C,"&lt;"&amp;N67,F:F,"=9",G:G,"=0",D:D,"&lt;&gt;x")</f>
        <v>3</v>
      </c>
      <c r="R75" s="3">
        <f>COUNTIFS(C:C,"&gt;="&amp;M67,C:C,"&lt;"&amp;N67,F:F,"=9",G:G,"=1",D:D,"&lt;&gt;x")</f>
        <v>0</v>
      </c>
      <c r="S75" s="3">
        <f>COUNTIFS(C:C,"&gt;="&amp;M67,C:C,"&lt;"&amp;N67,F:F,"=9",G:G,"=2",D:D,"&lt;&gt;x")</f>
        <v>0</v>
      </c>
      <c r="T75" s="7">
        <f t="shared" si="25"/>
        <v>1</v>
      </c>
      <c r="V75" s="11"/>
      <c r="W75" s="11"/>
      <c r="X75" s="3" t="s">
        <v>242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0</v>
      </c>
      <c r="AC75" s="7" t="str">
        <f t="shared" si="27"/>
        <v>-</v>
      </c>
    </row>
    <row r="76" spans="1:29" x14ac:dyDescent="0.25">
      <c r="A76">
        <v>75</v>
      </c>
      <c r="B76" s="1">
        <v>45069</v>
      </c>
      <c r="C76" s="2">
        <v>0.93649305555555551</v>
      </c>
      <c r="D76">
        <f>Identyfikacja!D76</f>
        <v>75</v>
      </c>
      <c r="E76" s="5" t="s">
        <v>94</v>
      </c>
      <c r="F76">
        <v>9</v>
      </c>
      <c r="G76">
        <v>0</v>
      </c>
      <c r="I76">
        <v>5</v>
      </c>
      <c r="J76">
        <v>1</v>
      </c>
      <c r="K76">
        <v>4</v>
      </c>
      <c r="M76" s="11"/>
      <c r="N76" s="11"/>
      <c r="O76" s="3" t="s">
        <v>240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45069</v>
      </c>
      <c r="C77" s="2">
        <v>0.93655092592592593</v>
      </c>
      <c r="D77">
        <f>Identyfikacja!D77</f>
        <v>76</v>
      </c>
      <c r="E77" s="5" t="s">
        <v>95</v>
      </c>
      <c r="F77">
        <v>3</v>
      </c>
      <c r="G77">
        <v>2</v>
      </c>
      <c r="H77">
        <v>3</v>
      </c>
      <c r="I77">
        <v>2</v>
      </c>
      <c r="J77">
        <v>2</v>
      </c>
      <c r="K77">
        <v>2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45069</v>
      </c>
      <c r="C78" s="2">
        <v>0.93881944444444443</v>
      </c>
      <c r="D78">
        <f>Identyfikacja!D78</f>
        <v>77</v>
      </c>
      <c r="E78" s="5" t="s">
        <v>96</v>
      </c>
      <c r="F78">
        <v>9</v>
      </c>
      <c r="G78">
        <v>0</v>
      </c>
      <c r="I78">
        <v>5</v>
      </c>
      <c r="J78">
        <v>0</v>
      </c>
      <c r="M78" s="10">
        <v>0.94704861111111116</v>
      </c>
      <c r="N78" s="10">
        <v>0.95746527777777779</v>
      </c>
      <c r="O78" s="3" t="s">
        <v>222</v>
      </c>
      <c r="P78" s="3" t="s">
        <v>223</v>
      </c>
      <c r="Q78" s="3" t="s">
        <v>224</v>
      </c>
      <c r="R78" s="3" t="s">
        <v>225</v>
      </c>
      <c r="S78" s="3" t="s">
        <v>17</v>
      </c>
      <c r="T78" s="3" t="s">
        <v>226</v>
      </c>
      <c r="V78" s="10">
        <v>0.94704861111111116</v>
      </c>
      <c r="W78" s="10">
        <v>0.95746527777777779</v>
      </c>
      <c r="X78" s="3" t="s">
        <v>227</v>
      </c>
      <c r="Y78" s="3" t="s">
        <v>223</v>
      </c>
      <c r="Z78" s="3" t="s">
        <v>224</v>
      </c>
      <c r="AA78" s="3" t="s">
        <v>225</v>
      </c>
      <c r="AB78" s="3" t="s">
        <v>17</v>
      </c>
      <c r="AC78" s="3" t="s">
        <v>226</v>
      </c>
    </row>
    <row r="79" spans="1:29" x14ac:dyDescent="0.25">
      <c r="A79">
        <v>78</v>
      </c>
      <c r="B79" s="1">
        <v>45069</v>
      </c>
      <c r="C79" s="2">
        <v>0.93896990740740738</v>
      </c>
      <c r="D79">
        <f>Identyfikacja!D79</f>
        <v>78</v>
      </c>
      <c r="E79" s="5" t="s">
        <v>97</v>
      </c>
      <c r="F79">
        <v>7</v>
      </c>
      <c r="G79">
        <v>0</v>
      </c>
      <c r="I79">
        <v>1</v>
      </c>
      <c r="J79">
        <v>0</v>
      </c>
      <c r="M79" s="11"/>
      <c r="N79" s="11"/>
      <c r="O79" s="3" t="s">
        <v>228</v>
      </c>
      <c r="P79" s="3">
        <f t="shared" ref="P79:P87" si="28">Q79+R79</f>
        <v>0</v>
      </c>
      <c r="Q79" s="3">
        <f>COUNTIFS(C:C,"&gt;="&amp;M78,C:C,"&lt;"&amp;N78,F:F,"=6",G:G,"=0",D:D,"&lt;&gt;x")</f>
        <v>0</v>
      </c>
      <c r="R79" s="3">
        <f>COUNTIFS(C:C,"&gt;="&amp;M78,C:C,"&lt;"&amp;N78,F:F,"=6",G:G,"=1",D:D,"&lt;&gt;x")</f>
        <v>0</v>
      </c>
      <c r="S79" s="3">
        <f>COUNTIFS(C:C,"&gt;="&amp;M78,C:C,"&lt;"&amp;N78,F:F,"=6",G:G,"=2",D:D,"&lt;&gt;x")</f>
        <v>0</v>
      </c>
      <c r="T79" s="7" t="str">
        <f t="shared" ref="T79:T87" si="29">IF(P79&gt;0,Q79/P79,"-")</f>
        <v>-</v>
      </c>
      <c r="V79" s="11"/>
      <c r="W79" s="11"/>
      <c r="X79" s="3" t="s">
        <v>229</v>
      </c>
      <c r="Y79" s="3">
        <f t="shared" ref="Y79:Y86" si="30">Z79+AA79</f>
        <v>6</v>
      </c>
      <c r="Z79" s="3">
        <f>COUNTIFS(C:C,"&gt;="&amp;M78,C:C,"&lt;"&amp;N78,I:I,"=1",J:J,"=0",D:D,"&lt;&gt;x")</f>
        <v>5</v>
      </c>
      <c r="AA79" s="3">
        <f>COUNTIFS(C:C,"&gt;="&amp;M78,C:C,"&lt;"&amp;N78,I:I,"=1",J:J,"=1",D:D,"&lt;&gt;x")</f>
        <v>1</v>
      </c>
      <c r="AB79" s="3">
        <f>COUNTIFS(C:C,"&gt;="&amp;M78,C:C,"&lt;"&amp;N78,I:I,"=1",J:J,"=2",D:D,"&lt;&gt;x")</f>
        <v>0</v>
      </c>
      <c r="AC79" s="7">
        <f t="shared" ref="AC79:AC86" si="31">IF(Y79&gt;0,Z79/Y79,"-")</f>
        <v>0.83333333333333337</v>
      </c>
    </row>
    <row r="80" spans="1:29" x14ac:dyDescent="0.25">
      <c r="A80">
        <v>79</v>
      </c>
      <c r="B80" s="1">
        <v>45069</v>
      </c>
      <c r="C80" s="2">
        <v>0.94056712962962963</v>
      </c>
      <c r="D80">
        <f>Identyfikacja!D80</f>
        <v>79</v>
      </c>
      <c r="E80" s="5" t="s">
        <v>98</v>
      </c>
      <c r="F80">
        <v>9</v>
      </c>
      <c r="G80">
        <v>0</v>
      </c>
      <c r="I80">
        <v>5</v>
      </c>
      <c r="J80">
        <v>0</v>
      </c>
      <c r="M80" s="11"/>
      <c r="N80" s="11"/>
      <c r="O80" s="3" t="s">
        <v>230</v>
      </c>
      <c r="P80" s="3">
        <f t="shared" si="28"/>
        <v>0</v>
      </c>
      <c r="Q80" s="3">
        <f>COUNTIFS(C:C,"&gt;="&amp;M78,C:C,"&lt;"&amp;N78,F:F,"=10",G:G,"=0",D:D,"&lt;&gt;x")</f>
        <v>0</v>
      </c>
      <c r="R80" s="3">
        <f>COUNTIFS(C:C,"&gt;="&amp;M78,C:C,"&lt;"&amp;N78,F:F,"=10",G:G,"=1",D:D,"&lt;&gt;x")</f>
        <v>0</v>
      </c>
      <c r="S80" s="3">
        <f>COUNTIFS(C:C,"&gt;="&amp;M78,C:C,"&lt;"&amp;N78,F:F,"=10",G:G,"=2",D:D,"&lt;&gt;x")</f>
        <v>0</v>
      </c>
      <c r="T80" s="7" t="str">
        <f t="shared" si="29"/>
        <v>-</v>
      </c>
      <c r="V80" s="11"/>
      <c r="W80" s="11"/>
      <c r="X80" s="3" t="s">
        <v>231</v>
      </c>
      <c r="Y80" s="3">
        <f t="shared" si="30"/>
        <v>3</v>
      </c>
      <c r="Z80" s="3">
        <f>COUNTIFS(C:C,"&gt;="&amp;M78,C:C,"&lt;"&amp;N78,I:I,"=2",J:J,"=0",D:D,"&lt;&gt;x")</f>
        <v>2</v>
      </c>
      <c r="AA80" s="3">
        <f>COUNTIFS(C:C,"&gt;="&amp;M78,C:C,"&lt;"&amp;N78,I:I,"=2",J:J,"=1",D:D,"&lt;&gt;x")</f>
        <v>1</v>
      </c>
      <c r="AB80" s="3">
        <f>COUNTIFS(C:C,"&gt;="&amp;M78,C:C,"&lt;"&amp;N78,I:I,"=2",J:J,"=2",D:D,"&lt;&gt;x")</f>
        <v>0</v>
      </c>
      <c r="AC80" s="7">
        <f t="shared" si="31"/>
        <v>0.66666666666666663</v>
      </c>
    </row>
    <row r="81" spans="1:29" x14ac:dyDescent="0.25">
      <c r="A81">
        <v>80</v>
      </c>
      <c r="B81" s="1">
        <v>45069</v>
      </c>
      <c r="C81" s="2">
        <v>0.94138888888888894</v>
      </c>
      <c r="D81">
        <f>Identyfikacja!D81</f>
        <v>80</v>
      </c>
      <c r="E81" s="5" t="s">
        <v>99</v>
      </c>
      <c r="F81">
        <v>9</v>
      </c>
      <c r="G81">
        <v>0</v>
      </c>
      <c r="I81">
        <v>5</v>
      </c>
      <c r="J81">
        <v>0</v>
      </c>
      <c r="M81" s="11"/>
      <c r="N81" s="11"/>
      <c r="O81" s="3" t="s">
        <v>232</v>
      </c>
      <c r="P81" s="3">
        <f t="shared" si="28"/>
        <v>4</v>
      </c>
      <c r="Q81" s="3">
        <f>COUNTIFS(C:C,"&gt;="&amp;M78,C:C,"&lt;"&amp;N78,F:F,"=7",G:G,"=0",D:D,"&lt;&gt;x")</f>
        <v>4</v>
      </c>
      <c r="R81" s="3">
        <f>COUNTIFS(C:C,"&gt;="&amp;M78,C:C,"&lt;"&amp;N78,F:F,"=7",G:G,"=1",D:D,"&lt;&gt;x")</f>
        <v>0</v>
      </c>
      <c r="S81" s="3">
        <f>COUNTIFS(C:C,"&gt;="&amp;M78,C:C,"&lt;"&amp;N78,F:F,"=7",G:G,"=2",D:D,"&lt;&gt;x")</f>
        <v>0</v>
      </c>
      <c r="T81" s="7">
        <f t="shared" si="29"/>
        <v>1</v>
      </c>
      <c r="V81" s="11"/>
      <c r="W81" s="11"/>
      <c r="X81" s="3" t="s">
        <v>233</v>
      </c>
      <c r="Y81" s="3">
        <f t="shared" si="30"/>
        <v>0</v>
      </c>
      <c r="Z81" s="3">
        <f>COUNTIFS(C:C,"&gt;="&amp;M78,C:C,"&lt;"&amp;N78,I:I,"=3",J:J,"=0",D:D,"&lt;&gt;x")</f>
        <v>0</v>
      </c>
      <c r="AA81" s="3">
        <f>COUNTIFS(C:C,"&gt;="&amp;M78,C:C,"&lt;"&amp;N78,I:I,"=3",J:J,"=1",D:D,"&lt;&gt;x")</f>
        <v>0</v>
      </c>
      <c r="AB81" s="3">
        <f>COUNTIFS(C:C,"&gt;="&amp;M78,C:C,"&lt;"&amp;N78,I:I,"=3",J:J,"=2",D:D,"&lt;&gt;x")</f>
        <v>0</v>
      </c>
      <c r="AC81" s="7" t="str">
        <f t="shared" si="31"/>
        <v>-</v>
      </c>
    </row>
    <row r="82" spans="1:29" x14ac:dyDescent="0.25">
      <c r="A82">
        <v>81</v>
      </c>
      <c r="B82" s="1">
        <v>45069</v>
      </c>
      <c r="C82" s="2">
        <v>0.94641203703703702</v>
      </c>
      <c r="D82">
        <f>Identyfikacja!D82</f>
        <v>81</v>
      </c>
      <c r="E82" s="5" t="s">
        <v>100</v>
      </c>
      <c r="F82">
        <v>3</v>
      </c>
      <c r="G82">
        <v>0</v>
      </c>
      <c r="I82">
        <v>2</v>
      </c>
      <c r="J82">
        <v>0</v>
      </c>
      <c r="M82" s="11"/>
      <c r="N82" s="11"/>
      <c r="O82" s="3" t="s">
        <v>234</v>
      </c>
      <c r="P82" s="3">
        <f t="shared" si="28"/>
        <v>2</v>
      </c>
      <c r="Q82" s="3">
        <f>COUNTIFS(C:C,"&gt;="&amp;M78,C:C,"&lt;"&amp;N78,F:F,"=11",G:G,"=0",D:D,"&lt;&gt;x")</f>
        <v>1</v>
      </c>
      <c r="R82" s="3">
        <f>COUNTIFS(C:C,"&gt;="&amp;M78,C:C,"&lt;"&amp;N78,F:F,"=11",G:G,"=1",D:D,"&lt;&gt;x")</f>
        <v>1</v>
      </c>
      <c r="S82" s="3">
        <f>COUNTIFS(C:C,"&gt;="&amp;M78,C:C,"&lt;"&amp;N78,F:F,"=11",G:G,"=2",D:D,"&lt;&gt;x")</f>
        <v>0</v>
      </c>
      <c r="T82" s="7">
        <f t="shared" si="29"/>
        <v>0.5</v>
      </c>
      <c r="V82" s="11"/>
      <c r="W82" s="11"/>
      <c r="X82" s="3" t="s">
        <v>235</v>
      </c>
      <c r="Y82" s="3">
        <f t="shared" si="30"/>
        <v>0</v>
      </c>
      <c r="Z82" s="3">
        <f>COUNTIFS(C:C,"&gt;="&amp;M78,C:C,"&lt;"&amp;N78,I:I,"=4",J:J,"=0",D:D,"&lt;&gt;x")</f>
        <v>0</v>
      </c>
      <c r="AA82" s="3">
        <f>COUNTIFS(C:C,"&gt;="&amp;M78,C:C,"&lt;"&amp;N78,I:I,"=4",J:J,"=1",D:D,"&lt;&gt;x")</f>
        <v>0</v>
      </c>
      <c r="AB82" s="3">
        <f>COUNTIFS(C:C,"&gt;="&amp;M78,C:C,"&lt;"&amp;N78,I:I,"=4",J:J,"=2",D:D,"&lt;&gt;x")</f>
        <v>1</v>
      </c>
      <c r="AC82" s="7" t="str">
        <f t="shared" si="31"/>
        <v>-</v>
      </c>
    </row>
    <row r="83" spans="1:29" x14ac:dyDescent="0.25">
      <c r="A83">
        <v>82</v>
      </c>
      <c r="B83" s="1">
        <v>45069</v>
      </c>
      <c r="C83" s="2">
        <v>0.94741898148148151</v>
      </c>
      <c r="D83">
        <f>Identyfikacja!D83</f>
        <v>82</v>
      </c>
      <c r="E83" s="5" t="s">
        <v>101</v>
      </c>
      <c r="F83">
        <v>3</v>
      </c>
      <c r="G83">
        <v>1</v>
      </c>
      <c r="H83">
        <v>11</v>
      </c>
      <c r="I83">
        <v>2</v>
      </c>
      <c r="J83">
        <v>1</v>
      </c>
      <c r="K83">
        <v>1</v>
      </c>
      <c r="M83" s="11"/>
      <c r="N83" s="11"/>
      <c r="O83" s="3" t="s">
        <v>236</v>
      </c>
      <c r="P83" s="3">
        <f t="shared" si="28"/>
        <v>0</v>
      </c>
      <c r="Q83" s="3">
        <f>COUNTIFS(C:C,"&gt;="&amp;M78,C:C,"&lt;"&amp;N78,F:F,"=2",G:G,"=0",D:D,"&lt;&gt;x")</f>
        <v>0</v>
      </c>
      <c r="R83" s="3">
        <f>COUNTIFS(C:C,"&gt;="&amp;M78,C:C,"&lt;"&amp;N78,F:F,"=2",G:G,"=1",D:D,"&lt;&gt;x")</f>
        <v>0</v>
      </c>
      <c r="S83" s="3">
        <f>COUNTIFS(C:C,"&gt;="&amp;M78,C:C,"&lt;"&amp;N78,F:F,"=2",G:G,"=2",D:D,"&lt;&gt;x")</f>
        <v>0</v>
      </c>
      <c r="T83" s="7" t="str">
        <f t="shared" si="29"/>
        <v>-</v>
      </c>
      <c r="V83" s="11"/>
      <c r="W83" s="11"/>
      <c r="X83" s="3" t="s">
        <v>237</v>
      </c>
      <c r="Y83" s="3">
        <f t="shared" si="30"/>
        <v>6</v>
      </c>
      <c r="Z83" s="3">
        <f>COUNTIFS(C:C,"&gt;="&amp;M78,C:C,"&lt;"&amp;N78,I:I,"=5",J:J,"=0",D:D,"&lt;&gt;x")</f>
        <v>5</v>
      </c>
      <c r="AA83" s="3">
        <f>COUNTIFS(C:C,"&gt;="&amp;M78,C:C,"&lt;"&amp;N78,I:I,"=5",J:J,"=1",D:D,"&lt;&gt;x")</f>
        <v>1</v>
      </c>
      <c r="AB83" s="3">
        <f>COUNTIFS(C:C,"&gt;="&amp;M78,C:C,"&lt;"&amp;N78,I:I,"=5",J:J,"=2",D:D,"&lt;&gt;x")</f>
        <v>0</v>
      </c>
      <c r="AC83" s="7">
        <f t="shared" si="31"/>
        <v>0.83333333333333337</v>
      </c>
    </row>
    <row r="84" spans="1:29" x14ac:dyDescent="0.25">
      <c r="A84">
        <v>83</v>
      </c>
      <c r="B84" s="1">
        <v>45069</v>
      </c>
      <c r="C84" s="2">
        <v>0.94828703703703698</v>
      </c>
      <c r="D84">
        <f>Identyfikacja!D84</f>
        <v>83</v>
      </c>
      <c r="E84" s="5" t="s">
        <v>102</v>
      </c>
      <c r="F84">
        <v>9</v>
      </c>
      <c r="G84">
        <v>0</v>
      </c>
      <c r="I84">
        <v>5</v>
      </c>
      <c r="J84">
        <v>0</v>
      </c>
      <c r="M84" s="11"/>
      <c r="N84" s="11"/>
      <c r="O84" s="3" t="s">
        <v>238</v>
      </c>
      <c r="P84" s="3">
        <f t="shared" si="28"/>
        <v>3</v>
      </c>
      <c r="Q84" s="3">
        <f>COUNTIFS(C:C,"&gt;="&amp;M78,C:C,"&lt;"&amp;N78,F:F,"=3",G:G,"=0",D:D,"&lt;&gt;x")</f>
        <v>2</v>
      </c>
      <c r="R84" s="3">
        <f>COUNTIFS(C:C,"&gt;="&amp;M78,C:C,"&lt;"&amp;N78,F:F,"=3",G:G,"=1",D:D,"&lt;&gt;x")</f>
        <v>1</v>
      </c>
      <c r="S84" s="3">
        <f>COUNTIFS(C:C,"&gt;="&amp;M78,C:C,"&lt;"&amp;N78,F:F,"=3",G:G,"=2",D:D,"&lt;&gt;x")</f>
        <v>0</v>
      </c>
      <c r="T84" s="7">
        <f t="shared" si="29"/>
        <v>0.66666666666666663</v>
      </c>
      <c r="V84" s="11"/>
      <c r="W84" s="11"/>
      <c r="X84" s="3" t="s">
        <v>239</v>
      </c>
      <c r="Y84" s="3">
        <f t="shared" si="30"/>
        <v>0</v>
      </c>
      <c r="Z84" s="3">
        <f>COUNTIFS(C:C,"&gt;="&amp;M78,C:C,"&lt;"&amp;N78,I:I,"=6",J:J,"=0",D:D,"&lt;&gt;x")</f>
        <v>0</v>
      </c>
      <c r="AA84" s="3">
        <f>COUNTIFS(C:C,"&gt;="&amp;M78,C:C,"&lt;"&amp;N78,I:I,"=6",J:J,"=1",D:D,"&lt;&gt;x")</f>
        <v>0</v>
      </c>
      <c r="AB84" s="3">
        <f>COUNTIFS(C:C,"&gt;="&amp;M78,C:C,"&lt;"&amp;N78,I:I,"=6",J:J,"=2",D:D,"&lt;&gt;x")</f>
        <v>0</v>
      </c>
      <c r="AC84" s="7" t="str">
        <f t="shared" si="31"/>
        <v>-</v>
      </c>
    </row>
    <row r="85" spans="1:29" x14ac:dyDescent="0.25">
      <c r="A85">
        <v>84</v>
      </c>
      <c r="B85" s="1">
        <v>45069</v>
      </c>
      <c r="C85" s="2">
        <v>0.94837962962962963</v>
      </c>
      <c r="D85">
        <f>Identyfikacja!D85</f>
        <v>84</v>
      </c>
      <c r="E85" s="5" t="s">
        <v>103</v>
      </c>
      <c r="F85">
        <v>11</v>
      </c>
      <c r="G85">
        <v>0</v>
      </c>
      <c r="I85">
        <v>1</v>
      </c>
      <c r="J85">
        <v>0</v>
      </c>
      <c r="M85" s="11"/>
      <c r="N85" s="11"/>
      <c r="O85" s="3" t="s">
        <v>239</v>
      </c>
      <c r="P85" s="3">
        <f t="shared" si="28"/>
        <v>0</v>
      </c>
      <c r="Q85" s="3">
        <f>COUNTIFS(C:C,"&gt;="&amp;M78,C:C,"&lt;"&amp;N78,F:F,"=8",G:G,"=0",D:D,"&lt;&gt;x")</f>
        <v>0</v>
      </c>
      <c r="R85" s="3">
        <f>COUNTIFS(C:C,"&gt;="&amp;M78,C:C,"&lt;"&amp;N78,F:F,"=8",G:G,"=1",D:D,"&lt;&gt;x")</f>
        <v>0</v>
      </c>
      <c r="S85" s="3">
        <f>COUNTIFS(C:C,"&gt;="&amp;M78,C:C,"&lt;"&amp;N78,F:F,"=8",G:G,"=2",D:D,"&lt;&gt;x")</f>
        <v>0</v>
      </c>
      <c r="T85" s="7" t="str">
        <f t="shared" si="29"/>
        <v>-</v>
      </c>
      <c r="V85" s="11"/>
      <c r="W85" s="11"/>
      <c r="X85" s="3" t="s">
        <v>240</v>
      </c>
      <c r="Y85" s="3">
        <f t="shared" si="30"/>
        <v>0</v>
      </c>
      <c r="Z85" s="3">
        <f>COUNTIFS(C:C,"&gt;="&amp;M78,C:C,"&lt;"&amp;N78,I:I,"=7",J:J,"=0",D:D,"&lt;&gt;x")</f>
        <v>0</v>
      </c>
      <c r="AA85" s="3">
        <f>COUNTIFS(C:C,"&gt;="&amp;M78,C:C,"&lt;"&amp;N78,I:I,"=7",J:J,"=1",D:D,"&lt;&gt;x")</f>
        <v>0</v>
      </c>
      <c r="AB85" s="3">
        <f>COUNTIFS(C:C,"&gt;="&amp;M78,C:C,"&lt;"&amp;N78,I:I,"=7",J:J,"=2",D:D,"&lt;&gt;x")</f>
        <v>0</v>
      </c>
      <c r="AC85" s="7" t="str">
        <f t="shared" si="31"/>
        <v>-</v>
      </c>
    </row>
    <row r="86" spans="1:29" x14ac:dyDescent="0.25">
      <c r="A86">
        <v>85</v>
      </c>
      <c r="B86" s="1">
        <v>45069</v>
      </c>
      <c r="C86" s="2">
        <v>0.94987268518518519</v>
      </c>
      <c r="D86">
        <f>Identyfikacja!D86</f>
        <v>85</v>
      </c>
      <c r="E86" s="5" t="s">
        <v>104</v>
      </c>
      <c r="F86">
        <v>7</v>
      </c>
      <c r="G86">
        <v>0</v>
      </c>
      <c r="I86">
        <v>1</v>
      </c>
      <c r="J86">
        <v>0</v>
      </c>
      <c r="M86" s="11"/>
      <c r="N86" s="11"/>
      <c r="O86" s="3" t="s">
        <v>241</v>
      </c>
      <c r="P86" s="3">
        <f t="shared" si="28"/>
        <v>6</v>
      </c>
      <c r="Q86" s="3">
        <f>COUNTIFS(C:C,"&gt;="&amp;M78,C:C,"&lt;"&amp;N78,F:F,"=9",G:G,"=0",D:D,"&lt;&gt;x")</f>
        <v>6</v>
      </c>
      <c r="R86" s="3">
        <f>COUNTIFS(C:C,"&gt;="&amp;M78,C:C,"&lt;"&amp;N78,F:F,"=9",G:G,"=1",D:D,"&lt;&gt;x")</f>
        <v>0</v>
      </c>
      <c r="S86" s="3">
        <f>COUNTIFS(C:C,"&gt;="&amp;M78,C:C,"&lt;"&amp;N78,F:F,"=9",G:G,"=2",D:D,"&lt;&gt;x")</f>
        <v>1</v>
      </c>
      <c r="T86" s="7">
        <f t="shared" si="29"/>
        <v>1</v>
      </c>
      <c r="V86" s="11"/>
      <c r="W86" s="11"/>
      <c r="X86" s="3" t="s">
        <v>242</v>
      </c>
      <c r="Y86" s="3">
        <f t="shared" si="30"/>
        <v>0</v>
      </c>
      <c r="Z86" s="3">
        <f>COUNTIFS(C:C,"&gt;="&amp;M78,C:C,"&lt;"&amp;N78,I:I,"=8",J:J,"=0",D:D,"&lt;&gt;x")</f>
        <v>0</v>
      </c>
      <c r="AA86" s="3">
        <f>COUNTIFS(C:C,"&gt;="&amp;M78,C:C,"&lt;"&amp;N78,I:I,"=8",J:J,"=1",D:D,"&lt;&gt;x")</f>
        <v>0</v>
      </c>
      <c r="AB86" s="3">
        <f>COUNTIFS(C:C,"&gt;="&amp;M78,C:C,"&lt;"&amp;N78,I:I,"=8",J:J,"=2",D:D,"&lt;&gt;x")</f>
        <v>0</v>
      </c>
      <c r="AC86" s="7" t="str">
        <f t="shared" si="31"/>
        <v>-</v>
      </c>
    </row>
    <row r="87" spans="1:29" x14ac:dyDescent="0.25">
      <c r="A87">
        <v>86</v>
      </c>
      <c r="B87" s="1">
        <v>45069</v>
      </c>
      <c r="C87" s="2">
        <v>0.9509143518518518</v>
      </c>
      <c r="D87">
        <f>Identyfikacja!D87</f>
        <v>86</v>
      </c>
      <c r="E87" s="5" t="s">
        <v>105</v>
      </c>
      <c r="F87">
        <v>11</v>
      </c>
      <c r="G87">
        <v>1</v>
      </c>
      <c r="H87">
        <v>6</v>
      </c>
      <c r="I87">
        <v>1</v>
      </c>
      <c r="J87">
        <v>1</v>
      </c>
      <c r="K87">
        <v>8</v>
      </c>
      <c r="M87" s="11"/>
      <c r="N87" s="11"/>
      <c r="O87" s="3" t="s">
        <v>240</v>
      </c>
      <c r="P87" s="3">
        <f t="shared" si="28"/>
        <v>0</v>
      </c>
      <c r="Q87" s="3">
        <f>COUNTIFS(C:C,"&gt;="&amp;M78,C:C,"&lt;"&amp;N78,F:F,"=5",G:G,"=0",D:D,"&lt;&gt;x")</f>
        <v>0</v>
      </c>
      <c r="R87" s="3">
        <f>COUNTIFS(C:C,"&gt;="&amp;M78,C:C,"&lt;"&amp;N78,F:F,"=5",G:G,"=1",D:D,"&lt;&gt;x")</f>
        <v>0</v>
      </c>
      <c r="S87" s="3">
        <f>COUNTIFS(C:C,"&gt;="&amp;M78,C:C,"&lt;"&amp;N78,F:F,"=5",G:G,"=2",D:D,"&lt;&gt;x")</f>
        <v>0</v>
      </c>
      <c r="T87" s="7" t="str">
        <f t="shared" si="29"/>
        <v>-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45069</v>
      </c>
      <c r="C88" s="2">
        <v>0.95096064814814818</v>
      </c>
      <c r="D88">
        <f>Identyfikacja!D88</f>
        <v>87</v>
      </c>
      <c r="E88" s="5" t="s">
        <v>106</v>
      </c>
      <c r="F88">
        <v>9</v>
      </c>
      <c r="G88">
        <v>2</v>
      </c>
      <c r="H88">
        <v>9</v>
      </c>
      <c r="I88">
        <v>4</v>
      </c>
      <c r="J88">
        <v>2</v>
      </c>
      <c r="K88">
        <v>4</v>
      </c>
      <c r="O88" s="3"/>
      <c r="P88" s="3"/>
      <c r="Q88" s="3"/>
      <c r="R88" s="3"/>
      <c r="S88" s="3"/>
      <c r="T88" s="3"/>
      <c r="X88" s="3"/>
      <c r="Y88" s="3"/>
      <c r="Z88" s="3"/>
      <c r="AA88" s="3"/>
      <c r="AB88" s="3"/>
      <c r="AC88" s="3"/>
    </row>
    <row r="89" spans="1:29" x14ac:dyDescent="0.25">
      <c r="A89">
        <v>88</v>
      </c>
      <c r="B89" s="1">
        <v>45069</v>
      </c>
      <c r="C89" s="2">
        <v>0.9515393518518519</v>
      </c>
      <c r="D89">
        <f>Identyfikacja!D89</f>
        <v>88</v>
      </c>
      <c r="E89" s="5" t="s">
        <v>107</v>
      </c>
      <c r="F89">
        <v>9</v>
      </c>
      <c r="G89">
        <v>0</v>
      </c>
      <c r="I89">
        <v>5</v>
      </c>
      <c r="J89">
        <v>1</v>
      </c>
      <c r="K89">
        <v>4</v>
      </c>
      <c r="M89" s="10">
        <v>0.95746527777777779</v>
      </c>
      <c r="N89" s="10">
        <v>0.96788194444444442</v>
      </c>
      <c r="O89" s="3" t="s">
        <v>222</v>
      </c>
      <c r="P89" s="3" t="s">
        <v>223</v>
      </c>
      <c r="Q89" s="3" t="s">
        <v>224</v>
      </c>
      <c r="R89" s="3" t="s">
        <v>225</v>
      </c>
      <c r="S89" s="3" t="s">
        <v>17</v>
      </c>
      <c r="T89" s="3" t="s">
        <v>226</v>
      </c>
      <c r="V89" s="10">
        <v>0.95746527777777779</v>
      </c>
      <c r="W89" s="10">
        <v>0.96788194444444442</v>
      </c>
      <c r="X89" s="3" t="s">
        <v>227</v>
      </c>
      <c r="Y89" s="3" t="s">
        <v>223</v>
      </c>
      <c r="Z89" s="3" t="s">
        <v>224</v>
      </c>
      <c r="AA89" s="3" t="s">
        <v>225</v>
      </c>
      <c r="AB89" s="3" t="s">
        <v>17</v>
      </c>
      <c r="AC89" s="3" t="s">
        <v>226</v>
      </c>
    </row>
    <row r="90" spans="1:29" x14ac:dyDescent="0.25">
      <c r="A90">
        <v>89</v>
      </c>
      <c r="B90" s="1">
        <v>45069</v>
      </c>
      <c r="C90" s="2">
        <v>0.95216435185185189</v>
      </c>
      <c r="D90">
        <f>Identyfikacja!D90</f>
        <v>89</v>
      </c>
      <c r="E90" s="5" t="s">
        <v>108</v>
      </c>
      <c r="F90">
        <v>9</v>
      </c>
      <c r="G90">
        <v>0</v>
      </c>
      <c r="I90">
        <v>5</v>
      </c>
      <c r="J90">
        <v>0</v>
      </c>
      <c r="M90" s="11"/>
      <c r="N90" s="11"/>
      <c r="O90" s="3" t="s">
        <v>228</v>
      </c>
      <c r="P90" s="3">
        <f t="shared" ref="P90:P98" si="32">Q90+R90</f>
        <v>0</v>
      </c>
      <c r="Q90" s="3">
        <f>COUNTIFS(C:C,"&gt;="&amp;M89,C:C,"&lt;"&amp;N89,F:F,"=6",G:G,"=0",D:D,"&lt;&gt;x")</f>
        <v>0</v>
      </c>
      <c r="R90" s="3">
        <f>COUNTIFS(C:C,"&gt;="&amp;M89,C:C,"&lt;"&amp;N89,F:F,"=6",G:G,"=1",D:D,"&lt;&gt;x")</f>
        <v>0</v>
      </c>
      <c r="S90" s="3">
        <f>COUNTIFS(C:C,"&gt;="&amp;M89,C:C,"&lt;"&amp;N89,F:F,"=6",G:G,"=2",D:D,"&lt;&gt;x")</f>
        <v>0</v>
      </c>
      <c r="T90" s="7" t="str">
        <f t="shared" ref="T90:T98" si="33">IF(P90&gt;0,Q90/P90,"-")</f>
        <v>-</v>
      </c>
      <c r="V90" s="11"/>
      <c r="W90" s="11"/>
      <c r="X90" s="3" t="s">
        <v>229</v>
      </c>
      <c r="Y90" s="3">
        <f t="shared" ref="Y90:Y97" si="34">Z90+AA90</f>
        <v>3</v>
      </c>
      <c r="Z90" s="3">
        <f>COUNTIFS(C:C,"&gt;="&amp;M89,C:C,"&lt;"&amp;N89,I:I,"=1",J:J,"=0",D:D,"&lt;&gt;x")</f>
        <v>3</v>
      </c>
      <c r="AA90" s="3">
        <f>COUNTIFS(C:C,"&gt;="&amp;M89,C:C,"&lt;"&amp;N89,I:I,"=1",J:J,"=1",D:D,"&lt;&gt;x")</f>
        <v>0</v>
      </c>
      <c r="AB90" s="3">
        <f>COUNTIFS(C:C,"&gt;="&amp;M89,C:C,"&lt;"&amp;N89,I:I,"=1",J:J,"=2",D:D,"&lt;&gt;x")</f>
        <v>0</v>
      </c>
      <c r="AC90" s="7">
        <f t="shared" ref="AC90:AC97" si="35">IF(Y90&gt;0,Z90/Y90,"-")</f>
        <v>1</v>
      </c>
    </row>
    <row r="91" spans="1:29" x14ac:dyDescent="0.25">
      <c r="A91">
        <v>90</v>
      </c>
      <c r="B91" s="1">
        <v>45069</v>
      </c>
      <c r="C91" s="2">
        <v>0.95283564814814814</v>
      </c>
      <c r="D91">
        <f>Identyfikacja!D91</f>
        <v>90</v>
      </c>
      <c r="E91" s="5" t="s">
        <v>109</v>
      </c>
      <c r="F91">
        <v>7</v>
      </c>
      <c r="G91">
        <v>0</v>
      </c>
      <c r="I91">
        <v>1</v>
      </c>
      <c r="J91">
        <v>0</v>
      </c>
      <c r="M91" s="11"/>
      <c r="N91" s="11"/>
      <c r="O91" s="3" t="s">
        <v>230</v>
      </c>
      <c r="P91" s="3">
        <f t="shared" si="32"/>
        <v>0</v>
      </c>
      <c r="Q91" s="3">
        <f>COUNTIFS(C:C,"&gt;="&amp;M89,C:C,"&lt;"&amp;N89,F:F,"=10",G:G,"=0",D:D,"&lt;&gt;x")</f>
        <v>0</v>
      </c>
      <c r="R91" s="3">
        <f>COUNTIFS(C:C,"&gt;="&amp;M89,C:C,"&lt;"&amp;N89,F:F,"=10",G:G,"=1",D:D,"&lt;&gt;x")</f>
        <v>0</v>
      </c>
      <c r="S91" s="3">
        <f>COUNTIFS(C:C,"&gt;="&amp;M89,C:C,"&lt;"&amp;N89,F:F,"=10",G:G,"=2",D:D,"&lt;&gt;x")</f>
        <v>0</v>
      </c>
      <c r="T91" s="7" t="str">
        <f t="shared" si="33"/>
        <v>-</v>
      </c>
      <c r="V91" s="11"/>
      <c r="W91" s="11"/>
      <c r="X91" s="3" t="s">
        <v>231</v>
      </c>
      <c r="Y91" s="3">
        <f t="shared" si="34"/>
        <v>0</v>
      </c>
      <c r="Z91" s="3">
        <f>COUNTIFS(C:C,"&gt;="&amp;M89,C:C,"&lt;"&amp;N89,I:I,"=2",J:J,"=0",D:D,"&lt;&gt;x")</f>
        <v>0</v>
      </c>
      <c r="AA91" s="3">
        <f>COUNTIFS(C:C,"&gt;="&amp;M89,C:C,"&lt;"&amp;N89,I:I,"=2",J:J,"=1",D:D,"&lt;&gt;x")</f>
        <v>0</v>
      </c>
      <c r="AB91" s="3">
        <f>COUNTIFS(C:C,"&gt;="&amp;M89,C:C,"&lt;"&amp;N89,I:I,"=2",J:J,"=2",D:D,"&lt;&gt;x")</f>
        <v>0</v>
      </c>
      <c r="AC91" s="7" t="str">
        <f t="shared" si="35"/>
        <v>-</v>
      </c>
    </row>
    <row r="92" spans="1:29" x14ac:dyDescent="0.25">
      <c r="A92">
        <v>91</v>
      </c>
      <c r="B92" s="1">
        <v>45069</v>
      </c>
      <c r="C92" s="2">
        <v>0.95371527777777776</v>
      </c>
      <c r="D92">
        <f>Identyfikacja!D92</f>
        <v>91</v>
      </c>
      <c r="E92" s="5" t="s">
        <v>110</v>
      </c>
      <c r="F92">
        <v>9</v>
      </c>
      <c r="G92">
        <v>0</v>
      </c>
      <c r="I92">
        <v>5</v>
      </c>
      <c r="J92">
        <v>0</v>
      </c>
      <c r="M92" s="11"/>
      <c r="N92" s="11"/>
      <c r="O92" s="3" t="s">
        <v>232</v>
      </c>
      <c r="P92" s="3">
        <f t="shared" si="32"/>
        <v>3</v>
      </c>
      <c r="Q92" s="3">
        <f>COUNTIFS(C:C,"&gt;="&amp;M89,C:C,"&lt;"&amp;N89,F:F,"=7",G:G,"=0",D:D,"&lt;&gt;x")</f>
        <v>3</v>
      </c>
      <c r="R92" s="3">
        <f>COUNTIFS(C:C,"&gt;="&amp;M89,C:C,"&lt;"&amp;N89,F:F,"=7",G:G,"=1",D:D,"&lt;&gt;x")</f>
        <v>0</v>
      </c>
      <c r="S92" s="3">
        <f>COUNTIFS(C:C,"&gt;="&amp;M89,C:C,"&lt;"&amp;N89,F:F,"=7",G:G,"=2",D:D,"&lt;&gt;x")</f>
        <v>0</v>
      </c>
      <c r="T92" s="7">
        <f t="shared" si="33"/>
        <v>1</v>
      </c>
      <c r="V92" s="11"/>
      <c r="W92" s="11"/>
      <c r="X92" s="3" t="s">
        <v>233</v>
      </c>
      <c r="Y92" s="3">
        <f t="shared" si="34"/>
        <v>0</v>
      </c>
      <c r="Z92" s="3">
        <f>COUNTIFS(C:C,"&gt;="&amp;M89,C:C,"&lt;"&amp;N89,I:I,"=3",J:J,"=0",D:D,"&lt;&gt;x")</f>
        <v>0</v>
      </c>
      <c r="AA92" s="3">
        <f>COUNTIFS(C:C,"&gt;="&amp;M89,C:C,"&lt;"&amp;N89,I:I,"=3",J:J,"=1",D:D,"&lt;&gt;x")</f>
        <v>0</v>
      </c>
      <c r="AB92" s="3">
        <f>COUNTIFS(C:C,"&gt;="&amp;M89,C:C,"&lt;"&amp;N89,I:I,"=3",J:J,"=2",D:D,"&lt;&gt;x")</f>
        <v>0</v>
      </c>
      <c r="AC92" s="7" t="str">
        <f t="shared" si="35"/>
        <v>-</v>
      </c>
    </row>
    <row r="93" spans="1:29" x14ac:dyDescent="0.25">
      <c r="A93">
        <v>92</v>
      </c>
      <c r="B93" s="1">
        <v>45069</v>
      </c>
      <c r="C93" s="2">
        <v>0.95373842592592595</v>
      </c>
      <c r="D93">
        <f>Identyfikacja!D93</f>
        <v>92</v>
      </c>
      <c r="E93" s="5" t="s">
        <v>111</v>
      </c>
      <c r="F93">
        <v>3</v>
      </c>
      <c r="G93">
        <v>0</v>
      </c>
      <c r="I93">
        <v>2</v>
      </c>
      <c r="J93">
        <v>0</v>
      </c>
      <c r="M93" s="11"/>
      <c r="N93" s="11"/>
      <c r="O93" s="3" t="s">
        <v>234</v>
      </c>
      <c r="P93" s="3">
        <f t="shared" si="32"/>
        <v>0</v>
      </c>
      <c r="Q93" s="3">
        <f>COUNTIFS(C:C,"&gt;="&amp;M89,C:C,"&lt;"&amp;N89,F:F,"=11",G:G,"=0",D:D,"&lt;&gt;x")</f>
        <v>0</v>
      </c>
      <c r="R93" s="3">
        <f>COUNTIFS(C:C,"&gt;="&amp;M89,C:C,"&lt;"&amp;N89,F:F,"=11",G:G,"=1",D:D,"&lt;&gt;x")</f>
        <v>0</v>
      </c>
      <c r="S93" s="3">
        <f>COUNTIFS(C:C,"&gt;="&amp;M89,C:C,"&lt;"&amp;N89,F:F,"=11",G:G,"=2",D:D,"&lt;&gt;x")</f>
        <v>0</v>
      </c>
      <c r="T93" s="7" t="str">
        <f t="shared" si="33"/>
        <v>-</v>
      </c>
      <c r="V93" s="11"/>
      <c r="W93" s="11"/>
      <c r="X93" s="3" t="s">
        <v>235</v>
      </c>
      <c r="Y93" s="3">
        <f t="shared" si="34"/>
        <v>0</v>
      </c>
      <c r="Z93" s="3">
        <f>COUNTIFS(C:C,"&gt;="&amp;M89,C:C,"&lt;"&amp;N89,I:I,"=4",J:J,"=0",D:D,"&lt;&gt;x")</f>
        <v>0</v>
      </c>
      <c r="AA93" s="3">
        <f>COUNTIFS(C:C,"&gt;="&amp;M89,C:C,"&lt;"&amp;N89,I:I,"=4",J:J,"=1",D:D,"&lt;&gt;x")</f>
        <v>0</v>
      </c>
      <c r="AB93" s="3">
        <f>COUNTIFS(C:C,"&gt;="&amp;M89,C:C,"&lt;"&amp;N89,I:I,"=4",J:J,"=2",D:D,"&lt;&gt;x")</f>
        <v>1</v>
      </c>
      <c r="AC93" s="7" t="str">
        <f t="shared" si="35"/>
        <v>-</v>
      </c>
    </row>
    <row r="94" spans="1:29" x14ac:dyDescent="0.25">
      <c r="A94">
        <v>93</v>
      </c>
      <c r="B94" s="1">
        <v>45069</v>
      </c>
      <c r="C94" s="2">
        <v>0.9538078703703704</v>
      </c>
      <c r="D94">
        <f>Identyfikacja!D94</f>
        <v>93</v>
      </c>
      <c r="E94" s="5" t="s">
        <v>112</v>
      </c>
      <c r="F94">
        <v>7</v>
      </c>
      <c r="G94">
        <v>0</v>
      </c>
      <c r="I94">
        <v>1</v>
      </c>
      <c r="J94">
        <v>0</v>
      </c>
      <c r="M94" s="11"/>
      <c r="N94" s="11"/>
      <c r="O94" s="3" t="s">
        <v>236</v>
      </c>
      <c r="P94" s="3">
        <f t="shared" si="32"/>
        <v>0</v>
      </c>
      <c r="Q94" s="3">
        <f>COUNTIFS(C:C,"&gt;="&amp;M89,C:C,"&lt;"&amp;N89,F:F,"=2",G:G,"=0",D:D,"&lt;&gt;x")</f>
        <v>0</v>
      </c>
      <c r="R94" s="3">
        <f>COUNTIFS(C:C,"&gt;="&amp;M89,C:C,"&lt;"&amp;N89,F:F,"=2",G:G,"=1",D:D,"&lt;&gt;x")</f>
        <v>0</v>
      </c>
      <c r="S94" s="3">
        <f>COUNTIFS(C:C,"&gt;="&amp;M89,C:C,"&lt;"&amp;N89,F:F,"=2",G:G,"=2",D:D,"&lt;&gt;x")</f>
        <v>0</v>
      </c>
      <c r="T94" s="7" t="str">
        <f t="shared" si="33"/>
        <v>-</v>
      </c>
      <c r="V94" s="11"/>
      <c r="W94" s="11"/>
      <c r="X94" s="3" t="s">
        <v>237</v>
      </c>
      <c r="Y94" s="3">
        <f t="shared" si="34"/>
        <v>1</v>
      </c>
      <c r="Z94" s="3">
        <f>COUNTIFS(C:C,"&gt;="&amp;M89,C:C,"&lt;"&amp;N89,I:I,"=5",J:J,"=0",D:D,"&lt;&gt;x")</f>
        <v>1</v>
      </c>
      <c r="AA94" s="3">
        <f>COUNTIFS(C:C,"&gt;="&amp;M89,C:C,"&lt;"&amp;N89,I:I,"=5",J:J,"=1",D:D,"&lt;&gt;x")</f>
        <v>0</v>
      </c>
      <c r="AB94" s="3">
        <f>COUNTIFS(C:C,"&gt;="&amp;M89,C:C,"&lt;"&amp;N89,I:I,"=5",J:J,"=2",D:D,"&lt;&gt;x")</f>
        <v>0</v>
      </c>
      <c r="AC94" s="7">
        <f t="shared" si="35"/>
        <v>1</v>
      </c>
    </row>
    <row r="95" spans="1:29" x14ac:dyDescent="0.25">
      <c r="A95">
        <v>94</v>
      </c>
      <c r="B95" s="1">
        <v>45069</v>
      </c>
      <c r="C95" s="2">
        <v>0.9559375</v>
      </c>
      <c r="D95">
        <f>Identyfikacja!D95</f>
        <v>94</v>
      </c>
      <c r="E95" s="5" t="s">
        <v>113</v>
      </c>
      <c r="F95">
        <v>9</v>
      </c>
      <c r="G95">
        <v>0</v>
      </c>
      <c r="I95">
        <v>5</v>
      </c>
      <c r="J95">
        <v>0</v>
      </c>
      <c r="M95" s="11"/>
      <c r="N95" s="11"/>
      <c r="O95" s="3" t="s">
        <v>238</v>
      </c>
      <c r="P95" s="3">
        <f t="shared" si="32"/>
        <v>0</v>
      </c>
      <c r="Q95" s="3">
        <f>COUNTIFS(C:C,"&gt;="&amp;M89,C:C,"&lt;"&amp;N89,F:F,"=3",G:G,"=0",D:D,"&lt;&gt;x")</f>
        <v>0</v>
      </c>
      <c r="R95" s="3">
        <f>COUNTIFS(C:C,"&gt;="&amp;M89,C:C,"&lt;"&amp;N89,F:F,"=3",G:G,"=1",D:D,"&lt;&gt;x")</f>
        <v>0</v>
      </c>
      <c r="S95" s="3">
        <f>COUNTIFS(C:C,"&gt;="&amp;M89,C:C,"&lt;"&amp;N89,F:F,"=3",G:G,"=2",D:D,"&lt;&gt;x")</f>
        <v>0</v>
      </c>
      <c r="T95" s="7" t="str">
        <f t="shared" si="33"/>
        <v>-</v>
      </c>
      <c r="V95" s="11"/>
      <c r="W95" s="11"/>
      <c r="X95" s="3" t="s">
        <v>239</v>
      </c>
      <c r="Y95" s="3">
        <f t="shared" si="34"/>
        <v>0</v>
      </c>
      <c r="Z95" s="3">
        <f>COUNTIFS(C:C,"&gt;="&amp;M89,C:C,"&lt;"&amp;N89,I:I,"=6",J:J,"=0",D:D,"&lt;&gt;x")</f>
        <v>0</v>
      </c>
      <c r="AA95" s="3">
        <f>COUNTIFS(C:C,"&gt;="&amp;M89,C:C,"&lt;"&amp;N89,I:I,"=6",J:J,"=1",D:D,"&lt;&gt;x")</f>
        <v>0</v>
      </c>
      <c r="AB95" s="3">
        <f>COUNTIFS(C:C,"&gt;="&amp;M89,C:C,"&lt;"&amp;N89,I:I,"=6",J:J,"=2",D:D,"&lt;&gt;x")</f>
        <v>0</v>
      </c>
      <c r="AC95" s="7" t="str">
        <f t="shared" si="35"/>
        <v>-</v>
      </c>
    </row>
    <row r="96" spans="1:29" x14ac:dyDescent="0.25">
      <c r="A96">
        <v>95</v>
      </c>
      <c r="B96" s="1">
        <v>45069</v>
      </c>
      <c r="C96" s="2">
        <v>0.95618055555555559</v>
      </c>
      <c r="D96">
        <f>Identyfikacja!D96</f>
        <v>95</v>
      </c>
      <c r="E96" s="5" t="s">
        <v>114</v>
      </c>
      <c r="F96">
        <v>7</v>
      </c>
      <c r="G96">
        <v>0</v>
      </c>
      <c r="I96">
        <v>1</v>
      </c>
      <c r="J96">
        <v>0</v>
      </c>
      <c r="M96" s="11"/>
      <c r="N96" s="11"/>
      <c r="O96" s="3" t="s">
        <v>239</v>
      </c>
      <c r="P96" s="3">
        <f t="shared" si="32"/>
        <v>0</v>
      </c>
      <c r="Q96" s="3">
        <f>COUNTIFS(C:C,"&gt;="&amp;M89,C:C,"&lt;"&amp;N89,F:F,"=8",G:G,"=0",D:D,"&lt;&gt;x")</f>
        <v>0</v>
      </c>
      <c r="R96" s="3">
        <f>COUNTIFS(C:C,"&gt;="&amp;M89,C:C,"&lt;"&amp;N89,F:F,"=8",G:G,"=1",D:D,"&lt;&gt;x")</f>
        <v>0</v>
      </c>
      <c r="S96" s="3">
        <f>COUNTIFS(C:C,"&gt;="&amp;M89,C:C,"&lt;"&amp;N89,F:F,"=8",G:G,"=2",D:D,"&lt;&gt;x")</f>
        <v>0</v>
      </c>
      <c r="T96" s="7" t="str">
        <f t="shared" si="33"/>
        <v>-</v>
      </c>
      <c r="V96" s="11"/>
      <c r="W96" s="11"/>
      <c r="X96" s="3" t="s">
        <v>240</v>
      </c>
      <c r="Y96" s="3">
        <f t="shared" si="34"/>
        <v>0</v>
      </c>
      <c r="Z96" s="3">
        <f>COUNTIFS(C:C,"&gt;="&amp;M89,C:C,"&lt;"&amp;N89,I:I,"=7",J:J,"=0",D:D,"&lt;&gt;x")</f>
        <v>0</v>
      </c>
      <c r="AA96" s="3">
        <f>COUNTIFS(C:C,"&gt;="&amp;M89,C:C,"&lt;"&amp;N89,I:I,"=7",J:J,"=1",D:D,"&lt;&gt;x")</f>
        <v>0</v>
      </c>
      <c r="AB96" s="3">
        <f>COUNTIFS(C:C,"&gt;="&amp;M89,C:C,"&lt;"&amp;N89,I:I,"=7",J:J,"=2",D:D,"&lt;&gt;x")</f>
        <v>0</v>
      </c>
      <c r="AC96" s="7" t="str">
        <f t="shared" si="35"/>
        <v>-</v>
      </c>
    </row>
    <row r="97" spans="1:29" x14ac:dyDescent="0.25">
      <c r="A97">
        <v>96</v>
      </c>
      <c r="B97" s="1">
        <v>45069</v>
      </c>
      <c r="C97" s="2">
        <v>0.95643518518518522</v>
      </c>
      <c r="D97">
        <f>Identyfikacja!D97</f>
        <v>96</v>
      </c>
      <c r="E97" s="5" t="s">
        <v>115</v>
      </c>
      <c r="F97">
        <v>9</v>
      </c>
      <c r="G97">
        <v>0</v>
      </c>
      <c r="I97">
        <v>5</v>
      </c>
      <c r="J97">
        <v>0</v>
      </c>
      <c r="M97" s="11"/>
      <c r="N97" s="11"/>
      <c r="O97" s="3" t="s">
        <v>241</v>
      </c>
      <c r="P97" s="3">
        <f t="shared" si="32"/>
        <v>1</v>
      </c>
      <c r="Q97" s="3">
        <f>COUNTIFS(C:C,"&gt;="&amp;M89,C:C,"&lt;"&amp;N89,F:F,"=9",G:G,"=0",D:D,"&lt;&gt;x")</f>
        <v>1</v>
      </c>
      <c r="R97" s="3">
        <f>COUNTIFS(C:C,"&gt;="&amp;M89,C:C,"&lt;"&amp;N89,F:F,"=9",G:G,"=1",D:D,"&lt;&gt;x")</f>
        <v>0</v>
      </c>
      <c r="S97" s="3">
        <f>COUNTIFS(C:C,"&gt;="&amp;M89,C:C,"&lt;"&amp;N89,F:F,"=9",G:G,"=2",D:D,"&lt;&gt;x")</f>
        <v>1</v>
      </c>
      <c r="T97" s="7">
        <f t="shared" si="33"/>
        <v>1</v>
      </c>
      <c r="V97" s="11"/>
      <c r="W97" s="11"/>
      <c r="X97" s="3" t="s">
        <v>242</v>
      </c>
      <c r="Y97" s="3">
        <f t="shared" si="34"/>
        <v>0</v>
      </c>
      <c r="Z97" s="3">
        <f>COUNTIFS(C:C,"&gt;="&amp;M89,C:C,"&lt;"&amp;N89,I:I,"=8",J:J,"=0",D:D,"&lt;&gt;x")</f>
        <v>0</v>
      </c>
      <c r="AA97" s="3">
        <f>COUNTIFS(C:C,"&gt;="&amp;M89,C:C,"&lt;"&amp;N89,I:I,"=8",J:J,"=1",D:D,"&lt;&gt;x")</f>
        <v>0</v>
      </c>
      <c r="AB97" s="3">
        <f>COUNTIFS(C:C,"&gt;="&amp;M89,C:C,"&lt;"&amp;N89,I:I,"=8",J:J,"=2",D:D,"&lt;&gt;x")</f>
        <v>0</v>
      </c>
      <c r="AC97" s="7" t="str">
        <f t="shared" si="35"/>
        <v>-</v>
      </c>
    </row>
    <row r="98" spans="1:29" x14ac:dyDescent="0.25">
      <c r="A98">
        <v>97</v>
      </c>
      <c r="B98" s="1">
        <v>45069</v>
      </c>
      <c r="C98" s="2">
        <v>0.95646990740740745</v>
      </c>
      <c r="D98">
        <f>Identyfikacja!D98</f>
        <v>97</v>
      </c>
      <c r="E98" s="5" t="s">
        <v>116</v>
      </c>
      <c r="F98">
        <v>3</v>
      </c>
      <c r="G98">
        <v>0</v>
      </c>
      <c r="I98">
        <v>2</v>
      </c>
      <c r="J98">
        <v>0</v>
      </c>
      <c r="M98" s="11"/>
      <c r="N98" s="11"/>
      <c r="O98" s="3" t="s">
        <v>240</v>
      </c>
      <c r="P98" s="3">
        <f t="shared" si="32"/>
        <v>0</v>
      </c>
      <c r="Q98" s="3">
        <f>COUNTIFS(C:C,"&gt;="&amp;M89,C:C,"&lt;"&amp;N89,F:F,"=5",G:G,"=0",D:D,"&lt;&gt;x")</f>
        <v>0</v>
      </c>
      <c r="R98" s="3">
        <f>COUNTIFS(C:C,"&gt;="&amp;M89,C:C,"&lt;"&amp;N89,F:F,"=5",G:G,"=1",D:D,"&lt;&gt;x")</f>
        <v>0</v>
      </c>
      <c r="S98" s="3">
        <f>COUNTIFS(C:C,"&gt;="&amp;M89,C:C,"&lt;"&amp;N89,F:F,"=5",G:G,"=2",D:D,"&lt;&gt;x")</f>
        <v>0</v>
      </c>
      <c r="T98" s="7" t="str">
        <f t="shared" si="33"/>
        <v>-</v>
      </c>
      <c r="X98" s="3"/>
      <c r="Y98" s="3"/>
      <c r="Z98" s="3"/>
      <c r="AA98" s="3"/>
      <c r="AB98" s="3"/>
      <c r="AC98" s="7"/>
    </row>
    <row r="99" spans="1:29" x14ac:dyDescent="0.25">
      <c r="A99">
        <v>98</v>
      </c>
      <c r="B99" s="1">
        <v>45069</v>
      </c>
      <c r="C99" s="2">
        <v>0.95998842592592593</v>
      </c>
      <c r="D99">
        <f>Identyfikacja!D99</f>
        <v>98</v>
      </c>
      <c r="E99" s="5" t="s">
        <v>117</v>
      </c>
      <c r="F99">
        <v>9</v>
      </c>
      <c r="G99">
        <v>2</v>
      </c>
      <c r="H99">
        <v>9</v>
      </c>
      <c r="I99">
        <v>4</v>
      </c>
      <c r="J99">
        <v>2</v>
      </c>
      <c r="K99">
        <v>4</v>
      </c>
      <c r="O99" s="3"/>
      <c r="P99" s="3"/>
      <c r="Q99" s="3"/>
      <c r="R99" s="3"/>
      <c r="S99" s="3"/>
      <c r="T99" s="3"/>
      <c r="X99" s="3"/>
      <c r="Y99" s="3"/>
      <c r="Z99" s="3"/>
      <c r="AA99" s="3"/>
      <c r="AB99" s="3"/>
      <c r="AC99" s="3"/>
    </row>
    <row r="100" spans="1:29" x14ac:dyDescent="0.25">
      <c r="A100">
        <v>99</v>
      </c>
      <c r="B100" s="1">
        <v>45069</v>
      </c>
      <c r="C100" s="2">
        <v>0.96002314814814815</v>
      </c>
      <c r="D100">
        <f>Identyfikacja!D100</f>
        <v>99</v>
      </c>
      <c r="E100" s="5" t="s">
        <v>118</v>
      </c>
      <c r="F100">
        <v>7</v>
      </c>
      <c r="G100">
        <v>0</v>
      </c>
      <c r="I100">
        <v>1</v>
      </c>
      <c r="J100">
        <v>0</v>
      </c>
      <c r="M100" s="10">
        <v>0.96788194444444442</v>
      </c>
      <c r="N100" s="10">
        <v>0.97829861111111116</v>
      </c>
      <c r="O100" s="3" t="s">
        <v>222</v>
      </c>
      <c r="P100" s="3" t="s">
        <v>223</v>
      </c>
      <c r="Q100" s="3" t="s">
        <v>224</v>
      </c>
      <c r="R100" s="3" t="s">
        <v>225</v>
      </c>
      <c r="S100" s="3" t="s">
        <v>17</v>
      </c>
      <c r="T100" s="3" t="s">
        <v>226</v>
      </c>
      <c r="V100" s="10">
        <v>0.96788194444444442</v>
      </c>
      <c r="W100" s="10">
        <v>0.97829861111111116</v>
      </c>
      <c r="X100" s="3" t="s">
        <v>227</v>
      </c>
      <c r="Y100" s="3" t="s">
        <v>223</v>
      </c>
      <c r="Z100" s="3" t="s">
        <v>224</v>
      </c>
      <c r="AA100" s="3" t="s">
        <v>225</v>
      </c>
      <c r="AB100" s="3" t="s">
        <v>17</v>
      </c>
      <c r="AC100" s="3" t="s">
        <v>226</v>
      </c>
    </row>
    <row r="101" spans="1:29" x14ac:dyDescent="0.25">
      <c r="A101">
        <v>100</v>
      </c>
      <c r="B101" s="1">
        <v>45069</v>
      </c>
      <c r="C101" s="2">
        <v>0.96354166666666663</v>
      </c>
      <c r="D101">
        <f>Identyfikacja!D101</f>
        <v>100</v>
      </c>
      <c r="E101" s="5" t="s">
        <v>119</v>
      </c>
      <c r="F101">
        <v>9</v>
      </c>
      <c r="G101">
        <v>0</v>
      </c>
      <c r="I101">
        <v>5</v>
      </c>
      <c r="J101">
        <v>0</v>
      </c>
      <c r="M101" s="11"/>
      <c r="N101" s="11"/>
      <c r="O101" s="3" t="s">
        <v>228</v>
      </c>
      <c r="P101" s="3">
        <f t="shared" ref="P101:P109" si="36">Q101+R101</f>
        <v>0</v>
      </c>
      <c r="Q101" s="3">
        <f>COUNTIFS(C:C,"&gt;="&amp;M100,C:C,"&lt;"&amp;N100,F:F,"=6",G:G,"=0",D:D,"&lt;&gt;x")</f>
        <v>0</v>
      </c>
      <c r="R101" s="3">
        <f>COUNTIFS(C:C,"&gt;="&amp;M100,C:C,"&lt;"&amp;N100,F:F,"=6",G:G,"=1",D:D,"&lt;&gt;x")</f>
        <v>0</v>
      </c>
      <c r="S101" s="3">
        <f>COUNTIFS(C:C,"&gt;="&amp;M100,C:C,"&lt;"&amp;N100,F:F,"=6",G:G,"=2",D:D,"&lt;&gt;x")</f>
        <v>0</v>
      </c>
      <c r="T101" s="7" t="str">
        <f t="shared" ref="T101:T109" si="37">IF(P101&gt;0,Q101/P101,"-")</f>
        <v>-</v>
      </c>
      <c r="V101" s="11"/>
      <c r="W101" s="11"/>
      <c r="X101" s="3" t="s">
        <v>229</v>
      </c>
      <c r="Y101" s="3">
        <f t="shared" ref="Y101:Y108" si="38">Z101+AA101</f>
        <v>3</v>
      </c>
      <c r="Z101" s="3">
        <f>COUNTIFS(C:C,"&gt;="&amp;M100,C:C,"&lt;"&amp;N100,I:I,"=1",J:J,"=0",D:D,"&lt;&gt;x")</f>
        <v>3</v>
      </c>
      <c r="AA101" s="3">
        <f>COUNTIFS(C:C,"&gt;="&amp;M100,C:C,"&lt;"&amp;N100,I:I,"=1",J:J,"=1",D:D,"&lt;&gt;x")</f>
        <v>0</v>
      </c>
      <c r="AB101" s="3">
        <f>COUNTIFS(C:C,"&gt;="&amp;M100,C:C,"&lt;"&amp;N100,I:I,"=1",J:J,"=2",D:D,"&lt;&gt;x")</f>
        <v>0</v>
      </c>
      <c r="AC101" s="7">
        <f t="shared" ref="AC101:AC108" si="39">IF(Y101&gt;0,Z101/Y101,"-")</f>
        <v>1</v>
      </c>
    </row>
    <row r="102" spans="1:29" x14ac:dyDescent="0.25">
      <c r="A102">
        <v>101</v>
      </c>
      <c r="B102" s="1">
        <v>45069</v>
      </c>
      <c r="C102" s="2">
        <v>0.96564814814814814</v>
      </c>
      <c r="D102">
        <f>Identyfikacja!D102</f>
        <v>101</v>
      </c>
      <c r="E102" s="5" t="s">
        <v>120</v>
      </c>
      <c r="F102">
        <v>7</v>
      </c>
      <c r="G102">
        <v>0</v>
      </c>
      <c r="I102">
        <v>1</v>
      </c>
      <c r="J102">
        <v>0</v>
      </c>
      <c r="M102" s="11"/>
      <c r="N102" s="11"/>
      <c r="O102" s="3" t="s">
        <v>230</v>
      </c>
      <c r="P102" s="3">
        <f t="shared" si="36"/>
        <v>0</v>
      </c>
      <c r="Q102" s="3">
        <f>COUNTIFS(C:C,"&gt;="&amp;M100,C:C,"&lt;"&amp;N100,F:F,"=10",G:G,"=0",D:D,"&lt;&gt;x")</f>
        <v>0</v>
      </c>
      <c r="R102" s="3">
        <f>COUNTIFS(C:C,"&gt;="&amp;M100,C:C,"&lt;"&amp;N100,F:F,"=10",G:G,"=1",D:D,"&lt;&gt;x")</f>
        <v>0</v>
      </c>
      <c r="S102" s="3">
        <f>COUNTIFS(C:C,"&gt;="&amp;M100,C:C,"&lt;"&amp;N100,F:F,"=10",G:G,"=2",D:D,"&lt;&gt;x")</f>
        <v>0</v>
      </c>
      <c r="T102" s="7" t="str">
        <f t="shared" si="37"/>
        <v>-</v>
      </c>
      <c r="V102" s="11"/>
      <c r="W102" s="11"/>
      <c r="X102" s="3" t="s">
        <v>231</v>
      </c>
      <c r="Y102" s="3">
        <f t="shared" si="38"/>
        <v>0</v>
      </c>
      <c r="Z102" s="3">
        <f>COUNTIFS(C:C,"&gt;="&amp;M100,C:C,"&lt;"&amp;N100,I:I,"=2",J:J,"=0",D:D,"&lt;&gt;x")</f>
        <v>0</v>
      </c>
      <c r="AA102" s="3">
        <f>COUNTIFS(C:C,"&gt;="&amp;M100,C:C,"&lt;"&amp;N100,I:I,"=2",J:J,"=1",D:D,"&lt;&gt;x")</f>
        <v>0</v>
      </c>
      <c r="AB102" s="3">
        <f>COUNTIFS(C:C,"&gt;="&amp;M100,C:C,"&lt;"&amp;N100,I:I,"=2",J:J,"=2",D:D,"&lt;&gt;x")</f>
        <v>0</v>
      </c>
      <c r="AC102" s="7" t="str">
        <f t="shared" si="39"/>
        <v>-</v>
      </c>
    </row>
    <row r="103" spans="1:29" x14ac:dyDescent="0.25">
      <c r="A103">
        <v>102</v>
      </c>
      <c r="B103" s="1">
        <v>45069</v>
      </c>
      <c r="C103" s="2">
        <v>0.96726851851851847</v>
      </c>
      <c r="D103">
        <f>Identyfikacja!D103</f>
        <v>102</v>
      </c>
      <c r="E103" s="5" t="s">
        <v>121</v>
      </c>
      <c r="F103">
        <v>7</v>
      </c>
      <c r="G103">
        <v>0</v>
      </c>
      <c r="I103">
        <v>1</v>
      </c>
      <c r="J103">
        <v>0</v>
      </c>
      <c r="M103" s="11"/>
      <c r="N103" s="11"/>
      <c r="O103" s="3" t="s">
        <v>232</v>
      </c>
      <c r="P103" s="3">
        <f t="shared" si="36"/>
        <v>2</v>
      </c>
      <c r="Q103" s="3">
        <f>COUNTIFS(C:C,"&gt;="&amp;M100,C:C,"&lt;"&amp;N100,F:F,"=7",G:G,"=0",D:D,"&lt;&gt;x")</f>
        <v>2</v>
      </c>
      <c r="R103" s="3">
        <f>COUNTIFS(C:C,"&gt;="&amp;M100,C:C,"&lt;"&amp;N100,F:F,"=7",G:G,"=1",D:D,"&lt;&gt;x")</f>
        <v>0</v>
      </c>
      <c r="S103" s="3">
        <f>COUNTIFS(C:C,"&gt;="&amp;M100,C:C,"&lt;"&amp;N100,F:F,"=7",G:G,"=2",D:D,"&lt;&gt;x")</f>
        <v>0</v>
      </c>
      <c r="T103" s="7">
        <f t="shared" si="37"/>
        <v>1</v>
      </c>
      <c r="V103" s="11"/>
      <c r="W103" s="11"/>
      <c r="X103" s="3" t="s">
        <v>233</v>
      </c>
      <c r="Y103" s="3">
        <f t="shared" si="38"/>
        <v>0</v>
      </c>
      <c r="Z103" s="3">
        <f>COUNTIFS(C:C,"&gt;="&amp;M100,C:C,"&lt;"&amp;N100,I:I,"=3",J:J,"=0",D:D,"&lt;&gt;x")</f>
        <v>0</v>
      </c>
      <c r="AA103" s="3">
        <f>COUNTIFS(C:C,"&gt;="&amp;M100,C:C,"&lt;"&amp;N100,I:I,"=3",J:J,"=1",D:D,"&lt;&gt;x")</f>
        <v>0</v>
      </c>
      <c r="AB103" s="3">
        <f>COUNTIFS(C:C,"&gt;="&amp;M100,C:C,"&lt;"&amp;N100,I:I,"=3",J:J,"=2",D:D,"&lt;&gt;x")</f>
        <v>0</v>
      </c>
      <c r="AC103" s="7" t="str">
        <f t="shared" si="39"/>
        <v>-</v>
      </c>
    </row>
    <row r="104" spans="1:29" x14ac:dyDescent="0.25">
      <c r="A104">
        <v>103</v>
      </c>
      <c r="B104" s="1">
        <v>45069</v>
      </c>
      <c r="C104" s="2">
        <v>0.96840277777777772</v>
      </c>
      <c r="D104">
        <f>Identyfikacja!D104</f>
        <v>103</v>
      </c>
      <c r="E104" s="5" t="s">
        <v>122</v>
      </c>
      <c r="F104">
        <v>9</v>
      </c>
      <c r="G104">
        <v>0</v>
      </c>
      <c r="I104">
        <v>5</v>
      </c>
      <c r="J104">
        <v>0</v>
      </c>
      <c r="M104" s="11"/>
      <c r="N104" s="11"/>
      <c r="O104" s="3" t="s">
        <v>234</v>
      </c>
      <c r="P104" s="3">
        <f t="shared" si="36"/>
        <v>1</v>
      </c>
      <c r="Q104" s="3">
        <f>COUNTIFS(C:C,"&gt;="&amp;M100,C:C,"&lt;"&amp;N100,F:F,"=11",G:G,"=0",D:D,"&lt;&gt;x")</f>
        <v>1</v>
      </c>
      <c r="R104" s="3">
        <f>COUNTIFS(C:C,"&gt;="&amp;M100,C:C,"&lt;"&amp;N100,F:F,"=11",G:G,"=1",D:D,"&lt;&gt;x")</f>
        <v>0</v>
      </c>
      <c r="S104" s="3">
        <f>COUNTIFS(C:C,"&gt;="&amp;M100,C:C,"&lt;"&amp;N100,F:F,"=11",G:G,"=2",D:D,"&lt;&gt;x")</f>
        <v>0</v>
      </c>
      <c r="T104" s="7">
        <f t="shared" si="37"/>
        <v>1</v>
      </c>
      <c r="V104" s="11"/>
      <c r="W104" s="11"/>
      <c r="X104" s="3" t="s">
        <v>235</v>
      </c>
      <c r="Y104" s="3">
        <f t="shared" si="38"/>
        <v>0</v>
      </c>
      <c r="Z104" s="3">
        <f>COUNTIFS(C:C,"&gt;="&amp;M100,C:C,"&lt;"&amp;N100,I:I,"=4",J:J,"=0",D:D,"&lt;&gt;x")</f>
        <v>0</v>
      </c>
      <c r="AA104" s="3">
        <f>COUNTIFS(C:C,"&gt;="&amp;M100,C:C,"&lt;"&amp;N100,I:I,"=4",J:J,"=1",D:D,"&lt;&gt;x")</f>
        <v>0</v>
      </c>
      <c r="AB104" s="3">
        <f>COUNTIFS(C:C,"&gt;="&amp;M100,C:C,"&lt;"&amp;N100,I:I,"=4",J:J,"=2",D:D,"&lt;&gt;x")</f>
        <v>0</v>
      </c>
      <c r="AC104" s="7" t="str">
        <f t="shared" si="39"/>
        <v>-</v>
      </c>
    </row>
    <row r="105" spans="1:29" x14ac:dyDescent="0.25">
      <c r="A105">
        <v>104</v>
      </c>
      <c r="B105" s="1">
        <v>45069</v>
      </c>
      <c r="C105" s="2">
        <v>0.97174768518518517</v>
      </c>
      <c r="D105">
        <f>Identyfikacja!D105</f>
        <v>104</v>
      </c>
      <c r="E105" s="5" t="s">
        <v>123</v>
      </c>
      <c r="F105">
        <v>11</v>
      </c>
      <c r="G105">
        <v>0</v>
      </c>
      <c r="I105">
        <v>1</v>
      </c>
      <c r="J105">
        <v>0</v>
      </c>
      <c r="M105" s="11"/>
      <c r="N105" s="11"/>
      <c r="O105" s="3" t="s">
        <v>236</v>
      </c>
      <c r="P105" s="3">
        <f t="shared" si="36"/>
        <v>0</v>
      </c>
      <c r="Q105" s="3">
        <f>COUNTIFS(C:C,"&gt;="&amp;M100,C:C,"&lt;"&amp;N100,F:F,"=2",G:G,"=0",D:D,"&lt;&gt;x")</f>
        <v>0</v>
      </c>
      <c r="R105" s="3">
        <f>COUNTIFS(C:C,"&gt;="&amp;M100,C:C,"&lt;"&amp;N100,F:F,"=2",G:G,"=1",D:D,"&lt;&gt;x")</f>
        <v>0</v>
      </c>
      <c r="S105" s="3">
        <f>COUNTIFS(C:C,"&gt;="&amp;M100,C:C,"&lt;"&amp;N100,F:F,"=2",G:G,"=2",D:D,"&lt;&gt;x")</f>
        <v>0</v>
      </c>
      <c r="T105" s="7" t="str">
        <f t="shared" si="37"/>
        <v>-</v>
      </c>
      <c r="V105" s="11"/>
      <c r="W105" s="11"/>
      <c r="X105" s="3" t="s">
        <v>237</v>
      </c>
      <c r="Y105" s="3">
        <f t="shared" si="38"/>
        <v>3</v>
      </c>
      <c r="Z105" s="3">
        <f>COUNTIFS(C:C,"&gt;="&amp;M100,C:C,"&lt;"&amp;N100,I:I,"=5",J:J,"=0",D:D,"&lt;&gt;x")</f>
        <v>3</v>
      </c>
      <c r="AA105" s="3">
        <f>COUNTIFS(C:C,"&gt;="&amp;M100,C:C,"&lt;"&amp;N100,I:I,"=5",J:J,"=1",D:D,"&lt;&gt;x")</f>
        <v>0</v>
      </c>
      <c r="AB105" s="3">
        <f>COUNTIFS(C:C,"&gt;="&amp;M100,C:C,"&lt;"&amp;N100,I:I,"=5",J:J,"=2",D:D,"&lt;&gt;x")</f>
        <v>0</v>
      </c>
      <c r="AC105" s="7">
        <f t="shared" si="39"/>
        <v>1</v>
      </c>
    </row>
    <row r="106" spans="1:29" x14ac:dyDescent="0.25">
      <c r="A106">
        <v>105</v>
      </c>
      <c r="B106" s="1">
        <v>45069</v>
      </c>
      <c r="C106" s="2">
        <v>0.9717824074074074</v>
      </c>
      <c r="D106">
        <f>Identyfikacja!D106</f>
        <v>105</v>
      </c>
      <c r="E106" s="5" t="s">
        <v>124</v>
      </c>
      <c r="F106">
        <v>8</v>
      </c>
      <c r="G106">
        <v>2</v>
      </c>
      <c r="H106">
        <v>8</v>
      </c>
      <c r="I106">
        <v>6</v>
      </c>
      <c r="J106">
        <v>2</v>
      </c>
      <c r="K106">
        <v>6</v>
      </c>
      <c r="M106" s="11"/>
      <c r="N106" s="11"/>
      <c r="O106" s="3" t="s">
        <v>238</v>
      </c>
      <c r="P106" s="3">
        <f t="shared" si="36"/>
        <v>0</v>
      </c>
      <c r="Q106" s="3">
        <f>COUNTIFS(C:C,"&gt;="&amp;M100,C:C,"&lt;"&amp;N100,F:F,"=3",G:G,"=0",D:D,"&lt;&gt;x")</f>
        <v>0</v>
      </c>
      <c r="R106" s="3">
        <f>COUNTIFS(C:C,"&gt;="&amp;M100,C:C,"&lt;"&amp;N100,F:F,"=3",G:G,"=1",D:D,"&lt;&gt;x")</f>
        <v>0</v>
      </c>
      <c r="S106" s="3">
        <f>COUNTIFS(C:C,"&gt;="&amp;M100,C:C,"&lt;"&amp;N100,F:F,"=3",G:G,"=2",D:D,"&lt;&gt;x")</f>
        <v>0</v>
      </c>
      <c r="T106" s="7" t="str">
        <f t="shared" si="37"/>
        <v>-</v>
      </c>
      <c r="V106" s="11"/>
      <c r="W106" s="11"/>
      <c r="X106" s="3" t="s">
        <v>239</v>
      </c>
      <c r="Y106" s="3">
        <f t="shared" si="38"/>
        <v>1</v>
      </c>
      <c r="Z106" s="3">
        <f>COUNTIFS(C:C,"&gt;="&amp;M100,C:C,"&lt;"&amp;N100,I:I,"=6",J:J,"=0",D:D,"&lt;&gt;x")</f>
        <v>1</v>
      </c>
      <c r="AA106" s="3">
        <f>COUNTIFS(C:C,"&gt;="&amp;M100,C:C,"&lt;"&amp;N100,I:I,"=6",J:J,"=1",D:D,"&lt;&gt;x")</f>
        <v>0</v>
      </c>
      <c r="AB106" s="3">
        <f>COUNTIFS(C:C,"&gt;="&amp;M100,C:C,"&lt;"&amp;N100,I:I,"=6",J:J,"=2",D:D,"&lt;&gt;x")</f>
        <v>1</v>
      </c>
      <c r="AC106" s="7">
        <f t="shared" si="39"/>
        <v>1</v>
      </c>
    </row>
    <row r="107" spans="1:29" x14ac:dyDescent="0.25">
      <c r="A107">
        <v>106</v>
      </c>
      <c r="B107" s="1">
        <v>45069</v>
      </c>
      <c r="C107" s="2">
        <v>0.97182870370370367</v>
      </c>
      <c r="D107">
        <f>Identyfikacja!D107</f>
        <v>106</v>
      </c>
      <c r="E107" s="5" t="s">
        <v>125</v>
      </c>
      <c r="F107">
        <v>7</v>
      </c>
      <c r="G107">
        <v>0</v>
      </c>
      <c r="I107">
        <v>1</v>
      </c>
      <c r="J107">
        <v>0</v>
      </c>
      <c r="M107" s="11"/>
      <c r="N107" s="11"/>
      <c r="O107" s="3" t="s">
        <v>239</v>
      </c>
      <c r="P107" s="3">
        <f t="shared" si="36"/>
        <v>1</v>
      </c>
      <c r="Q107" s="3">
        <f>COUNTIFS(C:C,"&gt;="&amp;M100,C:C,"&lt;"&amp;N100,F:F,"=8",G:G,"=0",D:D,"&lt;&gt;x")</f>
        <v>1</v>
      </c>
      <c r="R107" s="3">
        <f>COUNTIFS(C:C,"&gt;="&amp;M100,C:C,"&lt;"&amp;N100,F:F,"=8",G:G,"=1",D:D,"&lt;&gt;x")</f>
        <v>0</v>
      </c>
      <c r="S107" s="3">
        <f>COUNTIFS(C:C,"&gt;="&amp;M100,C:C,"&lt;"&amp;N100,F:F,"=8",G:G,"=2",D:D,"&lt;&gt;x")</f>
        <v>1</v>
      </c>
      <c r="T107" s="7">
        <f t="shared" si="37"/>
        <v>1</v>
      </c>
      <c r="V107" s="11"/>
      <c r="W107" s="11"/>
      <c r="X107" s="3" t="s">
        <v>240</v>
      </c>
      <c r="Y107" s="3">
        <f t="shared" si="38"/>
        <v>0</v>
      </c>
      <c r="Z107" s="3">
        <f>COUNTIFS(C:C,"&gt;="&amp;M100,C:C,"&lt;"&amp;N100,I:I,"=7",J:J,"=0",D:D,"&lt;&gt;x")</f>
        <v>0</v>
      </c>
      <c r="AA107" s="3">
        <f>COUNTIFS(C:C,"&gt;="&amp;M100,C:C,"&lt;"&amp;N100,I:I,"=7",J:J,"=1",D:D,"&lt;&gt;x")</f>
        <v>0</v>
      </c>
      <c r="AB107" s="3">
        <f>COUNTIFS(C:C,"&gt;="&amp;M100,C:C,"&lt;"&amp;N100,I:I,"=7",J:J,"=2",D:D,"&lt;&gt;x")</f>
        <v>0</v>
      </c>
      <c r="AC107" s="7" t="str">
        <f t="shared" si="39"/>
        <v>-</v>
      </c>
    </row>
    <row r="108" spans="1:29" x14ac:dyDescent="0.25">
      <c r="A108">
        <v>107</v>
      </c>
      <c r="B108" s="1">
        <v>45069</v>
      </c>
      <c r="C108" s="2">
        <v>0.97371527777777778</v>
      </c>
      <c r="D108">
        <f>Identyfikacja!D108</f>
        <v>107</v>
      </c>
      <c r="E108" s="5" t="s">
        <v>126</v>
      </c>
      <c r="F108">
        <v>8</v>
      </c>
      <c r="G108">
        <v>0</v>
      </c>
      <c r="I108">
        <v>6</v>
      </c>
      <c r="J108">
        <v>0</v>
      </c>
      <c r="M108" s="11"/>
      <c r="N108" s="11"/>
      <c r="O108" s="3" t="s">
        <v>241</v>
      </c>
      <c r="P108" s="3">
        <f t="shared" si="36"/>
        <v>3</v>
      </c>
      <c r="Q108" s="3">
        <f>COUNTIFS(C:C,"&gt;="&amp;M100,C:C,"&lt;"&amp;N100,F:F,"=9",G:G,"=0",D:D,"&lt;&gt;x")</f>
        <v>3</v>
      </c>
      <c r="R108" s="3">
        <f>COUNTIFS(C:C,"&gt;="&amp;M100,C:C,"&lt;"&amp;N100,F:F,"=9",G:G,"=1",D:D,"&lt;&gt;x")</f>
        <v>0</v>
      </c>
      <c r="S108" s="3">
        <f>COUNTIFS(C:C,"&gt;="&amp;M100,C:C,"&lt;"&amp;N100,F:F,"=9",G:G,"=2",D:D,"&lt;&gt;x")</f>
        <v>0</v>
      </c>
      <c r="T108" s="7">
        <f t="shared" si="37"/>
        <v>1</v>
      </c>
      <c r="V108" s="11"/>
      <c r="W108" s="11"/>
      <c r="X108" s="3" t="s">
        <v>242</v>
      </c>
      <c r="Y108" s="3">
        <f t="shared" si="38"/>
        <v>0</v>
      </c>
      <c r="Z108" s="3">
        <f>COUNTIFS(C:C,"&gt;="&amp;M100,C:C,"&lt;"&amp;N100,I:I,"=8",J:J,"=0",D:D,"&lt;&gt;x")</f>
        <v>0</v>
      </c>
      <c r="AA108" s="3">
        <f>COUNTIFS(C:C,"&gt;="&amp;M100,C:C,"&lt;"&amp;N100,I:I,"=8",J:J,"=1",D:D,"&lt;&gt;x")</f>
        <v>0</v>
      </c>
      <c r="AB108" s="3">
        <f>COUNTIFS(C:C,"&gt;="&amp;M100,C:C,"&lt;"&amp;N100,I:I,"=8",J:J,"=2",D:D,"&lt;&gt;x")</f>
        <v>0</v>
      </c>
      <c r="AC108" s="7" t="str">
        <f t="shared" si="39"/>
        <v>-</v>
      </c>
    </row>
    <row r="109" spans="1:29" x14ac:dyDescent="0.25">
      <c r="A109">
        <v>108</v>
      </c>
      <c r="B109" s="1">
        <v>45069</v>
      </c>
      <c r="C109" s="2">
        <v>0.97467592592592589</v>
      </c>
      <c r="D109">
        <f>Identyfikacja!D109</f>
        <v>108</v>
      </c>
      <c r="E109" s="5" t="s">
        <v>127</v>
      </c>
      <c r="F109">
        <v>7</v>
      </c>
      <c r="G109">
        <v>0</v>
      </c>
      <c r="I109">
        <v>1</v>
      </c>
      <c r="J109">
        <v>0</v>
      </c>
      <c r="M109" s="11"/>
      <c r="N109" s="11"/>
      <c r="O109" s="3" t="s">
        <v>240</v>
      </c>
      <c r="P109" s="3">
        <f t="shared" si="36"/>
        <v>0</v>
      </c>
      <c r="Q109" s="3">
        <f>COUNTIFS(C:C,"&gt;="&amp;M100,C:C,"&lt;"&amp;N100,F:F,"=5",G:G,"=0",D:D,"&lt;&gt;x")</f>
        <v>0</v>
      </c>
      <c r="R109" s="3">
        <f>COUNTIFS(C:C,"&gt;="&amp;M100,C:C,"&lt;"&amp;N100,F:F,"=5",G:G,"=1",D:D,"&lt;&gt;x")</f>
        <v>0</v>
      </c>
      <c r="S109" s="3">
        <f>COUNTIFS(C:C,"&gt;="&amp;M100,C:C,"&lt;"&amp;N100,F:F,"=5",G:G,"=2",D:D,"&lt;&gt;x")</f>
        <v>0</v>
      </c>
      <c r="T109" s="7" t="str">
        <f t="shared" si="37"/>
        <v>-</v>
      </c>
      <c r="X109" s="3"/>
      <c r="Y109" s="3"/>
      <c r="Z109" s="3"/>
      <c r="AA109" s="3"/>
      <c r="AB109" s="3"/>
      <c r="AC109" s="7"/>
    </row>
    <row r="110" spans="1:29" x14ac:dyDescent="0.25">
      <c r="A110">
        <v>109</v>
      </c>
      <c r="B110" s="1">
        <v>45069</v>
      </c>
      <c r="C110" s="2">
        <v>0.97484953703703703</v>
      </c>
      <c r="D110">
        <f>Identyfikacja!D110</f>
        <v>109</v>
      </c>
      <c r="E110" s="5" t="s">
        <v>128</v>
      </c>
      <c r="F110">
        <v>9</v>
      </c>
      <c r="G110">
        <v>0</v>
      </c>
      <c r="I110">
        <v>5</v>
      </c>
      <c r="J110">
        <v>0</v>
      </c>
      <c r="O110" s="3"/>
      <c r="P110" s="3"/>
      <c r="Q110" s="3"/>
      <c r="R110" s="3"/>
      <c r="S110" s="3"/>
      <c r="T110" s="3"/>
      <c r="X110" s="3"/>
      <c r="Y110" s="3"/>
      <c r="Z110" s="3"/>
      <c r="AA110" s="3"/>
      <c r="AB110" s="3"/>
      <c r="AC110" s="3"/>
    </row>
    <row r="111" spans="1:29" x14ac:dyDescent="0.25">
      <c r="A111">
        <v>110</v>
      </c>
      <c r="B111" s="1">
        <v>45069</v>
      </c>
      <c r="C111" s="2">
        <v>0.97541666666666671</v>
      </c>
      <c r="D111">
        <f>Identyfikacja!D111</f>
        <v>110</v>
      </c>
      <c r="E111" s="5" t="s">
        <v>129</v>
      </c>
      <c r="F111">
        <v>9</v>
      </c>
      <c r="G111">
        <v>0</v>
      </c>
      <c r="I111">
        <v>5</v>
      </c>
      <c r="J111">
        <v>0</v>
      </c>
      <c r="M111" s="10">
        <v>0.97829861111111116</v>
      </c>
      <c r="N111" s="10">
        <v>0.98871527777777779</v>
      </c>
      <c r="O111" s="3" t="s">
        <v>222</v>
      </c>
      <c r="P111" s="3" t="s">
        <v>223</v>
      </c>
      <c r="Q111" s="3" t="s">
        <v>224</v>
      </c>
      <c r="R111" s="3" t="s">
        <v>225</v>
      </c>
      <c r="S111" s="3" t="s">
        <v>17</v>
      </c>
      <c r="T111" s="3" t="s">
        <v>226</v>
      </c>
      <c r="V111" s="10">
        <v>0.97829861111111116</v>
      </c>
      <c r="W111" s="10">
        <v>0.98871527777777779</v>
      </c>
      <c r="X111" s="3" t="s">
        <v>227</v>
      </c>
      <c r="Y111" s="3" t="s">
        <v>223</v>
      </c>
      <c r="Z111" s="3" t="s">
        <v>224</v>
      </c>
      <c r="AA111" s="3" t="s">
        <v>225</v>
      </c>
      <c r="AB111" s="3" t="s">
        <v>17</v>
      </c>
      <c r="AC111" s="3" t="s">
        <v>226</v>
      </c>
    </row>
    <row r="112" spans="1:29" x14ac:dyDescent="0.25">
      <c r="A112">
        <v>111</v>
      </c>
      <c r="B112" s="1">
        <v>45069</v>
      </c>
      <c r="C112" s="2">
        <v>0.98348379629629634</v>
      </c>
      <c r="D112">
        <f>Identyfikacja!D112</f>
        <v>111</v>
      </c>
      <c r="E112" s="5" t="s">
        <v>130</v>
      </c>
      <c r="F112">
        <v>11</v>
      </c>
      <c r="G112">
        <v>0</v>
      </c>
      <c r="I112">
        <v>1</v>
      </c>
      <c r="J112">
        <v>0</v>
      </c>
      <c r="M112" s="11"/>
      <c r="N112" s="11"/>
      <c r="O112" s="3" t="s">
        <v>228</v>
      </c>
      <c r="P112" s="3">
        <f t="shared" ref="P112:P120" si="40">Q112+R112</f>
        <v>0</v>
      </c>
      <c r="Q112" s="3">
        <f>COUNTIFS(C:C,"&gt;="&amp;M111,C:C,"&lt;"&amp;N111,F:F,"=6",G:G,"=0",D:D,"&lt;&gt;x")</f>
        <v>0</v>
      </c>
      <c r="R112" s="3">
        <f>COUNTIFS(C:C,"&gt;="&amp;M111,C:C,"&lt;"&amp;N111,F:F,"=6",G:G,"=1",D:D,"&lt;&gt;x")</f>
        <v>0</v>
      </c>
      <c r="S112" s="3">
        <f>COUNTIFS(C:C,"&gt;="&amp;M111,C:C,"&lt;"&amp;N111,F:F,"=6",G:G,"=2",D:D,"&lt;&gt;x")</f>
        <v>0</v>
      </c>
      <c r="T112" s="7" t="str">
        <f t="shared" ref="T112:T120" si="41">IF(P112&gt;0,Q112/P112,"-")</f>
        <v>-</v>
      </c>
      <c r="V112" s="11"/>
      <c r="W112" s="11"/>
      <c r="X112" s="3" t="s">
        <v>229</v>
      </c>
      <c r="Y112" s="3">
        <f t="shared" ref="Y112:Y119" si="42">Z112+AA112</f>
        <v>1</v>
      </c>
      <c r="Z112" s="3">
        <f>COUNTIFS(C:C,"&gt;="&amp;M111,C:C,"&lt;"&amp;N111,I:I,"=1",J:J,"=0",D:D,"&lt;&gt;x")</f>
        <v>1</v>
      </c>
      <c r="AA112" s="3">
        <f>COUNTIFS(C:C,"&gt;="&amp;M111,C:C,"&lt;"&amp;N111,I:I,"=1",J:J,"=1",D:D,"&lt;&gt;x")</f>
        <v>0</v>
      </c>
      <c r="AB112" s="3">
        <f>COUNTIFS(C:C,"&gt;="&amp;M111,C:C,"&lt;"&amp;N111,I:I,"=1",J:J,"=2",D:D,"&lt;&gt;x")</f>
        <v>0</v>
      </c>
      <c r="AC112" s="7">
        <f t="shared" ref="AC112:AC119" si="43">IF(Y112&gt;0,Z112/Y112,"-")</f>
        <v>1</v>
      </c>
    </row>
    <row r="113" spans="1:29" x14ac:dyDescent="0.25">
      <c r="A113">
        <v>112</v>
      </c>
      <c r="B113" s="1">
        <v>45069</v>
      </c>
      <c r="C113" s="2">
        <v>0.98576388888888888</v>
      </c>
      <c r="D113">
        <f>Identyfikacja!D113</f>
        <v>112</v>
      </c>
      <c r="E113" s="5" t="s">
        <v>131</v>
      </c>
      <c r="F113">
        <v>9</v>
      </c>
      <c r="G113">
        <v>0</v>
      </c>
      <c r="I113">
        <v>5</v>
      </c>
      <c r="J113">
        <v>0</v>
      </c>
      <c r="M113" s="11"/>
      <c r="N113" s="11"/>
      <c r="O113" s="3" t="s">
        <v>230</v>
      </c>
      <c r="P113" s="3">
        <f t="shared" si="40"/>
        <v>0</v>
      </c>
      <c r="Q113" s="3">
        <f>COUNTIFS(C:C,"&gt;="&amp;M111,C:C,"&lt;"&amp;N111,F:F,"=10",G:G,"=0",D:D,"&lt;&gt;x")</f>
        <v>0</v>
      </c>
      <c r="R113" s="3">
        <f>COUNTIFS(C:C,"&gt;="&amp;M111,C:C,"&lt;"&amp;N111,F:F,"=10",G:G,"=1",D:D,"&lt;&gt;x")</f>
        <v>0</v>
      </c>
      <c r="S113" s="3">
        <f>COUNTIFS(C:C,"&gt;="&amp;M111,C:C,"&lt;"&amp;N111,F:F,"=10",G:G,"=2",D:D,"&lt;&gt;x")</f>
        <v>0</v>
      </c>
      <c r="T113" s="7" t="str">
        <f t="shared" si="41"/>
        <v>-</v>
      </c>
      <c r="V113" s="11"/>
      <c r="W113" s="11"/>
      <c r="X113" s="3" t="s">
        <v>231</v>
      </c>
      <c r="Y113" s="3">
        <f t="shared" si="42"/>
        <v>1</v>
      </c>
      <c r="Z113" s="3">
        <f>COUNTIFS(C:C,"&gt;="&amp;M111,C:C,"&lt;"&amp;N111,I:I,"=2",J:J,"=0",D:D,"&lt;&gt;x")</f>
        <v>1</v>
      </c>
      <c r="AA113" s="3">
        <f>COUNTIFS(C:C,"&gt;="&amp;M111,C:C,"&lt;"&amp;N111,I:I,"=2",J:J,"=1",D:D,"&lt;&gt;x")</f>
        <v>0</v>
      </c>
      <c r="AB113" s="3">
        <f>COUNTIFS(C:C,"&gt;="&amp;M111,C:C,"&lt;"&amp;N111,I:I,"=2",J:J,"=2",D:D,"&lt;&gt;x")</f>
        <v>0</v>
      </c>
      <c r="AC113" s="7">
        <f t="shared" si="43"/>
        <v>1</v>
      </c>
    </row>
    <row r="114" spans="1:29" x14ac:dyDescent="0.25">
      <c r="A114">
        <v>113</v>
      </c>
      <c r="B114" s="1">
        <v>45069</v>
      </c>
      <c r="C114" s="2">
        <v>0.98601851851851852</v>
      </c>
      <c r="D114">
        <f>Identyfikacja!D114</f>
        <v>113</v>
      </c>
      <c r="E114" s="5" t="s">
        <v>132</v>
      </c>
      <c r="F114">
        <v>9</v>
      </c>
      <c r="G114">
        <v>0</v>
      </c>
      <c r="I114">
        <v>5</v>
      </c>
      <c r="J114">
        <v>0</v>
      </c>
      <c r="M114" s="11"/>
      <c r="N114" s="11"/>
      <c r="O114" s="3" t="s">
        <v>232</v>
      </c>
      <c r="P114" s="3">
        <f t="shared" si="40"/>
        <v>0</v>
      </c>
      <c r="Q114" s="3">
        <f>COUNTIFS(C:C,"&gt;="&amp;M111,C:C,"&lt;"&amp;N111,F:F,"=7",G:G,"=0",D:D,"&lt;&gt;x")</f>
        <v>0</v>
      </c>
      <c r="R114" s="3">
        <f>COUNTIFS(C:C,"&gt;="&amp;M111,C:C,"&lt;"&amp;N111,F:F,"=7",G:G,"=1",D:D,"&lt;&gt;x")</f>
        <v>0</v>
      </c>
      <c r="S114" s="3">
        <f>COUNTIFS(C:C,"&gt;="&amp;M111,C:C,"&lt;"&amp;N111,F:F,"=7",G:G,"=2",D:D,"&lt;&gt;x")</f>
        <v>0</v>
      </c>
      <c r="T114" s="7" t="str">
        <f t="shared" si="41"/>
        <v>-</v>
      </c>
      <c r="V114" s="11"/>
      <c r="W114" s="11"/>
      <c r="X114" s="3" t="s">
        <v>233</v>
      </c>
      <c r="Y114" s="3">
        <f t="shared" si="42"/>
        <v>0</v>
      </c>
      <c r="Z114" s="3">
        <f>COUNTIFS(C:C,"&gt;="&amp;M111,C:C,"&lt;"&amp;N111,I:I,"=3",J:J,"=0",D:D,"&lt;&gt;x")</f>
        <v>0</v>
      </c>
      <c r="AA114" s="3">
        <f>COUNTIFS(C:C,"&gt;="&amp;M111,C:C,"&lt;"&amp;N111,I:I,"=3",J:J,"=1",D:D,"&lt;&gt;x")</f>
        <v>0</v>
      </c>
      <c r="AB114" s="3">
        <f>COUNTIFS(C:C,"&gt;="&amp;M111,C:C,"&lt;"&amp;N111,I:I,"=3",J:J,"=2",D:D,"&lt;&gt;x")</f>
        <v>0</v>
      </c>
      <c r="AC114" s="7" t="str">
        <f t="shared" si="43"/>
        <v>-</v>
      </c>
    </row>
    <row r="115" spans="1:29" x14ac:dyDescent="0.25">
      <c r="A115">
        <v>114</v>
      </c>
      <c r="B115" s="1">
        <v>45069</v>
      </c>
      <c r="C115" s="2">
        <v>0.98624999999999996</v>
      </c>
      <c r="D115">
        <f>Identyfikacja!D115</f>
        <v>114</v>
      </c>
      <c r="E115" s="5" t="s">
        <v>133</v>
      </c>
      <c r="F115">
        <v>3</v>
      </c>
      <c r="G115">
        <v>0</v>
      </c>
      <c r="I115">
        <v>2</v>
      </c>
      <c r="J115">
        <v>0</v>
      </c>
      <c r="M115" s="11"/>
      <c r="N115" s="11"/>
      <c r="O115" s="3" t="s">
        <v>234</v>
      </c>
      <c r="P115" s="3">
        <f t="shared" si="40"/>
        <v>1</v>
      </c>
      <c r="Q115" s="3">
        <f>COUNTIFS(C:C,"&gt;="&amp;M111,C:C,"&lt;"&amp;N111,F:F,"=11",G:G,"=0",D:D,"&lt;&gt;x")</f>
        <v>1</v>
      </c>
      <c r="R115" s="3">
        <f>COUNTIFS(C:C,"&gt;="&amp;M111,C:C,"&lt;"&amp;N111,F:F,"=11",G:G,"=1",D:D,"&lt;&gt;x")</f>
        <v>0</v>
      </c>
      <c r="S115" s="3">
        <f>COUNTIFS(C:C,"&gt;="&amp;M111,C:C,"&lt;"&amp;N111,F:F,"=11",G:G,"=2",D:D,"&lt;&gt;x")</f>
        <v>0</v>
      </c>
      <c r="T115" s="7">
        <f t="shared" si="41"/>
        <v>1</v>
      </c>
      <c r="V115" s="11"/>
      <c r="W115" s="11"/>
      <c r="X115" s="3" t="s">
        <v>235</v>
      </c>
      <c r="Y115" s="3">
        <f t="shared" si="42"/>
        <v>0</v>
      </c>
      <c r="Z115" s="3">
        <f>COUNTIFS(C:C,"&gt;="&amp;M111,C:C,"&lt;"&amp;N111,I:I,"=4",J:J,"=0",D:D,"&lt;&gt;x")</f>
        <v>0</v>
      </c>
      <c r="AA115" s="3">
        <f>COUNTIFS(C:C,"&gt;="&amp;M111,C:C,"&lt;"&amp;N111,I:I,"=4",J:J,"=1",D:D,"&lt;&gt;x")</f>
        <v>0</v>
      </c>
      <c r="AB115" s="3">
        <f>COUNTIFS(C:C,"&gt;="&amp;M111,C:C,"&lt;"&amp;N111,I:I,"=4",J:J,"=2",D:D,"&lt;&gt;x")</f>
        <v>0</v>
      </c>
      <c r="AC115" s="7" t="str">
        <f t="shared" si="43"/>
        <v>-</v>
      </c>
    </row>
    <row r="116" spans="1:29" x14ac:dyDescent="0.25">
      <c r="A116">
        <v>115</v>
      </c>
      <c r="B116" s="1">
        <v>45069</v>
      </c>
      <c r="C116" s="2">
        <v>0.98667824074074073</v>
      </c>
      <c r="D116">
        <f>Identyfikacja!D116</f>
        <v>115</v>
      </c>
      <c r="E116" s="5" t="s">
        <v>134</v>
      </c>
      <c r="F116">
        <v>9</v>
      </c>
      <c r="G116">
        <v>0</v>
      </c>
      <c r="I116">
        <v>5</v>
      </c>
      <c r="J116">
        <v>0</v>
      </c>
      <c r="M116" s="11"/>
      <c r="N116" s="11"/>
      <c r="O116" s="3" t="s">
        <v>236</v>
      </c>
      <c r="P116" s="3">
        <f t="shared" si="40"/>
        <v>0</v>
      </c>
      <c r="Q116" s="3">
        <f>COUNTIFS(C:C,"&gt;="&amp;M111,C:C,"&lt;"&amp;N111,F:F,"=2",G:G,"=0",D:D,"&lt;&gt;x")</f>
        <v>0</v>
      </c>
      <c r="R116" s="3">
        <f>COUNTIFS(C:C,"&gt;="&amp;M111,C:C,"&lt;"&amp;N111,F:F,"=2",G:G,"=1",D:D,"&lt;&gt;x")</f>
        <v>0</v>
      </c>
      <c r="S116" s="3">
        <f>COUNTIFS(C:C,"&gt;="&amp;M111,C:C,"&lt;"&amp;N111,F:F,"=2",G:G,"=2",D:D,"&lt;&gt;x")</f>
        <v>0</v>
      </c>
      <c r="T116" s="7" t="str">
        <f t="shared" si="41"/>
        <v>-</v>
      </c>
      <c r="V116" s="11"/>
      <c r="W116" s="11"/>
      <c r="X116" s="3" t="s">
        <v>237</v>
      </c>
      <c r="Y116" s="3">
        <f t="shared" si="42"/>
        <v>4</v>
      </c>
      <c r="Z116" s="3">
        <f>COUNTIFS(C:C,"&gt;="&amp;M111,C:C,"&lt;"&amp;N111,I:I,"=5",J:J,"=0",D:D,"&lt;&gt;x")</f>
        <v>4</v>
      </c>
      <c r="AA116" s="3">
        <f>COUNTIFS(C:C,"&gt;="&amp;M111,C:C,"&lt;"&amp;N111,I:I,"=5",J:J,"=1",D:D,"&lt;&gt;x")</f>
        <v>0</v>
      </c>
      <c r="AB116" s="3">
        <f>COUNTIFS(C:C,"&gt;="&amp;M111,C:C,"&lt;"&amp;N111,I:I,"=5",J:J,"=2",D:D,"&lt;&gt;x")</f>
        <v>0</v>
      </c>
      <c r="AC116" s="7">
        <f t="shared" si="43"/>
        <v>1</v>
      </c>
    </row>
    <row r="117" spans="1:29" x14ac:dyDescent="0.25">
      <c r="A117">
        <v>116</v>
      </c>
      <c r="B117" s="1">
        <v>45069</v>
      </c>
      <c r="C117" s="2">
        <v>0.98753472222222227</v>
      </c>
      <c r="D117">
        <f>Identyfikacja!D117</f>
        <v>116</v>
      </c>
      <c r="E117" s="5" t="s">
        <v>135</v>
      </c>
      <c r="F117">
        <v>9</v>
      </c>
      <c r="G117">
        <v>0</v>
      </c>
      <c r="I117">
        <v>5</v>
      </c>
      <c r="J117">
        <v>0</v>
      </c>
      <c r="M117" s="11"/>
      <c r="N117" s="11"/>
      <c r="O117" s="3" t="s">
        <v>238</v>
      </c>
      <c r="P117" s="3">
        <f t="shared" si="40"/>
        <v>1</v>
      </c>
      <c r="Q117" s="3">
        <f>COUNTIFS(C:C,"&gt;="&amp;M111,C:C,"&lt;"&amp;N111,F:F,"=3",G:G,"=0",D:D,"&lt;&gt;x")</f>
        <v>1</v>
      </c>
      <c r="R117" s="3">
        <f>COUNTIFS(C:C,"&gt;="&amp;M111,C:C,"&lt;"&amp;N111,F:F,"=3",G:G,"=1",D:D,"&lt;&gt;x")</f>
        <v>0</v>
      </c>
      <c r="S117" s="3">
        <f>COUNTIFS(C:C,"&gt;="&amp;M111,C:C,"&lt;"&amp;N111,F:F,"=3",G:G,"=2",D:D,"&lt;&gt;x")</f>
        <v>0</v>
      </c>
      <c r="T117" s="7">
        <f t="shared" si="41"/>
        <v>1</v>
      </c>
      <c r="V117" s="11"/>
      <c r="W117" s="11"/>
      <c r="X117" s="3" t="s">
        <v>239</v>
      </c>
      <c r="Y117" s="3">
        <f t="shared" si="42"/>
        <v>0</v>
      </c>
      <c r="Z117" s="3">
        <f>COUNTIFS(C:C,"&gt;="&amp;M111,C:C,"&lt;"&amp;N111,I:I,"=6",J:J,"=0",D:D,"&lt;&gt;x")</f>
        <v>0</v>
      </c>
      <c r="AA117" s="3">
        <f>COUNTIFS(C:C,"&gt;="&amp;M111,C:C,"&lt;"&amp;N111,I:I,"=6",J:J,"=1",D:D,"&lt;&gt;x")</f>
        <v>0</v>
      </c>
      <c r="AB117" s="3">
        <f>COUNTIFS(C:C,"&gt;="&amp;M111,C:C,"&lt;"&amp;N111,I:I,"=6",J:J,"=2",D:D,"&lt;&gt;x")</f>
        <v>0</v>
      </c>
      <c r="AC117" s="7" t="str">
        <f t="shared" si="43"/>
        <v>-</v>
      </c>
    </row>
    <row r="118" spans="1:29" x14ac:dyDescent="0.25">
      <c r="A118">
        <v>117</v>
      </c>
      <c r="B118" s="1">
        <v>45069</v>
      </c>
      <c r="C118" s="2">
        <v>0.99202546296296301</v>
      </c>
      <c r="D118">
        <f>Identyfikacja!D118</f>
        <v>117</v>
      </c>
      <c r="E118" s="5" t="s">
        <v>136</v>
      </c>
      <c r="F118">
        <v>9</v>
      </c>
      <c r="G118">
        <v>0</v>
      </c>
      <c r="I118">
        <v>5</v>
      </c>
      <c r="J118">
        <v>1</v>
      </c>
      <c r="K118">
        <v>4</v>
      </c>
      <c r="M118" s="11"/>
      <c r="N118" s="11"/>
      <c r="O118" s="3" t="s">
        <v>239</v>
      </c>
      <c r="P118" s="3">
        <f t="shared" si="40"/>
        <v>0</v>
      </c>
      <c r="Q118" s="3">
        <f>COUNTIFS(C:C,"&gt;="&amp;M111,C:C,"&lt;"&amp;N111,F:F,"=8",G:G,"=0",D:D,"&lt;&gt;x")</f>
        <v>0</v>
      </c>
      <c r="R118" s="3">
        <f>COUNTIFS(C:C,"&gt;="&amp;M111,C:C,"&lt;"&amp;N111,F:F,"=8",G:G,"=1",D:D,"&lt;&gt;x")</f>
        <v>0</v>
      </c>
      <c r="S118" s="3">
        <f>COUNTIFS(C:C,"&gt;="&amp;M111,C:C,"&lt;"&amp;N111,F:F,"=8",G:G,"=2",D:D,"&lt;&gt;x")</f>
        <v>0</v>
      </c>
      <c r="T118" s="7" t="str">
        <f t="shared" si="41"/>
        <v>-</v>
      </c>
      <c r="V118" s="11"/>
      <c r="W118" s="11"/>
      <c r="X118" s="3" t="s">
        <v>240</v>
      </c>
      <c r="Y118" s="3">
        <f t="shared" si="42"/>
        <v>0</v>
      </c>
      <c r="Z118" s="3">
        <f>COUNTIFS(C:C,"&gt;="&amp;M111,C:C,"&lt;"&amp;N111,I:I,"=7",J:J,"=0",D:D,"&lt;&gt;x")</f>
        <v>0</v>
      </c>
      <c r="AA118" s="3">
        <f>COUNTIFS(C:C,"&gt;="&amp;M111,C:C,"&lt;"&amp;N111,I:I,"=7",J:J,"=1",D:D,"&lt;&gt;x")</f>
        <v>0</v>
      </c>
      <c r="AB118" s="3">
        <f>COUNTIFS(C:C,"&gt;="&amp;M111,C:C,"&lt;"&amp;N111,I:I,"=7",J:J,"=2",D:D,"&lt;&gt;x")</f>
        <v>0</v>
      </c>
      <c r="AC118" s="7" t="str">
        <f t="shared" si="43"/>
        <v>-</v>
      </c>
    </row>
    <row r="119" spans="1:29" x14ac:dyDescent="0.25">
      <c r="A119">
        <v>118</v>
      </c>
      <c r="B119" s="1">
        <v>45069</v>
      </c>
      <c r="C119" s="2">
        <v>0.9928703703703704</v>
      </c>
      <c r="D119">
        <f>Identyfikacja!D119</f>
        <v>118</v>
      </c>
      <c r="E119" s="5" t="s">
        <v>137</v>
      </c>
      <c r="F119">
        <v>9</v>
      </c>
      <c r="G119">
        <v>0</v>
      </c>
      <c r="I119">
        <v>5</v>
      </c>
      <c r="J119">
        <v>0</v>
      </c>
      <c r="M119" s="11"/>
      <c r="N119" s="11"/>
      <c r="O119" s="3" t="s">
        <v>241</v>
      </c>
      <c r="P119" s="3">
        <f t="shared" si="40"/>
        <v>4</v>
      </c>
      <c r="Q119" s="3">
        <f>COUNTIFS(C:C,"&gt;="&amp;M111,C:C,"&lt;"&amp;N111,F:F,"=9",G:G,"=0",D:D,"&lt;&gt;x")</f>
        <v>4</v>
      </c>
      <c r="R119" s="3">
        <f>COUNTIFS(C:C,"&gt;="&amp;M111,C:C,"&lt;"&amp;N111,F:F,"=9",G:G,"=1",D:D,"&lt;&gt;x")</f>
        <v>0</v>
      </c>
      <c r="S119" s="3">
        <f>COUNTIFS(C:C,"&gt;="&amp;M111,C:C,"&lt;"&amp;N111,F:F,"=9",G:G,"=2",D:D,"&lt;&gt;x")</f>
        <v>0</v>
      </c>
      <c r="T119" s="7">
        <f t="shared" si="41"/>
        <v>1</v>
      </c>
      <c r="V119" s="11"/>
      <c r="W119" s="11"/>
      <c r="X119" s="3" t="s">
        <v>242</v>
      </c>
      <c r="Y119" s="3">
        <f t="shared" si="42"/>
        <v>0</v>
      </c>
      <c r="Z119" s="3">
        <f>COUNTIFS(C:C,"&gt;="&amp;M111,C:C,"&lt;"&amp;N111,I:I,"=8",J:J,"=0",D:D,"&lt;&gt;x")</f>
        <v>0</v>
      </c>
      <c r="AA119" s="3">
        <f>COUNTIFS(C:C,"&gt;="&amp;M111,C:C,"&lt;"&amp;N111,I:I,"=8",J:J,"=1",D:D,"&lt;&gt;x")</f>
        <v>0</v>
      </c>
      <c r="AB119" s="3">
        <f>COUNTIFS(C:C,"&gt;="&amp;M111,C:C,"&lt;"&amp;N111,I:I,"=8",J:J,"=2",D:D,"&lt;&gt;x")</f>
        <v>0</v>
      </c>
      <c r="AC119" s="7" t="str">
        <f t="shared" si="43"/>
        <v>-</v>
      </c>
    </row>
    <row r="120" spans="1:29" x14ac:dyDescent="0.25">
      <c r="A120">
        <v>119</v>
      </c>
      <c r="B120" s="1">
        <v>45069</v>
      </c>
      <c r="C120" s="2">
        <v>0.99290509259259263</v>
      </c>
      <c r="D120">
        <f>Identyfikacja!D120</f>
        <v>119</v>
      </c>
      <c r="E120" s="5" t="s">
        <v>138</v>
      </c>
      <c r="F120">
        <v>9</v>
      </c>
      <c r="G120">
        <v>0</v>
      </c>
      <c r="I120">
        <v>5</v>
      </c>
      <c r="J120">
        <v>0</v>
      </c>
      <c r="M120" s="11"/>
      <c r="N120" s="11"/>
      <c r="O120" s="3" t="s">
        <v>240</v>
      </c>
      <c r="P120" s="3">
        <f t="shared" si="40"/>
        <v>0</v>
      </c>
      <c r="Q120" s="3">
        <f>COUNTIFS(C:C,"&gt;="&amp;M111,C:C,"&lt;"&amp;N111,F:F,"=5",G:G,"=0",D:D,"&lt;&gt;x")</f>
        <v>0</v>
      </c>
      <c r="R120" s="3">
        <f>COUNTIFS(C:C,"&gt;="&amp;M111,C:C,"&lt;"&amp;N111,F:F,"=5",G:G,"=1",D:D,"&lt;&gt;x")</f>
        <v>0</v>
      </c>
      <c r="S120" s="3">
        <f>COUNTIFS(C:C,"&gt;="&amp;M111,C:C,"&lt;"&amp;N111,F:F,"=5",G:G,"=2",D:D,"&lt;&gt;x")</f>
        <v>0</v>
      </c>
      <c r="T120" s="7" t="str">
        <f t="shared" si="41"/>
        <v>-</v>
      </c>
      <c r="X120" s="3"/>
      <c r="Y120" s="3"/>
      <c r="Z120" s="3"/>
      <c r="AA120" s="3"/>
      <c r="AB120" s="3"/>
      <c r="AC120" s="7"/>
    </row>
    <row r="121" spans="1:29" x14ac:dyDescent="0.25">
      <c r="A121">
        <v>120</v>
      </c>
      <c r="B121" s="1">
        <v>45069</v>
      </c>
      <c r="C121" s="2">
        <v>0.99293981481481486</v>
      </c>
      <c r="D121">
        <f>Identyfikacja!D121</f>
        <v>120</v>
      </c>
      <c r="E121" s="5" t="s">
        <v>139</v>
      </c>
      <c r="F121">
        <v>7</v>
      </c>
      <c r="G121">
        <v>0</v>
      </c>
      <c r="I121">
        <v>1</v>
      </c>
      <c r="J121">
        <v>0</v>
      </c>
      <c r="O121" s="3"/>
      <c r="P121" s="3"/>
      <c r="Q121" s="3"/>
      <c r="R121" s="3"/>
      <c r="S121" s="3"/>
      <c r="T121" s="3"/>
      <c r="X121" s="3"/>
      <c r="Y121" s="3"/>
      <c r="Z121" s="3"/>
      <c r="AA121" s="3"/>
      <c r="AB121" s="3"/>
      <c r="AC121" s="3"/>
    </row>
    <row r="122" spans="1:29" x14ac:dyDescent="0.25">
      <c r="A122">
        <v>121</v>
      </c>
      <c r="B122" s="1">
        <v>45069</v>
      </c>
      <c r="C122" s="2">
        <v>0.99690972222222218</v>
      </c>
      <c r="D122">
        <f>Identyfikacja!D122</f>
        <v>121</v>
      </c>
      <c r="E122" s="5" t="s">
        <v>140</v>
      </c>
      <c r="F122">
        <v>3</v>
      </c>
      <c r="G122">
        <v>1</v>
      </c>
      <c r="H122">
        <v>11</v>
      </c>
      <c r="I122">
        <v>2</v>
      </c>
      <c r="J122">
        <v>1</v>
      </c>
      <c r="K122">
        <v>1</v>
      </c>
      <c r="M122" s="10">
        <v>0.98871527777777779</v>
      </c>
      <c r="N122" s="10">
        <v>0.99913194444444442</v>
      </c>
      <c r="O122" s="3" t="s">
        <v>222</v>
      </c>
      <c r="P122" s="3" t="s">
        <v>223</v>
      </c>
      <c r="Q122" s="3" t="s">
        <v>224</v>
      </c>
      <c r="R122" s="3" t="s">
        <v>225</v>
      </c>
      <c r="S122" s="3" t="s">
        <v>17</v>
      </c>
      <c r="T122" s="3" t="s">
        <v>226</v>
      </c>
      <c r="V122" s="10">
        <v>0.98871527777777779</v>
      </c>
      <c r="W122" s="10">
        <v>0.99913194444444442</v>
      </c>
      <c r="X122" s="3" t="s">
        <v>227</v>
      </c>
      <c r="Y122" s="3" t="s">
        <v>223</v>
      </c>
      <c r="Z122" s="3" t="s">
        <v>224</v>
      </c>
      <c r="AA122" s="3" t="s">
        <v>225</v>
      </c>
      <c r="AB122" s="3" t="s">
        <v>17</v>
      </c>
      <c r="AC122" s="3" t="s">
        <v>226</v>
      </c>
    </row>
    <row r="123" spans="1:29" x14ac:dyDescent="0.25">
      <c r="A123">
        <v>122</v>
      </c>
      <c r="B123" s="1">
        <v>45069</v>
      </c>
      <c r="C123" s="2">
        <v>0.99717592592592597</v>
      </c>
      <c r="D123">
        <f>Identyfikacja!D123</f>
        <v>122</v>
      </c>
      <c r="E123" s="5" t="s">
        <v>141</v>
      </c>
      <c r="F123">
        <v>11</v>
      </c>
      <c r="G123">
        <v>0</v>
      </c>
      <c r="I123">
        <v>1</v>
      </c>
      <c r="J123">
        <v>0</v>
      </c>
      <c r="M123" s="11"/>
      <c r="N123" s="11"/>
      <c r="O123" s="3" t="s">
        <v>228</v>
      </c>
      <c r="P123" s="3">
        <f t="shared" ref="P123:P131" si="44">Q123+R123</f>
        <v>0</v>
      </c>
      <c r="Q123" s="3">
        <f>COUNTIFS(C:C,"&gt;="&amp;M122,C:C,"&lt;"&amp;N122,F:F,"=6",G:G,"=0",D:D,"&lt;&gt;x")</f>
        <v>0</v>
      </c>
      <c r="R123" s="3">
        <f>COUNTIFS(C:C,"&gt;="&amp;M122,C:C,"&lt;"&amp;N122,F:F,"=6",G:G,"=1",D:D,"&lt;&gt;x")</f>
        <v>0</v>
      </c>
      <c r="S123" s="3">
        <f>COUNTIFS(C:C,"&gt;="&amp;M122,C:C,"&lt;"&amp;N122,F:F,"=6",G:G,"=2",D:D,"&lt;&gt;x")</f>
        <v>0</v>
      </c>
      <c r="T123" s="7" t="str">
        <f t="shared" ref="T123:T131" si="45">IF(P123&gt;0,Q123/P123,"-")</f>
        <v>-</v>
      </c>
      <c r="V123" s="11"/>
      <c r="W123" s="11"/>
      <c r="X123" s="3" t="s">
        <v>229</v>
      </c>
      <c r="Y123" s="3">
        <f t="shared" ref="Y123:Y130" si="46">Z123+AA123</f>
        <v>2</v>
      </c>
      <c r="Z123" s="3">
        <f>COUNTIFS(C:C,"&gt;="&amp;M122,C:C,"&lt;"&amp;N122,I:I,"=1",J:J,"=0",D:D,"&lt;&gt;x")</f>
        <v>2</v>
      </c>
      <c r="AA123" s="3">
        <f>COUNTIFS(C:C,"&gt;="&amp;M122,C:C,"&lt;"&amp;N122,I:I,"=1",J:J,"=1",D:D,"&lt;&gt;x")</f>
        <v>0</v>
      </c>
      <c r="AB123" s="3">
        <f>COUNTIFS(C:C,"&gt;="&amp;M122,C:C,"&lt;"&amp;N122,I:I,"=1",J:J,"=2",D:D,"&lt;&gt;x")</f>
        <v>0</v>
      </c>
      <c r="AC123" s="7">
        <f t="shared" ref="AC123:AC130" si="47">IF(Y123&gt;0,Z123/Y123,"-")</f>
        <v>1</v>
      </c>
    </row>
    <row r="124" spans="1:29" x14ac:dyDescent="0.25">
      <c r="A124">
        <v>123</v>
      </c>
      <c r="B124" s="1">
        <v>45069</v>
      </c>
      <c r="C124" s="2">
        <v>0.99729166666666669</v>
      </c>
      <c r="D124">
        <f>Identyfikacja!D124</f>
        <v>123</v>
      </c>
      <c r="E124" s="5" t="s">
        <v>142</v>
      </c>
      <c r="F124">
        <v>9</v>
      </c>
      <c r="G124">
        <v>0</v>
      </c>
      <c r="I124">
        <v>5</v>
      </c>
      <c r="J124">
        <v>1</v>
      </c>
      <c r="K124">
        <v>4</v>
      </c>
      <c r="M124" s="11"/>
      <c r="N124" s="11"/>
      <c r="O124" s="3" t="s">
        <v>230</v>
      </c>
      <c r="P124" s="3">
        <f t="shared" si="44"/>
        <v>0</v>
      </c>
      <c r="Q124" s="3">
        <f>COUNTIFS(C:C,"&gt;="&amp;M122,C:C,"&lt;"&amp;N122,F:F,"=10",G:G,"=0",D:D,"&lt;&gt;x")</f>
        <v>0</v>
      </c>
      <c r="R124" s="3">
        <f>COUNTIFS(C:C,"&gt;="&amp;M122,C:C,"&lt;"&amp;N122,F:F,"=10",G:G,"=1",D:D,"&lt;&gt;x")</f>
        <v>0</v>
      </c>
      <c r="S124" s="3">
        <f>COUNTIFS(C:C,"&gt;="&amp;M122,C:C,"&lt;"&amp;N122,F:F,"=10",G:G,"=2",D:D,"&lt;&gt;x")</f>
        <v>0</v>
      </c>
      <c r="T124" s="7" t="str">
        <f t="shared" si="45"/>
        <v>-</v>
      </c>
      <c r="V124" s="11"/>
      <c r="W124" s="11"/>
      <c r="X124" s="3" t="s">
        <v>231</v>
      </c>
      <c r="Y124" s="3">
        <f t="shared" si="46"/>
        <v>1</v>
      </c>
      <c r="Z124" s="3">
        <f>COUNTIFS(C:C,"&gt;="&amp;M122,C:C,"&lt;"&amp;N122,I:I,"=2",J:J,"=0",D:D,"&lt;&gt;x")</f>
        <v>0</v>
      </c>
      <c r="AA124" s="3">
        <f>COUNTIFS(C:C,"&gt;="&amp;M122,C:C,"&lt;"&amp;N122,I:I,"=2",J:J,"=1",D:D,"&lt;&gt;x")</f>
        <v>1</v>
      </c>
      <c r="AB124" s="3">
        <f>COUNTIFS(C:C,"&gt;="&amp;M122,C:C,"&lt;"&amp;N122,I:I,"=2",J:J,"=2",D:D,"&lt;&gt;x")</f>
        <v>0</v>
      </c>
      <c r="AC124" s="7">
        <f t="shared" si="47"/>
        <v>0</v>
      </c>
    </row>
    <row r="125" spans="1:29" x14ac:dyDescent="0.25">
      <c r="A125">
        <v>124</v>
      </c>
      <c r="B125" s="1">
        <v>45070</v>
      </c>
      <c r="C125" s="2">
        <v>3.391203703703704E-3</v>
      </c>
      <c r="D125">
        <f>Identyfikacja!D125</f>
        <v>124</v>
      </c>
      <c r="E125" s="5" t="s">
        <v>143</v>
      </c>
      <c r="F125">
        <v>9</v>
      </c>
      <c r="G125">
        <v>0</v>
      </c>
      <c r="I125">
        <v>5</v>
      </c>
      <c r="J125">
        <v>0</v>
      </c>
      <c r="M125" s="11"/>
      <c r="N125" s="11"/>
      <c r="O125" s="3" t="s">
        <v>232</v>
      </c>
      <c r="P125" s="3">
        <f t="shared" si="44"/>
        <v>1</v>
      </c>
      <c r="Q125" s="3">
        <f>COUNTIFS(C:C,"&gt;="&amp;M122,C:C,"&lt;"&amp;N122,F:F,"=7",G:G,"=0",D:D,"&lt;&gt;x")</f>
        <v>1</v>
      </c>
      <c r="R125" s="3">
        <f>COUNTIFS(C:C,"&gt;="&amp;M122,C:C,"&lt;"&amp;N122,F:F,"=7",G:G,"=1",D:D,"&lt;&gt;x")</f>
        <v>0</v>
      </c>
      <c r="S125" s="3">
        <f>COUNTIFS(C:C,"&gt;="&amp;M122,C:C,"&lt;"&amp;N122,F:F,"=7",G:G,"=2",D:D,"&lt;&gt;x")</f>
        <v>0</v>
      </c>
      <c r="T125" s="7">
        <f t="shared" si="45"/>
        <v>1</v>
      </c>
      <c r="V125" s="11"/>
      <c r="W125" s="11"/>
      <c r="X125" s="3" t="s">
        <v>233</v>
      </c>
      <c r="Y125" s="3">
        <f t="shared" si="46"/>
        <v>0</v>
      </c>
      <c r="Z125" s="3">
        <f>COUNTIFS(C:C,"&gt;="&amp;M122,C:C,"&lt;"&amp;N122,I:I,"=3",J:J,"=0",D:D,"&lt;&gt;x")</f>
        <v>0</v>
      </c>
      <c r="AA125" s="3">
        <f>COUNTIFS(C:C,"&gt;="&amp;M122,C:C,"&lt;"&amp;N122,I:I,"=3",J:J,"=1",D:D,"&lt;&gt;x")</f>
        <v>0</v>
      </c>
      <c r="AB125" s="3">
        <f>COUNTIFS(C:C,"&gt;="&amp;M122,C:C,"&lt;"&amp;N122,I:I,"=3",J:J,"=2",D:D,"&lt;&gt;x")</f>
        <v>0</v>
      </c>
      <c r="AC125" s="7" t="str">
        <f t="shared" si="47"/>
        <v>-</v>
      </c>
    </row>
    <row r="126" spans="1:29" x14ac:dyDescent="0.25">
      <c r="A126">
        <v>125</v>
      </c>
      <c r="B126" s="1">
        <v>45070</v>
      </c>
      <c r="C126" s="2">
        <v>5.7291666666666663E-3</v>
      </c>
      <c r="D126">
        <f>Identyfikacja!D126</f>
        <v>125</v>
      </c>
      <c r="E126" s="5" t="s">
        <v>144</v>
      </c>
      <c r="F126">
        <v>7</v>
      </c>
      <c r="G126">
        <v>0</v>
      </c>
      <c r="I126">
        <v>1</v>
      </c>
      <c r="J126">
        <v>0</v>
      </c>
      <c r="M126" s="11"/>
      <c r="N126" s="11"/>
      <c r="O126" s="3" t="s">
        <v>234</v>
      </c>
      <c r="P126" s="3">
        <f t="shared" si="44"/>
        <v>1</v>
      </c>
      <c r="Q126" s="3">
        <f>COUNTIFS(C:C,"&gt;="&amp;M122,C:C,"&lt;"&amp;N122,F:F,"=11",G:G,"=0",D:D,"&lt;&gt;x")</f>
        <v>1</v>
      </c>
      <c r="R126" s="3">
        <f>COUNTIFS(C:C,"&gt;="&amp;M122,C:C,"&lt;"&amp;N122,F:F,"=11",G:G,"=1",D:D,"&lt;&gt;x")</f>
        <v>0</v>
      </c>
      <c r="S126" s="3">
        <f>COUNTIFS(C:C,"&gt;="&amp;M122,C:C,"&lt;"&amp;N122,F:F,"=11",G:G,"=2",D:D,"&lt;&gt;x")</f>
        <v>0</v>
      </c>
      <c r="T126" s="7">
        <f t="shared" si="45"/>
        <v>1</v>
      </c>
      <c r="V126" s="11"/>
      <c r="W126" s="11"/>
      <c r="X126" s="3" t="s">
        <v>235</v>
      </c>
      <c r="Y126" s="3">
        <f t="shared" si="46"/>
        <v>0</v>
      </c>
      <c r="Z126" s="3">
        <f>COUNTIFS(C:C,"&gt;="&amp;M122,C:C,"&lt;"&amp;N122,I:I,"=4",J:J,"=0",D:D,"&lt;&gt;x")</f>
        <v>0</v>
      </c>
      <c r="AA126" s="3">
        <f>COUNTIFS(C:C,"&gt;="&amp;M122,C:C,"&lt;"&amp;N122,I:I,"=4",J:J,"=1",D:D,"&lt;&gt;x")</f>
        <v>0</v>
      </c>
      <c r="AB126" s="3">
        <f>COUNTIFS(C:C,"&gt;="&amp;M122,C:C,"&lt;"&amp;N122,I:I,"=4",J:J,"=2",D:D,"&lt;&gt;x")</f>
        <v>0</v>
      </c>
      <c r="AC126" s="7" t="str">
        <f t="shared" si="47"/>
        <v>-</v>
      </c>
    </row>
    <row r="127" spans="1:29" x14ac:dyDescent="0.25">
      <c r="A127">
        <v>126</v>
      </c>
      <c r="B127" s="1">
        <v>45070</v>
      </c>
      <c r="C127" s="2">
        <v>8.067129629629629E-3</v>
      </c>
      <c r="D127">
        <f>Identyfikacja!D127</f>
        <v>126</v>
      </c>
      <c r="E127" s="5" t="s">
        <v>145</v>
      </c>
      <c r="F127">
        <v>7</v>
      </c>
      <c r="G127">
        <v>0</v>
      </c>
      <c r="I127">
        <v>1</v>
      </c>
      <c r="J127">
        <v>0</v>
      </c>
      <c r="M127" s="11"/>
      <c r="N127" s="11"/>
      <c r="O127" s="3" t="s">
        <v>236</v>
      </c>
      <c r="P127" s="3">
        <f t="shared" si="44"/>
        <v>0</v>
      </c>
      <c r="Q127" s="3">
        <f>COUNTIFS(C:C,"&gt;="&amp;M122,C:C,"&lt;"&amp;N122,F:F,"=2",G:G,"=0",D:D,"&lt;&gt;x")</f>
        <v>0</v>
      </c>
      <c r="R127" s="3">
        <f>COUNTIFS(C:C,"&gt;="&amp;M122,C:C,"&lt;"&amp;N122,F:F,"=2",G:G,"=1",D:D,"&lt;&gt;x")</f>
        <v>0</v>
      </c>
      <c r="S127" s="3">
        <f>COUNTIFS(C:C,"&gt;="&amp;M122,C:C,"&lt;"&amp;N122,F:F,"=2",G:G,"=2",D:D,"&lt;&gt;x")</f>
        <v>0</v>
      </c>
      <c r="T127" s="7" t="str">
        <f t="shared" si="45"/>
        <v>-</v>
      </c>
      <c r="V127" s="11"/>
      <c r="W127" s="11"/>
      <c r="X127" s="3" t="s">
        <v>237</v>
      </c>
      <c r="Y127" s="3">
        <f t="shared" si="46"/>
        <v>4</v>
      </c>
      <c r="Z127" s="3">
        <f>COUNTIFS(C:C,"&gt;="&amp;M122,C:C,"&lt;"&amp;N122,I:I,"=5",J:J,"=0",D:D,"&lt;&gt;x")</f>
        <v>2</v>
      </c>
      <c r="AA127" s="3">
        <f>COUNTIFS(C:C,"&gt;="&amp;M122,C:C,"&lt;"&amp;N122,I:I,"=5",J:J,"=1",D:D,"&lt;&gt;x")</f>
        <v>2</v>
      </c>
      <c r="AB127" s="3">
        <f>COUNTIFS(C:C,"&gt;="&amp;M122,C:C,"&lt;"&amp;N122,I:I,"=5",J:J,"=2",D:D,"&lt;&gt;x")</f>
        <v>0</v>
      </c>
      <c r="AC127" s="7">
        <f t="shared" si="47"/>
        <v>0.5</v>
      </c>
    </row>
    <row r="128" spans="1:29" x14ac:dyDescent="0.25">
      <c r="A128">
        <v>127</v>
      </c>
      <c r="B128" s="1">
        <v>45070</v>
      </c>
      <c r="C128" s="2">
        <v>1.4456018518518521E-2</v>
      </c>
      <c r="D128">
        <f>Identyfikacja!D128</f>
        <v>127</v>
      </c>
      <c r="E128" s="5" t="s">
        <v>146</v>
      </c>
      <c r="F128">
        <v>9</v>
      </c>
      <c r="G128">
        <v>0</v>
      </c>
      <c r="I128">
        <v>5</v>
      </c>
      <c r="J128">
        <v>0</v>
      </c>
      <c r="M128" s="11"/>
      <c r="N128" s="11"/>
      <c r="O128" s="3" t="s">
        <v>238</v>
      </c>
      <c r="P128" s="3">
        <f t="shared" si="44"/>
        <v>1</v>
      </c>
      <c r="Q128" s="3">
        <f>COUNTIFS(C:C,"&gt;="&amp;M122,C:C,"&lt;"&amp;N122,F:F,"=3",G:G,"=0",D:D,"&lt;&gt;x")</f>
        <v>0</v>
      </c>
      <c r="R128" s="3">
        <f>COUNTIFS(C:C,"&gt;="&amp;M122,C:C,"&lt;"&amp;N122,F:F,"=3",G:G,"=1",D:D,"&lt;&gt;x")</f>
        <v>1</v>
      </c>
      <c r="S128" s="3">
        <f>COUNTIFS(C:C,"&gt;="&amp;M122,C:C,"&lt;"&amp;N122,F:F,"=3",G:G,"=2",D:D,"&lt;&gt;x")</f>
        <v>0</v>
      </c>
      <c r="T128" s="7">
        <f t="shared" si="45"/>
        <v>0</v>
      </c>
      <c r="V128" s="11"/>
      <c r="W128" s="11"/>
      <c r="X128" s="3" t="s">
        <v>239</v>
      </c>
      <c r="Y128" s="3">
        <f t="shared" si="46"/>
        <v>0</v>
      </c>
      <c r="Z128" s="3">
        <f>COUNTIFS(C:C,"&gt;="&amp;M122,C:C,"&lt;"&amp;N122,I:I,"=6",J:J,"=0",D:D,"&lt;&gt;x")</f>
        <v>0</v>
      </c>
      <c r="AA128" s="3">
        <f>COUNTIFS(C:C,"&gt;="&amp;M122,C:C,"&lt;"&amp;N122,I:I,"=6",J:J,"=1",D:D,"&lt;&gt;x")</f>
        <v>0</v>
      </c>
      <c r="AB128" s="3">
        <f>COUNTIFS(C:C,"&gt;="&amp;M122,C:C,"&lt;"&amp;N122,I:I,"=6",J:J,"=2",D:D,"&lt;&gt;x")</f>
        <v>0</v>
      </c>
      <c r="AC128" s="7" t="str">
        <f t="shared" si="47"/>
        <v>-</v>
      </c>
    </row>
    <row r="129" spans="1:29" x14ac:dyDescent="0.25">
      <c r="A129">
        <v>128</v>
      </c>
      <c r="B129" s="1">
        <v>45070</v>
      </c>
      <c r="C129" s="2">
        <v>1.608796296296296E-2</v>
      </c>
      <c r="D129">
        <f>Identyfikacja!D129</f>
        <v>128</v>
      </c>
      <c r="E129" s="5" t="s">
        <v>147</v>
      </c>
      <c r="F129">
        <v>6</v>
      </c>
      <c r="G129">
        <v>2</v>
      </c>
      <c r="H129">
        <v>6</v>
      </c>
      <c r="I129">
        <v>8</v>
      </c>
      <c r="J129">
        <v>2</v>
      </c>
      <c r="K129">
        <v>8</v>
      </c>
      <c r="M129" s="11"/>
      <c r="N129" s="11"/>
      <c r="O129" s="3" t="s">
        <v>239</v>
      </c>
      <c r="P129" s="3">
        <f t="shared" si="44"/>
        <v>0</v>
      </c>
      <c r="Q129" s="3">
        <f>COUNTIFS(C:C,"&gt;="&amp;M122,C:C,"&lt;"&amp;N122,F:F,"=8",G:G,"=0",D:D,"&lt;&gt;x")</f>
        <v>0</v>
      </c>
      <c r="R129" s="3">
        <f>COUNTIFS(C:C,"&gt;="&amp;M122,C:C,"&lt;"&amp;N122,F:F,"=8",G:G,"=1",D:D,"&lt;&gt;x")</f>
        <v>0</v>
      </c>
      <c r="S129" s="3">
        <f>COUNTIFS(C:C,"&gt;="&amp;M122,C:C,"&lt;"&amp;N122,F:F,"=8",G:G,"=2",D:D,"&lt;&gt;x")</f>
        <v>0</v>
      </c>
      <c r="T129" s="7" t="str">
        <f t="shared" si="45"/>
        <v>-</v>
      </c>
      <c r="V129" s="11"/>
      <c r="W129" s="11"/>
      <c r="X129" s="3" t="s">
        <v>240</v>
      </c>
      <c r="Y129" s="3">
        <f t="shared" si="46"/>
        <v>0</v>
      </c>
      <c r="Z129" s="3">
        <f>COUNTIFS(C:C,"&gt;="&amp;M122,C:C,"&lt;"&amp;N122,I:I,"=7",J:J,"=0",D:D,"&lt;&gt;x")</f>
        <v>0</v>
      </c>
      <c r="AA129" s="3">
        <f>COUNTIFS(C:C,"&gt;="&amp;M122,C:C,"&lt;"&amp;N122,I:I,"=7",J:J,"=1",D:D,"&lt;&gt;x")</f>
        <v>0</v>
      </c>
      <c r="AB129" s="3">
        <f>COUNTIFS(C:C,"&gt;="&amp;M122,C:C,"&lt;"&amp;N122,I:I,"=7",J:J,"=2",D:D,"&lt;&gt;x")</f>
        <v>0</v>
      </c>
      <c r="AC129" s="7" t="str">
        <f t="shared" si="47"/>
        <v>-</v>
      </c>
    </row>
    <row r="130" spans="1:29" x14ac:dyDescent="0.25">
      <c r="A130">
        <v>129</v>
      </c>
      <c r="B130" s="1">
        <v>45070</v>
      </c>
      <c r="C130" s="2">
        <v>1.640046296296296E-2</v>
      </c>
      <c r="D130">
        <f>Identyfikacja!D130</f>
        <v>129</v>
      </c>
      <c r="E130" s="5" t="s">
        <v>148</v>
      </c>
      <c r="F130">
        <v>11</v>
      </c>
      <c r="G130">
        <v>0</v>
      </c>
      <c r="I130">
        <v>1</v>
      </c>
      <c r="J130">
        <v>0</v>
      </c>
      <c r="M130" s="11"/>
      <c r="N130" s="11"/>
      <c r="O130" s="3" t="s">
        <v>241</v>
      </c>
      <c r="P130" s="3">
        <f t="shared" si="44"/>
        <v>4</v>
      </c>
      <c r="Q130" s="3">
        <f>COUNTIFS(C:C,"&gt;="&amp;M122,C:C,"&lt;"&amp;N122,F:F,"=9",G:G,"=0",D:D,"&lt;&gt;x")</f>
        <v>4</v>
      </c>
      <c r="R130" s="3">
        <f>COUNTIFS(C:C,"&gt;="&amp;M122,C:C,"&lt;"&amp;N122,F:F,"=9",G:G,"=1",D:D,"&lt;&gt;x")</f>
        <v>0</v>
      </c>
      <c r="S130" s="3">
        <f>COUNTIFS(C:C,"&gt;="&amp;M122,C:C,"&lt;"&amp;N122,F:F,"=9",G:G,"=2",D:D,"&lt;&gt;x")</f>
        <v>0</v>
      </c>
      <c r="T130" s="7">
        <f t="shared" si="45"/>
        <v>1</v>
      </c>
      <c r="V130" s="11"/>
      <c r="W130" s="11"/>
      <c r="X130" s="3" t="s">
        <v>242</v>
      </c>
      <c r="Y130" s="3">
        <f t="shared" si="46"/>
        <v>0</v>
      </c>
      <c r="Z130" s="3">
        <f>COUNTIFS(C:C,"&gt;="&amp;M122,C:C,"&lt;"&amp;N122,I:I,"=8",J:J,"=0",D:D,"&lt;&gt;x")</f>
        <v>0</v>
      </c>
      <c r="AA130" s="3">
        <f>COUNTIFS(C:C,"&gt;="&amp;M122,C:C,"&lt;"&amp;N122,I:I,"=8",J:J,"=1",D:D,"&lt;&gt;x")</f>
        <v>0</v>
      </c>
      <c r="AB130" s="3">
        <f>COUNTIFS(C:C,"&gt;="&amp;M122,C:C,"&lt;"&amp;N122,I:I,"=8",J:J,"=2",D:D,"&lt;&gt;x")</f>
        <v>0</v>
      </c>
      <c r="AC130" s="7" t="str">
        <f t="shared" si="47"/>
        <v>-</v>
      </c>
    </row>
    <row r="131" spans="1:29" x14ac:dyDescent="0.25">
      <c r="A131">
        <v>130</v>
      </c>
      <c r="B131" s="1">
        <v>45070</v>
      </c>
      <c r="C131" s="2">
        <v>1.695601851851852E-2</v>
      </c>
      <c r="D131">
        <f>Identyfikacja!D131</f>
        <v>130</v>
      </c>
      <c r="E131" s="5" t="s">
        <v>149</v>
      </c>
      <c r="F131">
        <v>7</v>
      </c>
      <c r="G131">
        <v>0</v>
      </c>
      <c r="I131">
        <v>1</v>
      </c>
      <c r="J131">
        <v>0</v>
      </c>
      <c r="M131" s="11"/>
      <c r="N131" s="11"/>
      <c r="O131" s="3" t="s">
        <v>240</v>
      </c>
      <c r="P131" s="3">
        <f t="shared" si="44"/>
        <v>0</v>
      </c>
      <c r="Q131" s="3">
        <f>COUNTIFS(C:C,"&gt;="&amp;M122,C:C,"&lt;"&amp;N122,F:F,"=5",G:G,"=0",D:D,"&lt;&gt;x")</f>
        <v>0</v>
      </c>
      <c r="R131" s="3">
        <f>COUNTIFS(C:C,"&gt;="&amp;M122,C:C,"&lt;"&amp;N122,F:F,"=5",G:G,"=1",D:D,"&lt;&gt;x")</f>
        <v>0</v>
      </c>
      <c r="S131" s="3">
        <f>COUNTIFS(C:C,"&gt;="&amp;M122,C:C,"&lt;"&amp;N122,F:F,"=5",G:G,"=2",D:D,"&lt;&gt;x")</f>
        <v>0</v>
      </c>
      <c r="T131" s="7" t="str">
        <f t="shared" si="45"/>
        <v>-</v>
      </c>
      <c r="X131" s="3"/>
      <c r="Y131" s="3"/>
      <c r="Z131" s="3"/>
      <c r="AA131" s="3"/>
      <c r="AB131" s="3"/>
      <c r="AC131" s="7"/>
    </row>
    <row r="132" spans="1:29" x14ac:dyDescent="0.25">
      <c r="A132">
        <v>131</v>
      </c>
      <c r="B132" s="1">
        <v>45070</v>
      </c>
      <c r="C132" s="2">
        <v>1.803240740740741E-2</v>
      </c>
      <c r="D132">
        <f>Identyfikacja!D132</f>
        <v>131</v>
      </c>
      <c r="E132" s="5" t="s">
        <v>150</v>
      </c>
      <c r="F132">
        <v>9</v>
      </c>
      <c r="G132">
        <v>0</v>
      </c>
      <c r="I132">
        <v>5</v>
      </c>
      <c r="J132">
        <v>0</v>
      </c>
      <c r="O132" s="3"/>
      <c r="P132" s="3"/>
      <c r="Q132" s="3"/>
      <c r="R132" s="3"/>
      <c r="S132" s="3"/>
      <c r="T132" s="3"/>
      <c r="X132" s="3"/>
      <c r="Y132" s="3"/>
      <c r="Z132" s="3"/>
      <c r="AA132" s="3"/>
      <c r="AB132" s="3"/>
      <c r="AC132" s="3"/>
    </row>
    <row r="133" spans="1:29" x14ac:dyDescent="0.25">
      <c r="A133">
        <v>132</v>
      </c>
      <c r="B133" s="1">
        <v>45070</v>
      </c>
      <c r="C133" s="2">
        <v>1.9942129629629629E-2</v>
      </c>
      <c r="D133">
        <f>Identyfikacja!D133</f>
        <v>132</v>
      </c>
      <c r="E133" s="5" t="s">
        <v>151</v>
      </c>
      <c r="F133">
        <v>9</v>
      </c>
      <c r="G133">
        <v>0</v>
      </c>
      <c r="I133">
        <v>5</v>
      </c>
      <c r="J133">
        <v>0</v>
      </c>
      <c r="M133" s="10">
        <v>0.99913194444444442</v>
      </c>
      <c r="N133" s="10">
        <v>9.5486111111111119E-3</v>
      </c>
      <c r="O133" s="3" t="s">
        <v>222</v>
      </c>
      <c r="P133" s="3" t="s">
        <v>223</v>
      </c>
      <c r="Q133" s="3" t="s">
        <v>224</v>
      </c>
      <c r="R133" s="3" t="s">
        <v>225</v>
      </c>
      <c r="S133" s="3" t="s">
        <v>17</v>
      </c>
      <c r="T133" s="3" t="s">
        <v>226</v>
      </c>
      <c r="V133" s="10">
        <v>0.99913194444444442</v>
      </c>
      <c r="W133" s="10">
        <v>9.5486111111111119E-3</v>
      </c>
      <c r="X133" s="3" t="s">
        <v>227</v>
      </c>
      <c r="Y133" s="3" t="s">
        <v>223</v>
      </c>
      <c r="Z133" s="3" t="s">
        <v>224</v>
      </c>
      <c r="AA133" s="3" t="s">
        <v>225</v>
      </c>
      <c r="AB133" s="3" t="s">
        <v>17</v>
      </c>
      <c r="AC133" s="3" t="s">
        <v>226</v>
      </c>
    </row>
    <row r="134" spans="1:29" x14ac:dyDescent="0.25">
      <c r="A134">
        <v>133</v>
      </c>
      <c r="B134" s="1">
        <v>45070</v>
      </c>
      <c r="C134" s="2">
        <v>2.0613425925925931E-2</v>
      </c>
      <c r="D134">
        <f>Identyfikacja!D134</f>
        <v>133</v>
      </c>
      <c r="E134" s="5" t="s">
        <v>152</v>
      </c>
      <c r="F134">
        <v>9</v>
      </c>
      <c r="G134">
        <v>0</v>
      </c>
      <c r="I134">
        <v>5</v>
      </c>
      <c r="J134">
        <v>0</v>
      </c>
      <c r="M134" s="11"/>
      <c r="N134" s="11"/>
      <c r="O134" s="3" t="s">
        <v>228</v>
      </c>
      <c r="P134" s="3">
        <f t="shared" ref="P134:P142" si="48">Q134+R134</f>
        <v>0</v>
      </c>
      <c r="Q134" s="3">
        <f>COUNTIFS(C:C,"&gt;="&amp;M133,F:F,"=6",G:G,"=0",D:D,"&lt;&gt;x")+COUNTIFS(C:C,"&lt;"&amp;N133,F:F,"=6",G:G,"=0",D:D,"&lt;&gt;x")</f>
        <v>0</v>
      </c>
      <c r="R134" s="3">
        <f>COUNTIFS(C:C,"&gt;="&amp;M133,F:F,"=6",G:G,"=1",D:D,"&lt;&gt;x")+COUNTIFS(C:C,"&lt;"&amp;N133,F:F,"=6",G:G,"=1",D:D,"&lt;&gt;x")</f>
        <v>0</v>
      </c>
      <c r="S134" s="3">
        <f>COUNTIFS(C:C,"&gt;="&amp;M133,F:F,"=6",G:G,"=2",D:D,"&lt;&gt;x")+COUNTIFS(C:C,"&lt;"&amp;N133,F:F,"=6",G:G,"=2",D:D,"&lt;&gt;x")</f>
        <v>0</v>
      </c>
      <c r="T134" s="7" t="str">
        <f t="shared" ref="T134:T142" si="49">IF(P134&gt;0,Q134/P134,"-")</f>
        <v>-</v>
      </c>
      <c r="V134" s="11"/>
      <c r="W134" s="11"/>
      <c r="X134" s="3" t="s">
        <v>229</v>
      </c>
      <c r="Y134" s="3">
        <f t="shared" ref="Y134:Y141" si="50">Z134+AA134</f>
        <v>2</v>
      </c>
      <c r="Z134" s="3">
        <f>COUNTIFS(C:C,"&gt;="&amp;M133,I:I,"=1",J:J,"=0",D:D,"&lt;&gt;x")+COUNTIFS(C:C,"&lt;"&amp;N133,I:I,"=1",J:J,"=0",D:D,"&lt;&gt;x")</f>
        <v>2</v>
      </c>
      <c r="AA134" s="3">
        <f>COUNTIFS(C:C,"&gt;="&amp;M133,I:I,"=1",J:J,"=1",D:D,"&lt;&gt;x")+COUNTIFS(C:C,"&lt;"&amp;N133,I:I,"=1",J:J,"=1",D:D,"&lt;&gt;x")</f>
        <v>0</v>
      </c>
      <c r="AB134" s="3">
        <f>COUNTIFS(C:C,"&gt;="&amp;M133,I:I,"=1",J:J,"=2",D:D,"&lt;&gt;x")+COUNTIFS(C:C,"&lt;"&amp;N133,I:I,"=1",J:J,"=2",D:D,"&lt;&gt;x")</f>
        <v>0</v>
      </c>
      <c r="AC134" s="7">
        <f t="shared" ref="AC134:AC141" si="51">IF(Y134&gt;0,Z134/Y134,"-")</f>
        <v>1</v>
      </c>
    </row>
    <row r="135" spans="1:29" x14ac:dyDescent="0.25">
      <c r="A135">
        <v>134</v>
      </c>
      <c r="B135" s="1">
        <v>45070</v>
      </c>
      <c r="C135" s="2">
        <v>2.3229166666666669E-2</v>
      </c>
      <c r="D135">
        <f>Identyfikacja!D135</f>
        <v>134</v>
      </c>
      <c r="E135" s="5" t="s">
        <v>153</v>
      </c>
      <c r="F135">
        <v>7</v>
      </c>
      <c r="G135">
        <v>0</v>
      </c>
      <c r="I135">
        <v>1</v>
      </c>
      <c r="J135">
        <v>0</v>
      </c>
      <c r="M135" s="11"/>
      <c r="N135" s="11"/>
      <c r="O135" s="3" t="s">
        <v>230</v>
      </c>
      <c r="P135" s="3">
        <f t="shared" si="48"/>
        <v>0</v>
      </c>
      <c r="Q135" s="3">
        <f>COUNTIFS(C:C,"&gt;="&amp;M133,F:F,"=10",G:G,"=0",D:D,"&lt;&gt;x")+COUNTIFS(C:C,"&lt;"&amp;N133,F:F,"=10",G:G,"=0",D:D,"&lt;&gt;x")</f>
        <v>0</v>
      </c>
      <c r="R135" s="3">
        <f>COUNTIFS(C:C,"&gt;="&amp;M133,F:F,"=10",G:G,"=1",D:D,"&lt;&gt;x")+COUNTIFS(C:C,"&lt;"&amp;N133,F:F,"=10",G:G,"=1",D:D,"&lt;&gt;x")</f>
        <v>0</v>
      </c>
      <c r="S135" s="3">
        <f>COUNTIFS(C:C,"&gt;="&amp;M133,F:F,"=10",G:G,"=2",D:D,"&lt;&gt;x")+COUNTIFS(C:C,"&lt;"&amp;N133,F:F,"=10",G:G,"=2",D:D,"&lt;&gt;x")</f>
        <v>0</v>
      </c>
      <c r="T135" s="7" t="str">
        <f t="shared" si="49"/>
        <v>-</v>
      </c>
      <c r="V135" s="11"/>
      <c r="W135" s="11"/>
      <c r="X135" s="3" t="s">
        <v>231</v>
      </c>
      <c r="Y135" s="3">
        <f t="shared" si="50"/>
        <v>0</v>
      </c>
      <c r="Z135" s="3">
        <f>COUNTIFS(C:C,"&gt;="&amp;M133,I:I,"=2",J:J,"=0",D:D,"&lt;&gt;x")+COUNTIFS(C:C,"&lt;"&amp;N133,I:I,"=2",J:J,"=0",D:D,"&lt;&gt;x")</f>
        <v>0</v>
      </c>
      <c r="AA135" s="3">
        <f>COUNTIFS(C:C,"&gt;="&amp;M133,I:I,"=2",J:J,"=1",D:D,"&lt;&gt;x")+COUNTIFS(C:C,"&lt;"&amp;N133,I:I,"=2",J:J,"=1",D:D,"&lt;&gt;x")</f>
        <v>0</v>
      </c>
      <c r="AB135" s="3">
        <f>COUNTIFS(C:C,"&gt;="&amp;M133,I:I,"=2",J:J,"=2",D:D,"&lt;&gt;x")+COUNTIFS(C:C,"&lt;"&amp;N133,I:I,"=2",J:J,"=2",D:D,"&lt;&gt;x")</f>
        <v>0</v>
      </c>
      <c r="AC135" s="7" t="str">
        <f t="shared" si="51"/>
        <v>-</v>
      </c>
    </row>
    <row r="136" spans="1:29" x14ac:dyDescent="0.25">
      <c r="A136">
        <v>135</v>
      </c>
      <c r="B136" s="1">
        <v>45070</v>
      </c>
      <c r="C136" s="2">
        <v>2.3692129629629629E-2</v>
      </c>
      <c r="D136">
        <f>Identyfikacja!D136</f>
        <v>135</v>
      </c>
      <c r="E136" s="5" t="s">
        <v>154</v>
      </c>
      <c r="F136">
        <v>9</v>
      </c>
      <c r="G136">
        <v>0</v>
      </c>
      <c r="I136">
        <v>5</v>
      </c>
      <c r="J136">
        <v>1</v>
      </c>
      <c r="K136">
        <v>4</v>
      </c>
      <c r="M136" s="11"/>
      <c r="N136" s="11"/>
      <c r="O136" s="3" t="s">
        <v>232</v>
      </c>
      <c r="P136" s="3">
        <f t="shared" si="48"/>
        <v>2</v>
      </c>
      <c r="Q136" s="3">
        <f>COUNTIFS(C:C,"&gt;="&amp;M133,F:F,"=7",G:G,"=0",D:D,"&lt;&gt;x")+COUNTIFS(C:C,"&lt;"&amp;N133,F:F,"=7",G:G,"=0",D:D,"&lt;&gt;x")</f>
        <v>2</v>
      </c>
      <c r="R136" s="3">
        <f>COUNTIFS(C:C,"&gt;="&amp;M133,F:F,"=7",G:G,"=1",D:D,"&lt;&gt;x")+COUNTIFS(C:C,"&lt;"&amp;N133,F:F,"=7",G:G,"=1",D:D,"&lt;&gt;x")</f>
        <v>0</v>
      </c>
      <c r="S136" s="3">
        <f>COUNTIFS(C:C,"&gt;="&amp;M133,F:F,"=7",G:G,"=2",D:D,"&lt;&gt;x")+COUNTIFS(C:C,"&lt;"&amp;N133,F:F,"=7",G:G,"=2",D:D,"&lt;&gt;x")</f>
        <v>0</v>
      </c>
      <c r="T136" s="7">
        <f t="shared" si="49"/>
        <v>1</v>
      </c>
      <c r="V136" s="11"/>
      <c r="W136" s="11"/>
      <c r="X136" s="3" t="s">
        <v>233</v>
      </c>
      <c r="Y136" s="3">
        <f t="shared" si="50"/>
        <v>0</v>
      </c>
      <c r="Z136" s="3">
        <f>COUNTIFS(C:C,"&gt;="&amp;M133,I:I,"=3",J:J,"=0",D:D,"&lt;&gt;x")+COUNTIFS(C:C,"&lt;"&amp;N133,I:I,"=3",J:J,"=0",D:D,"&lt;&gt;x")</f>
        <v>0</v>
      </c>
      <c r="AA136" s="3">
        <f>COUNTIFS(C:C,"&gt;="&amp;M133,I:I,"=3",J:J,"=1",D:D,"&lt;&gt;x")+COUNTIFS(C:C,"&lt;"&amp;N133,I:I,"=3",J:J,"=1",D:D,"&lt;&gt;x")</f>
        <v>0</v>
      </c>
      <c r="AB136" s="3">
        <f>COUNTIFS(C:C,"&gt;="&amp;M133,I:I,"=3",J:J,"=2",D:D,"&lt;&gt;x")+COUNTIFS(C:C,"&lt;"&amp;N133,I:I,"=3",J:J,"=2",D:D,"&lt;&gt;x")</f>
        <v>0</v>
      </c>
      <c r="AC136" s="7" t="str">
        <f t="shared" si="51"/>
        <v>-</v>
      </c>
    </row>
    <row r="137" spans="1:29" x14ac:dyDescent="0.25">
      <c r="A137">
        <v>136</v>
      </c>
      <c r="B137" s="1">
        <v>45070</v>
      </c>
      <c r="C137" s="2">
        <v>2.4456018518518519E-2</v>
      </c>
      <c r="D137">
        <f>Identyfikacja!D137</f>
        <v>136</v>
      </c>
      <c r="E137" s="5" t="s">
        <v>155</v>
      </c>
      <c r="F137">
        <v>9</v>
      </c>
      <c r="G137">
        <v>0</v>
      </c>
      <c r="I137">
        <v>5</v>
      </c>
      <c r="J137">
        <v>0</v>
      </c>
      <c r="M137" s="11"/>
      <c r="N137" s="11"/>
      <c r="O137" s="3" t="s">
        <v>234</v>
      </c>
      <c r="P137" s="3">
        <f t="shared" si="48"/>
        <v>0</v>
      </c>
      <c r="Q137" s="3">
        <f>COUNTIFS(C:C,"&gt;="&amp;M133,F:F,"=11",G:G,"=0",D:D,"&lt;&gt;x")+COUNTIFS(C:C,"&lt;"&amp;N133,F:F,"=11",G:G,"=0",D:D,"&lt;&gt;x")</f>
        <v>0</v>
      </c>
      <c r="R137" s="3">
        <f>COUNTIFS(C:C,"&gt;="&amp;M133,F:F,"=11",G:G,"=1",D:D,"&lt;&gt;x")+COUNTIFS(C:C,"&lt;"&amp;N133,F:F,"=11",G:G,"=1",D:D,"&lt;&gt;x")</f>
        <v>0</v>
      </c>
      <c r="S137" s="3">
        <f>COUNTIFS(C:C,"&gt;="&amp;M133,F:F,"=11",G:G,"=2",D:D,"&lt;&gt;x")+COUNTIFS(C:C,"&lt;"&amp;N133,F:F,"=11",G:G,"=2",D:D,"&lt;&gt;x")</f>
        <v>0</v>
      </c>
      <c r="T137" s="7" t="str">
        <f t="shared" si="49"/>
        <v>-</v>
      </c>
      <c r="V137" s="11"/>
      <c r="W137" s="11"/>
      <c r="X137" s="3" t="s">
        <v>235</v>
      </c>
      <c r="Y137" s="3">
        <f t="shared" si="50"/>
        <v>0</v>
      </c>
      <c r="Z137" s="3">
        <f>COUNTIFS(C:C,"&gt;="&amp;M133,I:I,"=4",J:J,"=0",D:D,"&lt;&gt;x")+COUNTIFS(C:C,"&lt;"&amp;N133,I:I,"=4",J:J,"=0",D:D,"&lt;&gt;x")</f>
        <v>0</v>
      </c>
      <c r="AA137" s="3">
        <f>COUNTIFS(C:C,"&gt;="&amp;M133,I:I,"=4",J:J,"=1",D:D,"&lt;&gt;x")+COUNTIFS(C:C,"&lt;"&amp;N133,I:I,"=4",J:J,"=1",D:D,"&lt;&gt;x")</f>
        <v>0</v>
      </c>
      <c r="AB137" s="3">
        <f>COUNTIFS(C:C,"&gt;="&amp;M133,I:I,"=4",J:J,"=2",D:D,"&lt;&gt;x")+COUNTIFS(C:C,"&lt;"&amp;N133,I:I,"=4",J:J,"=2",D:D,"&lt;&gt;x")</f>
        <v>0</v>
      </c>
      <c r="AC137" s="7" t="str">
        <f t="shared" si="51"/>
        <v>-</v>
      </c>
    </row>
    <row r="138" spans="1:29" x14ac:dyDescent="0.25">
      <c r="A138">
        <v>137</v>
      </c>
      <c r="B138" s="1">
        <v>45070</v>
      </c>
      <c r="C138" s="2">
        <v>2.4756944444444449E-2</v>
      </c>
      <c r="D138">
        <f>Identyfikacja!D138</f>
        <v>137</v>
      </c>
      <c r="E138" s="5" t="s">
        <v>156</v>
      </c>
      <c r="F138">
        <v>3</v>
      </c>
      <c r="G138">
        <v>1</v>
      </c>
      <c r="H138">
        <v>11</v>
      </c>
      <c r="I138">
        <v>2</v>
      </c>
      <c r="J138">
        <v>1</v>
      </c>
      <c r="K138">
        <v>1</v>
      </c>
      <c r="M138" s="11"/>
      <c r="N138" s="11"/>
      <c r="O138" s="3" t="s">
        <v>236</v>
      </c>
      <c r="P138" s="3">
        <f t="shared" si="48"/>
        <v>0</v>
      </c>
      <c r="Q138" s="3">
        <f>COUNTIFS(C:C,"&gt;="&amp;M133,F:F,"=2",G:G,"=0",D:D,"&lt;&gt;x")+COUNTIFS(C:C,"&lt;"&amp;N133,F:F,"=2",G:G,"=0",D:D,"&lt;&gt;x")</f>
        <v>0</v>
      </c>
      <c r="R138" s="3">
        <f>COUNTIFS(C:C,"&gt;="&amp;M133,F:F,"=2",G:G,"=1",D:D,"&lt;&gt;x")+COUNTIFS(C:C,"&lt;"&amp;N133,F:F,"=2",G:G,"=1",D:D,"&lt;&gt;x")</f>
        <v>0</v>
      </c>
      <c r="S138" s="3">
        <f>COUNTIFS(C:C,"&gt;="&amp;M133,F:F,"=2",G:G,"=2",D:D,"&lt;&gt;x")+COUNTIFS(C:C,"&lt;"&amp;N133,F:F,"=2",G:G,"=2",D:D,"&lt;&gt;x")</f>
        <v>0</v>
      </c>
      <c r="T138" s="7" t="str">
        <f t="shared" si="49"/>
        <v>-</v>
      </c>
      <c r="V138" s="11"/>
      <c r="W138" s="11"/>
      <c r="X138" s="3" t="s">
        <v>243</v>
      </c>
      <c r="Y138" s="3">
        <f t="shared" si="50"/>
        <v>1</v>
      </c>
      <c r="Z138" s="3">
        <f>COUNTIFS(C:C,"&gt;="&amp;M133,I:I,"=5",J:J,"=0",D:D,"&lt;&gt;x")+COUNTIFS(C:C,"&lt;"&amp;N133,I:I,"=5",J:J,"=0",D:D,"&lt;&gt;x")</f>
        <v>1</v>
      </c>
      <c r="AA138" s="3">
        <f>COUNTIFS(C:C,"&gt;="&amp;M133,I:I,"=5",J:J,"=1",D:D,"&lt;&gt;x")+COUNTIFS(C:C,"&lt;"&amp;N133,I:I,"=5",J:J,"=1",D:D,"&lt;&gt;x")</f>
        <v>0</v>
      </c>
      <c r="AB138" s="3">
        <f>COUNTIFS(C:C,"&gt;="&amp;M133,I:I,"=5",J:J,"=2",D:D,"&lt;&gt;x")+COUNTIFS(C:C,"&lt;"&amp;N133,I:I,"=5",J:J,"=2",D:D,"&lt;&gt;x")</f>
        <v>0</v>
      </c>
      <c r="AC138" s="7">
        <f t="shared" si="51"/>
        <v>1</v>
      </c>
    </row>
    <row r="139" spans="1:29" x14ac:dyDescent="0.25">
      <c r="A139">
        <v>138</v>
      </c>
      <c r="B139" s="1">
        <v>45070</v>
      </c>
      <c r="C139" s="2">
        <v>2.493055555555556E-2</v>
      </c>
      <c r="D139">
        <f>Identyfikacja!D139</f>
        <v>138</v>
      </c>
      <c r="E139" s="5" t="s">
        <v>157</v>
      </c>
      <c r="F139">
        <v>9</v>
      </c>
      <c r="G139">
        <v>0</v>
      </c>
      <c r="I139">
        <v>5</v>
      </c>
      <c r="J139">
        <v>1</v>
      </c>
      <c r="K139">
        <v>4</v>
      </c>
      <c r="M139" s="11"/>
      <c r="N139" s="11"/>
      <c r="O139" s="3" t="s">
        <v>238</v>
      </c>
      <c r="P139" s="3">
        <f t="shared" si="48"/>
        <v>0</v>
      </c>
      <c r="Q139" s="3">
        <f>COUNTIFS(C:C,"&gt;="&amp;M133,F:F,"=3",G:G,"=0",D:D,"&lt;&gt;x")+COUNTIFS(C:C,"&lt;"&amp;N133,F:F,"=3",G:G,"=0",D:D,"&lt;&gt;x")</f>
        <v>0</v>
      </c>
      <c r="R139" s="3">
        <f>COUNTIFS(C:C,"&gt;="&amp;M133,F:F,"=3",G:G,"=1",D:D,"&lt;&gt;x")+COUNTIFS(C:C,"&lt;"&amp;N133,F:F,"=3",G:G,"=1",D:D,"&lt;&gt;x")</f>
        <v>0</v>
      </c>
      <c r="S139" s="3">
        <f>COUNTIFS(C:C,"&gt;="&amp;M133,F:F,"=3",G:G,"=2",D:D,"&lt;&gt;x")+COUNTIFS(C:C,"&lt;"&amp;N133,F:F,"=3",G:G,"=2",D:D,"&lt;&gt;x")</f>
        <v>0</v>
      </c>
      <c r="T139" s="7" t="str">
        <f t="shared" si="49"/>
        <v>-</v>
      </c>
      <c r="V139" s="11"/>
      <c r="W139" s="11"/>
      <c r="X139" s="3" t="s">
        <v>239</v>
      </c>
      <c r="Y139" s="3">
        <f t="shared" si="50"/>
        <v>0</v>
      </c>
      <c r="Z139" s="3">
        <f>COUNTIFS(C:C,"&gt;="&amp;M133,I:I,"=6",J:J,"=0",D:D,"&lt;&gt;x")+COUNTIFS(C:C,"&lt;"&amp;N133,I:I,"=6",J:J,"=0",D:D,"&lt;&gt;x")</f>
        <v>0</v>
      </c>
      <c r="AA139" s="3">
        <f>COUNTIFS(C:C,"&gt;="&amp;M133,I:I,"=6",J:J,"=1",D:D,"&lt;&gt;x")+COUNTIFS(C:C,"&lt;"&amp;N133,I:I,"=6",J:J,"=1",D:D,"&lt;&gt;x")</f>
        <v>0</v>
      </c>
      <c r="AB139" s="3">
        <f>COUNTIFS(C:C,"&gt;="&amp;M133,I:I,"=6",J:J,"=2",D:D,"&lt;&gt;x")+COUNTIFS(C:C,"&lt;"&amp;N133,I:I,"=6",J:J,"=2",D:D,"&lt;&gt;x")</f>
        <v>0</v>
      </c>
      <c r="AC139" s="7" t="str">
        <f t="shared" si="51"/>
        <v>-</v>
      </c>
    </row>
    <row r="140" spans="1:29" x14ac:dyDescent="0.25">
      <c r="A140">
        <v>139</v>
      </c>
      <c r="B140" s="1">
        <v>45070</v>
      </c>
      <c r="C140" s="2">
        <v>2.6481481481481481E-2</v>
      </c>
      <c r="D140">
        <f>Identyfikacja!D140</f>
        <v>139</v>
      </c>
      <c r="E140" s="5"/>
      <c r="F140">
        <v>6</v>
      </c>
      <c r="G140">
        <v>2</v>
      </c>
      <c r="H140">
        <v>6</v>
      </c>
      <c r="I140">
        <v>8</v>
      </c>
      <c r="J140">
        <v>2</v>
      </c>
      <c r="K140">
        <v>8</v>
      </c>
      <c r="M140" s="11"/>
      <c r="N140" s="11"/>
      <c r="O140" s="3" t="s">
        <v>239</v>
      </c>
      <c r="P140" s="3">
        <f t="shared" si="48"/>
        <v>0</v>
      </c>
      <c r="Q140" s="3">
        <f>COUNTIFS(C:C,"&gt;="&amp;M133,F:F,"=8",G:G,"=0",D:D,"&lt;&gt;x")+COUNTIFS(C:C,"&lt;"&amp;N133,F:F,"=8",G:G,"=0",D:D,"&lt;&gt;x")</f>
        <v>0</v>
      </c>
      <c r="R140" s="3">
        <f>COUNTIFS(C:C,"&gt;="&amp;M133,F:F,"=8",G:G,"=1",D:D,"&lt;&gt;x")+COUNTIFS(C:C,"&lt;"&amp;N133,F:F,"=8",G:G,"=1",D:D,"&lt;&gt;x")</f>
        <v>0</v>
      </c>
      <c r="S140" s="3">
        <f>COUNTIFS(C:C,"&gt;="&amp;M133,F:F,"=8",G:G,"=2",D:D,"&lt;&gt;x")+COUNTIFS(C:C,"&lt;"&amp;N133,F:F,"=8",G:G,"=2",D:D,"&lt;&gt;x")</f>
        <v>0</v>
      </c>
      <c r="T140" s="7" t="str">
        <f t="shared" si="49"/>
        <v>-</v>
      </c>
      <c r="V140" s="11"/>
      <c r="W140" s="11"/>
      <c r="X140" s="3" t="s">
        <v>240</v>
      </c>
      <c r="Y140" s="3">
        <f t="shared" si="50"/>
        <v>0</v>
      </c>
      <c r="Z140" s="3">
        <f>COUNTIFS(C:C,"&gt;="&amp;M133,I:I,"=7",J:J,"=0",D:D,"&lt;&gt;x")+COUNTIFS(C:C,"&lt;"&amp;N133,I:I,"=7",J:J,"=0",D:D,"&lt;&gt;x")</f>
        <v>0</v>
      </c>
      <c r="AA140" s="3">
        <f>COUNTIFS(C:C,"&gt;="&amp;M133,I:I,"=7",J:J,"=1",D:D,"&lt;&gt;x")+COUNTIFS(C:C,"&lt;"&amp;N133,I:I,"=7",J:J,"=1",D:D,"&lt;&gt;x")</f>
        <v>0</v>
      </c>
      <c r="AB140" s="3">
        <f>COUNTIFS(C:C,"&gt;="&amp;M133,I:I,"=7",J:J,"=2",D:D,"&lt;&gt;x")+COUNTIFS(C:C,"&lt;"&amp;N133,I:I,"=7",J:J,"=2",D:D,"&lt;&gt;x")</f>
        <v>0</v>
      </c>
      <c r="AC140" s="7" t="str">
        <f t="shared" si="51"/>
        <v>-</v>
      </c>
    </row>
    <row r="141" spans="1:29" x14ac:dyDescent="0.25">
      <c r="A141">
        <v>140</v>
      </c>
      <c r="B141" s="1">
        <v>45070</v>
      </c>
      <c r="C141" s="2">
        <v>2.7754629629629629E-2</v>
      </c>
      <c r="D141">
        <f>Identyfikacja!D141</f>
        <v>140</v>
      </c>
      <c r="E141" s="5" t="s">
        <v>158</v>
      </c>
      <c r="F141">
        <v>8</v>
      </c>
      <c r="G141">
        <v>2</v>
      </c>
      <c r="H141">
        <v>8</v>
      </c>
      <c r="I141">
        <v>6</v>
      </c>
      <c r="J141">
        <v>2</v>
      </c>
      <c r="K141">
        <v>6</v>
      </c>
      <c r="M141" s="11"/>
      <c r="N141" s="11"/>
      <c r="O141" s="3" t="s">
        <v>241</v>
      </c>
      <c r="P141" s="3">
        <f t="shared" si="48"/>
        <v>1</v>
      </c>
      <c r="Q141" s="3">
        <f>COUNTIFS(C:C,"&gt;="&amp;M133,F:F,"=9",G:G,"=0",D:D,"&lt;&gt;x")+COUNTIFS(C:C,"&lt;"&amp;N133,F:F,"=9",G:G,"=0",D:D,"&lt;&gt;x")</f>
        <v>1</v>
      </c>
      <c r="R141" s="3">
        <f>COUNTIFS(C:C,"&gt;="&amp;M133,F:F,"=9",G:G,"=1",D:D,"&lt;&gt;x")+COUNTIFS(C:C,"&lt;"&amp;N133,F:F,"=9",G:G,"=1",D:D,"&lt;&gt;x")</f>
        <v>0</v>
      </c>
      <c r="S141" s="3">
        <f>COUNTIFS(C:C,"&gt;="&amp;M133,F:F,"=9",G:G,"=2",D:D,"&lt;&gt;x")+COUNTIFS(C:C,"&lt;"&amp;N133,F:F,"=9",G:G,"=2",D:D,"&lt;&gt;x")</f>
        <v>0</v>
      </c>
      <c r="T141" s="7">
        <f t="shared" si="49"/>
        <v>1</v>
      </c>
      <c r="V141" s="11"/>
      <c r="W141" s="11"/>
      <c r="X141" s="3" t="s">
        <v>242</v>
      </c>
      <c r="Y141" s="3">
        <f t="shared" si="50"/>
        <v>0</v>
      </c>
      <c r="Z141" s="3">
        <f>COUNTIFS(C:C,"&gt;="&amp;M133,I:I,"=8",J:J,"=0",D:D,"&lt;&gt;x")+COUNTIFS(C:C,"&lt;"&amp;N133,I:I,"=8",J:J,"=0",D:D,"&lt;&gt;x")</f>
        <v>0</v>
      </c>
      <c r="AA141" s="3">
        <f>COUNTIFS(C:C,"&gt;="&amp;M133,I:I,"=8",J:J,"=1",D:D,"&lt;&gt;x")+COUNTIFS(C:C,"&lt;"&amp;N133,I:I,"=8",J:J,"=1",D:D,"&lt;&gt;x")</f>
        <v>0</v>
      </c>
      <c r="AB141" s="3">
        <f>COUNTIFS(C:C,"&gt;="&amp;M133,I:I,"=8",J:J,"=2",D:D,"&lt;&gt;x")+COUNTIFS(C:C,"&lt;"&amp;N133,I:I,"=8",J:J,"=2",D:D,"&lt;&gt;x")</f>
        <v>0</v>
      </c>
      <c r="AC141" s="7" t="str">
        <f t="shared" si="51"/>
        <v>-</v>
      </c>
    </row>
    <row r="142" spans="1:29" x14ac:dyDescent="0.25">
      <c r="A142">
        <v>141</v>
      </c>
      <c r="B142" s="1">
        <v>45070</v>
      </c>
      <c r="C142" s="2">
        <v>2.7835648148148151E-2</v>
      </c>
      <c r="D142">
        <f>Identyfikacja!D142</f>
        <v>141</v>
      </c>
      <c r="E142" s="5" t="s">
        <v>159</v>
      </c>
      <c r="F142">
        <v>9</v>
      </c>
      <c r="G142">
        <v>2</v>
      </c>
      <c r="H142">
        <v>9</v>
      </c>
      <c r="I142">
        <v>4</v>
      </c>
      <c r="J142">
        <v>2</v>
      </c>
      <c r="K142">
        <v>4</v>
      </c>
      <c r="M142" s="11"/>
      <c r="N142" s="11"/>
      <c r="O142" s="3" t="s">
        <v>240</v>
      </c>
      <c r="P142" s="3">
        <f t="shared" si="48"/>
        <v>0</v>
      </c>
      <c r="Q142" s="3">
        <f>COUNTIFS(C:C,"&gt;="&amp;M133,F:F,"=5",G:G,"=0",D:D,"&lt;&gt;x")+COUNTIFS(C:C,"&lt;"&amp;N133,F:F,"=5",G:G,"=0",D:D,"&lt;&gt;x")</f>
        <v>0</v>
      </c>
      <c r="R142" s="3">
        <f>COUNTIFS(C:C,"&gt;="&amp;M133,F:F,"=5",G:G,"=0",D:D,"&lt;&gt;x")+COUNTIFS(C:C,"&lt;"&amp;N133,F:F,"=5",G:G,"=0",D:D,"&lt;&gt;x")</f>
        <v>0</v>
      </c>
      <c r="S142" s="3">
        <f>COUNTIFS(C:C,"&gt;="&amp;M133,F:F,"=5",G:G,"=0",D:D,"&lt;&gt;x")+COUNTIFS(C:C,"&lt;"&amp;N133,F:F,"=5",G:G,"=0",D:D,"&lt;&gt;x")</f>
        <v>0</v>
      </c>
      <c r="T142" s="7" t="str">
        <f t="shared" si="49"/>
        <v>-</v>
      </c>
      <c r="X142" s="3"/>
      <c r="Y142" s="3"/>
      <c r="Z142" s="3"/>
      <c r="AA142" s="3"/>
      <c r="AB142" s="3"/>
      <c r="AC142" s="7"/>
    </row>
    <row r="143" spans="1:29" x14ac:dyDescent="0.25">
      <c r="A143">
        <v>142</v>
      </c>
      <c r="B143" s="1">
        <v>45070</v>
      </c>
      <c r="C143" s="2">
        <v>3.0775462962962959E-2</v>
      </c>
      <c r="D143">
        <f>Identyfikacja!D143</f>
        <v>142</v>
      </c>
      <c r="E143" s="5" t="s">
        <v>160</v>
      </c>
      <c r="F143">
        <v>9</v>
      </c>
      <c r="G143">
        <v>2</v>
      </c>
      <c r="H143">
        <v>9</v>
      </c>
      <c r="I143">
        <v>4</v>
      </c>
      <c r="J143">
        <v>2</v>
      </c>
      <c r="K143">
        <v>4</v>
      </c>
      <c r="O143" s="3"/>
      <c r="P143" s="3"/>
      <c r="Q143" s="3"/>
      <c r="R143" s="3"/>
      <c r="S143" s="3"/>
      <c r="T143" s="3"/>
      <c r="X143" s="3"/>
      <c r="Y143" s="3"/>
      <c r="Z143" s="3"/>
      <c r="AA143" s="3"/>
      <c r="AB143" s="3"/>
      <c r="AC143" s="3"/>
    </row>
    <row r="144" spans="1:29" x14ac:dyDescent="0.25">
      <c r="A144">
        <v>143</v>
      </c>
      <c r="B144" s="1">
        <v>45070</v>
      </c>
      <c r="C144" s="2">
        <v>3.0902777777777779E-2</v>
      </c>
      <c r="D144">
        <f>Identyfikacja!D144</f>
        <v>143</v>
      </c>
      <c r="E144" s="5"/>
      <c r="F144">
        <v>7</v>
      </c>
      <c r="G144">
        <v>2</v>
      </c>
      <c r="H144">
        <v>7</v>
      </c>
      <c r="I144">
        <v>1</v>
      </c>
      <c r="J144">
        <v>2</v>
      </c>
      <c r="K144">
        <v>1</v>
      </c>
      <c r="M144" s="10">
        <v>9.5486111111111119E-3</v>
      </c>
      <c r="N144" s="10">
        <v>1.996527777777778E-2</v>
      </c>
      <c r="O144" s="3" t="s">
        <v>222</v>
      </c>
      <c r="P144" s="3" t="s">
        <v>223</v>
      </c>
      <c r="Q144" s="3" t="s">
        <v>224</v>
      </c>
      <c r="R144" s="3" t="s">
        <v>225</v>
      </c>
      <c r="S144" s="3" t="s">
        <v>17</v>
      </c>
      <c r="T144" s="3" t="s">
        <v>226</v>
      </c>
      <c r="V144" s="10">
        <v>9.5486111111111119E-3</v>
      </c>
      <c r="W144" s="10">
        <v>1.996527777777778E-2</v>
      </c>
      <c r="X144" s="3" t="s">
        <v>227</v>
      </c>
      <c r="Y144" s="3" t="s">
        <v>223</v>
      </c>
      <c r="Z144" s="3" t="s">
        <v>224</v>
      </c>
      <c r="AA144" s="3" t="s">
        <v>225</v>
      </c>
      <c r="AB144" s="3" t="s">
        <v>17</v>
      </c>
      <c r="AC144" s="3" t="s">
        <v>226</v>
      </c>
    </row>
    <row r="145" spans="1:29" x14ac:dyDescent="0.25">
      <c r="A145">
        <v>144</v>
      </c>
      <c r="B145" s="1">
        <v>45070</v>
      </c>
      <c r="C145" s="2">
        <v>3.1412037037037037E-2</v>
      </c>
      <c r="D145">
        <f>Identyfikacja!D145</f>
        <v>144</v>
      </c>
      <c r="E145" s="5" t="s">
        <v>161</v>
      </c>
      <c r="F145">
        <v>9</v>
      </c>
      <c r="G145">
        <v>0</v>
      </c>
      <c r="I145">
        <v>5</v>
      </c>
      <c r="J145">
        <v>0</v>
      </c>
      <c r="M145" s="11"/>
      <c r="N145" s="11"/>
      <c r="O145" s="3" t="s">
        <v>228</v>
      </c>
      <c r="P145" s="3">
        <f t="shared" ref="P145:P153" si="52">Q145+R145</f>
        <v>0</v>
      </c>
      <c r="Q145" s="3">
        <f>COUNTIFS(C:C,"&gt;="&amp;M144,C:C,"&lt;"&amp;N144,F:F,"=6",G:G,"=0",D:D,"&lt;&gt;x")</f>
        <v>0</v>
      </c>
      <c r="R145" s="3">
        <f>COUNTIFS(C:C,"&gt;="&amp;M144,C:C,"&lt;"&amp;N144,F:F,"=6",G:G,"=1",D:D,"&lt;&gt;x")</f>
        <v>0</v>
      </c>
      <c r="S145" s="3">
        <f>COUNTIFS(C:C,"&gt;="&amp;M144,C:C,"&lt;"&amp;N144,F:F,"=6",G:G,"=2",D:D,"&lt;&gt;x")</f>
        <v>1</v>
      </c>
      <c r="T145" s="7" t="str">
        <f t="shared" ref="T145:T153" si="53">IF(P145&gt;0,Q145/P145,"-")</f>
        <v>-</v>
      </c>
      <c r="V145" s="11"/>
      <c r="W145" s="11"/>
      <c r="X145" s="3" t="s">
        <v>229</v>
      </c>
      <c r="Y145" s="3">
        <f t="shared" ref="Y145:Y152" si="54">Z145+AA145</f>
        <v>2</v>
      </c>
      <c r="Z145" s="3">
        <f>COUNTIFS(C:C,"&gt;="&amp;M144,C:C,"&lt;"&amp;N144,I:I,"=1",J:J,"=0",D:D,"&lt;&gt;x")</f>
        <v>2</v>
      </c>
      <c r="AA145" s="3">
        <f>COUNTIFS(C:C,"&gt;="&amp;M144,C:C,"&lt;"&amp;N144,I:I,"=1",J:J,"=1",D:D,"&lt;&gt;x")</f>
        <v>0</v>
      </c>
      <c r="AB145" s="3">
        <f>COUNTIFS(C:C,"&gt;="&amp;M144,C:C,"&lt;"&amp;N144,I:I,"=1",J:J,"=2",D:D,"&lt;&gt;x")</f>
        <v>0</v>
      </c>
      <c r="AC145" s="7">
        <f t="shared" ref="AC145:AC152" si="55">IF(Y145&gt;0,Z145/Y145,"-")</f>
        <v>1</v>
      </c>
    </row>
    <row r="146" spans="1:29" x14ac:dyDescent="0.25">
      <c r="A146">
        <v>145</v>
      </c>
      <c r="B146" s="1">
        <v>45070</v>
      </c>
      <c r="C146" s="2">
        <v>3.4479166666666658E-2</v>
      </c>
      <c r="D146">
        <f>Identyfikacja!D146</f>
        <v>145</v>
      </c>
      <c r="E146" s="5" t="s">
        <v>162</v>
      </c>
      <c r="F146">
        <v>9</v>
      </c>
      <c r="G146">
        <v>0</v>
      </c>
      <c r="I146">
        <v>5</v>
      </c>
      <c r="J146">
        <v>0</v>
      </c>
      <c r="M146" s="11"/>
      <c r="N146" s="11"/>
      <c r="O146" s="3" t="s">
        <v>230</v>
      </c>
      <c r="P146" s="3">
        <f t="shared" si="52"/>
        <v>0</v>
      </c>
      <c r="Q146" s="3">
        <f>COUNTIFS(C:C,"&gt;="&amp;M144,C:C,"&lt;"&amp;N144,F:F,"=10",G:G,"=0",D:D,"&lt;&gt;x")</f>
        <v>0</v>
      </c>
      <c r="R146" s="3">
        <f>COUNTIFS(C:C,"&gt;="&amp;M144,C:C,"&lt;"&amp;N144,F:F,"=10",G:G,"=1",D:D,"&lt;&gt;x")</f>
        <v>0</v>
      </c>
      <c r="S146" s="3">
        <f>COUNTIFS(C:C,"&gt;="&amp;M144,C:C,"&lt;"&amp;N144,F:F,"=10",G:G,"=2",D:D,"&lt;&gt;x")</f>
        <v>0</v>
      </c>
      <c r="T146" s="7" t="str">
        <f t="shared" si="53"/>
        <v>-</v>
      </c>
      <c r="V146" s="11"/>
      <c r="W146" s="11"/>
      <c r="X146" s="3" t="s">
        <v>231</v>
      </c>
      <c r="Y146" s="3">
        <f t="shared" si="54"/>
        <v>0</v>
      </c>
      <c r="Z146" s="3">
        <f>COUNTIFS(C:C,"&gt;="&amp;M144,C:C,"&lt;"&amp;N144,I:I,"=2",J:J,"=0",D:D,"&lt;&gt;x")</f>
        <v>0</v>
      </c>
      <c r="AA146" s="3">
        <f>COUNTIFS(C:C,"&gt;="&amp;M144,C:C,"&lt;"&amp;N144,I:I,"=2",J:J,"=1",D:D,"&lt;&gt;x")</f>
        <v>0</v>
      </c>
      <c r="AB146" s="3">
        <f>COUNTIFS(C:C,"&gt;="&amp;M144,C:C,"&lt;"&amp;N144,I:I,"=2",J:J,"=2",D:D,"&lt;&gt;x")</f>
        <v>0</v>
      </c>
      <c r="AC146" s="7" t="str">
        <f t="shared" si="55"/>
        <v>-</v>
      </c>
    </row>
    <row r="147" spans="1:29" x14ac:dyDescent="0.25">
      <c r="A147">
        <v>146</v>
      </c>
      <c r="B147" s="1">
        <v>45070</v>
      </c>
      <c r="C147" s="2">
        <v>3.546296296296296E-2</v>
      </c>
      <c r="D147">
        <f>Identyfikacja!D147</f>
        <v>146</v>
      </c>
      <c r="E147" s="5" t="s">
        <v>163</v>
      </c>
      <c r="F147">
        <v>7</v>
      </c>
      <c r="G147">
        <v>0</v>
      </c>
      <c r="I147">
        <v>1</v>
      </c>
      <c r="J147">
        <v>0</v>
      </c>
      <c r="M147" s="11"/>
      <c r="N147" s="11"/>
      <c r="O147" s="3" t="s">
        <v>232</v>
      </c>
      <c r="P147" s="3">
        <f t="shared" si="52"/>
        <v>1</v>
      </c>
      <c r="Q147" s="3">
        <f>COUNTIFS(C:C,"&gt;="&amp;M144,C:C,"&lt;"&amp;N144,F:F,"=7",G:G,"=0",D:D,"&lt;&gt;x")</f>
        <v>1</v>
      </c>
      <c r="R147" s="3">
        <f>COUNTIFS(C:C,"&gt;="&amp;M144,C:C,"&lt;"&amp;N144,F:F,"=7",G:G,"=1",D:D,"&lt;&gt;x")</f>
        <v>0</v>
      </c>
      <c r="S147" s="3">
        <f>COUNTIFS(C:C,"&gt;="&amp;M144,C:C,"&lt;"&amp;N144,F:F,"=7",G:G,"=2",D:D,"&lt;&gt;x")</f>
        <v>0</v>
      </c>
      <c r="T147" s="7">
        <f t="shared" si="53"/>
        <v>1</v>
      </c>
      <c r="V147" s="11"/>
      <c r="W147" s="11"/>
      <c r="X147" s="3" t="s">
        <v>233</v>
      </c>
      <c r="Y147" s="3">
        <f t="shared" si="54"/>
        <v>0</v>
      </c>
      <c r="Z147" s="3">
        <f>COUNTIFS(C:C,"&gt;="&amp;M144,C:C,"&lt;"&amp;N144,I:I,"=3",J:J,"=0",D:D,"&lt;&gt;x")</f>
        <v>0</v>
      </c>
      <c r="AA147" s="3">
        <f>COUNTIFS(C:C,"&gt;="&amp;M144,C:C,"&lt;"&amp;N144,I:I,"=3",J:J,"=1",D:D,"&lt;&gt;x")</f>
        <v>0</v>
      </c>
      <c r="AB147" s="3">
        <f>COUNTIFS(C:C,"&gt;="&amp;M144,C:C,"&lt;"&amp;N144,I:I,"=3",J:J,"=2",D:D,"&lt;&gt;x")</f>
        <v>0</v>
      </c>
      <c r="AC147" s="7" t="str">
        <f t="shared" si="55"/>
        <v>-</v>
      </c>
    </row>
    <row r="148" spans="1:29" x14ac:dyDescent="0.25">
      <c r="A148">
        <v>147</v>
      </c>
      <c r="B148" s="1">
        <v>45070</v>
      </c>
      <c r="C148" s="2">
        <v>3.5613425925925923E-2</v>
      </c>
      <c r="D148">
        <f>Identyfikacja!D148</f>
        <v>147</v>
      </c>
      <c r="E148" s="5" t="s">
        <v>164</v>
      </c>
      <c r="F148">
        <v>9</v>
      </c>
      <c r="G148">
        <v>0</v>
      </c>
      <c r="I148">
        <v>5</v>
      </c>
      <c r="J148">
        <v>1</v>
      </c>
      <c r="K148">
        <v>4</v>
      </c>
      <c r="M148" s="11"/>
      <c r="N148" s="11"/>
      <c r="O148" s="3" t="s">
        <v>234</v>
      </c>
      <c r="P148" s="3">
        <f t="shared" si="52"/>
        <v>1</v>
      </c>
      <c r="Q148" s="3">
        <f>COUNTIFS(C:C,"&gt;="&amp;M144,C:C,"&lt;"&amp;N144,F:F,"=11",G:G,"=0",D:D,"&lt;&gt;x")</f>
        <v>1</v>
      </c>
      <c r="R148" s="3">
        <f>COUNTIFS(C:C,"&gt;="&amp;M144,C:C,"&lt;"&amp;N144,F:F,"=11",G:G,"=1",D:D,"&lt;&gt;x")</f>
        <v>0</v>
      </c>
      <c r="S148" s="3">
        <f>COUNTIFS(C:C,"&gt;="&amp;M144,C:C,"&lt;"&amp;N144,F:F,"=11",G:G,"=2",D:D,"&lt;&gt;x")</f>
        <v>0</v>
      </c>
      <c r="T148" s="7">
        <f t="shared" si="53"/>
        <v>1</v>
      </c>
      <c r="V148" s="11"/>
      <c r="W148" s="11"/>
      <c r="X148" s="3" t="s">
        <v>235</v>
      </c>
      <c r="Y148" s="3">
        <f t="shared" si="54"/>
        <v>0</v>
      </c>
      <c r="Z148" s="3">
        <f>COUNTIFS(C:C,"&gt;="&amp;M144,C:C,"&lt;"&amp;N144,I:I,"=4",J:J,"=0",D:D,"&lt;&gt;x")</f>
        <v>0</v>
      </c>
      <c r="AA148" s="3">
        <f>COUNTIFS(C:C,"&gt;="&amp;M144,C:C,"&lt;"&amp;N144,I:I,"=4",J:J,"=1",D:D,"&lt;&gt;x")</f>
        <v>0</v>
      </c>
      <c r="AB148" s="3">
        <f>COUNTIFS(C:C,"&gt;="&amp;M144,C:C,"&lt;"&amp;N144,I:I,"=4",J:J,"=2",D:D,"&lt;&gt;x")</f>
        <v>0</v>
      </c>
      <c r="AC148" s="7" t="str">
        <f t="shared" si="55"/>
        <v>-</v>
      </c>
    </row>
    <row r="149" spans="1:29" x14ac:dyDescent="0.25">
      <c r="A149">
        <v>148</v>
      </c>
      <c r="B149" s="1">
        <v>45070</v>
      </c>
      <c r="C149" s="2">
        <v>3.7546296296296293E-2</v>
      </c>
      <c r="D149">
        <f>Identyfikacja!D149</f>
        <v>148</v>
      </c>
      <c r="E149" s="5" t="s">
        <v>165</v>
      </c>
      <c r="F149">
        <v>7</v>
      </c>
      <c r="G149">
        <v>0</v>
      </c>
      <c r="I149">
        <v>1</v>
      </c>
      <c r="J149">
        <v>0</v>
      </c>
      <c r="M149" s="11"/>
      <c r="N149" s="11"/>
      <c r="O149" s="3" t="s">
        <v>236</v>
      </c>
      <c r="P149" s="3">
        <f t="shared" si="52"/>
        <v>0</v>
      </c>
      <c r="Q149" s="3">
        <f>COUNTIFS(C:C,"&gt;="&amp;M144,C:C,"&lt;"&amp;N144,F:F,"=2",G:G,"=0",D:D,"&lt;&gt;x")</f>
        <v>0</v>
      </c>
      <c r="R149" s="3">
        <f>COUNTIFS(C:C,"&gt;="&amp;M144,C:C,"&lt;"&amp;N144,F:F,"=2",G:G,"=1",D:D,"&lt;&gt;x")</f>
        <v>0</v>
      </c>
      <c r="S149" s="3">
        <f>COUNTIFS(C:C,"&gt;="&amp;M144,C:C,"&lt;"&amp;N144,F:F,"=2",G:G,"=2",D:D,"&lt;&gt;x")</f>
        <v>0</v>
      </c>
      <c r="T149" s="7" t="str">
        <f t="shared" si="53"/>
        <v>-</v>
      </c>
      <c r="V149" s="11"/>
      <c r="W149" s="11"/>
      <c r="X149" s="3" t="s">
        <v>237</v>
      </c>
      <c r="Y149" s="3">
        <f t="shared" si="54"/>
        <v>3</v>
      </c>
      <c r="Z149" s="3">
        <f>COUNTIFS(C:C,"&gt;="&amp;M144,C:C,"&lt;"&amp;N144,I:I,"=5",J:J,"=0",D:D,"&lt;&gt;x")</f>
        <v>3</v>
      </c>
      <c r="AA149" s="3">
        <f>COUNTIFS(C:C,"&gt;="&amp;M144,C:C,"&lt;"&amp;N144,I:I,"=5",J:J,"=1",D:D,"&lt;&gt;x")</f>
        <v>0</v>
      </c>
      <c r="AB149" s="3">
        <f>COUNTIFS(C:C,"&gt;="&amp;M144,C:C,"&lt;"&amp;N144,I:I,"=5",J:J,"=2",D:D,"&lt;&gt;x")</f>
        <v>0</v>
      </c>
      <c r="AC149" s="7">
        <f t="shared" si="55"/>
        <v>1</v>
      </c>
    </row>
    <row r="150" spans="1:29" x14ac:dyDescent="0.25">
      <c r="A150">
        <v>149</v>
      </c>
      <c r="B150" s="1">
        <v>45070</v>
      </c>
      <c r="C150" s="2">
        <v>3.7627314814814808E-2</v>
      </c>
      <c r="D150">
        <f>Identyfikacja!D150</f>
        <v>149</v>
      </c>
      <c r="E150" s="5" t="s">
        <v>166</v>
      </c>
      <c r="F150">
        <v>9</v>
      </c>
      <c r="G150">
        <v>0</v>
      </c>
      <c r="I150">
        <v>5</v>
      </c>
      <c r="J150">
        <v>0</v>
      </c>
      <c r="M150" s="11"/>
      <c r="N150" s="11"/>
      <c r="O150" s="3" t="s">
        <v>238</v>
      </c>
      <c r="P150" s="3">
        <f t="shared" si="52"/>
        <v>0</v>
      </c>
      <c r="Q150" s="3">
        <f>COUNTIFS(C:C,"&gt;="&amp;M144,C:C,"&lt;"&amp;N144,F:F,"=3",G:G,"=0",D:D,"&lt;&gt;x")</f>
        <v>0</v>
      </c>
      <c r="R150" s="3">
        <f>COUNTIFS(C:C,"&gt;="&amp;M144,C:C,"&lt;"&amp;N144,F:F,"=3",G:G,"=1",D:D,"&lt;&gt;x")</f>
        <v>0</v>
      </c>
      <c r="S150" s="3">
        <f>COUNTIFS(C:C,"&gt;="&amp;M144,C:C,"&lt;"&amp;N144,F:F,"=3",G:G,"=2",D:D,"&lt;&gt;x")</f>
        <v>0</v>
      </c>
      <c r="T150" s="7" t="str">
        <f t="shared" si="53"/>
        <v>-</v>
      </c>
      <c r="V150" s="11"/>
      <c r="W150" s="11"/>
      <c r="X150" s="3" t="s">
        <v>239</v>
      </c>
      <c r="Y150" s="3">
        <f t="shared" si="54"/>
        <v>0</v>
      </c>
      <c r="Z150" s="3">
        <f>COUNTIFS(C:C,"&gt;="&amp;M144,C:C,"&lt;"&amp;N144,I:I,"=6",J:J,"=0",D:D,"&lt;&gt;x")</f>
        <v>0</v>
      </c>
      <c r="AA150" s="3">
        <f>COUNTIFS(C:C,"&gt;="&amp;M144,C:C,"&lt;"&amp;N144,I:I,"=6",J:J,"=1",D:D,"&lt;&gt;x")</f>
        <v>0</v>
      </c>
      <c r="AB150" s="3">
        <f>COUNTIFS(C:C,"&gt;="&amp;M144,C:C,"&lt;"&amp;N144,I:I,"=6",J:J,"=2",D:D,"&lt;&gt;x")</f>
        <v>0</v>
      </c>
      <c r="AC150" s="7" t="str">
        <f t="shared" si="55"/>
        <v>-</v>
      </c>
    </row>
    <row r="151" spans="1:29" x14ac:dyDescent="0.25">
      <c r="A151">
        <v>150</v>
      </c>
      <c r="B151" s="1">
        <v>45070</v>
      </c>
      <c r="C151" s="2">
        <v>3.9444444444444442E-2</v>
      </c>
      <c r="D151">
        <f>Identyfikacja!D151</f>
        <v>150</v>
      </c>
      <c r="E151" s="5" t="s">
        <v>167</v>
      </c>
      <c r="F151">
        <v>7</v>
      </c>
      <c r="G151">
        <v>0</v>
      </c>
      <c r="I151">
        <v>1</v>
      </c>
      <c r="J151">
        <v>0</v>
      </c>
      <c r="M151" s="11"/>
      <c r="N151" s="11"/>
      <c r="O151" s="3" t="s">
        <v>239</v>
      </c>
      <c r="P151" s="3">
        <f t="shared" si="52"/>
        <v>0</v>
      </c>
      <c r="Q151" s="3">
        <f>COUNTIFS(C:C,"&gt;="&amp;M144,C:C,"&lt;"&amp;N144,F:F,"=8",G:G,"=0",D:D,"&lt;&gt;x")</f>
        <v>0</v>
      </c>
      <c r="R151" s="3">
        <f>COUNTIFS(C:C,"&gt;="&amp;M144,C:C,"&lt;"&amp;N144,F:F,"=8",G:G,"=1",D:D,"&lt;&gt;x")</f>
        <v>0</v>
      </c>
      <c r="S151" s="3">
        <f>COUNTIFS(C:C,"&gt;="&amp;M144,C:C,"&lt;"&amp;N144,F:F,"=8",G:G,"=2",D:D,"&lt;&gt;x")</f>
        <v>0</v>
      </c>
      <c r="T151" s="7" t="str">
        <f t="shared" si="53"/>
        <v>-</v>
      </c>
      <c r="V151" s="11"/>
      <c r="W151" s="11"/>
      <c r="X151" s="3" t="s">
        <v>240</v>
      </c>
      <c r="Y151" s="3">
        <f t="shared" si="54"/>
        <v>0</v>
      </c>
      <c r="Z151" s="3">
        <f>COUNTIFS(C:C,"&gt;="&amp;M144,C:C,"&lt;"&amp;N144,I:I,"=7",J:J,"=0",D:D,"&lt;&gt;x")</f>
        <v>0</v>
      </c>
      <c r="AA151" s="3">
        <f>COUNTIFS(C:C,"&gt;="&amp;M144,C:C,"&lt;"&amp;N144,I:I,"=7",J:J,"=1",D:D,"&lt;&gt;x")</f>
        <v>0</v>
      </c>
      <c r="AB151" s="3">
        <f>COUNTIFS(C:C,"&gt;="&amp;M144,C:C,"&lt;"&amp;N144,I:I,"=7",J:J,"=2",D:D,"&lt;&gt;x")</f>
        <v>0</v>
      </c>
      <c r="AC151" s="7" t="str">
        <f t="shared" si="55"/>
        <v>-</v>
      </c>
    </row>
    <row r="152" spans="1:29" x14ac:dyDescent="0.25">
      <c r="A152">
        <v>151</v>
      </c>
      <c r="B152" s="1">
        <v>45070</v>
      </c>
      <c r="C152" s="2">
        <v>3.9525462962962957E-2</v>
      </c>
      <c r="D152">
        <f>Identyfikacja!D152</f>
        <v>151</v>
      </c>
      <c r="E152" s="5" t="s">
        <v>168</v>
      </c>
      <c r="F152">
        <v>8</v>
      </c>
      <c r="G152">
        <v>2</v>
      </c>
      <c r="H152">
        <v>8</v>
      </c>
      <c r="I152">
        <v>6</v>
      </c>
      <c r="J152">
        <v>2</v>
      </c>
      <c r="K152">
        <v>6</v>
      </c>
      <c r="M152" s="11"/>
      <c r="N152" s="11"/>
      <c r="O152" s="3" t="s">
        <v>241</v>
      </c>
      <c r="P152" s="3">
        <f t="shared" si="52"/>
        <v>3</v>
      </c>
      <c r="Q152" s="3">
        <f>COUNTIFS(C:C,"&gt;="&amp;M144,C:C,"&lt;"&amp;N144,F:F,"=9",G:G,"=0",D:D,"&lt;&gt;x")</f>
        <v>3</v>
      </c>
      <c r="R152" s="3">
        <f>COUNTIFS(C:C,"&gt;="&amp;M144,C:C,"&lt;"&amp;N144,F:F,"=9",G:G,"=1",D:D,"&lt;&gt;x")</f>
        <v>0</v>
      </c>
      <c r="S152" s="3">
        <f>COUNTIFS(C:C,"&gt;="&amp;M144,C:C,"&lt;"&amp;N144,F:F,"=9",G:G,"=2",D:D,"&lt;&gt;x")</f>
        <v>0</v>
      </c>
      <c r="T152" s="7">
        <f t="shared" si="53"/>
        <v>1</v>
      </c>
      <c r="V152" s="11"/>
      <c r="W152" s="11"/>
      <c r="X152" s="3" t="s">
        <v>242</v>
      </c>
      <c r="Y152" s="3">
        <f t="shared" si="54"/>
        <v>0</v>
      </c>
      <c r="Z152" s="3">
        <f>COUNTIFS(C:C,"&gt;="&amp;M144,C:C,"&lt;"&amp;N144,I:I,"=8",J:J,"=0",D:D,"&lt;&gt;x")</f>
        <v>0</v>
      </c>
      <c r="AA152" s="3">
        <f>COUNTIFS(C:C,"&gt;="&amp;M144,C:C,"&lt;"&amp;N144,I:I,"=8",J:J,"=1",D:D,"&lt;&gt;x")</f>
        <v>0</v>
      </c>
      <c r="AB152" s="3">
        <f>COUNTIFS(C:C,"&gt;="&amp;M144,C:C,"&lt;"&amp;N144,I:I,"=8",J:J,"=2",D:D,"&lt;&gt;x")</f>
        <v>1</v>
      </c>
      <c r="AC152" s="7" t="str">
        <f t="shared" si="55"/>
        <v>-</v>
      </c>
    </row>
    <row r="153" spans="1:29" x14ac:dyDescent="0.25">
      <c r="A153">
        <v>152</v>
      </c>
      <c r="B153" s="1">
        <v>45070</v>
      </c>
      <c r="C153" s="2">
        <v>0.04</v>
      </c>
      <c r="D153">
        <f>Identyfikacja!D153</f>
        <v>152</v>
      </c>
      <c r="E153" s="5" t="s">
        <v>169</v>
      </c>
      <c r="F153">
        <v>9</v>
      </c>
      <c r="G153">
        <v>0</v>
      </c>
      <c r="I153">
        <v>5</v>
      </c>
      <c r="J153">
        <v>0</v>
      </c>
      <c r="M153" s="11"/>
      <c r="N153" s="11"/>
      <c r="O153" s="3" t="s">
        <v>240</v>
      </c>
      <c r="P153" s="3">
        <f t="shared" si="52"/>
        <v>0</v>
      </c>
      <c r="Q153" s="3">
        <f>COUNTIFS(C:C,"&gt;="&amp;M144,C:C,"&lt;"&amp;N144,F:F,"=5",G:G,"=0",D:D,"&lt;&gt;x")</f>
        <v>0</v>
      </c>
      <c r="R153" s="3">
        <f>COUNTIFS(C:C,"&gt;="&amp;M144,C:C,"&lt;"&amp;N144,F:F,"=5",G:G,"=1",D:D,"&lt;&gt;x")</f>
        <v>0</v>
      </c>
      <c r="S153" s="3">
        <f>COUNTIFS(C:C,"&gt;="&amp;M144,C:C,"&lt;"&amp;N144,F:F,"=5",G:G,"=2",D:D,"&lt;&gt;x")</f>
        <v>0</v>
      </c>
      <c r="T153" s="7" t="str">
        <f t="shared" si="53"/>
        <v>-</v>
      </c>
      <c r="X153" s="3"/>
      <c r="Y153" s="3"/>
      <c r="Z153" s="3"/>
      <c r="AA153" s="3"/>
      <c r="AB153" s="3"/>
      <c r="AC153" s="7"/>
    </row>
    <row r="154" spans="1:29" x14ac:dyDescent="0.25">
      <c r="A154">
        <v>153</v>
      </c>
      <c r="B154" s="1">
        <v>45070</v>
      </c>
      <c r="C154" s="2">
        <v>4.0752314814814818E-2</v>
      </c>
      <c r="D154">
        <f>Identyfikacja!D154</f>
        <v>153</v>
      </c>
      <c r="E154" s="5" t="s">
        <v>170</v>
      </c>
      <c r="F154">
        <v>9</v>
      </c>
      <c r="G154">
        <v>0</v>
      </c>
      <c r="I154">
        <v>5</v>
      </c>
      <c r="J154">
        <v>0</v>
      </c>
      <c r="O154" s="3"/>
      <c r="P154" s="3"/>
      <c r="Q154" s="3"/>
      <c r="R154" s="3"/>
      <c r="S154" s="3"/>
      <c r="T154" s="3"/>
      <c r="X154" s="3"/>
      <c r="Y154" s="3"/>
      <c r="Z154" s="3"/>
      <c r="AA154" s="3"/>
      <c r="AB154" s="3"/>
      <c r="AC154" s="3"/>
    </row>
    <row r="155" spans="1:29" x14ac:dyDescent="0.25">
      <c r="A155">
        <v>154</v>
      </c>
      <c r="B155" s="1">
        <v>45070</v>
      </c>
      <c r="C155" s="2">
        <v>4.252314814814815E-2</v>
      </c>
      <c r="D155">
        <f>Identyfikacja!D155</f>
        <v>154</v>
      </c>
      <c r="E155" s="5" t="s">
        <v>171</v>
      </c>
      <c r="F155">
        <v>3</v>
      </c>
      <c r="G155">
        <v>0</v>
      </c>
      <c r="I155">
        <v>2</v>
      </c>
      <c r="J155">
        <v>0</v>
      </c>
      <c r="M155" s="10">
        <v>1.996527777777778E-2</v>
      </c>
      <c r="N155" s="10">
        <v>3.0381944444444441E-2</v>
      </c>
      <c r="O155" s="3" t="s">
        <v>222</v>
      </c>
      <c r="P155" s="3" t="s">
        <v>223</v>
      </c>
      <c r="Q155" s="3" t="s">
        <v>224</v>
      </c>
      <c r="R155" s="3" t="s">
        <v>225</v>
      </c>
      <c r="S155" s="3" t="s">
        <v>17</v>
      </c>
      <c r="T155" s="3" t="s">
        <v>226</v>
      </c>
      <c r="V155" s="10">
        <v>1.996527777777778E-2</v>
      </c>
      <c r="W155" s="10">
        <v>3.0381944444444441E-2</v>
      </c>
      <c r="X155" s="3" t="s">
        <v>227</v>
      </c>
      <c r="Y155" s="3" t="s">
        <v>223</v>
      </c>
      <c r="Z155" s="3" t="s">
        <v>224</v>
      </c>
      <c r="AA155" s="3" t="s">
        <v>225</v>
      </c>
      <c r="AB155" s="3" t="s">
        <v>17</v>
      </c>
      <c r="AC155" s="3" t="s">
        <v>226</v>
      </c>
    </row>
    <row r="156" spans="1:29" x14ac:dyDescent="0.25">
      <c r="A156">
        <v>155</v>
      </c>
      <c r="B156" s="1">
        <v>45070</v>
      </c>
      <c r="C156" s="2">
        <v>4.355324074074074E-2</v>
      </c>
      <c r="D156">
        <f>Identyfikacja!D156</f>
        <v>155</v>
      </c>
      <c r="E156" s="5" t="s">
        <v>172</v>
      </c>
      <c r="F156">
        <v>9</v>
      </c>
      <c r="G156">
        <v>0</v>
      </c>
      <c r="I156">
        <v>5</v>
      </c>
      <c r="J156">
        <v>0</v>
      </c>
      <c r="M156" s="11"/>
      <c r="N156" s="11"/>
      <c r="O156" s="3" t="s">
        <v>228</v>
      </c>
      <c r="P156" s="3">
        <f t="shared" ref="P156:P164" si="56">Q156+R156</f>
        <v>0</v>
      </c>
      <c r="Q156" s="3">
        <f>COUNTIFS(C:C,"&gt;="&amp;M155,C:C,"&lt;"&amp;N155,F:F,"=6",G:G,"=0",D:D,"&lt;&gt;x")</f>
        <v>0</v>
      </c>
      <c r="R156" s="3">
        <f>COUNTIFS(C:C,"&gt;="&amp;M155,C:C,"&lt;"&amp;N155,F:F,"=6",G:G,"=1",D:D,"&lt;&gt;x")</f>
        <v>0</v>
      </c>
      <c r="S156" s="3">
        <f>COUNTIFS(C:C,"&gt;="&amp;M155,C:C,"&lt;"&amp;N155,F:F,"=6",G:G,"=2",D:D,"&lt;&gt;x")</f>
        <v>1</v>
      </c>
      <c r="T156" s="7" t="str">
        <f t="shared" ref="T156:T164" si="57">IF(P156&gt;0,Q156/P156,"-")</f>
        <v>-</v>
      </c>
      <c r="V156" s="11"/>
      <c r="W156" s="11"/>
      <c r="X156" s="3" t="s">
        <v>229</v>
      </c>
      <c r="Y156" s="3">
        <f t="shared" ref="Y156:Y163" si="58">Z156+AA156</f>
        <v>1</v>
      </c>
      <c r="Z156" s="3">
        <f>COUNTIFS(C:C,"&gt;="&amp;M155,C:C,"&lt;"&amp;N155,I:I,"=1",J:J,"=0",D:D,"&lt;&gt;x")</f>
        <v>1</v>
      </c>
      <c r="AA156" s="3">
        <f>COUNTIFS(C:C,"&gt;="&amp;M155,C:C,"&lt;"&amp;N155,I:I,"=1",J:J,"=1",D:D,"&lt;&gt;x")</f>
        <v>0</v>
      </c>
      <c r="AB156" s="3">
        <f>COUNTIFS(C:C,"&gt;="&amp;M155,C:C,"&lt;"&amp;N155,I:I,"=1",J:J,"=2",D:D,"&lt;&gt;x")</f>
        <v>0</v>
      </c>
      <c r="AC156" s="7">
        <f t="shared" ref="AC156:AC163" si="59">IF(Y156&gt;0,Z156/Y156,"-")</f>
        <v>1</v>
      </c>
    </row>
    <row r="157" spans="1:29" x14ac:dyDescent="0.25">
      <c r="A157">
        <v>156</v>
      </c>
      <c r="B157" s="1">
        <v>45070</v>
      </c>
      <c r="C157" s="2">
        <v>4.3854166666666673E-2</v>
      </c>
      <c r="D157">
        <f>Identyfikacja!D157</f>
        <v>156</v>
      </c>
      <c r="E157" s="5"/>
      <c r="F157">
        <v>11</v>
      </c>
      <c r="G157">
        <v>0</v>
      </c>
      <c r="I157">
        <v>1</v>
      </c>
      <c r="J157">
        <v>0</v>
      </c>
      <c r="M157" s="11"/>
      <c r="N157" s="11"/>
      <c r="O157" s="3" t="s">
        <v>230</v>
      </c>
      <c r="P157" s="3">
        <f t="shared" si="56"/>
        <v>0</v>
      </c>
      <c r="Q157" s="3">
        <f>COUNTIFS(C:C,"&gt;="&amp;M155,C:C,"&lt;"&amp;N155,F:F,"=10",G:G,"=0",D:D,"&lt;&gt;x")</f>
        <v>0</v>
      </c>
      <c r="R157" s="3">
        <f>COUNTIFS(C:C,"&gt;="&amp;M155,C:C,"&lt;"&amp;N155,F:F,"=10",G:G,"=1",D:D,"&lt;&gt;x")</f>
        <v>0</v>
      </c>
      <c r="S157" s="3">
        <f>COUNTIFS(C:C,"&gt;="&amp;M155,C:C,"&lt;"&amp;N155,F:F,"=10",G:G,"=2",D:D,"&lt;&gt;x")</f>
        <v>0</v>
      </c>
      <c r="T157" s="7" t="str">
        <f t="shared" si="57"/>
        <v>-</v>
      </c>
      <c r="V157" s="11"/>
      <c r="W157" s="11"/>
      <c r="X157" s="3" t="s">
        <v>231</v>
      </c>
      <c r="Y157" s="3">
        <f t="shared" si="58"/>
        <v>1</v>
      </c>
      <c r="Z157" s="3">
        <f>COUNTIFS(C:C,"&gt;="&amp;M155,C:C,"&lt;"&amp;N155,I:I,"=2",J:J,"=0",D:D,"&lt;&gt;x")</f>
        <v>0</v>
      </c>
      <c r="AA157" s="3">
        <f>COUNTIFS(C:C,"&gt;="&amp;M155,C:C,"&lt;"&amp;N155,I:I,"=2",J:J,"=1",D:D,"&lt;&gt;x")</f>
        <v>1</v>
      </c>
      <c r="AB157" s="3">
        <f>COUNTIFS(C:C,"&gt;="&amp;M155,C:C,"&lt;"&amp;N155,I:I,"=2",J:J,"=2",D:D,"&lt;&gt;x")</f>
        <v>0</v>
      </c>
      <c r="AC157" s="7">
        <f t="shared" si="59"/>
        <v>0</v>
      </c>
    </row>
    <row r="158" spans="1:29" x14ac:dyDescent="0.25">
      <c r="A158">
        <v>157</v>
      </c>
      <c r="B158" s="1">
        <v>45070</v>
      </c>
      <c r="C158" s="2">
        <v>4.6805555555555559E-2</v>
      </c>
      <c r="D158">
        <f>Identyfikacja!D158</f>
        <v>157</v>
      </c>
      <c r="E158" s="5" t="s">
        <v>173</v>
      </c>
      <c r="F158">
        <v>3</v>
      </c>
      <c r="G158">
        <v>0</v>
      </c>
      <c r="I158">
        <v>2</v>
      </c>
      <c r="J158">
        <v>0</v>
      </c>
      <c r="M158" s="11"/>
      <c r="N158" s="11"/>
      <c r="O158" s="3" t="s">
        <v>232</v>
      </c>
      <c r="P158" s="3">
        <f t="shared" si="56"/>
        <v>1</v>
      </c>
      <c r="Q158" s="3">
        <f>COUNTIFS(C:C,"&gt;="&amp;M155,C:C,"&lt;"&amp;N155,F:F,"=7",G:G,"=0",D:D,"&lt;&gt;x")</f>
        <v>1</v>
      </c>
      <c r="R158" s="3">
        <f>COUNTIFS(C:C,"&gt;="&amp;M155,C:C,"&lt;"&amp;N155,F:F,"=7",G:G,"=1",D:D,"&lt;&gt;x")</f>
        <v>0</v>
      </c>
      <c r="S158" s="3">
        <f>COUNTIFS(C:C,"&gt;="&amp;M155,C:C,"&lt;"&amp;N155,F:F,"=7",G:G,"=2",D:D,"&lt;&gt;x")</f>
        <v>0</v>
      </c>
      <c r="T158" s="7">
        <f t="shared" si="57"/>
        <v>1</v>
      </c>
      <c r="V158" s="11"/>
      <c r="W158" s="11"/>
      <c r="X158" s="3" t="s">
        <v>233</v>
      </c>
      <c r="Y158" s="3">
        <f t="shared" si="58"/>
        <v>0</v>
      </c>
      <c r="Z158" s="3">
        <f>COUNTIFS(C:C,"&gt;="&amp;M155,C:C,"&lt;"&amp;N155,I:I,"=3",J:J,"=0",D:D,"&lt;&gt;x")</f>
        <v>0</v>
      </c>
      <c r="AA158" s="3">
        <f>COUNTIFS(C:C,"&gt;="&amp;M155,C:C,"&lt;"&amp;N155,I:I,"=3",J:J,"=1",D:D,"&lt;&gt;x")</f>
        <v>0</v>
      </c>
      <c r="AB158" s="3">
        <f>COUNTIFS(C:C,"&gt;="&amp;M155,C:C,"&lt;"&amp;N155,I:I,"=3",J:J,"=2",D:D,"&lt;&gt;x")</f>
        <v>0</v>
      </c>
      <c r="AC158" s="7" t="str">
        <f t="shared" si="59"/>
        <v>-</v>
      </c>
    </row>
    <row r="159" spans="1:29" x14ac:dyDescent="0.25">
      <c r="A159">
        <v>158</v>
      </c>
      <c r="B159" s="1">
        <v>45070</v>
      </c>
      <c r="C159" s="2">
        <v>4.7523148148148148E-2</v>
      </c>
      <c r="D159">
        <f>Identyfikacja!D159</f>
        <v>158</v>
      </c>
      <c r="E159" s="5" t="s">
        <v>174</v>
      </c>
      <c r="F159">
        <v>9</v>
      </c>
      <c r="G159">
        <v>2</v>
      </c>
      <c r="H159">
        <v>9</v>
      </c>
      <c r="I159">
        <v>4</v>
      </c>
      <c r="J159">
        <v>2</v>
      </c>
      <c r="K159">
        <v>4</v>
      </c>
      <c r="M159" s="11"/>
      <c r="N159" s="11"/>
      <c r="O159" s="3" t="s">
        <v>234</v>
      </c>
      <c r="P159" s="3">
        <f t="shared" si="56"/>
        <v>0</v>
      </c>
      <c r="Q159" s="3">
        <f>COUNTIFS(C:C,"&gt;="&amp;M155,C:C,"&lt;"&amp;N155,F:F,"=11",G:G,"=0",D:D,"&lt;&gt;x")</f>
        <v>0</v>
      </c>
      <c r="R159" s="3">
        <f>COUNTIFS(C:C,"&gt;="&amp;M155,C:C,"&lt;"&amp;N155,F:F,"=11",G:G,"=1",D:D,"&lt;&gt;x")</f>
        <v>0</v>
      </c>
      <c r="S159" s="3">
        <f>COUNTIFS(C:C,"&gt;="&amp;M155,C:C,"&lt;"&amp;N155,F:F,"=11",G:G,"=2",D:D,"&lt;&gt;x")</f>
        <v>0</v>
      </c>
      <c r="T159" s="7" t="str">
        <f t="shared" si="57"/>
        <v>-</v>
      </c>
      <c r="V159" s="11"/>
      <c r="W159" s="11"/>
      <c r="X159" s="3" t="s">
        <v>235</v>
      </c>
      <c r="Y159" s="3">
        <f t="shared" si="58"/>
        <v>0</v>
      </c>
      <c r="Z159" s="3">
        <f>COUNTIFS(C:C,"&gt;="&amp;M155,C:C,"&lt;"&amp;N155,I:I,"=4",J:J,"=0",D:D,"&lt;&gt;x")</f>
        <v>0</v>
      </c>
      <c r="AA159" s="3">
        <f>COUNTIFS(C:C,"&gt;="&amp;M155,C:C,"&lt;"&amp;N155,I:I,"=4",J:J,"=1",D:D,"&lt;&gt;x")</f>
        <v>0</v>
      </c>
      <c r="AB159" s="3">
        <f>COUNTIFS(C:C,"&gt;="&amp;M155,C:C,"&lt;"&amp;N155,I:I,"=4",J:J,"=2",D:D,"&lt;&gt;x")</f>
        <v>1</v>
      </c>
      <c r="AC159" s="7" t="str">
        <f t="shared" si="59"/>
        <v>-</v>
      </c>
    </row>
    <row r="160" spans="1:29" x14ac:dyDescent="0.25">
      <c r="A160">
        <v>159</v>
      </c>
      <c r="B160" s="1">
        <v>45070</v>
      </c>
      <c r="C160" s="2">
        <v>4.7546296296296288E-2</v>
      </c>
      <c r="D160">
        <f>Identyfikacja!D160</f>
        <v>159</v>
      </c>
      <c r="E160" s="5" t="s">
        <v>175</v>
      </c>
      <c r="F160">
        <v>11</v>
      </c>
      <c r="G160">
        <v>0</v>
      </c>
      <c r="I160">
        <v>1</v>
      </c>
      <c r="J160">
        <v>0</v>
      </c>
      <c r="M160" s="11"/>
      <c r="N160" s="11"/>
      <c r="O160" s="3" t="s">
        <v>236</v>
      </c>
      <c r="P160" s="3">
        <f t="shared" si="56"/>
        <v>0</v>
      </c>
      <c r="Q160" s="3">
        <f>COUNTIFS(C:C,"&gt;="&amp;M155,C:C,"&lt;"&amp;N155,F:F,"=2",G:G,"=0",D:D,"&lt;&gt;x")</f>
        <v>0</v>
      </c>
      <c r="R160" s="3">
        <f>COUNTIFS(C:C,"&gt;="&amp;M155,C:C,"&lt;"&amp;N155,F:F,"=2",G:G,"=1",D:D,"&lt;&gt;x")</f>
        <v>0</v>
      </c>
      <c r="S160" s="3">
        <f>COUNTIFS(C:C,"&gt;="&amp;M155,C:C,"&lt;"&amp;N155,F:F,"=2",G:G,"=2",D:D,"&lt;&gt;x")</f>
        <v>0</v>
      </c>
      <c r="T160" s="7" t="str">
        <f t="shared" si="57"/>
        <v>-</v>
      </c>
      <c r="V160" s="11"/>
      <c r="W160" s="11"/>
      <c r="X160" s="3" t="s">
        <v>237</v>
      </c>
      <c r="Y160" s="3">
        <f t="shared" si="58"/>
        <v>4</v>
      </c>
      <c r="Z160" s="3">
        <f>COUNTIFS(C:C,"&gt;="&amp;M155,C:C,"&lt;"&amp;N155,I:I,"=5",J:J,"=0",D:D,"&lt;&gt;x")</f>
        <v>2</v>
      </c>
      <c r="AA160" s="3">
        <f>COUNTIFS(C:C,"&gt;="&amp;M155,C:C,"&lt;"&amp;N155,I:I,"=5",J:J,"=1",D:D,"&lt;&gt;x")</f>
        <v>2</v>
      </c>
      <c r="AB160" s="3">
        <f>COUNTIFS(C:C,"&gt;="&amp;M155,C:C,"&lt;"&amp;N155,I:I,"=5",J:J,"=2",D:D,"&lt;&gt;x")</f>
        <v>0</v>
      </c>
      <c r="AC160" s="7">
        <f t="shared" si="59"/>
        <v>0.5</v>
      </c>
    </row>
    <row r="161" spans="1:29" x14ac:dyDescent="0.25">
      <c r="A161">
        <v>160</v>
      </c>
      <c r="B161" s="1">
        <v>45070</v>
      </c>
      <c r="C161" s="2">
        <v>4.8009259259259258E-2</v>
      </c>
      <c r="D161">
        <f>Identyfikacja!D161</f>
        <v>160</v>
      </c>
      <c r="E161" s="5" t="s">
        <v>176</v>
      </c>
      <c r="F161">
        <v>9</v>
      </c>
      <c r="G161">
        <v>0</v>
      </c>
      <c r="I161">
        <v>5</v>
      </c>
      <c r="J161">
        <v>0</v>
      </c>
      <c r="M161" s="11"/>
      <c r="N161" s="11"/>
      <c r="O161" s="3" t="s">
        <v>238</v>
      </c>
      <c r="P161" s="3">
        <f t="shared" si="56"/>
        <v>1</v>
      </c>
      <c r="Q161" s="3">
        <f>COUNTIFS(C:C,"&gt;="&amp;M155,C:C,"&lt;"&amp;N155,F:F,"=3",G:G,"=0",D:D,"&lt;&gt;x")</f>
        <v>0</v>
      </c>
      <c r="R161" s="3">
        <f>COUNTIFS(C:C,"&gt;="&amp;M155,C:C,"&lt;"&amp;N155,F:F,"=3",G:G,"=1",D:D,"&lt;&gt;x")</f>
        <v>1</v>
      </c>
      <c r="S161" s="3">
        <f>COUNTIFS(C:C,"&gt;="&amp;M155,C:C,"&lt;"&amp;N155,F:F,"=3",G:G,"=2",D:D,"&lt;&gt;x")</f>
        <v>0</v>
      </c>
      <c r="T161" s="7">
        <f t="shared" si="57"/>
        <v>0</v>
      </c>
      <c r="V161" s="11"/>
      <c r="W161" s="11"/>
      <c r="X161" s="3" t="s">
        <v>239</v>
      </c>
      <c r="Y161" s="3">
        <f t="shared" si="58"/>
        <v>0</v>
      </c>
      <c r="Z161" s="3">
        <f>COUNTIFS(C:C,"&gt;="&amp;M155,C:C,"&lt;"&amp;N155,I:I,"=6",J:J,"=0",D:D,"&lt;&gt;x")</f>
        <v>0</v>
      </c>
      <c r="AA161" s="3">
        <f>COUNTIFS(C:C,"&gt;="&amp;M155,C:C,"&lt;"&amp;N155,I:I,"=6",J:J,"=1",D:D,"&lt;&gt;x")</f>
        <v>0</v>
      </c>
      <c r="AB161" s="3">
        <f>COUNTIFS(C:C,"&gt;="&amp;M155,C:C,"&lt;"&amp;N155,I:I,"=6",J:J,"=2",D:D,"&lt;&gt;x")</f>
        <v>1</v>
      </c>
      <c r="AC161" s="7" t="str">
        <f t="shared" si="59"/>
        <v>-</v>
      </c>
    </row>
    <row r="162" spans="1:29" x14ac:dyDescent="0.25">
      <c r="A162">
        <v>161</v>
      </c>
      <c r="B162" s="1">
        <v>45070</v>
      </c>
      <c r="C162" s="2">
        <v>4.8321759259259259E-2</v>
      </c>
      <c r="D162">
        <f>Identyfikacja!D162</f>
        <v>161</v>
      </c>
      <c r="E162" s="5" t="s">
        <v>177</v>
      </c>
      <c r="F162">
        <v>9</v>
      </c>
      <c r="G162">
        <v>0</v>
      </c>
      <c r="I162">
        <v>5</v>
      </c>
      <c r="J162">
        <v>0</v>
      </c>
      <c r="M162" s="11"/>
      <c r="N162" s="11"/>
      <c r="O162" s="3" t="s">
        <v>239</v>
      </c>
      <c r="P162" s="3">
        <f t="shared" si="56"/>
        <v>0</v>
      </c>
      <c r="Q162" s="3">
        <f>COUNTIFS(C:C,"&gt;="&amp;M155,C:C,"&lt;"&amp;N155,F:F,"=8",G:G,"=0",D:D,"&lt;&gt;x")</f>
        <v>0</v>
      </c>
      <c r="R162" s="3">
        <f>COUNTIFS(C:C,"&gt;="&amp;M155,C:C,"&lt;"&amp;N155,F:F,"=8",G:G,"=1",D:D,"&lt;&gt;x")</f>
        <v>0</v>
      </c>
      <c r="S162" s="3">
        <f>COUNTIFS(C:C,"&gt;="&amp;M155,C:C,"&lt;"&amp;N155,F:F,"=8",G:G,"=2",D:D,"&lt;&gt;x")</f>
        <v>1</v>
      </c>
      <c r="T162" s="7" t="str">
        <f t="shared" si="57"/>
        <v>-</v>
      </c>
      <c r="V162" s="11"/>
      <c r="W162" s="11"/>
      <c r="X162" s="3" t="s">
        <v>240</v>
      </c>
      <c r="Y162" s="3">
        <f t="shared" si="58"/>
        <v>0</v>
      </c>
      <c r="Z162" s="3">
        <f>COUNTIFS(C:C,"&gt;="&amp;M155,C:C,"&lt;"&amp;N155,I:I,"=7",J:J,"=0",D:D,"&lt;&gt;x")</f>
        <v>0</v>
      </c>
      <c r="AA162" s="3">
        <f>COUNTIFS(C:C,"&gt;="&amp;M155,C:C,"&lt;"&amp;N155,I:I,"=7",J:J,"=1",D:D,"&lt;&gt;x")</f>
        <v>0</v>
      </c>
      <c r="AB162" s="3">
        <f>COUNTIFS(C:C,"&gt;="&amp;M155,C:C,"&lt;"&amp;N155,I:I,"=7",J:J,"=2",D:D,"&lt;&gt;x")</f>
        <v>0</v>
      </c>
      <c r="AC162" s="7" t="str">
        <f t="shared" si="59"/>
        <v>-</v>
      </c>
    </row>
    <row r="163" spans="1:29" x14ac:dyDescent="0.25">
      <c r="A163">
        <v>162</v>
      </c>
      <c r="B163" s="1">
        <v>45070</v>
      </c>
      <c r="C163" s="2">
        <v>4.8865740740740737E-2</v>
      </c>
      <c r="D163">
        <f>Identyfikacja!D163</f>
        <v>162</v>
      </c>
      <c r="E163" s="5" t="s">
        <v>178</v>
      </c>
      <c r="F163">
        <v>9</v>
      </c>
      <c r="G163">
        <v>0</v>
      </c>
      <c r="I163">
        <v>5</v>
      </c>
      <c r="J163">
        <v>0</v>
      </c>
      <c r="M163" s="11"/>
      <c r="N163" s="11"/>
      <c r="O163" s="3" t="s">
        <v>241</v>
      </c>
      <c r="P163" s="3">
        <f t="shared" si="56"/>
        <v>4</v>
      </c>
      <c r="Q163" s="3">
        <f>COUNTIFS(C:C,"&gt;="&amp;M155,C:C,"&lt;"&amp;N155,F:F,"=9",G:G,"=0",D:D,"&lt;&gt;x")</f>
        <v>4</v>
      </c>
      <c r="R163" s="3">
        <f>COUNTIFS(C:C,"&gt;="&amp;M155,C:C,"&lt;"&amp;N155,F:F,"=9",G:G,"=1",D:D,"&lt;&gt;x")</f>
        <v>0</v>
      </c>
      <c r="S163" s="3">
        <f>COUNTIFS(C:C,"&gt;="&amp;M155,C:C,"&lt;"&amp;N155,F:F,"=9",G:G,"=2",D:D,"&lt;&gt;x")</f>
        <v>1</v>
      </c>
      <c r="T163" s="7">
        <f t="shared" si="57"/>
        <v>1</v>
      </c>
      <c r="V163" s="11"/>
      <c r="W163" s="11"/>
      <c r="X163" s="3" t="s">
        <v>242</v>
      </c>
      <c r="Y163" s="3">
        <f t="shared" si="58"/>
        <v>0</v>
      </c>
      <c r="Z163" s="3">
        <f>COUNTIFS(C:C,"&gt;="&amp;M155,C:C,"&lt;"&amp;N155,I:I,"=8",J:J,"=0",D:D,"&lt;&gt;x")</f>
        <v>0</v>
      </c>
      <c r="AA163" s="3">
        <f>COUNTIFS(C:C,"&gt;="&amp;M155,C:C,"&lt;"&amp;N155,I:I,"=8",J:J,"=1",D:D,"&lt;&gt;x")</f>
        <v>0</v>
      </c>
      <c r="AB163" s="3">
        <f>COUNTIFS(C:C,"&gt;="&amp;M155,C:C,"&lt;"&amp;N155,I:I,"=8",J:J,"=2",D:D,"&lt;&gt;x")</f>
        <v>1</v>
      </c>
      <c r="AC163" s="7" t="str">
        <f t="shared" si="59"/>
        <v>-</v>
      </c>
    </row>
    <row r="164" spans="1:29" x14ac:dyDescent="0.25">
      <c r="A164">
        <v>163</v>
      </c>
      <c r="B164" s="1">
        <v>45070</v>
      </c>
      <c r="C164" s="2">
        <v>5.0451388888888893E-2</v>
      </c>
      <c r="D164">
        <f>Identyfikacja!D164</f>
        <v>163</v>
      </c>
      <c r="E164" s="5" t="s">
        <v>179</v>
      </c>
      <c r="F164">
        <v>8</v>
      </c>
      <c r="G164">
        <v>0</v>
      </c>
      <c r="I164">
        <v>6</v>
      </c>
      <c r="J164">
        <v>0</v>
      </c>
      <c r="M164" s="11"/>
      <c r="N164" s="11"/>
      <c r="O164" s="3" t="s">
        <v>240</v>
      </c>
      <c r="P164" s="3">
        <f t="shared" si="56"/>
        <v>0</v>
      </c>
      <c r="Q164" s="3">
        <f>COUNTIFS(C:C,"&gt;="&amp;M155,C:C,"&lt;"&amp;N155,F:F,"=5",G:G,"=0",D:D,"&lt;&gt;x")</f>
        <v>0</v>
      </c>
      <c r="R164" s="3">
        <f>COUNTIFS(C:C,"&gt;="&amp;M155,C:C,"&lt;"&amp;N155,F:F,"=5",G:G,"=1",D:D,"&lt;&gt;x")</f>
        <v>0</v>
      </c>
      <c r="S164" s="3">
        <f>COUNTIFS(C:C,"&gt;="&amp;M155,C:C,"&lt;"&amp;N155,F:F,"=5",G:G,"=2",D:D,"&lt;&gt;x")</f>
        <v>0</v>
      </c>
      <c r="T164" s="7" t="str">
        <f t="shared" si="57"/>
        <v>-</v>
      </c>
      <c r="X164" s="3"/>
      <c r="Y164" s="3"/>
      <c r="Z164" s="3"/>
      <c r="AA164" s="3"/>
      <c r="AB164" s="3"/>
      <c r="AC164" s="7"/>
    </row>
    <row r="165" spans="1:29" x14ac:dyDescent="0.25">
      <c r="A165">
        <v>164</v>
      </c>
      <c r="B165" s="1">
        <v>45070</v>
      </c>
      <c r="C165" s="2">
        <v>5.0497685185185187E-2</v>
      </c>
      <c r="D165">
        <f>Identyfikacja!D165</f>
        <v>164</v>
      </c>
      <c r="E165" s="5" t="s">
        <v>180</v>
      </c>
      <c r="F165">
        <v>8</v>
      </c>
      <c r="G165">
        <v>0</v>
      </c>
      <c r="I165">
        <v>6</v>
      </c>
      <c r="J165">
        <v>0</v>
      </c>
      <c r="O165" s="3"/>
      <c r="P165" s="3"/>
      <c r="Q165" s="3"/>
      <c r="R165" s="3"/>
      <c r="S165" s="3"/>
      <c r="T165" s="3"/>
      <c r="X165" s="3"/>
      <c r="Y165" s="3"/>
      <c r="Z165" s="3"/>
      <c r="AA165" s="3"/>
      <c r="AB165" s="3"/>
      <c r="AC165" s="3"/>
    </row>
    <row r="166" spans="1:29" x14ac:dyDescent="0.25">
      <c r="A166">
        <v>165</v>
      </c>
      <c r="B166" s="1">
        <v>45070</v>
      </c>
      <c r="C166" s="2">
        <v>5.1874999999999998E-2</v>
      </c>
      <c r="D166">
        <f>Identyfikacja!D166</f>
        <v>165</v>
      </c>
      <c r="E166" s="5" t="s">
        <v>181</v>
      </c>
      <c r="F166">
        <v>9</v>
      </c>
      <c r="G166">
        <v>0</v>
      </c>
      <c r="I166">
        <v>5</v>
      </c>
      <c r="J166">
        <v>0</v>
      </c>
      <c r="M166" s="10">
        <v>3.0381944444444441E-2</v>
      </c>
      <c r="N166" s="10">
        <v>4.0798611111111112E-2</v>
      </c>
      <c r="O166" s="3" t="s">
        <v>222</v>
      </c>
      <c r="P166" s="3" t="s">
        <v>223</v>
      </c>
      <c r="Q166" s="3" t="s">
        <v>224</v>
      </c>
      <c r="R166" s="3" t="s">
        <v>225</v>
      </c>
      <c r="S166" s="3" t="s">
        <v>17</v>
      </c>
      <c r="T166" s="3" t="s">
        <v>226</v>
      </c>
      <c r="V166" s="10">
        <v>3.0381944444444441E-2</v>
      </c>
      <c r="W166" s="10">
        <v>4.0798611111111112E-2</v>
      </c>
      <c r="X166" s="3" t="s">
        <v>227</v>
      </c>
      <c r="Y166" s="3" t="s">
        <v>223</v>
      </c>
      <c r="Z166" s="3" t="s">
        <v>224</v>
      </c>
      <c r="AA166" s="3" t="s">
        <v>225</v>
      </c>
      <c r="AB166" s="3" t="s">
        <v>17</v>
      </c>
      <c r="AC166" s="3" t="s">
        <v>226</v>
      </c>
    </row>
    <row r="167" spans="1:29" x14ac:dyDescent="0.25">
      <c r="A167">
        <v>166</v>
      </c>
      <c r="B167" s="1">
        <v>45070</v>
      </c>
      <c r="C167" s="2">
        <v>5.2083333333333343E-2</v>
      </c>
      <c r="D167">
        <f>Identyfikacja!D167</f>
        <v>166</v>
      </c>
      <c r="E167" s="5" t="s">
        <v>182</v>
      </c>
      <c r="F167">
        <v>9</v>
      </c>
      <c r="G167">
        <v>0</v>
      </c>
      <c r="I167">
        <v>5</v>
      </c>
      <c r="J167">
        <v>0</v>
      </c>
      <c r="M167" s="11"/>
      <c r="N167" s="11"/>
      <c r="O167" s="3" t="s">
        <v>228</v>
      </c>
      <c r="P167" s="3">
        <f t="shared" ref="P167:P175" si="60">Q167+R167</f>
        <v>0</v>
      </c>
      <c r="Q167" s="3">
        <f>COUNTIFS(C:C,"&gt;="&amp;M166,C:C,"&lt;"&amp;N166,F:F,"=6",G:G,"=0",D:D,"&lt;&gt;x")</f>
        <v>0</v>
      </c>
      <c r="R167" s="3">
        <f>COUNTIFS(C:C,"&gt;="&amp;M166,C:C,"&lt;"&amp;N166,F:F,"=6",G:G,"=1",D:D,"&lt;&gt;x")</f>
        <v>0</v>
      </c>
      <c r="S167" s="3">
        <f>COUNTIFS(C:C,"&gt;="&amp;M166,C:C,"&lt;"&amp;N166,F:F,"=6",G:G,"=2",D:D,"&lt;&gt;x")</f>
        <v>0</v>
      </c>
      <c r="T167" s="7" t="str">
        <f t="shared" ref="T167:T175" si="61">IF(P167&gt;0,Q167/P167,"-")</f>
        <v>-</v>
      </c>
      <c r="V167" s="11"/>
      <c r="W167" s="11"/>
      <c r="X167" s="3" t="s">
        <v>229</v>
      </c>
      <c r="Y167" s="3">
        <f t="shared" ref="Y167:Y174" si="62">Z167+AA167</f>
        <v>3</v>
      </c>
      <c r="Z167" s="3">
        <f>COUNTIFS(C:C,"&gt;="&amp;M166,C:C,"&lt;"&amp;N166,I:I,"=1",J:J,"=0",D:D,"&lt;&gt;x")</f>
        <v>3</v>
      </c>
      <c r="AA167" s="3">
        <f>COUNTIFS(C:C,"&gt;="&amp;M166,C:C,"&lt;"&amp;N166,I:I,"=1",J:J,"=1",D:D,"&lt;&gt;x")</f>
        <v>0</v>
      </c>
      <c r="AB167" s="3">
        <f>COUNTIFS(C:C,"&gt;="&amp;M166,C:C,"&lt;"&amp;N166,I:I,"=1",J:J,"=2",D:D,"&lt;&gt;x")</f>
        <v>1</v>
      </c>
      <c r="AC167" s="7">
        <f t="shared" ref="AC167:AC174" si="63">IF(Y167&gt;0,Z167/Y167,"-")</f>
        <v>1</v>
      </c>
    </row>
    <row r="168" spans="1:29" x14ac:dyDescent="0.25">
      <c r="A168">
        <v>167</v>
      </c>
      <c r="B168" s="1">
        <v>45070</v>
      </c>
      <c r="C168" s="2">
        <v>5.2106481481481483E-2</v>
      </c>
      <c r="D168">
        <f>Identyfikacja!D168</f>
        <v>167</v>
      </c>
      <c r="E168" s="5" t="s">
        <v>183</v>
      </c>
      <c r="F168">
        <v>9</v>
      </c>
      <c r="G168">
        <v>0</v>
      </c>
      <c r="I168">
        <v>5</v>
      </c>
      <c r="J168">
        <v>0</v>
      </c>
      <c r="M168" s="11"/>
      <c r="N168" s="11"/>
      <c r="O168" s="3" t="s">
        <v>230</v>
      </c>
      <c r="P168" s="3">
        <f t="shared" si="60"/>
        <v>0</v>
      </c>
      <c r="Q168" s="3">
        <f>COUNTIFS(C:C,"&gt;="&amp;M166,C:C,"&lt;"&amp;N166,F:F,"=10",G:G,"=0",D:D,"&lt;&gt;x")</f>
        <v>0</v>
      </c>
      <c r="R168" s="3">
        <f>COUNTIFS(C:C,"&gt;="&amp;M166,C:C,"&lt;"&amp;N166,F:F,"=10",G:G,"=1",D:D,"&lt;&gt;x")</f>
        <v>0</v>
      </c>
      <c r="S168" s="3">
        <f>COUNTIFS(C:C,"&gt;="&amp;M166,C:C,"&lt;"&amp;N166,F:F,"=10",G:G,"=2",D:D,"&lt;&gt;x")</f>
        <v>0</v>
      </c>
      <c r="T168" s="7" t="str">
        <f t="shared" si="61"/>
        <v>-</v>
      </c>
      <c r="V168" s="11"/>
      <c r="W168" s="11"/>
      <c r="X168" s="3" t="s">
        <v>231</v>
      </c>
      <c r="Y168" s="3">
        <f t="shared" si="62"/>
        <v>0</v>
      </c>
      <c r="Z168" s="3">
        <f>COUNTIFS(C:C,"&gt;="&amp;M166,C:C,"&lt;"&amp;N166,I:I,"=2",J:J,"=0",D:D,"&lt;&gt;x")</f>
        <v>0</v>
      </c>
      <c r="AA168" s="3">
        <f>COUNTIFS(C:C,"&gt;="&amp;M166,C:C,"&lt;"&amp;N166,I:I,"=2",J:J,"=1",D:D,"&lt;&gt;x")</f>
        <v>0</v>
      </c>
      <c r="AB168" s="3">
        <f>COUNTIFS(C:C,"&gt;="&amp;M166,C:C,"&lt;"&amp;N166,I:I,"=2",J:J,"=2",D:D,"&lt;&gt;x")</f>
        <v>0</v>
      </c>
      <c r="AC168" s="7" t="str">
        <f t="shared" si="63"/>
        <v>-</v>
      </c>
    </row>
    <row r="169" spans="1:29" x14ac:dyDescent="0.25">
      <c r="A169">
        <v>168</v>
      </c>
      <c r="B169" s="1">
        <v>45070</v>
      </c>
      <c r="C169" s="2">
        <v>5.2152777777777777E-2</v>
      </c>
      <c r="D169">
        <f>Identyfikacja!D169</f>
        <v>168</v>
      </c>
      <c r="E169" s="5" t="s">
        <v>184</v>
      </c>
      <c r="F169">
        <v>9</v>
      </c>
      <c r="G169">
        <v>0</v>
      </c>
      <c r="I169">
        <v>5</v>
      </c>
      <c r="J169">
        <v>0</v>
      </c>
      <c r="M169" s="11"/>
      <c r="N169" s="11"/>
      <c r="O169" s="3" t="s">
        <v>232</v>
      </c>
      <c r="P169" s="3">
        <f t="shared" si="60"/>
        <v>3</v>
      </c>
      <c r="Q169" s="3">
        <f>COUNTIFS(C:C,"&gt;="&amp;M166,C:C,"&lt;"&amp;N166,F:F,"=7",G:G,"=0",D:D,"&lt;&gt;x")</f>
        <v>3</v>
      </c>
      <c r="R169" s="3">
        <f>COUNTIFS(C:C,"&gt;="&amp;M166,C:C,"&lt;"&amp;N166,F:F,"=7",G:G,"=1",D:D,"&lt;&gt;x")</f>
        <v>0</v>
      </c>
      <c r="S169" s="3">
        <f>COUNTIFS(C:C,"&gt;="&amp;M166,C:C,"&lt;"&amp;N166,F:F,"=7",G:G,"=2",D:D,"&lt;&gt;x")</f>
        <v>1</v>
      </c>
      <c r="T169" s="7">
        <f t="shared" si="61"/>
        <v>1</v>
      </c>
      <c r="V169" s="11"/>
      <c r="W169" s="11"/>
      <c r="X169" s="3" t="s">
        <v>233</v>
      </c>
      <c r="Y169" s="3">
        <f t="shared" si="62"/>
        <v>0</v>
      </c>
      <c r="Z169" s="3">
        <f>COUNTIFS(C:C,"&gt;="&amp;M166,C:C,"&lt;"&amp;N166,I:I,"=3",J:J,"=0",D:D,"&lt;&gt;x")</f>
        <v>0</v>
      </c>
      <c r="AA169" s="3">
        <f>COUNTIFS(C:C,"&gt;="&amp;M166,C:C,"&lt;"&amp;N166,I:I,"=3",J:J,"=1",D:D,"&lt;&gt;x")</f>
        <v>0</v>
      </c>
      <c r="AB169" s="3">
        <f>COUNTIFS(C:C,"&gt;="&amp;M166,C:C,"&lt;"&amp;N166,I:I,"=3",J:J,"=2",D:D,"&lt;&gt;x")</f>
        <v>0</v>
      </c>
      <c r="AC169" s="7" t="str">
        <f t="shared" si="63"/>
        <v>-</v>
      </c>
    </row>
    <row r="170" spans="1:29" x14ac:dyDescent="0.25">
      <c r="A170">
        <v>169</v>
      </c>
      <c r="B170" s="1">
        <v>45070</v>
      </c>
      <c r="C170" s="2">
        <v>5.2245370370370373E-2</v>
      </c>
      <c r="D170">
        <f>Identyfikacja!D170</f>
        <v>169</v>
      </c>
      <c r="E170" s="5" t="s">
        <v>185</v>
      </c>
      <c r="F170">
        <v>9</v>
      </c>
      <c r="G170">
        <v>0</v>
      </c>
      <c r="I170">
        <v>5</v>
      </c>
      <c r="J170">
        <v>0</v>
      </c>
      <c r="M170" s="11"/>
      <c r="N170" s="11"/>
      <c r="O170" s="3" t="s">
        <v>234</v>
      </c>
      <c r="P170" s="3">
        <f t="shared" si="60"/>
        <v>0</v>
      </c>
      <c r="Q170" s="3">
        <f>COUNTIFS(C:C,"&gt;="&amp;M166,C:C,"&lt;"&amp;N166,F:F,"=11",G:G,"=0",D:D,"&lt;&gt;x")</f>
        <v>0</v>
      </c>
      <c r="R170" s="3">
        <f>COUNTIFS(C:C,"&gt;="&amp;M166,C:C,"&lt;"&amp;N166,F:F,"=11",G:G,"=1",D:D,"&lt;&gt;x")</f>
        <v>0</v>
      </c>
      <c r="S170" s="3">
        <f>COUNTIFS(C:C,"&gt;="&amp;M166,C:C,"&lt;"&amp;N166,F:F,"=11",G:G,"=2",D:D,"&lt;&gt;x")</f>
        <v>0</v>
      </c>
      <c r="T170" s="7" t="str">
        <f t="shared" si="61"/>
        <v>-</v>
      </c>
      <c r="V170" s="11"/>
      <c r="W170" s="11"/>
      <c r="X170" s="3" t="s">
        <v>235</v>
      </c>
      <c r="Y170" s="3">
        <f t="shared" si="62"/>
        <v>0</v>
      </c>
      <c r="Z170" s="3">
        <f>COUNTIFS(C:C,"&gt;="&amp;M166,C:C,"&lt;"&amp;N166,I:I,"=4",J:J,"=0",D:D,"&lt;&gt;x")</f>
        <v>0</v>
      </c>
      <c r="AA170" s="3">
        <f>COUNTIFS(C:C,"&gt;="&amp;M166,C:C,"&lt;"&amp;N166,I:I,"=4",J:J,"=1",D:D,"&lt;&gt;x")</f>
        <v>0</v>
      </c>
      <c r="AB170" s="3">
        <f>COUNTIFS(C:C,"&gt;="&amp;M166,C:C,"&lt;"&amp;N166,I:I,"=4",J:J,"=2",D:D,"&lt;&gt;x")</f>
        <v>1</v>
      </c>
      <c r="AC170" s="7" t="str">
        <f t="shared" si="63"/>
        <v>-</v>
      </c>
    </row>
    <row r="171" spans="1:29" x14ac:dyDescent="0.25">
      <c r="A171">
        <v>170</v>
      </c>
      <c r="B171" s="1">
        <v>45070</v>
      </c>
      <c r="C171" s="2">
        <v>5.2372685185185182E-2</v>
      </c>
      <c r="D171">
        <f>Identyfikacja!D171</f>
        <v>170</v>
      </c>
      <c r="E171" s="5" t="s">
        <v>186</v>
      </c>
      <c r="F171">
        <v>9</v>
      </c>
      <c r="G171">
        <v>0</v>
      </c>
      <c r="I171">
        <v>5</v>
      </c>
      <c r="J171">
        <v>0</v>
      </c>
      <c r="M171" s="11"/>
      <c r="N171" s="11"/>
      <c r="O171" s="3" t="s">
        <v>236</v>
      </c>
      <c r="P171" s="3">
        <f t="shared" si="60"/>
        <v>0</v>
      </c>
      <c r="Q171" s="3">
        <f>COUNTIFS(C:C,"&gt;="&amp;M166,C:C,"&lt;"&amp;N166,F:F,"=2",G:G,"=0",D:D,"&lt;&gt;x")</f>
        <v>0</v>
      </c>
      <c r="R171" s="3">
        <f>COUNTIFS(C:C,"&gt;="&amp;M166,C:C,"&lt;"&amp;N166,F:F,"=2",G:G,"=1",D:D,"&lt;&gt;x")</f>
        <v>0</v>
      </c>
      <c r="S171" s="3">
        <f>COUNTIFS(C:C,"&gt;="&amp;M166,C:C,"&lt;"&amp;N166,F:F,"=2",G:G,"=2",D:D,"&lt;&gt;x")</f>
        <v>0</v>
      </c>
      <c r="T171" s="7" t="str">
        <f t="shared" si="61"/>
        <v>-</v>
      </c>
      <c r="V171" s="11"/>
      <c r="W171" s="11"/>
      <c r="X171" s="3" t="s">
        <v>237</v>
      </c>
      <c r="Y171" s="3">
        <f t="shared" si="62"/>
        <v>6</v>
      </c>
      <c r="Z171" s="3">
        <f>COUNTIFS(C:C,"&gt;="&amp;M166,C:C,"&lt;"&amp;N166,I:I,"=5",J:J,"=0",D:D,"&lt;&gt;x")</f>
        <v>5</v>
      </c>
      <c r="AA171" s="3">
        <f>COUNTIFS(C:C,"&gt;="&amp;M166,C:C,"&lt;"&amp;N166,I:I,"=5",J:J,"=1",D:D,"&lt;&gt;x")</f>
        <v>1</v>
      </c>
      <c r="AB171" s="3">
        <f>COUNTIFS(C:C,"&gt;="&amp;M166,C:C,"&lt;"&amp;N166,I:I,"=5",J:J,"=2",D:D,"&lt;&gt;x")</f>
        <v>0</v>
      </c>
      <c r="AC171" s="7">
        <f t="shared" si="63"/>
        <v>0.83333333333333337</v>
      </c>
    </row>
    <row r="172" spans="1:29" x14ac:dyDescent="0.25">
      <c r="A172">
        <v>171</v>
      </c>
      <c r="B172" s="1">
        <v>45070</v>
      </c>
      <c r="C172" s="2">
        <v>5.3067129629629631E-2</v>
      </c>
      <c r="D172">
        <f>Identyfikacja!D172</f>
        <v>171</v>
      </c>
      <c r="E172" s="5" t="s">
        <v>187</v>
      </c>
      <c r="F172">
        <v>9</v>
      </c>
      <c r="G172">
        <v>0</v>
      </c>
      <c r="I172">
        <v>5</v>
      </c>
      <c r="J172">
        <v>0</v>
      </c>
      <c r="M172" s="11"/>
      <c r="N172" s="11"/>
      <c r="O172" s="3" t="s">
        <v>238</v>
      </c>
      <c r="P172" s="3">
        <f t="shared" si="60"/>
        <v>0</v>
      </c>
      <c r="Q172" s="3">
        <f>COUNTIFS(C:C,"&gt;="&amp;M166,C:C,"&lt;"&amp;N166,F:F,"=3",G:G,"=0",D:D,"&lt;&gt;x")</f>
        <v>0</v>
      </c>
      <c r="R172" s="3">
        <f>COUNTIFS(C:C,"&gt;="&amp;M166,C:C,"&lt;"&amp;N166,F:F,"=3",G:G,"=1",D:D,"&lt;&gt;x")</f>
        <v>0</v>
      </c>
      <c r="S172" s="3">
        <f>COUNTIFS(C:C,"&gt;="&amp;M166,C:C,"&lt;"&amp;N166,F:F,"=3",G:G,"=2",D:D,"&lt;&gt;x")</f>
        <v>0</v>
      </c>
      <c r="T172" s="7" t="str">
        <f t="shared" si="61"/>
        <v>-</v>
      </c>
      <c r="V172" s="11"/>
      <c r="W172" s="11"/>
      <c r="X172" s="3" t="s">
        <v>239</v>
      </c>
      <c r="Y172" s="3">
        <f t="shared" si="62"/>
        <v>0</v>
      </c>
      <c r="Z172" s="3">
        <f>COUNTIFS(C:C,"&gt;="&amp;M166,C:C,"&lt;"&amp;N166,I:I,"=6",J:J,"=0",D:D,"&lt;&gt;x")</f>
        <v>0</v>
      </c>
      <c r="AA172" s="3">
        <f>COUNTIFS(C:C,"&gt;="&amp;M166,C:C,"&lt;"&amp;N166,I:I,"=6",J:J,"=1",D:D,"&lt;&gt;x")</f>
        <v>0</v>
      </c>
      <c r="AB172" s="3">
        <f>COUNTIFS(C:C,"&gt;="&amp;M166,C:C,"&lt;"&amp;N166,I:I,"=6",J:J,"=2",D:D,"&lt;&gt;x")</f>
        <v>1</v>
      </c>
      <c r="AC172" s="7" t="str">
        <f t="shared" si="63"/>
        <v>-</v>
      </c>
    </row>
    <row r="173" spans="1:29" x14ac:dyDescent="0.25">
      <c r="A173">
        <v>172</v>
      </c>
      <c r="B173" s="1">
        <v>45070</v>
      </c>
      <c r="C173" s="2">
        <v>5.3090277777777778E-2</v>
      </c>
      <c r="D173">
        <f>Identyfikacja!D173</f>
        <v>172</v>
      </c>
      <c r="E173" s="5" t="s">
        <v>188</v>
      </c>
      <c r="F173">
        <v>9</v>
      </c>
      <c r="G173">
        <v>0</v>
      </c>
      <c r="I173">
        <v>5</v>
      </c>
      <c r="J173">
        <v>0</v>
      </c>
      <c r="M173" s="11"/>
      <c r="N173" s="11"/>
      <c r="O173" s="3" t="s">
        <v>239</v>
      </c>
      <c r="P173" s="3">
        <f t="shared" si="60"/>
        <v>0</v>
      </c>
      <c r="Q173" s="3">
        <f>COUNTIFS(C:C,"&gt;="&amp;M166,C:C,"&lt;"&amp;N166,F:F,"=8",G:G,"=0",D:D,"&lt;&gt;x")</f>
        <v>0</v>
      </c>
      <c r="R173" s="3">
        <f>COUNTIFS(C:C,"&gt;="&amp;M166,C:C,"&lt;"&amp;N166,F:F,"=8",G:G,"=1",D:D,"&lt;&gt;x")</f>
        <v>0</v>
      </c>
      <c r="S173" s="3">
        <f>COUNTIFS(C:C,"&gt;="&amp;M166,C:C,"&lt;"&amp;N166,F:F,"=8",G:G,"=2",D:D,"&lt;&gt;x")</f>
        <v>1</v>
      </c>
      <c r="T173" s="7" t="str">
        <f t="shared" si="61"/>
        <v>-</v>
      </c>
      <c r="V173" s="11"/>
      <c r="W173" s="11"/>
      <c r="X173" s="3" t="s">
        <v>240</v>
      </c>
      <c r="Y173" s="3">
        <f t="shared" si="62"/>
        <v>0</v>
      </c>
      <c r="Z173" s="3">
        <f>COUNTIFS(C:C,"&gt;="&amp;M166,C:C,"&lt;"&amp;N166,I:I,"=7",J:J,"=0",D:D,"&lt;&gt;x")</f>
        <v>0</v>
      </c>
      <c r="AA173" s="3">
        <f>COUNTIFS(C:C,"&gt;="&amp;M166,C:C,"&lt;"&amp;N166,I:I,"=7",J:J,"=1",D:D,"&lt;&gt;x")</f>
        <v>0</v>
      </c>
      <c r="AB173" s="3">
        <f>COUNTIFS(C:C,"&gt;="&amp;M166,C:C,"&lt;"&amp;N166,I:I,"=7",J:J,"=2",D:D,"&lt;&gt;x")</f>
        <v>0</v>
      </c>
      <c r="AC173" s="7" t="str">
        <f t="shared" si="63"/>
        <v>-</v>
      </c>
    </row>
    <row r="174" spans="1:29" x14ac:dyDescent="0.25">
      <c r="A174">
        <v>173</v>
      </c>
      <c r="B174" s="1">
        <v>45070</v>
      </c>
      <c r="C174" s="2">
        <v>5.3993055555555558E-2</v>
      </c>
      <c r="D174">
        <f>Identyfikacja!D174</f>
        <v>173</v>
      </c>
      <c r="E174" s="5" t="s">
        <v>189</v>
      </c>
      <c r="F174">
        <v>7</v>
      </c>
      <c r="G174">
        <v>0</v>
      </c>
      <c r="I174">
        <v>1</v>
      </c>
      <c r="J174">
        <v>0</v>
      </c>
      <c r="M174" s="11"/>
      <c r="N174" s="11"/>
      <c r="O174" s="3" t="s">
        <v>241</v>
      </c>
      <c r="P174" s="3">
        <f t="shared" si="60"/>
        <v>6</v>
      </c>
      <c r="Q174" s="3">
        <f>COUNTIFS(C:C,"&gt;="&amp;M166,C:C,"&lt;"&amp;N166,F:F,"=9",G:G,"=0",D:D,"&lt;&gt;x")</f>
        <v>6</v>
      </c>
      <c r="R174" s="3">
        <f>COUNTIFS(C:C,"&gt;="&amp;M166,C:C,"&lt;"&amp;N166,F:F,"=9",G:G,"=1",D:D,"&lt;&gt;x")</f>
        <v>0</v>
      </c>
      <c r="S174" s="3">
        <f>COUNTIFS(C:C,"&gt;="&amp;M166,C:C,"&lt;"&amp;N166,F:F,"=9",G:G,"=2",D:D,"&lt;&gt;x")</f>
        <v>1</v>
      </c>
      <c r="T174" s="7">
        <f t="shared" si="61"/>
        <v>1</v>
      </c>
      <c r="V174" s="11"/>
      <c r="W174" s="11"/>
      <c r="X174" s="3" t="s">
        <v>242</v>
      </c>
      <c r="Y174" s="3">
        <f t="shared" si="62"/>
        <v>0</v>
      </c>
      <c r="Z174" s="3">
        <f>COUNTIFS(C:C,"&gt;="&amp;M166,C:C,"&lt;"&amp;N166,I:I,"=8",J:J,"=0",D:D,"&lt;&gt;x")</f>
        <v>0</v>
      </c>
      <c r="AA174" s="3">
        <f>COUNTIFS(C:C,"&gt;="&amp;M166,C:C,"&lt;"&amp;N166,I:I,"=8",J:J,"=1",D:D,"&lt;&gt;x")</f>
        <v>0</v>
      </c>
      <c r="AB174" s="3">
        <f>COUNTIFS(C:C,"&gt;="&amp;M166,C:C,"&lt;"&amp;N166,I:I,"=8",J:J,"=2",D:D,"&lt;&gt;x")</f>
        <v>0</v>
      </c>
      <c r="AC174" s="7" t="str">
        <f t="shared" si="63"/>
        <v>-</v>
      </c>
    </row>
    <row r="175" spans="1:29" x14ac:dyDescent="0.25">
      <c r="A175">
        <v>174</v>
      </c>
      <c r="B175" s="1">
        <v>45070</v>
      </c>
      <c r="C175" s="2">
        <v>5.4652777777777779E-2</v>
      </c>
      <c r="D175">
        <f>Identyfikacja!D175</f>
        <v>174</v>
      </c>
      <c r="E175" s="5" t="s">
        <v>190</v>
      </c>
      <c r="F175">
        <v>9</v>
      </c>
      <c r="G175">
        <v>0</v>
      </c>
      <c r="I175">
        <v>5</v>
      </c>
      <c r="J175">
        <v>0</v>
      </c>
      <c r="M175" s="11"/>
      <c r="N175" s="11"/>
      <c r="O175" s="3" t="s">
        <v>240</v>
      </c>
      <c r="P175" s="3">
        <f t="shared" si="60"/>
        <v>0</v>
      </c>
      <c r="Q175" s="3">
        <f>COUNTIFS(C:C,"&gt;="&amp;M166,C:C,"&lt;"&amp;N166,F:F,"=5",G:G,"=0",D:D,"&lt;&gt;x")</f>
        <v>0</v>
      </c>
      <c r="R175" s="3">
        <f>COUNTIFS(C:C,"&gt;="&amp;M166,C:C,"&lt;"&amp;N166,F:F,"=5",G:G,"=1",D:D,"&lt;&gt;x")</f>
        <v>0</v>
      </c>
      <c r="S175" s="3">
        <f>COUNTIFS(C:C,"&gt;="&amp;M166,C:C,"&lt;"&amp;N166,F:F,"=5",G:G,"=2",D:D,"&lt;&gt;x")</f>
        <v>0</v>
      </c>
      <c r="T175" s="7" t="str">
        <f t="shared" si="61"/>
        <v>-</v>
      </c>
      <c r="X175" s="3"/>
      <c r="Y175" s="3"/>
      <c r="Z175" s="3"/>
      <c r="AA175" s="3"/>
      <c r="AB175" s="3"/>
      <c r="AC175" s="7"/>
    </row>
    <row r="176" spans="1:29" x14ac:dyDescent="0.25">
      <c r="A176">
        <v>175</v>
      </c>
      <c r="B176" s="1">
        <v>45070</v>
      </c>
      <c r="C176" s="2">
        <v>5.5185185185185177E-2</v>
      </c>
      <c r="D176">
        <f>Identyfikacja!D176</f>
        <v>175</v>
      </c>
      <c r="E176" s="5" t="s">
        <v>191</v>
      </c>
      <c r="F176">
        <v>7</v>
      </c>
      <c r="G176">
        <v>0</v>
      </c>
      <c r="I176">
        <v>1</v>
      </c>
      <c r="J176">
        <v>0</v>
      </c>
      <c r="O176" s="3"/>
      <c r="P176" s="3"/>
      <c r="Q176" s="3"/>
      <c r="R176" s="3"/>
      <c r="S176" s="3"/>
      <c r="T176" s="3"/>
      <c r="X176" s="3"/>
      <c r="Y176" s="3"/>
      <c r="Z176" s="3"/>
      <c r="AA176" s="3"/>
      <c r="AB176" s="3"/>
      <c r="AC176" s="3"/>
    </row>
    <row r="177" spans="1:29" x14ac:dyDescent="0.25">
      <c r="A177">
        <v>176</v>
      </c>
      <c r="B177" s="1">
        <v>45070</v>
      </c>
      <c r="C177" s="2">
        <v>5.6597222222222222E-2</v>
      </c>
      <c r="D177">
        <f>Identyfikacja!D177</f>
        <v>176</v>
      </c>
      <c r="E177" s="5" t="s">
        <v>192</v>
      </c>
      <c r="F177">
        <v>9</v>
      </c>
      <c r="G177">
        <v>0</v>
      </c>
      <c r="I177">
        <v>5</v>
      </c>
      <c r="J177">
        <v>1</v>
      </c>
      <c r="K177">
        <v>4</v>
      </c>
      <c r="M177" s="10">
        <v>4.0798611111111112E-2</v>
      </c>
      <c r="N177" s="10">
        <v>5.1215277777777783E-2</v>
      </c>
      <c r="O177" s="3" t="s">
        <v>222</v>
      </c>
      <c r="P177" s="3" t="s">
        <v>223</v>
      </c>
      <c r="Q177" s="3" t="s">
        <v>224</v>
      </c>
      <c r="R177" s="3" t="s">
        <v>225</v>
      </c>
      <c r="S177" s="3" t="s">
        <v>17</v>
      </c>
      <c r="T177" s="3" t="s">
        <v>226</v>
      </c>
      <c r="V177" s="10">
        <v>4.0798611111111112E-2</v>
      </c>
      <c r="W177" s="10">
        <v>5.1215277777777783E-2</v>
      </c>
      <c r="X177" s="3" t="s">
        <v>227</v>
      </c>
      <c r="Y177" s="3" t="s">
        <v>223</v>
      </c>
      <c r="Z177" s="3" t="s">
        <v>224</v>
      </c>
      <c r="AA177" s="3" t="s">
        <v>225</v>
      </c>
      <c r="AB177" s="3" t="s">
        <v>17</v>
      </c>
      <c r="AC177" s="3" t="s">
        <v>226</v>
      </c>
    </row>
    <row r="178" spans="1:29" x14ac:dyDescent="0.25">
      <c r="A178">
        <v>177</v>
      </c>
      <c r="B178" s="1">
        <v>45070</v>
      </c>
      <c r="C178" s="2">
        <v>5.7048611111111112E-2</v>
      </c>
      <c r="D178">
        <f>Identyfikacja!D178</f>
        <v>177</v>
      </c>
      <c r="E178" s="5" t="s">
        <v>193</v>
      </c>
      <c r="F178">
        <v>9</v>
      </c>
      <c r="G178">
        <v>0</v>
      </c>
      <c r="I178">
        <v>5</v>
      </c>
      <c r="J178">
        <v>1</v>
      </c>
      <c r="K178">
        <v>4</v>
      </c>
      <c r="M178" s="11"/>
      <c r="N178" s="11"/>
      <c r="O178" s="3" t="s">
        <v>228</v>
      </c>
      <c r="P178" s="3">
        <f t="shared" ref="P178:P186" si="64">Q178+R178</f>
        <v>0</v>
      </c>
      <c r="Q178" s="3">
        <f>COUNTIFS(C:C,"&gt;="&amp;M177,C:C,"&lt;"&amp;N177,F:F,"=6",G:G,"=0",D:D,"&lt;&gt;x")</f>
        <v>0</v>
      </c>
      <c r="R178" s="3">
        <f>COUNTIFS(C:C,"&gt;="&amp;M177,C:C,"&lt;"&amp;N177,F:F,"=6",G:G,"=1",D:D,"&lt;&gt;x")</f>
        <v>0</v>
      </c>
      <c r="S178" s="3">
        <f>COUNTIFS(C:C,"&gt;="&amp;M177,C:C,"&lt;"&amp;N177,F:F,"=6",G:G,"=2",D:D,"&lt;&gt;x")</f>
        <v>0</v>
      </c>
      <c r="T178" s="7" t="str">
        <f t="shared" ref="T178:T186" si="65">IF(P178&gt;0,Q178/P178,"-")</f>
        <v>-</v>
      </c>
      <c r="V178" s="11"/>
      <c r="W178" s="11"/>
      <c r="X178" s="3" t="s">
        <v>229</v>
      </c>
      <c r="Y178" s="3">
        <f t="shared" ref="Y178:Y185" si="66">Z178+AA178</f>
        <v>2</v>
      </c>
      <c r="Z178" s="3">
        <f>COUNTIFS(C:C,"&gt;="&amp;M177,C:C,"&lt;"&amp;N177,I:I,"=1",J:J,"=0",D:D,"&lt;&gt;x")</f>
        <v>2</v>
      </c>
      <c r="AA178" s="3">
        <f>COUNTIFS(C:C,"&gt;="&amp;M177,C:C,"&lt;"&amp;N177,I:I,"=1",J:J,"=1",D:D,"&lt;&gt;x")</f>
        <v>0</v>
      </c>
      <c r="AB178" s="3">
        <f>COUNTIFS(C:C,"&gt;="&amp;M177,C:C,"&lt;"&amp;N177,I:I,"=1",J:J,"=2",D:D,"&lt;&gt;x")</f>
        <v>0</v>
      </c>
      <c r="AC178" s="7">
        <f t="shared" ref="AC178:AC185" si="67">IF(Y178&gt;0,Z178/Y178,"-")</f>
        <v>1</v>
      </c>
    </row>
    <row r="179" spans="1:29" x14ac:dyDescent="0.25">
      <c r="A179">
        <v>178</v>
      </c>
      <c r="B179" s="1">
        <v>45070</v>
      </c>
      <c r="C179" s="2">
        <v>5.7337962962962973E-2</v>
      </c>
      <c r="D179">
        <f>Identyfikacja!D179</f>
        <v>178</v>
      </c>
      <c r="E179" s="5" t="s">
        <v>194</v>
      </c>
      <c r="F179">
        <v>7</v>
      </c>
      <c r="G179">
        <v>0</v>
      </c>
      <c r="I179">
        <v>1</v>
      </c>
      <c r="J179">
        <v>0</v>
      </c>
      <c r="M179" s="11"/>
      <c r="N179" s="11"/>
      <c r="O179" s="3" t="s">
        <v>230</v>
      </c>
      <c r="P179" s="3">
        <f t="shared" si="64"/>
        <v>0</v>
      </c>
      <c r="Q179" s="3">
        <f>COUNTIFS(C:C,"&gt;="&amp;M177,C:C,"&lt;"&amp;N177,F:F,"=10",G:G,"=0",D:D,"&lt;&gt;x")</f>
        <v>0</v>
      </c>
      <c r="R179" s="3">
        <f>COUNTIFS(C:C,"&gt;="&amp;M177,C:C,"&lt;"&amp;N177,F:F,"=10",G:G,"=1",D:D,"&lt;&gt;x")</f>
        <v>0</v>
      </c>
      <c r="S179" s="3">
        <f>COUNTIFS(C:C,"&gt;="&amp;M177,C:C,"&lt;"&amp;N177,F:F,"=10",G:G,"=2",D:D,"&lt;&gt;x")</f>
        <v>0</v>
      </c>
      <c r="T179" s="7" t="str">
        <f t="shared" si="65"/>
        <v>-</v>
      </c>
      <c r="V179" s="11"/>
      <c r="W179" s="11"/>
      <c r="X179" s="3" t="s">
        <v>231</v>
      </c>
      <c r="Y179" s="3">
        <f t="shared" si="66"/>
        <v>2</v>
      </c>
      <c r="Z179" s="3">
        <f>COUNTIFS(C:C,"&gt;="&amp;M177,C:C,"&lt;"&amp;N177,I:I,"=2",J:J,"=0",D:D,"&lt;&gt;x")</f>
        <v>2</v>
      </c>
      <c r="AA179" s="3">
        <f>COUNTIFS(C:C,"&gt;="&amp;M177,C:C,"&lt;"&amp;N177,I:I,"=2",J:J,"=1",D:D,"&lt;&gt;x")</f>
        <v>0</v>
      </c>
      <c r="AB179" s="3">
        <f>COUNTIFS(C:C,"&gt;="&amp;M177,C:C,"&lt;"&amp;N177,I:I,"=2",J:J,"=2",D:D,"&lt;&gt;x")</f>
        <v>0</v>
      </c>
      <c r="AC179" s="7">
        <f t="shared" si="67"/>
        <v>1</v>
      </c>
    </row>
    <row r="180" spans="1:29" x14ac:dyDescent="0.25">
      <c r="A180">
        <v>179</v>
      </c>
      <c r="B180" s="1">
        <v>45070</v>
      </c>
      <c r="C180" s="2">
        <v>6.0914351851851851E-2</v>
      </c>
      <c r="D180">
        <f>Identyfikacja!D180</f>
        <v>179</v>
      </c>
      <c r="E180" s="5" t="s">
        <v>195</v>
      </c>
      <c r="F180">
        <v>7</v>
      </c>
      <c r="G180">
        <v>0</v>
      </c>
      <c r="I180">
        <v>1</v>
      </c>
      <c r="J180">
        <v>0</v>
      </c>
      <c r="M180" s="11"/>
      <c r="N180" s="11"/>
      <c r="O180" s="3" t="s">
        <v>232</v>
      </c>
      <c r="P180" s="3">
        <f t="shared" si="64"/>
        <v>0</v>
      </c>
      <c r="Q180" s="3">
        <f>COUNTIFS(C:C,"&gt;="&amp;M177,C:C,"&lt;"&amp;N177,F:F,"=7",G:G,"=0",D:D,"&lt;&gt;x")</f>
        <v>0</v>
      </c>
      <c r="R180" s="3">
        <f>COUNTIFS(C:C,"&gt;="&amp;M177,C:C,"&lt;"&amp;N177,F:F,"=7",G:G,"=1",D:D,"&lt;&gt;x")</f>
        <v>0</v>
      </c>
      <c r="S180" s="3">
        <f>COUNTIFS(C:C,"&gt;="&amp;M177,C:C,"&lt;"&amp;N177,F:F,"=7",G:G,"=2",D:D,"&lt;&gt;x")</f>
        <v>0</v>
      </c>
      <c r="T180" s="7" t="str">
        <f t="shared" si="65"/>
        <v>-</v>
      </c>
      <c r="V180" s="11"/>
      <c r="W180" s="11"/>
      <c r="X180" s="3" t="s">
        <v>233</v>
      </c>
      <c r="Y180" s="3">
        <f t="shared" si="66"/>
        <v>0</v>
      </c>
      <c r="Z180" s="3">
        <f>COUNTIFS(C:C,"&gt;="&amp;M177,C:C,"&lt;"&amp;N177,I:I,"=3",J:J,"=0",D:D,"&lt;&gt;x")</f>
        <v>0</v>
      </c>
      <c r="AA180" s="3">
        <f>COUNTIFS(C:C,"&gt;="&amp;M177,C:C,"&lt;"&amp;N177,I:I,"=3",J:J,"=1",D:D,"&lt;&gt;x")</f>
        <v>0</v>
      </c>
      <c r="AB180" s="3">
        <f>COUNTIFS(C:C,"&gt;="&amp;M177,C:C,"&lt;"&amp;N177,I:I,"=3",J:J,"=2",D:D,"&lt;&gt;x")</f>
        <v>0</v>
      </c>
      <c r="AC180" s="7" t="str">
        <f t="shared" si="67"/>
        <v>-</v>
      </c>
    </row>
    <row r="181" spans="1:29" x14ac:dyDescent="0.25">
      <c r="A181">
        <v>180</v>
      </c>
      <c r="B181" s="1">
        <v>45070</v>
      </c>
      <c r="C181" s="2">
        <v>6.3032407407407412E-2</v>
      </c>
      <c r="D181">
        <f>Identyfikacja!D181</f>
        <v>180</v>
      </c>
      <c r="E181" s="5" t="s">
        <v>196</v>
      </c>
      <c r="F181">
        <v>9</v>
      </c>
      <c r="G181">
        <v>0</v>
      </c>
      <c r="I181">
        <v>5</v>
      </c>
      <c r="J181">
        <v>0</v>
      </c>
      <c r="M181" s="11"/>
      <c r="N181" s="11"/>
      <c r="O181" s="3" t="s">
        <v>234</v>
      </c>
      <c r="P181" s="3">
        <f t="shared" si="64"/>
        <v>2</v>
      </c>
      <c r="Q181" s="3">
        <f>COUNTIFS(C:C,"&gt;="&amp;M177,C:C,"&lt;"&amp;N177,F:F,"=11",G:G,"=0",D:D,"&lt;&gt;x")</f>
        <v>2</v>
      </c>
      <c r="R181" s="3">
        <f>COUNTIFS(C:C,"&gt;="&amp;M177,C:C,"&lt;"&amp;N177,F:F,"=11",G:G,"=1",D:D,"&lt;&gt;x")</f>
        <v>0</v>
      </c>
      <c r="S181" s="3">
        <f>COUNTIFS(C:C,"&gt;="&amp;M177,C:C,"&lt;"&amp;N177,F:F,"=11",G:G,"=2",D:D,"&lt;&gt;x")</f>
        <v>0</v>
      </c>
      <c r="T181" s="7">
        <f t="shared" si="65"/>
        <v>1</v>
      </c>
      <c r="V181" s="11"/>
      <c r="W181" s="11"/>
      <c r="X181" s="3" t="s">
        <v>235</v>
      </c>
      <c r="Y181" s="3">
        <f t="shared" si="66"/>
        <v>0</v>
      </c>
      <c r="Z181" s="3">
        <f>COUNTIFS(C:C,"&gt;="&amp;M177,C:C,"&lt;"&amp;N177,I:I,"=4",J:J,"=0",D:D,"&lt;&gt;x")</f>
        <v>0</v>
      </c>
      <c r="AA181" s="3">
        <f>COUNTIFS(C:C,"&gt;="&amp;M177,C:C,"&lt;"&amp;N177,I:I,"=4",J:J,"=1",D:D,"&lt;&gt;x")</f>
        <v>0</v>
      </c>
      <c r="AB181" s="3">
        <f>COUNTIFS(C:C,"&gt;="&amp;M177,C:C,"&lt;"&amp;N177,I:I,"=4",J:J,"=2",D:D,"&lt;&gt;x")</f>
        <v>1</v>
      </c>
      <c r="AC181" s="7" t="str">
        <f t="shared" si="67"/>
        <v>-</v>
      </c>
    </row>
    <row r="182" spans="1:29" x14ac:dyDescent="0.25">
      <c r="A182">
        <v>181</v>
      </c>
      <c r="B182" s="1">
        <v>45070</v>
      </c>
      <c r="C182" s="2">
        <v>6.3125000000000001E-2</v>
      </c>
      <c r="D182">
        <f>Identyfikacja!D182</f>
        <v>181</v>
      </c>
      <c r="E182" s="5" t="s">
        <v>197</v>
      </c>
      <c r="F182">
        <v>9</v>
      </c>
      <c r="G182">
        <v>0</v>
      </c>
      <c r="I182">
        <v>5</v>
      </c>
      <c r="J182">
        <v>0</v>
      </c>
      <c r="M182" s="11"/>
      <c r="N182" s="11"/>
      <c r="O182" s="3" t="s">
        <v>236</v>
      </c>
      <c r="P182" s="3">
        <f t="shared" si="64"/>
        <v>0</v>
      </c>
      <c r="Q182" s="3">
        <f>COUNTIFS(C:C,"&gt;="&amp;M177,C:C,"&lt;"&amp;N177,F:F,"=2",G:G,"=0",D:D,"&lt;&gt;x")</f>
        <v>0</v>
      </c>
      <c r="R182" s="3">
        <f>COUNTIFS(C:C,"&gt;="&amp;M177,C:C,"&lt;"&amp;N177,F:F,"=2",G:G,"=1",D:D,"&lt;&gt;x")</f>
        <v>0</v>
      </c>
      <c r="S182" s="3">
        <f>COUNTIFS(C:C,"&gt;="&amp;M177,C:C,"&lt;"&amp;N177,F:F,"=2",G:G,"=2",D:D,"&lt;&gt;x")</f>
        <v>0</v>
      </c>
      <c r="T182" s="7" t="str">
        <f t="shared" si="65"/>
        <v>-</v>
      </c>
      <c r="V182" s="11"/>
      <c r="W182" s="11"/>
      <c r="X182" s="3" t="s">
        <v>237</v>
      </c>
      <c r="Y182" s="3">
        <f t="shared" si="66"/>
        <v>4</v>
      </c>
      <c r="Z182" s="3">
        <f>COUNTIFS(C:C,"&gt;="&amp;M177,C:C,"&lt;"&amp;N177,I:I,"=5",J:J,"=0",D:D,"&lt;&gt;x")</f>
        <v>4</v>
      </c>
      <c r="AA182" s="3">
        <f>COUNTIFS(C:C,"&gt;="&amp;M177,C:C,"&lt;"&amp;N177,I:I,"=5",J:J,"=1",D:D,"&lt;&gt;x")</f>
        <v>0</v>
      </c>
      <c r="AB182" s="3">
        <f>COUNTIFS(C:C,"&gt;="&amp;M177,C:C,"&lt;"&amp;N177,I:I,"=5",J:J,"=2",D:D,"&lt;&gt;x")</f>
        <v>0</v>
      </c>
      <c r="AC182" s="7">
        <f t="shared" si="67"/>
        <v>1</v>
      </c>
    </row>
    <row r="183" spans="1:29" x14ac:dyDescent="0.25">
      <c r="A183">
        <v>182</v>
      </c>
      <c r="B183" s="1">
        <v>45070</v>
      </c>
      <c r="C183" s="2">
        <v>6.3159722222222228E-2</v>
      </c>
      <c r="D183">
        <f>Identyfikacja!D183</f>
        <v>182</v>
      </c>
      <c r="E183" s="5" t="s">
        <v>198</v>
      </c>
      <c r="F183">
        <v>3</v>
      </c>
      <c r="G183">
        <v>0</v>
      </c>
      <c r="I183">
        <v>2</v>
      </c>
      <c r="J183">
        <v>0</v>
      </c>
      <c r="M183" s="11"/>
      <c r="N183" s="11"/>
      <c r="O183" s="3" t="s">
        <v>238</v>
      </c>
      <c r="P183" s="3">
        <f t="shared" si="64"/>
        <v>2</v>
      </c>
      <c r="Q183" s="3">
        <f>COUNTIFS(C:C,"&gt;="&amp;M177,C:C,"&lt;"&amp;N177,F:F,"=3",G:G,"=0",D:D,"&lt;&gt;x")</f>
        <v>2</v>
      </c>
      <c r="R183" s="3">
        <f>COUNTIFS(C:C,"&gt;="&amp;M177,C:C,"&lt;"&amp;N177,F:F,"=3",G:G,"=1",D:D,"&lt;&gt;x")</f>
        <v>0</v>
      </c>
      <c r="S183" s="3">
        <f>COUNTIFS(C:C,"&gt;="&amp;M177,C:C,"&lt;"&amp;N177,F:F,"=3",G:G,"=2",D:D,"&lt;&gt;x")</f>
        <v>0</v>
      </c>
      <c r="T183" s="7">
        <f t="shared" si="65"/>
        <v>1</v>
      </c>
      <c r="V183" s="11"/>
      <c r="W183" s="11"/>
      <c r="X183" s="3" t="s">
        <v>239</v>
      </c>
      <c r="Y183" s="3">
        <f t="shared" si="66"/>
        <v>2</v>
      </c>
      <c r="Z183" s="3">
        <f>COUNTIFS(C:C,"&gt;="&amp;M177,C:C,"&lt;"&amp;N177,I:I,"=6",J:J,"=0",D:D,"&lt;&gt;x")</f>
        <v>2</v>
      </c>
      <c r="AA183" s="3">
        <f>COUNTIFS(C:C,"&gt;="&amp;M177,C:C,"&lt;"&amp;N177,I:I,"=6",J:J,"=1",D:D,"&lt;&gt;x")</f>
        <v>0</v>
      </c>
      <c r="AB183" s="3">
        <f>COUNTIFS(C:C,"&gt;="&amp;M177,C:C,"&lt;"&amp;N177,I:I,"=6",J:J,"=2",D:D,"&lt;&gt;x")</f>
        <v>0</v>
      </c>
      <c r="AC183" s="7">
        <f t="shared" si="67"/>
        <v>1</v>
      </c>
    </row>
    <row r="184" spans="1:29" x14ac:dyDescent="0.25">
      <c r="A184">
        <v>183</v>
      </c>
      <c r="B184" s="1">
        <v>45070</v>
      </c>
      <c r="C184" s="2">
        <v>6.3240740740740736E-2</v>
      </c>
      <c r="D184">
        <f>Identyfikacja!D184</f>
        <v>183</v>
      </c>
      <c r="E184" s="5" t="s">
        <v>199</v>
      </c>
      <c r="F184">
        <v>7</v>
      </c>
      <c r="G184">
        <v>0</v>
      </c>
      <c r="I184">
        <v>1</v>
      </c>
      <c r="J184">
        <v>0</v>
      </c>
      <c r="M184" s="11"/>
      <c r="N184" s="11"/>
      <c r="O184" s="3" t="s">
        <v>239</v>
      </c>
      <c r="P184" s="3">
        <f t="shared" si="64"/>
        <v>2</v>
      </c>
      <c r="Q184" s="3">
        <f>COUNTIFS(C:C,"&gt;="&amp;M177,C:C,"&lt;"&amp;N177,F:F,"=8",G:G,"=0",D:D,"&lt;&gt;x")</f>
        <v>2</v>
      </c>
      <c r="R184" s="3">
        <f>COUNTIFS(C:C,"&gt;="&amp;M177,C:C,"&lt;"&amp;N177,F:F,"=8",G:G,"=1",D:D,"&lt;&gt;x")</f>
        <v>0</v>
      </c>
      <c r="S184" s="3">
        <f>COUNTIFS(C:C,"&gt;="&amp;M177,C:C,"&lt;"&amp;N177,F:F,"=8",G:G,"=2",D:D,"&lt;&gt;x")</f>
        <v>0</v>
      </c>
      <c r="T184" s="7">
        <f t="shared" si="65"/>
        <v>1</v>
      </c>
      <c r="V184" s="11"/>
      <c r="W184" s="11"/>
      <c r="X184" s="3" t="s">
        <v>240</v>
      </c>
      <c r="Y184" s="3">
        <f t="shared" si="66"/>
        <v>0</v>
      </c>
      <c r="Z184" s="3">
        <f>COUNTIFS(C:C,"&gt;="&amp;M177,C:C,"&lt;"&amp;N177,I:I,"=7",J:J,"=0",D:D,"&lt;&gt;x")</f>
        <v>0</v>
      </c>
      <c r="AA184" s="3">
        <f>COUNTIFS(C:C,"&gt;="&amp;M177,C:C,"&lt;"&amp;N177,I:I,"=7",J:J,"=1",D:D,"&lt;&gt;x")</f>
        <v>0</v>
      </c>
      <c r="AB184" s="3">
        <f>COUNTIFS(C:C,"&gt;="&amp;M177,C:C,"&lt;"&amp;N177,I:I,"=7",J:J,"=2",D:D,"&lt;&gt;x")</f>
        <v>0</v>
      </c>
      <c r="AC184" s="7" t="str">
        <f t="shared" si="67"/>
        <v>-</v>
      </c>
    </row>
    <row r="185" spans="1:29" x14ac:dyDescent="0.25">
      <c r="A185">
        <v>184</v>
      </c>
      <c r="B185" s="1">
        <v>45070</v>
      </c>
      <c r="C185" s="2">
        <v>6.3935185185185192E-2</v>
      </c>
      <c r="D185">
        <f>Identyfikacja!D185</f>
        <v>184</v>
      </c>
      <c r="E185" s="5" t="s">
        <v>200</v>
      </c>
      <c r="F185">
        <v>9</v>
      </c>
      <c r="G185">
        <v>0</v>
      </c>
      <c r="I185">
        <v>5</v>
      </c>
      <c r="J185">
        <v>0</v>
      </c>
      <c r="M185" s="11"/>
      <c r="N185" s="11"/>
      <c r="O185" s="3" t="s">
        <v>241</v>
      </c>
      <c r="P185" s="3">
        <f t="shared" si="64"/>
        <v>4</v>
      </c>
      <c r="Q185" s="3">
        <f>COUNTIFS(C:C,"&gt;="&amp;M177,C:C,"&lt;"&amp;N177,F:F,"=9",G:G,"=0",D:D,"&lt;&gt;x")</f>
        <v>4</v>
      </c>
      <c r="R185" s="3">
        <f>COUNTIFS(C:C,"&gt;="&amp;M177,C:C,"&lt;"&amp;N177,F:F,"=9",G:G,"=1",D:D,"&lt;&gt;x")</f>
        <v>0</v>
      </c>
      <c r="S185" s="3">
        <f>COUNTIFS(C:C,"&gt;="&amp;M177,C:C,"&lt;"&amp;N177,F:F,"=9",G:G,"=2",D:D,"&lt;&gt;x")</f>
        <v>1</v>
      </c>
      <c r="T185" s="7">
        <f t="shared" si="65"/>
        <v>1</v>
      </c>
      <c r="V185" s="11"/>
      <c r="W185" s="11"/>
      <c r="X185" s="3" t="s">
        <v>242</v>
      </c>
      <c r="Y185" s="3">
        <f t="shared" si="66"/>
        <v>0</v>
      </c>
      <c r="Z185" s="3">
        <f>COUNTIFS(C:C,"&gt;="&amp;M177,C:C,"&lt;"&amp;N177,I:I,"=8",J:J,"=0",D:D,"&lt;&gt;x")</f>
        <v>0</v>
      </c>
      <c r="AA185" s="3">
        <f>COUNTIFS(C:C,"&gt;="&amp;M177,C:C,"&lt;"&amp;N177,I:I,"=8",J:J,"=1",D:D,"&lt;&gt;x")</f>
        <v>0</v>
      </c>
      <c r="AB185" s="3">
        <f>COUNTIFS(C:C,"&gt;="&amp;M177,C:C,"&lt;"&amp;N177,I:I,"=8",J:J,"=2",D:D,"&lt;&gt;x")</f>
        <v>0</v>
      </c>
      <c r="AC185" s="7" t="str">
        <f t="shared" si="67"/>
        <v>-</v>
      </c>
    </row>
    <row r="186" spans="1:29" x14ac:dyDescent="0.25">
      <c r="A186">
        <v>185</v>
      </c>
      <c r="B186" s="1">
        <v>45070</v>
      </c>
      <c r="C186" s="2">
        <v>6.4398148148148149E-2</v>
      </c>
      <c r="D186">
        <f>Identyfikacja!D186</f>
        <v>185</v>
      </c>
      <c r="E186" s="5" t="s">
        <v>201</v>
      </c>
      <c r="F186">
        <v>3</v>
      </c>
      <c r="G186">
        <v>1</v>
      </c>
      <c r="H186">
        <v>6</v>
      </c>
      <c r="I186">
        <v>2</v>
      </c>
      <c r="J186">
        <v>1</v>
      </c>
      <c r="K186">
        <v>8</v>
      </c>
      <c r="M186" s="11"/>
      <c r="N186" s="11"/>
      <c r="O186" s="3" t="s">
        <v>240</v>
      </c>
      <c r="P186" s="3">
        <f t="shared" si="64"/>
        <v>0</v>
      </c>
      <c r="Q186" s="3">
        <f>COUNTIFS(C:C,"&gt;="&amp;M177,C:C,"&lt;"&amp;N177,F:F,"=5",G:G,"=0",D:D,"&lt;&gt;x")</f>
        <v>0</v>
      </c>
      <c r="R186" s="3">
        <f>COUNTIFS(C:C,"&gt;="&amp;M177,C:C,"&lt;"&amp;N177,F:F,"=5",G:G,"=1",D:D,"&lt;&gt;x")</f>
        <v>0</v>
      </c>
      <c r="S186" s="3">
        <f>COUNTIFS(C:C,"&gt;="&amp;M177,C:C,"&lt;"&amp;N177,F:F,"=5",G:G,"=2",D:D,"&lt;&gt;x")</f>
        <v>0</v>
      </c>
      <c r="T186" s="7" t="str">
        <f t="shared" si="65"/>
        <v>-</v>
      </c>
      <c r="X186" s="3"/>
      <c r="Y186" s="3"/>
      <c r="Z186" s="3"/>
      <c r="AA186" s="3"/>
      <c r="AB186" s="3"/>
      <c r="AC186" s="7"/>
    </row>
    <row r="187" spans="1:29" x14ac:dyDescent="0.25">
      <c r="A187">
        <v>186</v>
      </c>
      <c r="B187" s="1">
        <v>45070</v>
      </c>
      <c r="C187" s="2">
        <v>6.5578703703703708E-2</v>
      </c>
      <c r="D187">
        <f>Identyfikacja!D187</f>
        <v>186</v>
      </c>
      <c r="E187" s="5" t="s">
        <v>202</v>
      </c>
      <c r="F187">
        <v>9</v>
      </c>
      <c r="G187">
        <v>0</v>
      </c>
      <c r="I187">
        <v>5</v>
      </c>
      <c r="J187">
        <v>0</v>
      </c>
      <c r="O187" s="3"/>
      <c r="P187" s="3"/>
      <c r="Q187" s="3"/>
      <c r="R187" s="3"/>
      <c r="S187" s="3"/>
      <c r="T187" s="3"/>
      <c r="X187" s="3"/>
      <c r="Y187" s="3"/>
      <c r="Z187" s="3"/>
      <c r="AA187" s="3"/>
      <c r="AB187" s="3"/>
      <c r="AC187" s="3"/>
    </row>
    <row r="188" spans="1:29" x14ac:dyDescent="0.25">
      <c r="A188">
        <v>187</v>
      </c>
      <c r="B188" s="1">
        <v>45070</v>
      </c>
      <c r="C188" s="2">
        <v>6.5914351851851849E-2</v>
      </c>
      <c r="D188">
        <f>Identyfikacja!D188</f>
        <v>187</v>
      </c>
      <c r="E188" s="5" t="s">
        <v>203</v>
      </c>
      <c r="F188">
        <v>9</v>
      </c>
      <c r="G188">
        <v>0</v>
      </c>
      <c r="I188">
        <v>5</v>
      </c>
      <c r="J188">
        <v>0</v>
      </c>
      <c r="M188" s="10">
        <v>5.1215277777777783E-2</v>
      </c>
      <c r="N188" s="10">
        <v>6.1631944444444448E-2</v>
      </c>
      <c r="O188" s="3" t="s">
        <v>222</v>
      </c>
      <c r="P188" s="3" t="s">
        <v>223</v>
      </c>
      <c r="Q188" s="3" t="s">
        <v>224</v>
      </c>
      <c r="R188" s="3" t="s">
        <v>225</v>
      </c>
      <c r="S188" s="3" t="s">
        <v>17</v>
      </c>
      <c r="T188" s="3" t="s">
        <v>226</v>
      </c>
      <c r="V188" s="10">
        <v>5.1215277777777783E-2</v>
      </c>
      <c r="W188" s="10">
        <v>6.1631944444444448E-2</v>
      </c>
      <c r="X188" s="3" t="s">
        <v>227</v>
      </c>
      <c r="Y188" s="3" t="s">
        <v>223</v>
      </c>
      <c r="Z188" s="3" t="s">
        <v>224</v>
      </c>
      <c r="AA188" s="3" t="s">
        <v>225</v>
      </c>
      <c r="AB188" s="3" t="s">
        <v>17</v>
      </c>
      <c r="AC188" s="3" t="s">
        <v>226</v>
      </c>
    </row>
    <row r="189" spans="1:29" x14ac:dyDescent="0.25">
      <c r="A189">
        <v>188</v>
      </c>
      <c r="B189" s="1">
        <v>45070</v>
      </c>
      <c r="C189" s="2">
        <v>6.6805555555555562E-2</v>
      </c>
      <c r="D189">
        <f>Identyfikacja!D189</f>
        <v>188</v>
      </c>
      <c r="E189" s="5" t="s">
        <v>204</v>
      </c>
      <c r="F189">
        <v>3</v>
      </c>
      <c r="G189">
        <v>0</v>
      </c>
      <c r="I189">
        <v>2</v>
      </c>
      <c r="J189">
        <v>0</v>
      </c>
      <c r="M189" s="11"/>
      <c r="N189" s="11"/>
      <c r="O189" s="3" t="s">
        <v>228</v>
      </c>
      <c r="P189" s="3">
        <f t="shared" ref="P189:P197" si="68">Q189+R189</f>
        <v>0</v>
      </c>
      <c r="Q189" s="3">
        <f>COUNTIFS(C:C,"&gt;="&amp;M188,C:C,"&lt;"&amp;N188,F:F,"=6",G:G,"=0",D:D,"&lt;&gt;x")</f>
        <v>0</v>
      </c>
      <c r="R189" s="3">
        <f>COUNTIFS(C:C,"&gt;="&amp;M188,C:C,"&lt;"&amp;N188,F:F,"=6",G:G,"=1",D:D,"&lt;&gt;x")</f>
        <v>0</v>
      </c>
      <c r="S189" s="3">
        <f>COUNTIFS(C:C,"&gt;="&amp;M188,C:C,"&lt;"&amp;N188,F:F,"=6",G:G,"=2",D:D,"&lt;&gt;x")</f>
        <v>0</v>
      </c>
      <c r="T189" s="7" t="str">
        <f t="shared" ref="T189:T197" si="69">IF(P189&gt;0,Q189/P189,"-")</f>
        <v>-</v>
      </c>
      <c r="V189" s="11"/>
      <c r="W189" s="11"/>
      <c r="X189" s="3" t="s">
        <v>229</v>
      </c>
      <c r="Y189" s="3">
        <f t="shared" ref="Y189:Y196" si="70">Z189+AA189</f>
        <v>4</v>
      </c>
      <c r="Z189" s="3">
        <f>COUNTIFS(C:C,"&gt;="&amp;M188,C:C,"&lt;"&amp;N188,I:I,"=1",J:J,"=0",D:D,"&lt;&gt;x")</f>
        <v>4</v>
      </c>
      <c r="AA189" s="3">
        <f>COUNTIFS(C:C,"&gt;="&amp;M188,C:C,"&lt;"&amp;N188,I:I,"=1",J:J,"=1",D:D,"&lt;&gt;x")</f>
        <v>0</v>
      </c>
      <c r="AB189" s="3">
        <f>COUNTIFS(C:C,"&gt;="&amp;M188,C:C,"&lt;"&amp;N188,I:I,"=1",J:J,"=2",D:D,"&lt;&gt;x")</f>
        <v>0</v>
      </c>
      <c r="AC189" s="7">
        <f t="shared" ref="AC189:AC196" si="71">IF(Y189&gt;0,Z189/Y189,"-")</f>
        <v>1</v>
      </c>
    </row>
    <row r="190" spans="1:29" x14ac:dyDescent="0.25">
      <c r="A190">
        <v>189</v>
      </c>
      <c r="B190" s="1">
        <v>45070</v>
      </c>
      <c r="C190" s="2">
        <v>6.7465277777777777E-2</v>
      </c>
      <c r="D190">
        <f>Identyfikacja!D190</f>
        <v>189</v>
      </c>
      <c r="E190" s="5" t="s">
        <v>205</v>
      </c>
      <c r="F190">
        <v>7</v>
      </c>
      <c r="G190">
        <v>0</v>
      </c>
      <c r="I190">
        <v>1</v>
      </c>
      <c r="J190">
        <v>0</v>
      </c>
      <c r="M190" s="11"/>
      <c r="N190" s="11"/>
      <c r="O190" s="3" t="s">
        <v>230</v>
      </c>
      <c r="P190" s="3">
        <f t="shared" si="68"/>
        <v>0</v>
      </c>
      <c r="Q190" s="3">
        <f>COUNTIFS(C:C,"&gt;="&amp;M188,C:C,"&lt;"&amp;N188,F:F,"=10",G:G,"=0",D:D,"&lt;&gt;x")</f>
        <v>0</v>
      </c>
      <c r="R190" s="3">
        <f>COUNTIFS(C:C,"&gt;="&amp;M188,C:C,"&lt;"&amp;N188,F:F,"=10",G:G,"=1",D:D,"&lt;&gt;x")</f>
        <v>0</v>
      </c>
      <c r="S190" s="3">
        <f>COUNTIFS(C:C,"&gt;="&amp;M188,C:C,"&lt;"&amp;N188,F:F,"=10",G:G,"=2",D:D,"&lt;&gt;x")</f>
        <v>0</v>
      </c>
      <c r="T190" s="7" t="str">
        <f t="shared" si="69"/>
        <v>-</v>
      </c>
      <c r="V190" s="11"/>
      <c r="W190" s="11"/>
      <c r="X190" s="3" t="s">
        <v>231</v>
      </c>
      <c r="Y190" s="3">
        <f t="shared" si="70"/>
        <v>0</v>
      </c>
      <c r="Z190" s="3">
        <f>COUNTIFS(C:C,"&gt;="&amp;M188,C:C,"&lt;"&amp;N188,I:I,"=2",J:J,"=0",D:D,"&lt;&gt;x")</f>
        <v>0</v>
      </c>
      <c r="AA190" s="3">
        <f>COUNTIFS(C:C,"&gt;="&amp;M188,C:C,"&lt;"&amp;N188,I:I,"=2",J:J,"=1",D:D,"&lt;&gt;x")</f>
        <v>0</v>
      </c>
      <c r="AB190" s="3">
        <f>COUNTIFS(C:C,"&gt;="&amp;M188,C:C,"&lt;"&amp;N188,I:I,"=2",J:J,"=2",D:D,"&lt;&gt;x")</f>
        <v>0</v>
      </c>
      <c r="AC190" s="7" t="str">
        <f t="shared" si="71"/>
        <v>-</v>
      </c>
    </row>
    <row r="191" spans="1:29" x14ac:dyDescent="0.25">
      <c r="A191">
        <v>190</v>
      </c>
      <c r="B191" s="1">
        <v>45070</v>
      </c>
      <c r="C191" s="2">
        <v>6.8206018518518513E-2</v>
      </c>
      <c r="D191">
        <f>Identyfikacja!D191</f>
        <v>190</v>
      </c>
      <c r="E191" s="5" t="s">
        <v>206</v>
      </c>
      <c r="F191">
        <v>9</v>
      </c>
      <c r="G191">
        <v>0</v>
      </c>
      <c r="I191">
        <v>5</v>
      </c>
      <c r="J191">
        <v>0</v>
      </c>
      <c r="M191" s="11"/>
      <c r="N191" s="11"/>
      <c r="O191" s="3" t="s">
        <v>232</v>
      </c>
      <c r="P191" s="3">
        <f t="shared" si="68"/>
        <v>4</v>
      </c>
      <c r="Q191" s="3">
        <f>COUNTIFS(C:C,"&gt;="&amp;M188,C:C,"&lt;"&amp;N188,F:F,"=7",G:G,"=0",D:D,"&lt;&gt;x")</f>
        <v>4</v>
      </c>
      <c r="R191" s="3">
        <f>COUNTIFS(C:C,"&gt;="&amp;M188,C:C,"&lt;"&amp;N188,F:F,"=7",G:G,"=1",D:D,"&lt;&gt;x")</f>
        <v>0</v>
      </c>
      <c r="S191" s="3">
        <f>COUNTIFS(C:C,"&gt;="&amp;M188,C:C,"&lt;"&amp;N188,F:F,"=7",G:G,"=2",D:D,"&lt;&gt;x")</f>
        <v>0</v>
      </c>
      <c r="T191" s="7">
        <f t="shared" si="69"/>
        <v>1</v>
      </c>
      <c r="V191" s="11"/>
      <c r="W191" s="11"/>
      <c r="X191" s="3" t="s">
        <v>233</v>
      </c>
      <c r="Y191" s="3">
        <f t="shared" si="70"/>
        <v>0</v>
      </c>
      <c r="Z191" s="3">
        <f>COUNTIFS(C:C,"&gt;="&amp;M188,C:C,"&lt;"&amp;N188,I:I,"=3",J:J,"=0",D:D,"&lt;&gt;x")</f>
        <v>0</v>
      </c>
      <c r="AA191" s="3">
        <f>COUNTIFS(C:C,"&gt;="&amp;M188,C:C,"&lt;"&amp;N188,I:I,"=3",J:J,"=1",D:D,"&lt;&gt;x")</f>
        <v>0</v>
      </c>
      <c r="AB191" s="3">
        <f>COUNTIFS(C:C,"&gt;="&amp;M188,C:C,"&lt;"&amp;N188,I:I,"=3",J:J,"=2",D:D,"&lt;&gt;x")</f>
        <v>0</v>
      </c>
      <c r="AC191" s="7" t="str">
        <f t="shared" si="71"/>
        <v>-</v>
      </c>
    </row>
    <row r="192" spans="1:29" x14ac:dyDescent="0.25">
      <c r="A192">
        <v>191</v>
      </c>
      <c r="B192" s="1">
        <v>45070</v>
      </c>
      <c r="C192" s="2">
        <v>6.8425925925925932E-2</v>
      </c>
      <c r="D192">
        <f>Identyfikacja!D192</f>
        <v>191</v>
      </c>
      <c r="E192" s="5" t="s">
        <v>207</v>
      </c>
      <c r="F192">
        <v>7</v>
      </c>
      <c r="G192">
        <v>0</v>
      </c>
      <c r="I192">
        <v>1</v>
      </c>
      <c r="J192">
        <v>0</v>
      </c>
      <c r="M192" s="11"/>
      <c r="N192" s="11"/>
      <c r="O192" s="3" t="s">
        <v>234</v>
      </c>
      <c r="P192" s="3">
        <f t="shared" si="68"/>
        <v>0</v>
      </c>
      <c r="Q192" s="3">
        <f>COUNTIFS(C:C,"&gt;="&amp;M188,C:C,"&lt;"&amp;N188,F:F,"=11",G:G,"=0",D:D,"&lt;&gt;x")</f>
        <v>0</v>
      </c>
      <c r="R192" s="3">
        <f>COUNTIFS(C:C,"&gt;="&amp;M188,C:C,"&lt;"&amp;N188,F:F,"=11",G:G,"=1",D:D,"&lt;&gt;x")</f>
        <v>0</v>
      </c>
      <c r="S192" s="3">
        <f>COUNTIFS(C:C,"&gt;="&amp;M188,C:C,"&lt;"&amp;N188,F:F,"=11",G:G,"=2",D:D,"&lt;&gt;x")</f>
        <v>0</v>
      </c>
      <c r="T192" s="7" t="str">
        <f t="shared" si="69"/>
        <v>-</v>
      </c>
      <c r="V192" s="11"/>
      <c r="W192" s="11"/>
      <c r="X192" s="3" t="s">
        <v>235</v>
      </c>
      <c r="Y192" s="3">
        <f t="shared" si="70"/>
        <v>0</v>
      </c>
      <c r="Z192" s="3">
        <f>COUNTIFS(C:C,"&gt;="&amp;M188,C:C,"&lt;"&amp;N188,I:I,"=4",J:J,"=0",D:D,"&lt;&gt;x")</f>
        <v>0</v>
      </c>
      <c r="AA192" s="3">
        <f>COUNTIFS(C:C,"&gt;="&amp;M188,C:C,"&lt;"&amp;N188,I:I,"=4",J:J,"=1",D:D,"&lt;&gt;x")</f>
        <v>0</v>
      </c>
      <c r="AB192" s="3">
        <f>COUNTIFS(C:C,"&gt;="&amp;M188,C:C,"&lt;"&amp;N188,I:I,"=4",J:J,"=2",D:D,"&lt;&gt;x")</f>
        <v>0</v>
      </c>
      <c r="AC192" s="7" t="str">
        <f t="shared" si="71"/>
        <v>-</v>
      </c>
    </row>
    <row r="193" spans="1:29" x14ac:dyDescent="0.25">
      <c r="A193">
        <v>192</v>
      </c>
      <c r="B193" s="1">
        <v>45070</v>
      </c>
      <c r="C193" s="2">
        <v>6.8460648148148145E-2</v>
      </c>
      <c r="D193">
        <f>Identyfikacja!D193</f>
        <v>192</v>
      </c>
      <c r="E193" s="5" t="s">
        <v>208</v>
      </c>
      <c r="F193">
        <v>9</v>
      </c>
      <c r="G193">
        <v>2</v>
      </c>
      <c r="H193">
        <v>9</v>
      </c>
      <c r="I193">
        <v>4</v>
      </c>
      <c r="J193">
        <v>2</v>
      </c>
      <c r="K193">
        <v>4</v>
      </c>
      <c r="M193" s="11"/>
      <c r="N193" s="11"/>
      <c r="O193" s="3" t="s">
        <v>236</v>
      </c>
      <c r="P193" s="3">
        <f t="shared" si="68"/>
        <v>0</v>
      </c>
      <c r="Q193" s="3">
        <f>COUNTIFS(C:C,"&gt;="&amp;M188,C:C,"&lt;"&amp;N188,F:F,"=2",G:G,"=0",D:D,"&lt;&gt;x")</f>
        <v>0</v>
      </c>
      <c r="R193" s="3">
        <f>COUNTIFS(C:C,"&gt;="&amp;M188,C:C,"&lt;"&amp;N188,F:F,"=2",G:G,"=1",D:D,"&lt;&gt;x")</f>
        <v>0</v>
      </c>
      <c r="S193" s="3">
        <f>COUNTIFS(C:C,"&gt;="&amp;M188,C:C,"&lt;"&amp;N188,F:F,"=2",G:G,"=2",D:D,"&lt;&gt;x")</f>
        <v>0</v>
      </c>
      <c r="T193" s="7" t="str">
        <f t="shared" si="69"/>
        <v>-</v>
      </c>
      <c r="V193" s="11"/>
      <c r="W193" s="11"/>
      <c r="X193" s="3" t="s">
        <v>237</v>
      </c>
      <c r="Y193" s="3">
        <f t="shared" si="70"/>
        <v>11</v>
      </c>
      <c r="Z193" s="3">
        <f>COUNTIFS(C:C,"&gt;="&amp;M188,C:C,"&lt;"&amp;N188,I:I,"=5",J:J,"=0",D:D,"&lt;&gt;x")</f>
        <v>9</v>
      </c>
      <c r="AA193" s="3">
        <f>COUNTIFS(C:C,"&gt;="&amp;M188,C:C,"&lt;"&amp;N188,I:I,"=5",J:J,"=1",D:D,"&lt;&gt;x")</f>
        <v>2</v>
      </c>
      <c r="AB193" s="3">
        <f>COUNTIFS(C:C,"&gt;="&amp;M188,C:C,"&lt;"&amp;N188,I:I,"=5",J:J,"=2",D:D,"&lt;&gt;x")</f>
        <v>0</v>
      </c>
      <c r="AC193" s="7">
        <f t="shared" si="71"/>
        <v>0.81818181818181823</v>
      </c>
    </row>
    <row r="194" spans="1:29" x14ac:dyDescent="0.25">
      <c r="A194">
        <v>193</v>
      </c>
      <c r="B194" s="1">
        <v>45070</v>
      </c>
      <c r="C194" s="2">
        <v>6.9537037037037036E-2</v>
      </c>
      <c r="D194">
        <f>Identyfikacja!D194</f>
        <v>193</v>
      </c>
      <c r="E194" s="5" t="s">
        <v>209</v>
      </c>
      <c r="F194">
        <v>11</v>
      </c>
      <c r="G194">
        <v>0</v>
      </c>
      <c r="I194">
        <v>1</v>
      </c>
      <c r="J194">
        <v>0</v>
      </c>
      <c r="M194" s="11"/>
      <c r="N194" s="11"/>
      <c r="O194" s="3" t="s">
        <v>238</v>
      </c>
      <c r="P194" s="3">
        <f t="shared" si="68"/>
        <v>0</v>
      </c>
      <c r="Q194" s="3">
        <f>COUNTIFS(C:C,"&gt;="&amp;M188,C:C,"&lt;"&amp;N188,F:F,"=3",G:G,"=0",D:D,"&lt;&gt;x")</f>
        <v>0</v>
      </c>
      <c r="R194" s="3">
        <f>COUNTIFS(C:C,"&gt;="&amp;M188,C:C,"&lt;"&amp;N188,F:F,"=3",G:G,"=1",D:D,"&lt;&gt;x")</f>
        <v>0</v>
      </c>
      <c r="S194" s="3">
        <f>COUNTIFS(C:C,"&gt;="&amp;M188,C:C,"&lt;"&amp;N188,F:F,"=3",G:G,"=2",D:D,"&lt;&gt;x")</f>
        <v>0</v>
      </c>
      <c r="T194" s="7" t="str">
        <f t="shared" si="69"/>
        <v>-</v>
      </c>
      <c r="V194" s="11"/>
      <c r="W194" s="11"/>
      <c r="X194" s="3" t="s">
        <v>239</v>
      </c>
      <c r="Y194" s="3">
        <f t="shared" si="70"/>
        <v>0</v>
      </c>
      <c r="Z194" s="3">
        <f>COUNTIFS(C:C,"&gt;="&amp;M188,C:C,"&lt;"&amp;N188,I:I,"=6",J:J,"=0",D:D,"&lt;&gt;x")</f>
        <v>0</v>
      </c>
      <c r="AA194" s="3">
        <f>COUNTIFS(C:C,"&gt;="&amp;M188,C:C,"&lt;"&amp;N188,I:I,"=6",J:J,"=1",D:D,"&lt;&gt;x")</f>
        <v>0</v>
      </c>
      <c r="AB194" s="3">
        <f>COUNTIFS(C:C,"&gt;="&amp;M188,C:C,"&lt;"&amp;N188,I:I,"=6",J:J,"=2",D:D,"&lt;&gt;x")</f>
        <v>0</v>
      </c>
      <c r="AC194" s="7" t="str">
        <f t="shared" si="71"/>
        <v>-</v>
      </c>
    </row>
    <row r="195" spans="1:29" x14ac:dyDescent="0.25">
      <c r="A195">
        <v>194</v>
      </c>
      <c r="B195" s="1">
        <v>45070</v>
      </c>
      <c r="C195" s="2">
        <v>6.9629629629629625E-2</v>
      </c>
      <c r="D195">
        <f>Identyfikacja!D195</f>
        <v>194</v>
      </c>
      <c r="E195" s="5" t="s">
        <v>210</v>
      </c>
      <c r="F195">
        <v>8</v>
      </c>
      <c r="G195">
        <v>1</v>
      </c>
      <c r="H195">
        <v>7</v>
      </c>
      <c r="I195">
        <v>2</v>
      </c>
      <c r="J195">
        <v>1</v>
      </c>
      <c r="K195">
        <v>1</v>
      </c>
      <c r="M195" s="11"/>
      <c r="N195" s="11"/>
      <c r="O195" s="3" t="s">
        <v>239</v>
      </c>
      <c r="P195" s="3">
        <f t="shared" si="68"/>
        <v>0</v>
      </c>
      <c r="Q195" s="3">
        <f>COUNTIFS(C:C,"&gt;="&amp;M188,C:C,"&lt;"&amp;N188,F:F,"=8",G:G,"=0",D:D,"&lt;&gt;x")</f>
        <v>0</v>
      </c>
      <c r="R195" s="3">
        <f>COUNTIFS(C:C,"&gt;="&amp;M188,C:C,"&lt;"&amp;N188,F:F,"=8",G:G,"=1",D:D,"&lt;&gt;x")</f>
        <v>0</v>
      </c>
      <c r="S195" s="3">
        <f>COUNTIFS(C:C,"&gt;="&amp;M188,C:C,"&lt;"&amp;N188,F:F,"=8",G:G,"=2",D:D,"&lt;&gt;x")</f>
        <v>0</v>
      </c>
      <c r="T195" s="7" t="str">
        <f t="shared" si="69"/>
        <v>-</v>
      </c>
      <c r="V195" s="11"/>
      <c r="W195" s="11"/>
      <c r="X195" s="3" t="s">
        <v>240</v>
      </c>
      <c r="Y195" s="3">
        <f t="shared" si="70"/>
        <v>0</v>
      </c>
      <c r="Z195" s="3">
        <f>COUNTIFS(C:C,"&gt;="&amp;M188,C:C,"&lt;"&amp;N188,I:I,"=7",J:J,"=0",D:D,"&lt;&gt;x")</f>
        <v>0</v>
      </c>
      <c r="AA195" s="3">
        <f>COUNTIFS(C:C,"&gt;="&amp;M188,C:C,"&lt;"&amp;N188,I:I,"=7",J:J,"=1",D:D,"&lt;&gt;x")</f>
        <v>0</v>
      </c>
      <c r="AB195" s="3">
        <f>COUNTIFS(C:C,"&gt;="&amp;M188,C:C,"&lt;"&amp;N188,I:I,"=7",J:J,"=2",D:D,"&lt;&gt;x")</f>
        <v>0</v>
      </c>
      <c r="AC195" s="7" t="str">
        <f t="shared" si="71"/>
        <v>-</v>
      </c>
    </row>
    <row r="196" spans="1:29" x14ac:dyDescent="0.25">
      <c r="A196">
        <v>195</v>
      </c>
      <c r="B196" s="1">
        <v>45070</v>
      </c>
      <c r="C196" s="2">
        <v>7.0092592592592595E-2</v>
      </c>
      <c r="D196">
        <f>Identyfikacja!D196</f>
        <v>195</v>
      </c>
      <c r="E196" s="5" t="s">
        <v>211</v>
      </c>
      <c r="F196">
        <v>9</v>
      </c>
      <c r="G196">
        <v>0</v>
      </c>
      <c r="I196">
        <v>5</v>
      </c>
      <c r="J196">
        <v>1</v>
      </c>
      <c r="K196">
        <v>4</v>
      </c>
      <c r="M196" s="11"/>
      <c r="N196" s="11"/>
      <c r="O196" s="3" t="s">
        <v>241</v>
      </c>
      <c r="P196" s="3">
        <f t="shared" si="68"/>
        <v>11</v>
      </c>
      <c r="Q196" s="3">
        <f>COUNTIFS(C:C,"&gt;="&amp;M188,C:C,"&lt;"&amp;N188,F:F,"=9",G:G,"=0",D:D,"&lt;&gt;x")</f>
        <v>11</v>
      </c>
      <c r="R196" s="3">
        <f>COUNTIFS(C:C,"&gt;="&amp;M188,C:C,"&lt;"&amp;N188,F:F,"=9",G:G,"=1",D:D,"&lt;&gt;x")</f>
        <v>0</v>
      </c>
      <c r="S196" s="3">
        <f>COUNTIFS(C:C,"&gt;="&amp;M188,C:C,"&lt;"&amp;N188,F:F,"=9",G:G,"=2",D:D,"&lt;&gt;x")</f>
        <v>0</v>
      </c>
      <c r="T196" s="7">
        <f t="shared" si="69"/>
        <v>1</v>
      </c>
      <c r="V196" s="11"/>
      <c r="W196" s="11"/>
      <c r="X196" s="3" t="s">
        <v>242</v>
      </c>
      <c r="Y196" s="3">
        <f t="shared" si="70"/>
        <v>0</v>
      </c>
      <c r="Z196" s="3">
        <f>COUNTIFS(C:C,"&gt;="&amp;M188,C:C,"&lt;"&amp;N188,I:I,"=8",J:J,"=0",D:D,"&lt;&gt;x")</f>
        <v>0</v>
      </c>
      <c r="AA196" s="3">
        <f>COUNTIFS(C:C,"&gt;="&amp;M188,C:C,"&lt;"&amp;N188,I:I,"=8",J:J,"=1",D:D,"&lt;&gt;x")</f>
        <v>0</v>
      </c>
      <c r="AB196" s="3">
        <f>COUNTIFS(C:C,"&gt;="&amp;M188,C:C,"&lt;"&amp;N188,I:I,"=8",J:J,"=2",D:D,"&lt;&gt;x")</f>
        <v>0</v>
      </c>
      <c r="AC196" s="7" t="str">
        <f t="shared" si="71"/>
        <v>-</v>
      </c>
    </row>
    <row r="197" spans="1:29" x14ac:dyDescent="0.25">
      <c r="A197">
        <v>196</v>
      </c>
      <c r="B197" s="1">
        <v>45070</v>
      </c>
      <c r="C197" s="2">
        <v>7.0266203703703706E-2</v>
      </c>
      <c r="D197">
        <f>Identyfikacja!D197</f>
        <v>196</v>
      </c>
      <c r="E197" s="5" t="s">
        <v>212</v>
      </c>
      <c r="F197">
        <v>11</v>
      </c>
      <c r="G197">
        <v>0</v>
      </c>
      <c r="I197">
        <v>1</v>
      </c>
      <c r="J197">
        <v>0</v>
      </c>
      <c r="M197" s="11"/>
      <c r="N197" s="11"/>
      <c r="O197" s="3" t="s">
        <v>240</v>
      </c>
      <c r="P197" s="3">
        <f t="shared" si="68"/>
        <v>0</v>
      </c>
      <c r="Q197" s="3">
        <f>COUNTIFS(C:C,"&gt;="&amp;M188,C:C,"&lt;"&amp;N188,F:F,"=5",G:G,"=0",D:D,"&lt;&gt;x")</f>
        <v>0</v>
      </c>
      <c r="R197" s="3">
        <f>COUNTIFS(C:C,"&gt;="&amp;M188,C:C,"&lt;"&amp;N188,F:F,"=5",G:G,"=1",D:D,"&lt;&gt;x")</f>
        <v>0</v>
      </c>
      <c r="S197" s="3">
        <f>COUNTIFS(C:C,"&gt;="&amp;M188,C:C,"&lt;"&amp;N188,F:F,"=5",G:G,"=2",D:D,"&lt;&gt;x")</f>
        <v>0</v>
      </c>
      <c r="T197" s="7" t="str">
        <f t="shared" si="69"/>
        <v>-</v>
      </c>
      <c r="X197" s="3"/>
      <c r="Y197" s="3"/>
      <c r="Z197" s="3"/>
      <c r="AA197" s="3"/>
      <c r="AB197" s="3"/>
      <c r="AC197" s="7"/>
    </row>
    <row r="198" spans="1:29" x14ac:dyDescent="0.25">
      <c r="A198">
        <v>197</v>
      </c>
      <c r="B198" s="1">
        <v>45070</v>
      </c>
      <c r="C198" s="2">
        <v>7.0370370370370375E-2</v>
      </c>
      <c r="D198">
        <f>Identyfikacja!D198</f>
        <v>197</v>
      </c>
      <c r="E198" s="5" t="s">
        <v>213</v>
      </c>
      <c r="F198">
        <v>11</v>
      </c>
      <c r="G198">
        <v>0</v>
      </c>
      <c r="I198">
        <v>1</v>
      </c>
      <c r="J198">
        <v>0</v>
      </c>
      <c r="O198" s="3"/>
      <c r="P198" s="3"/>
      <c r="Q198" s="3"/>
      <c r="R198" s="3"/>
      <c r="S198" s="3"/>
      <c r="T198" s="3"/>
      <c r="X198" s="3"/>
      <c r="Y198" s="3"/>
      <c r="Z198" s="3"/>
      <c r="AA198" s="3"/>
      <c r="AB198" s="3"/>
      <c r="AC198" s="3"/>
    </row>
    <row r="199" spans="1:29" x14ac:dyDescent="0.25">
      <c r="A199">
        <v>198</v>
      </c>
      <c r="B199" s="1">
        <v>45070</v>
      </c>
      <c r="C199" s="2">
        <v>7.0428240740740736E-2</v>
      </c>
      <c r="D199">
        <f>Identyfikacja!D199</f>
        <v>198</v>
      </c>
      <c r="E199" s="5" t="s">
        <v>214</v>
      </c>
      <c r="F199">
        <v>11</v>
      </c>
      <c r="G199">
        <v>0</v>
      </c>
      <c r="I199">
        <v>1</v>
      </c>
      <c r="J199">
        <v>0</v>
      </c>
      <c r="M199" s="10">
        <v>6.1631944444444448E-2</v>
      </c>
      <c r="N199" s="10">
        <v>7.1273148148148155E-2</v>
      </c>
      <c r="O199" s="3" t="s">
        <v>222</v>
      </c>
      <c r="P199" s="3" t="s">
        <v>223</v>
      </c>
      <c r="Q199" s="3" t="s">
        <v>224</v>
      </c>
      <c r="R199" s="3" t="s">
        <v>225</v>
      </c>
      <c r="S199" s="3" t="s">
        <v>17</v>
      </c>
      <c r="T199" s="3" t="s">
        <v>226</v>
      </c>
      <c r="V199" s="10">
        <v>6.1631944444444448E-2</v>
      </c>
      <c r="W199" s="10">
        <v>7.1273148148148155E-2</v>
      </c>
      <c r="X199" s="3" t="s">
        <v>227</v>
      </c>
      <c r="Y199" s="3" t="s">
        <v>223</v>
      </c>
      <c r="Z199" s="3" t="s">
        <v>224</v>
      </c>
      <c r="AA199" s="3" t="s">
        <v>225</v>
      </c>
      <c r="AB199" s="3" t="s">
        <v>17</v>
      </c>
      <c r="AC199" s="3" t="s">
        <v>226</v>
      </c>
    </row>
    <row r="200" spans="1:29" x14ac:dyDescent="0.25">
      <c r="A200">
        <v>199</v>
      </c>
      <c r="B200" s="1">
        <v>45070</v>
      </c>
      <c r="C200" s="2">
        <v>7.1030092592592589E-2</v>
      </c>
      <c r="D200">
        <f>Identyfikacja!D200</f>
        <v>199</v>
      </c>
      <c r="E200" s="5" t="s">
        <v>215</v>
      </c>
      <c r="F200">
        <v>9</v>
      </c>
      <c r="G200">
        <v>0</v>
      </c>
      <c r="I200">
        <v>5</v>
      </c>
      <c r="J200">
        <v>0</v>
      </c>
      <c r="M200" s="11"/>
      <c r="N200" s="11"/>
      <c r="O200" s="3" t="s">
        <v>228</v>
      </c>
      <c r="P200" s="3">
        <f t="shared" ref="P200:P208" si="72">Q200+R200</f>
        <v>0</v>
      </c>
      <c r="Q200" s="3">
        <f>COUNTIFS(C:C,"&gt;="&amp;M199,C:C,"&lt;"&amp;N199,F:F,"=6",G:G,"=0",D:D,"&lt;&gt;x")</f>
        <v>0</v>
      </c>
      <c r="R200" s="3">
        <f>COUNTIFS(C:C,"&gt;="&amp;M199,C:C,"&lt;"&amp;N199,F:F,"=6",G:G,"=1",D:D,"&lt;&gt;x")</f>
        <v>0</v>
      </c>
      <c r="S200" s="3">
        <f>COUNTIFS(C:C,"&gt;="&amp;M199,C:C,"&lt;"&amp;N199,F:F,"=6",G:G,"=2",D:D,"&lt;&gt;x")</f>
        <v>0</v>
      </c>
      <c r="T200" s="7" t="str">
        <f t="shared" ref="T200:T208" si="73">IF(P200&gt;0,Q200/P200,"-")</f>
        <v>-</v>
      </c>
      <c r="V200" s="11"/>
      <c r="W200" s="11"/>
      <c r="X200" s="3" t="s">
        <v>229</v>
      </c>
      <c r="Y200" s="3">
        <f t="shared" ref="Y200:Y207" si="74">Z200+AA200</f>
        <v>7</v>
      </c>
      <c r="Z200" s="3">
        <f>COUNTIFS(C:C,"&gt;="&amp;M199,C:C,"&lt;"&amp;N199,I:I,"=1",J:J,"=0",D:D,"&lt;&gt;x")</f>
        <v>7</v>
      </c>
      <c r="AA200" s="3">
        <f>COUNTIFS(C:C,"&gt;="&amp;M199,C:C,"&lt;"&amp;N199,I:I,"=1",J:J,"=1",D:D,"&lt;&gt;x")</f>
        <v>0</v>
      </c>
      <c r="AB200" s="3">
        <f>COUNTIFS(C:C,"&gt;="&amp;M199,C:C,"&lt;"&amp;N199,I:I,"=1",J:J,"=2",D:D,"&lt;&gt;x")</f>
        <v>0</v>
      </c>
      <c r="AC200" s="7">
        <f t="shared" ref="AC200:AC207" si="75">IF(Y200&gt;0,Z200/Y200,"-")</f>
        <v>1</v>
      </c>
    </row>
    <row r="201" spans="1:29" x14ac:dyDescent="0.25">
      <c r="A201">
        <v>200</v>
      </c>
      <c r="B201" s="1">
        <v>45070</v>
      </c>
      <c r="C201" s="2">
        <v>7.1261574074074074E-2</v>
      </c>
      <c r="D201">
        <f>Identyfikacja!D201</f>
        <v>200</v>
      </c>
      <c r="E201" s="5" t="s">
        <v>216</v>
      </c>
      <c r="F201">
        <v>9</v>
      </c>
      <c r="G201">
        <v>0</v>
      </c>
      <c r="I201">
        <v>5</v>
      </c>
      <c r="J201">
        <v>0</v>
      </c>
      <c r="M201" s="11"/>
      <c r="N201" s="11"/>
      <c r="O201" s="3" t="s">
        <v>230</v>
      </c>
      <c r="P201" s="3">
        <f t="shared" si="72"/>
        <v>0</v>
      </c>
      <c r="Q201" s="3">
        <f>COUNTIFS(C:C,"&gt;="&amp;M199,C:C,"&lt;"&amp;N199,F:F,"=10",G:G,"=0",D:D,"&lt;&gt;x")</f>
        <v>0</v>
      </c>
      <c r="R201" s="3">
        <f>COUNTIFS(C:C,"&gt;="&amp;M199,C:C,"&lt;"&amp;N199,F:F,"=10",G:G,"=1",D:D,"&lt;&gt;x")</f>
        <v>0</v>
      </c>
      <c r="S201" s="3">
        <f>COUNTIFS(C:C,"&gt;="&amp;M199,C:C,"&lt;"&amp;N199,F:F,"=10",G:G,"=2",D:D,"&lt;&gt;x")</f>
        <v>0</v>
      </c>
      <c r="T201" s="7" t="str">
        <f t="shared" si="73"/>
        <v>-</v>
      </c>
      <c r="V201" s="11"/>
      <c r="W201" s="11"/>
      <c r="X201" s="3" t="s">
        <v>231</v>
      </c>
      <c r="Y201" s="3">
        <f t="shared" si="74"/>
        <v>4</v>
      </c>
      <c r="Z201" s="3">
        <f>COUNTIFS(C:C,"&gt;="&amp;M199,C:C,"&lt;"&amp;N199,I:I,"=2",J:J,"=0",D:D,"&lt;&gt;x")</f>
        <v>2</v>
      </c>
      <c r="AA201" s="3">
        <f>COUNTIFS(C:C,"&gt;="&amp;M199,C:C,"&lt;"&amp;N199,I:I,"=2",J:J,"=1",D:D,"&lt;&gt;x")</f>
        <v>2</v>
      </c>
      <c r="AB201" s="3">
        <f>COUNTIFS(C:C,"&gt;="&amp;M199,C:C,"&lt;"&amp;N199,I:I,"=2",J:J,"=2",D:D,"&lt;&gt;x")</f>
        <v>0</v>
      </c>
      <c r="AC201" s="7">
        <f t="shared" si="75"/>
        <v>0.5</v>
      </c>
    </row>
    <row r="202" spans="1:29" x14ac:dyDescent="0.25">
      <c r="B202" s="1"/>
      <c r="C202" s="2"/>
      <c r="E202" s="5"/>
      <c r="M202" s="11"/>
      <c r="N202" s="11"/>
      <c r="O202" s="3" t="s">
        <v>232</v>
      </c>
      <c r="P202" s="3">
        <f t="shared" si="72"/>
        <v>3</v>
      </c>
      <c r="Q202" s="3">
        <f>COUNTIFS(C:C,"&gt;="&amp;M199,C:C,"&lt;"&amp;N199,F:F,"=7",G:G,"=0",D:D,"&lt;&gt;x")</f>
        <v>3</v>
      </c>
      <c r="R202" s="3">
        <f>COUNTIFS(C:C,"&gt;="&amp;M199,C:C,"&lt;"&amp;N199,F:F,"=7",G:G,"=1",D:D,"&lt;&gt;x")</f>
        <v>0</v>
      </c>
      <c r="S202" s="3">
        <f>COUNTIFS(C:C,"&gt;="&amp;M199,C:C,"&lt;"&amp;N199,F:F,"=7",G:G,"=2",D:D,"&lt;&gt;x")</f>
        <v>0</v>
      </c>
      <c r="T202" s="7">
        <f t="shared" si="73"/>
        <v>1</v>
      </c>
      <c r="V202" s="11"/>
      <c r="W202" s="11"/>
      <c r="X202" s="3" t="s">
        <v>233</v>
      </c>
      <c r="Y202" s="3">
        <f t="shared" si="74"/>
        <v>0</v>
      </c>
      <c r="Z202" s="3">
        <f>COUNTIFS(C:C,"&gt;="&amp;M199,C:C,"&lt;"&amp;N199,I:I,"=3",J:J,"=0",D:D,"&lt;&gt;x")</f>
        <v>0</v>
      </c>
      <c r="AA202" s="3">
        <f>COUNTIFS(C:C,"&gt;="&amp;M199,C:C,"&lt;"&amp;N199,I:I,"=3",J:J,"=1",D:D,"&lt;&gt;x")</f>
        <v>0</v>
      </c>
      <c r="AB202" s="3">
        <f>COUNTIFS(C:C,"&gt;="&amp;M199,C:C,"&lt;"&amp;N199,I:I,"=3",J:J,"=2",D:D,"&lt;&gt;x")</f>
        <v>0</v>
      </c>
      <c r="AC202" s="7" t="str">
        <f t="shared" si="75"/>
        <v>-</v>
      </c>
    </row>
    <row r="203" spans="1:29" x14ac:dyDescent="0.25">
      <c r="E203" s="5"/>
      <c r="M203" s="11"/>
      <c r="N203" s="11"/>
      <c r="O203" s="3" t="s">
        <v>234</v>
      </c>
      <c r="P203" s="3">
        <f t="shared" si="72"/>
        <v>4</v>
      </c>
      <c r="Q203" s="3">
        <f>COUNTIFS(C:C,"&gt;="&amp;M199,C:C,"&lt;"&amp;N199,F:F,"=11",G:G,"=0",D:D,"&lt;&gt;x")</f>
        <v>4</v>
      </c>
      <c r="R203" s="3">
        <f>COUNTIFS(C:C,"&gt;="&amp;M199,C:C,"&lt;"&amp;N199,F:F,"=11",G:G,"=1",D:D,"&lt;&gt;x")</f>
        <v>0</v>
      </c>
      <c r="S203" s="3">
        <f>COUNTIFS(C:C,"&gt;="&amp;M199,C:C,"&lt;"&amp;N199,F:F,"=11",G:G,"=2",D:D,"&lt;&gt;x")</f>
        <v>0</v>
      </c>
      <c r="T203" s="7">
        <f t="shared" si="73"/>
        <v>1</v>
      </c>
      <c r="V203" s="11"/>
      <c r="W203" s="11"/>
      <c r="X203" s="3" t="s">
        <v>235</v>
      </c>
      <c r="Y203" s="3">
        <f t="shared" si="74"/>
        <v>0</v>
      </c>
      <c r="Z203" s="3">
        <f>COUNTIFS(C:C,"&gt;="&amp;M199,C:C,"&lt;"&amp;N199,I:I,"=4",J:J,"=0",D:D,"&lt;&gt;x")</f>
        <v>0</v>
      </c>
      <c r="AA203" s="3">
        <f>COUNTIFS(C:C,"&gt;="&amp;M199,C:C,"&lt;"&amp;N199,I:I,"=4",J:J,"=1",D:D,"&lt;&gt;x")</f>
        <v>0</v>
      </c>
      <c r="AB203" s="3">
        <f>COUNTIFS(C:C,"&gt;="&amp;M199,C:C,"&lt;"&amp;N199,I:I,"=4",J:J,"=2",D:D,"&lt;&gt;x")</f>
        <v>1</v>
      </c>
      <c r="AC203" s="7" t="str">
        <f t="shared" si="75"/>
        <v>-</v>
      </c>
    </row>
    <row r="204" spans="1:29" x14ac:dyDescent="0.25">
      <c r="E204" s="5"/>
      <c r="M204" s="11"/>
      <c r="N204" s="11"/>
      <c r="O204" s="3" t="s">
        <v>236</v>
      </c>
      <c r="P204" s="3">
        <f t="shared" si="72"/>
        <v>0</v>
      </c>
      <c r="Q204" s="3">
        <f>COUNTIFS(C:C,"&gt;="&amp;M199,C:C,"&lt;"&amp;N199,F:F,"=2",G:G,"=0",D:D,"&lt;&gt;x")</f>
        <v>0</v>
      </c>
      <c r="R204" s="3">
        <f>COUNTIFS(C:C,"&gt;="&amp;M199,C:C,"&lt;"&amp;N199,F:F,"=2",G:G,"=1",D:D,"&lt;&gt;x")</f>
        <v>0</v>
      </c>
      <c r="S204" s="3">
        <f>COUNTIFS(C:C,"&gt;="&amp;M199,C:C,"&lt;"&amp;N199,F:F,"=2",G:G,"=2",D:D,"&lt;&gt;x")</f>
        <v>0</v>
      </c>
      <c r="T204" s="7" t="str">
        <f t="shared" si="73"/>
        <v>-</v>
      </c>
      <c r="V204" s="11"/>
      <c r="W204" s="11"/>
      <c r="X204" s="3" t="s">
        <v>237</v>
      </c>
      <c r="Y204" s="3">
        <f t="shared" si="74"/>
        <v>9</v>
      </c>
      <c r="Z204" s="3">
        <f>COUNTIFS(C:C,"&gt;="&amp;M199,C:C,"&lt;"&amp;N199,I:I,"=5",J:J,"=0",D:D,"&lt;&gt;x")</f>
        <v>8</v>
      </c>
      <c r="AA204" s="3">
        <f>COUNTIFS(C:C,"&gt;="&amp;M199,C:C,"&lt;"&amp;N199,I:I,"=5",J:J,"=1",D:D,"&lt;&gt;x")</f>
        <v>1</v>
      </c>
      <c r="AB204" s="3">
        <f>COUNTIFS(C:C,"&gt;="&amp;M199,C:C,"&lt;"&amp;N199,I:I,"=5",J:J,"=2",D:D,"&lt;&gt;x")</f>
        <v>0</v>
      </c>
      <c r="AC204" s="7">
        <f t="shared" si="75"/>
        <v>0.88888888888888884</v>
      </c>
    </row>
    <row r="205" spans="1:29" x14ac:dyDescent="0.25">
      <c r="E205" s="5"/>
      <c r="M205" s="11"/>
      <c r="N205" s="11"/>
      <c r="O205" s="3" t="s">
        <v>238</v>
      </c>
      <c r="P205" s="3">
        <f t="shared" si="72"/>
        <v>3</v>
      </c>
      <c r="Q205" s="3">
        <f>COUNTIFS(C:C,"&gt;="&amp;M199,C:C,"&lt;"&amp;N199,F:F,"=3",G:G,"=0",D:D,"&lt;&gt;x")</f>
        <v>2</v>
      </c>
      <c r="R205" s="3">
        <f>COUNTIFS(C:C,"&gt;="&amp;M199,C:C,"&lt;"&amp;N199,F:F,"=3",G:G,"=1",D:D,"&lt;&gt;x")</f>
        <v>1</v>
      </c>
      <c r="S205" s="3">
        <f>COUNTIFS(C:C,"&gt;="&amp;M199,C:C,"&lt;"&amp;N199,F:F,"=3",G:G,"=2",D:D,"&lt;&gt;x")</f>
        <v>0</v>
      </c>
      <c r="T205" s="7">
        <f t="shared" si="73"/>
        <v>0.66666666666666663</v>
      </c>
      <c r="V205" s="11"/>
      <c r="W205" s="11"/>
      <c r="X205" s="3" t="s">
        <v>239</v>
      </c>
      <c r="Y205" s="3">
        <f t="shared" si="74"/>
        <v>0</v>
      </c>
      <c r="Z205" s="3">
        <f>COUNTIFS(C:C,"&gt;="&amp;M199,C:C,"&lt;"&amp;N199,I:I,"=6",J:J,"=0",D:D,"&lt;&gt;x")</f>
        <v>0</v>
      </c>
      <c r="AA205" s="3">
        <f>COUNTIFS(C:C,"&gt;="&amp;M199,C:C,"&lt;"&amp;N199,I:I,"=6",J:J,"=1",D:D,"&lt;&gt;x")</f>
        <v>0</v>
      </c>
      <c r="AB205" s="3">
        <f>COUNTIFS(C:C,"&gt;="&amp;M199,C:C,"&lt;"&amp;N199,I:I,"=6",J:J,"=2",D:D,"&lt;&gt;x")</f>
        <v>0</v>
      </c>
      <c r="AC205" s="7" t="str">
        <f t="shared" si="75"/>
        <v>-</v>
      </c>
    </row>
    <row r="206" spans="1:29" x14ac:dyDescent="0.25">
      <c r="E206" s="5"/>
      <c r="M206" s="11"/>
      <c r="N206" s="11"/>
      <c r="O206" s="3" t="s">
        <v>239</v>
      </c>
      <c r="P206" s="3">
        <f t="shared" si="72"/>
        <v>1</v>
      </c>
      <c r="Q206" s="3">
        <f>COUNTIFS(C:C,"&gt;="&amp;M199,C:C,"&lt;"&amp;N199,F:F,"=8",G:G,"=0",D:D,"&lt;&gt;x")</f>
        <v>0</v>
      </c>
      <c r="R206" s="3">
        <f>COUNTIFS(C:C,"&gt;="&amp;M199,C:C,"&lt;"&amp;N199,F:F,"=8",G:G,"=1",D:D,"&lt;&gt;x")</f>
        <v>1</v>
      </c>
      <c r="S206" s="3">
        <f>COUNTIFS(C:C,"&gt;="&amp;M199,C:C,"&lt;"&amp;N199,F:F,"=8",G:G,"=2",D:D,"&lt;&gt;x")</f>
        <v>0</v>
      </c>
      <c r="T206" s="7">
        <f t="shared" si="73"/>
        <v>0</v>
      </c>
      <c r="V206" s="11"/>
      <c r="W206" s="11"/>
      <c r="X206" s="3" t="s">
        <v>240</v>
      </c>
      <c r="Y206" s="3">
        <f t="shared" si="74"/>
        <v>0</v>
      </c>
      <c r="Z206" s="3">
        <f>COUNTIFS(C:C,"&gt;="&amp;M199,C:C,"&lt;"&amp;N199,I:I,"=7",J:J,"=0",D:D,"&lt;&gt;x")</f>
        <v>0</v>
      </c>
      <c r="AA206" s="3">
        <f>COUNTIFS(C:C,"&gt;="&amp;M199,C:C,"&lt;"&amp;N199,I:I,"=7",J:J,"=1",D:D,"&lt;&gt;x")</f>
        <v>0</v>
      </c>
      <c r="AB206" s="3">
        <f>COUNTIFS(C:C,"&gt;="&amp;M199,C:C,"&lt;"&amp;N199,I:I,"=7",J:J,"=2",D:D,"&lt;&gt;x")</f>
        <v>0</v>
      </c>
      <c r="AC206" s="7" t="str">
        <f t="shared" si="75"/>
        <v>-</v>
      </c>
    </row>
    <row r="207" spans="1:29" x14ac:dyDescent="0.25">
      <c r="E207" s="5"/>
      <c r="M207" s="11"/>
      <c r="N207" s="11"/>
      <c r="O207" s="3" t="s">
        <v>241</v>
      </c>
      <c r="P207" s="3">
        <f t="shared" si="72"/>
        <v>9</v>
      </c>
      <c r="Q207" s="3">
        <f>COUNTIFS(C:C,"&gt;="&amp;M199,C:C,"&lt;"&amp;N199,F:F,"=9",G:G,"=0",D:D,"&lt;&gt;x")</f>
        <v>9</v>
      </c>
      <c r="R207" s="3">
        <f>COUNTIFS(C:C,"&gt;="&amp;M199,C:C,"&lt;"&amp;N199,F:F,"=9",G:G,"=1",D:D,"&lt;&gt;x")</f>
        <v>0</v>
      </c>
      <c r="S207" s="3">
        <f>COUNTIFS(C:C,"&gt;="&amp;M199,C:C,"&lt;"&amp;N199,F:F,"=9",G:G,"=2",D:D,"&lt;&gt;x")</f>
        <v>1</v>
      </c>
      <c r="T207" s="7">
        <f t="shared" si="73"/>
        <v>1</v>
      </c>
      <c r="V207" s="11"/>
      <c r="W207" s="11"/>
      <c r="X207" s="3" t="s">
        <v>242</v>
      </c>
      <c r="Y207" s="3">
        <f t="shared" si="74"/>
        <v>0</v>
      </c>
      <c r="Z207" s="3">
        <f>COUNTIFS(C:C,"&gt;="&amp;M199,C:C,"&lt;"&amp;N199,I:I,"=8",J:J,"=0",D:D,"&lt;&gt;x")</f>
        <v>0</v>
      </c>
      <c r="AA207" s="3">
        <f>COUNTIFS(C:C,"&gt;="&amp;M199,C:C,"&lt;"&amp;N199,I:I,"=8",J:J,"=1",D:D,"&lt;&gt;x")</f>
        <v>0</v>
      </c>
      <c r="AB207" s="3">
        <f>COUNTIFS(C:C,"&gt;="&amp;M199,C:C,"&lt;"&amp;N199,I:I,"=8",J:J,"=2",D:D,"&lt;&gt;x")</f>
        <v>0</v>
      </c>
      <c r="AC207" s="7" t="str">
        <f t="shared" si="75"/>
        <v>-</v>
      </c>
    </row>
    <row r="208" spans="1:29" x14ac:dyDescent="0.25">
      <c r="E208" s="5"/>
      <c r="M208" s="11"/>
      <c r="N208" s="11"/>
      <c r="O208" s="3" t="s">
        <v>240</v>
      </c>
      <c r="P208" s="3">
        <f t="shared" si="72"/>
        <v>0</v>
      </c>
      <c r="Q208" s="3">
        <f>COUNTIFS(C:C,"&gt;="&amp;M199,C:C,"&lt;"&amp;N199,F:F,"=5",G:G,"=0",D:D,"&lt;&gt;x")</f>
        <v>0</v>
      </c>
      <c r="R208" s="3">
        <f>COUNTIFS(C:C,"&gt;="&amp;M199,C:C,"&lt;"&amp;N199,F:F,"=5",G:G,"=1",D:D,"&lt;&gt;x")</f>
        <v>0</v>
      </c>
      <c r="S208" s="3">
        <f>COUNTIFS(C:C,"&gt;="&amp;M199,C:C,"&lt;"&amp;N199,F:F,"=5",G:G,"=2",D:D,"&lt;&gt;x")</f>
        <v>0</v>
      </c>
      <c r="T208" s="7" t="str">
        <f t="shared" si="73"/>
        <v>-</v>
      </c>
      <c r="X208" s="3"/>
      <c r="Y208" s="3"/>
      <c r="Z208" s="3"/>
      <c r="AA208" s="3"/>
      <c r="AB208" s="3"/>
      <c r="AC208" s="7"/>
    </row>
    <row r="209" spans="5:29" x14ac:dyDescent="0.25">
      <c r="E209" s="5"/>
      <c r="O209" s="3"/>
      <c r="P209" s="3"/>
      <c r="Q209" s="3"/>
      <c r="R209" s="3"/>
      <c r="S209" s="3"/>
      <c r="T209" s="3"/>
      <c r="X209" s="3"/>
      <c r="Y209" s="3"/>
      <c r="Z209" s="3"/>
      <c r="AA209" s="3"/>
      <c r="AB209" s="3"/>
      <c r="AC209" s="3"/>
    </row>
    <row r="210" spans="5:29" x14ac:dyDescent="0.25">
      <c r="E210" s="5"/>
      <c r="M210" s="12" t="s">
        <v>244</v>
      </c>
      <c r="N210" s="12" t="s">
        <v>245</v>
      </c>
      <c r="O210" s="3" t="s">
        <v>222</v>
      </c>
      <c r="P210" s="3" t="s">
        <v>223</v>
      </c>
      <c r="Q210" s="3" t="s">
        <v>224</v>
      </c>
      <c r="R210" s="3" t="s">
        <v>225</v>
      </c>
      <c r="S210" s="3" t="s">
        <v>17</v>
      </c>
      <c r="T210" s="3" t="s">
        <v>226</v>
      </c>
      <c r="V210" s="12" t="s">
        <v>244</v>
      </c>
      <c r="W210" s="12" t="s">
        <v>245</v>
      </c>
      <c r="X210" s="3" t="s">
        <v>227</v>
      </c>
      <c r="Y210" s="3" t="s">
        <v>223</v>
      </c>
      <c r="Z210" s="3" t="s">
        <v>224</v>
      </c>
      <c r="AA210" s="3" t="s">
        <v>225</v>
      </c>
      <c r="AB210" s="3" t="s">
        <v>17</v>
      </c>
      <c r="AC210" s="3" t="s">
        <v>226</v>
      </c>
    </row>
    <row r="211" spans="5:29" x14ac:dyDescent="0.25">
      <c r="E211" s="5"/>
      <c r="M211" s="11"/>
      <c r="N211" s="11"/>
      <c r="O211" s="3" t="s">
        <v>228</v>
      </c>
      <c r="P211" s="3">
        <f t="shared" ref="P211:P219" si="76">Q211+R211</f>
        <v>0</v>
      </c>
      <c r="Q211" s="3">
        <f>COUNTIFS(F:F,"=6",G:G,"=0",D:D,"&lt;&gt;x")</f>
        <v>0</v>
      </c>
      <c r="R211" s="3">
        <f>COUNTIFS(F:F,"=6",G:G,"=1",D:D,"&lt;&gt;x")</f>
        <v>0</v>
      </c>
      <c r="S211" s="3">
        <f>COUNTIFS(F:F,"=6",G:G,"=2",D:D,"&lt;&gt;x")</f>
        <v>2</v>
      </c>
      <c r="T211" s="7" t="str">
        <f t="shared" ref="T211:T219" si="77">IF(P211&gt;0,Q211/P211,"-")</f>
        <v>-</v>
      </c>
      <c r="V211" s="11"/>
      <c r="W211" s="11"/>
      <c r="X211" s="3" t="s">
        <v>229</v>
      </c>
      <c r="Y211" s="3">
        <f t="shared" ref="Y211:Y218" si="78">Z211+AA211</f>
        <v>67</v>
      </c>
      <c r="Z211" s="3">
        <f>COUNTIFS(I:I,"=1",J:J,"=0",D:D,"&lt;&gt;x")</f>
        <v>66</v>
      </c>
      <c r="AA211" s="3">
        <f>COUNTIFS(I:I,"=1",J:J,"=1",D:D,"&lt;&gt;x")</f>
        <v>1</v>
      </c>
      <c r="AB211" s="3">
        <f>COUNTIFS(I:I,"=1",J:J,"=2",D:D,"&lt;&gt;x")</f>
        <v>2</v>
      </c>
      <c r="AC211" s="7">
        <f t="shared" ref="AC211:AC218" si="79">IF(Y211&gt;0,Z211/Y211,"-")</f>
        <v>0.9850746268656716</v>
      </c>
    </row>
    <row r="212" spans="5:29" x14ac:dyDescent="0.25">
      <c r="E212" s="5"/>
      <c r="M212" s="11"/>
      <c r="N212" s="11"/>
      <c r="O212" s="3" t="s">
        <v>230</v>
      </c>
      <c r="P212" s="3">
        <f t="shared" si="76"/>
        <v>0</v>
      </c>
      <c r="Q212" s="3">
        <f>COUNTIFS(F:F,"=10",G:G,"=0",D:D,"&lt;&gt;x")</f>
        <v>0</v>
      </c>
      <c r="R212" s="3">
        <f>COUNTIFS(F:F,"=10",G:G,"=1",D:D,"&lt;&gt;x")</f>
        <v>0</v>
      </c>
      <c r="S212" s="3">
        <f>COUNTIFS(F:F,"=10",G:G,"=2",D:D,"&lt;&gt;x")</f>
        <v>0</v>
      </c>
      <c r="T212" s="7" t="str">
        <f t="shared" si="77"/>
        <v>-</v>
      </c>
      <c r="V212" s="11"/>
      <c r="W212" s="11"/>
      <c r="X212" s="3" t="s">
        <v>231</v>
      </c>
      <c r="Y212" s="3">
        <f t="shared" si="78"/>
        <v>23</v>
      </c>
      <c r="Z212" s="3">
        <f>COUNTIFS(I:I,"=2",J:J,"=0",D:D,"&lt;&gt;x")</f>
        <v>13</v>
      </c>
      <c r="AA212" s="3">
        <f>COUNTIFS(I:I,"=2",J:J,"=1",D:D,"&lt;&gt;x")</f>
        <v>10</v>
      </c>
      <c r="AB212" s="3">
        <f>COUNTIFS(I:I,"=2",J:J,"=2",D:D,"&lt;&gt;x")</f>
        <v>3</v>
      </c>
      <c r="AC212" s="7">
        <f t="shared" si="79"/>
        <v>0.56521739130434778</v>
      </c>
    </row>
    <row r="213" spans="5:29" x14ac:dyDescent="0.25">
      <c r="E213" s="5"/>
      <c r="M213" s="11"/>
      <c r="N213" s="11"/>
      <c r="O213" s="3" t="s">
        <v>232</v>
      </c>
      <c r="P213" s="3">
        <f t="shared" si="76"/>
        <v>53</v>
      </c>
      <c r="Q213" s="3">
        <f>COUNTIFS(F:F,"=7",G:G,"=0",D:D,"&lt;&gt;x")</f>
        <v>50</v>
      </c>
      <c r="R213" s="3">
        <f>COUNTIFS(F:F,"=7",G:G,"=1",D:D,"&lt;&gt;x")</f>
        <v>3</v>
      </c>
      <c r="S213" s="3">
        <f>COUNTIFS(F:F,"=7",G:G,"=2",D:D,"&lt;&gt;x")</f>
        <v>1</v>
      </c>
      <c r="T213" s="7">
        <f t="shared" si="77"/>
        <v>0.94339622641509435</v>
      </c>
      <c r="V213" s="11"/>
      <c r="W213" s="11"/>
      <c r="X213" s="3" t="s">
        <v>233</v>
      </c>
      <c r="Y213" s="3">
        <f t="shared" si="78"/>
        <v>0</v>
      </c>
      <c r="Z213" s="3">
        <f>COUNTIFS(I:I,"=3",J:J,"=0",D:D,"&lt;&gt;x")</f>
        <v>0</v>
      </c>
      <c r="AA213" s="3">
        <f>COUNTIFS(I:I,"=3",J:J,"=1",D:D,"&lt;&gt;x")</f>
        <v>0</v>
      </c>
      <c r="AB213" s="3">
        <f>COUNTIFS(I:I,"=3",J:J,"=2",D:D,"&lt;&gt;x")</f>
        <v>0</v>
      </c>
      <c r="AC213" s="7" t="str">
        <f t="shared" si="79"/>
        <v>-</v>
      </c>
    </row>
    <row r="214" spans="5:29" x14ac:dyDescent="0.25">
      <c r="E214" s="5"/>
      <c r="M214" s="11"/>
      <c r="N214" s="11"/>
      <c r="O214" s="3" t="s">
        <v>234</v>
      </c>
      <c r="P214" s="3">
        <f t="shared" si="76"/>
        <v>14</v>
      </c>
      <c r="Q214" s="3">
        <f>COUNTIFS(F:F,"=11",G:G,"=0",D:D,"&lt;&gt;x")</f>
        <v>13</v>
      </c>
      <c r="R214" s="3">
        <f>COUNTIFS(F:F,"=11",G:G,"=1",D:D,"&lt;&gt;x")</f>
        <v>1</v>
      </c>
      <c r="S214" s="3">
        <f>COUNTIFS(F:F,"=11",G:G,"=2",D:D,"&lt;&gt;x")</f>
        <v>0</v>
      </c>
      <c r="T214" s="7">
        <f t="shared" si="77"/>
        <v>0.9285714285714286</v>
      </c>
      <c r="V214" s="11"/>
      <c r="W214" s="11"/>
      <c r="X214" s="3" t="s">
        <v>235</v>
      </c>
      <c r="Y214" s="3">
        <f t="shared" si="78"/>
        <v>0</v>
      </c>
      <c r="Z214" s="3">
        <f>COUNTIFS(I:I,"=4",J:J,"=0",D:D,"&lt;&gt;x")</f>
        <v>0</v>
      </c>
      <c r="AA214" s="3">
        <f>COUNTIFS(I:I,"=4",J:J,"=1",D:D,"&lt;&gt;x")</f>
        <v>0</v>
      </c>
      <c r="AB214" s="3">
        <f>COUNTIFS(I:I,"=4",J:J,"=2",D:D,"&lt;&gt;x")</f>
        <v>8</v>
      </c>
      <c r="AC214" s="7" t="str">
        <f t="shared" si="79"/>
        <v>-</v>
      </c>
    </row>
    <row r="215" spans="5:29" x14ac:dyDescent="0.25">
      <c r="E215" s="5"/>
      <c r="M215" s="11"/>
      <c r="N215" s="11"/>
      <c r="O215" s="3" t="s">
        <v>236</v>
      </c>
      <c r="P215" s="3">
        <f t="shared" si="76"/>
        <v>0</v>
      </c>
      <c r="Q215" s="3">
        <f>COUNTIFS(F:F,"=2",G:G,"=0",D:D,"&lt;&gt;x")</f>
        <v>0</v>
      </c>
      <c r="R215" s="3">
        <f>COUNTIFS(F:F,"=2",G:G,"=1",D:D,"&lt;&gt;x")</f>
        <v>0</v>
      </c>
      <c r="S215" s="3">
        <f>COUNTIFS(F:F,"=2",G:G,"=2",D:D,"&lt;&gt;x")</f>
        <v>1</v>
      </c>
      <c r="T215" s="7" t="str">
        <f t="shared" si="77"/>
        <v>-</v>
      </c>
      <c r="V215" s="11"/>
      <c r="W215" s="11"/>
      <c r="X215" s="3" t="s">
        <v>237</v>
      </c>
      <c r="Y215" s="3">
        <f t="shared" si="78"/>
        <v>84</v>
      </c>
      <c r="Z215" s="3">
        <f>COUNTIFS(I:I,"=5",J:J,"=0",D:D,"&lt;&gt;x")</f>
        <v>67</v>
      </c>
      <c r="AA215" s="3">
        <f>COUNTIFS(I:I,"=5",J:J,"=1",D:D,"&lt;&gt;x")</f>
        <v>17</v>
      </c>
      <c r="AB215" s="3">
        <f>COUNTIFS(I:I,"=5",J:J,"=2",D:D,"&lt;&gt;x")</f>
        <v>0</v>
      </c>
      <c r="AC215" s="7">
        <f t="shared" si="79"/>
        <v>0.79761904761904767</v>
      </c>
    </row>
    <row r="216" spans="5:29" x14ac:dyDescent="0.25">
      <c r="E216" s="5"/>
      <c r="M216" s="11"/>
      <c r="N216" s="11"/>
      <c r="O216" s="3" t="s">
        <v>238</v>
      </c>
      <c r="P216" s="3">
        <f t="shared" si="76"/>
        <v>22</v>
      </c>
      <c r="Q216" s="3">
        <f>COUNTIFS(F:F,"=3",G:G,"=0",D:D,"&lt;&gt;x")</f>
        <v>13</v>
      </c>
      <c r="R216" s="3">
        <f>COUNTIFS(F:F,"=3",G:G,"=1",D:D,"&lt;&gt;x")</f>
        <v>9</v>
      </c>
      <c r="S216" s="3">
        <f>COUNTIFS(F:F,"=3",G:G,"=2",D:D,"&lt;&gt;x")</f>
        <v>3</v>
      </c>
      <c r="T216" s="7">
        <f t="shared" si="77"/>
        <v>0.59090909090909094</v>
      </c>
      <c r="V216" s="11"/>
      <c r="W216" s="11"/>
      <c r="X216" s="3" t="s">
        <v>239</v>
      </c>
      <c r="Y216" s="3">
        <f t="shared" si="78"/>
        <v>5</v>
      </c>
      <c r="Z216" s="3">
        <f>COUNTIFS(I:I,"=6",J:J,"=0",D:D,"&lt;&gt;x")</f>
        <v>5</v>
      </c>
      <c r="AA216" s="3">
        <f>COUNTIFS(I:I,"=6",J:J,"=1",D:D,"&lt;&gt;x")</f>
        <v>0</v>
      </c>
      <c r="AB216" s="3">
        <f>COUNTIFS(I:I,"=6",J:J,"=2",D:D,"&lt;&gt;x")</f>
        <v>5</v>
      </c>
      <c r="AC216" s="7">
        <f t="shared" si="79"/>
        <v>1</v>
      </c>
    </row>
    <row r="217" spans="5:29" x14ac:dyDescent="0.25">
      <c r="E217" s="5"/>
      <c r="M217" s="11"/>
      <c r="N217" s="11"/>
      <c r="O217" s="3" t="s">
        <v>239</v>
      </c>
      <c r="P217" s="3">
        <f t="shared" si="76"/>
        <v>6</v>
      </c>
      <c r="Q217" s="3">
        <f>COUNTIFS(F:F,"=8",G:G,"=0",D:D,"&lt;&gt;x")</f>
        <v>5</v>
      </c>
      <c r="R217" s="3">
        <f>COUNTIFS(F:F,"=8",G:G,"=1",D:D,"&lt;&gt;x")</f>
        <v>1</v>
      </c>
      <c r="S217" s="3">
        <f>COUNTIFS(F:F,"=8",G:G,"=2",D:D,"&lt;&gt;x")</f>
        <v>5</v>
      </c>
      <c r="T217" s="7">
        <f t="shared" si="77"/>
        <v>0.83333333333333337</v>
      </c>
      <c r="V217" s="11"/>
      <c r="W217" s="11"/>
      <c r="X217" s="3" t="s">
        <v>240</v>
      </c>
      <c r="Y217" s="3">
        <f t="shared" si="78"/>
        <v>0</v>
      </c>
      <c r="Z217" s="3">
        <f>COUNTIFS(I:I,"=7",J:J,"=0",D:D,"&lt;&gt;x")</f>
        <v>0</v>
      </c>
      <c r="AA217" s="3">
        <f>COUNTIFS(I:I,"=7",J:J,"=1",D:D,"&lt;&gt;x")</f>
        <v>0</v>
      </c>
      <c r="AB217" s="3">
        <f>COUNTIFS(I:I,"=7",J:J,"=2",D:D,"&lt;&gt;x")</f>
        <v>0</v>
      </c>
      <c r="AC217" s="7" t="str">
        <f t="shared" si="79"/>
        <v>-</v>
      </c>
    </row>
    <row r="218" spans="5:29" x14ac:dyDescent="0.25">
      <c r="E218" s="5"/>
      <c r="M218" s="11"/>
      <c r="N218" s="11"/>
      <c r="O218" s="3" t="s">
        <v>241</v>
      </c>
      <c r="P218" s="3">
        <f t="shared" si="76"/>
        <v>84</v>
      </c>
      <c r="Q218" s="3">
        <f>COUNTIFS(F:F,"=9",G:G,"=0",D:D,"&lt;&gt;x")</f>
        <v>84</v>
      </c>
      <c r="R218" s="3">
        <f>COUNTIFS(F:F,"=9",G:G,"=1",D:D,"&lt;&gt;x")</f>
        <v>0</v>
      </c>
      <c r="S218" s="3">
        <f>COUNTIFS(F:F,"=9",G:G,"=2",D:D,"&lt;&gt;x")</f>
        <v>8</v>
      </c>
      <c r="T218" s="7">
        <f t="shared" si="77"/>
        <v>1</v>
      </c>
      <c r="V218" s="11"/>
      <c r="W218" s="11"/>
      <c r="X218" s="3" t="s">
        <v>242</v>
      </c>
      <c r="Y218" s="3">
        <f t="shared" si="78"/>
        <v>0</v>
      </c>
      <c r="Z218" s="3">
        <f>COUNTIFS(I:I,"=8",J:J,"=0",D:D,"&lt;&gt;x")</f>
        <v>0</v>
      </c>
      <c r="AA218" s="3">
        <f>COUNTIFS(I:I,"=8",J:J,"=1",D:D,"&lt;&gt;x")</f>
        <v>0</v>
      </c>
      <c r="AB218" s="3">
        <f>COUNTIFS(I:I,"=8",J:J,"=2",D:D,"&lt;&gt;x")</f>
        <v>2</v>
      </c>
      <c r="AC218" s="7" t="str">
        <f t="shared" si="79"/>
        <v>-</v>
      </c>
    </row>
    <row r="219" spans="5:29" x14ac:dyDescent="0.25">
      <c r="E219" s="5"/>
      <c r="M219" s="11"/>
      <c r="N219" s="11"/>
      <c r="O219" s="3" t="s">
        <v>240</v>
      </c>
      <c r="P219" s="3">
        <f t="shared" si="76"/>
        <v>0</v>
      </c>
      <c r="Q219" s="3">
        <f>COUNTIFS(F:F,"=5",G:G,"=0",D:D,"&lt;&gt;x")</f>
        <v>0</v>
      </c>
      <c r="R219" s="3">
        <f>COUNTIFS(F:F,"=5",G:G,"=1",D:D,"&lt;&gt;x")</f>
        <v>0</v>
      </c>
      <c r="S219" s="3">
        <f>COUNTIFS(F:F,"=5",G:G,"=2",D:D,"&lt;&gt;x")</f>
        <v>0</v>
      </c>
      <c r="T219" s="7" t="str">
        <f t="shared" si="77"/>
        <v>-</v>
      </c>
      <c r="X219" s="3"/>
      <c r="Y219" s="3"/>
      <c r="Z219" s="3"/>
      <c r="AA219" s="3"/>
      <c r="AB219" s="3"/>
      <c r="AC219" s="7"/>
    </row>
    <row r="220" spans="5:29" x14ac:dyDescent="0.25">
      <c r="E220" s="5"/>
    </row>
    <row r="221" spans="5:29" x14ac:dyDescent="0.25">
      <c r="E221" s="5"/>
    </row>
    <row r="222" spans="5:29" x14ac:dyDescent="0.25">
      <c r="E222" s="5"/>
    </row>
    <row r="223" spans="5:29" x14ac:dyDescent="0.25">
      <c r="E223" s="5"/>
    </row>
    <row r="224" spans="5:29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80">
    <mergeCell ref="M1:M10"/>
    <mergeCell ref="V1:V9"/>
    <mergeCell ref="N1:N10"/>
    <mergeCell ref="W1:W9"/>
    <mergeCell ref="M12:M21"/>
    <mergeCell ref="V12:V20"/>
    <mergeCell ref="N12:N21"/>
    <mergeCell ref="W12:W20"/>
    <mergeCell ref="M23:M32"/>
    <mergeCell ref="V23:V31"/>
    <mergeCell ref="N23:N32"/>
    <mergeCell ref="W23:W31"/>
    <mergeCell ref="M34:M43"/>
    <mergeCell ref="V34:V42"/>
    <mergeCell ref="N34:N43"/>
    <mergeCell ref="W34:W42"/>
    <mergeCell ref="M45:M54"/>
    <mergeCell ref="V45:V53"/>
    <mergeCell ref="N45:N54"/>
    <mergeCell ref="W45:W53"/>
    <mergeCell ref="M56:M65"/>
    <mergeCell ref="V56:V64"/>
    <mergeCell ref="N56:N65"/>
    <mergeCell ref="W56:W64"/>
    <mergeCell ref="M67:M76"/>
    <mergeCell ref="V67:V75"/>
    <mergeCell ref="N67:N76"/>
    <mergeCell ref="W67:W75"/>
    <mergeCell ref="M78:M87"/>
    <mergeCell ref="V78:V86"/>
    <mergeCell ref="N78:N87"/>
    <mergeCell ref="W78:W86"/>
    <mergeCell ref="M89:M98"/>
    <mergeCell ref="V89:V97"/>
    <mergeCell ref="N89:N98"/>
    <mergeCell ref="W89:W97"/>
    <mergeCell ref="M100:M109"/>
    <mergeCell ref="V100:V108"/>
    <mergeCell ref="N100:N109"/>
    <mergeCell ref="W100:W108"/>
    <mergeCell ref="M111:M120"/>
    <mergeCell ref="V111:V119"/>
    <mergeCell ref="N111:N120"/>
    <mergeCell ref="W111:W119"/>
    <mergeCell ref="M122:M131"/>
    <mergeCell ref="V122:V130"/>
    <mergeCell ref="N122:N131"/>
    <mergeCell ref="W122:W130"/>
    <mergeCell ref="M133:M142"/>
    <mergeCell ref="V133:V141"/>
    <mergeCell ref="N133:N142"/>
    <mergeCell ref="W133:W141"/>
    <mergeCell ref="M144:M153"/>
    <mergeCell ref="V144:V152"/>
    <mergeCell ref="N144:N153"/>
    <mergeCell ref="W144:W152"/>
    <mergeCell ref="M155:M164"/>
    <mergeCell ref="V155:V163"/>
    <mergeCell ref="N155:N164"/>
    <mergeCell ref="W155:W163"/>
    <mergeCell ref="M166:M175"/>
    <mergeCell ref="V166:V174"/>
    <mergeCell ref="N166:N175"/>
    <mergeCell ref="W166:W174"/>
    <mergeCell ref="M177:M186"/>
    <mergeCell ref="V177:V185"/>
    <mergeCell ref="N177:N186"/>
    <mergeCell ref="W177:W185"/>
    <mergeCell ref="M188:M197"/>
    <mergeCell ref="V188:V196"/>
    <mergeCell ref="N188:N197"/>
    <mergeCell ref="W188:W196"/>
    <mergeCell ref="M199:M208"/>
    <mergeCell ref="V199:V207"/>
    <mergeCell ref="N199:N208"/>
    <mergeCell ref="W199:W207"/>
    <mergeCell ref="M210:M219"/>
    <mergeCell ref="N210:N219"/>
    <mergeCell ref="V210:V218"/>
    <mergeCell ref="W210:W2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CATWP</cp:lastModifiedBy>
  <dcterms:created xsi:type="dcterms:W3CDTF">2023-05-28T20:23:17Z</dcterms:created>
  <dcterms:modified xsi:type="dcterms:W3CDTF">2023-05-31T10:24:42Z</dcterms:modified>
</cp:coreProperties>
</file>