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el2\Desktop\Git\Python\Branch grav\"/>
    </mc:Choice>
  </mc:AlternateContent>
  <xr:revisionPtr revIDLastSave="0" documentId="13_ncr:1_{0FA30E29-2405-4926-A972-EFCB17344169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B8" i="1"/>
  <c r="B5" i="1"/>
  <c r="B2" i="1"/>
  <c r="D23" i="1"/>
  <c r="E28" i="1"/>
  <c r="E29" i="1"/>
  <c r="E30" i="1"/>
  <c r="E31" i="1"/>
  <c r="E32" i="1"/>
  <c r="E33" i="1"/>
  <c r="E34" i="1"/>
  <c r="E27" i="1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K10" i="1"/>
  <c r="K9" i="1"/>
  <c r="K7" i="1"/>
  <c r="K6" i="1"/>
  <c r="C5" i="1"/>
  <c r="H7" i="1"/>
  <c r="H6" i="1"/>
  <c r="C23" i="1"/>
  <c r="B21" i="1"/>
  <c r="B20" i="1"/>
  <c r="B19" i="1"/>
  <c r="B17" i="1"/>
  <c r="B16" i="1"/>
  <c r="B15" i="1"/>
  <c r="F14" i="1"/>
  <c r="F13" i="1"/>
  <c r="H14" i="1"/>
  <c r="B14" i="1"/>
  <c r="C14" i="1"/>
  <c r="H13" i="1"/>
  <c r="C13" i="1"/>
  <c r="C18" i="1"/>
  <c r="B18" i="1"/>
  <c r="B13" i="1"/>
  <c r="B12" i="1"/>
  <c r="C10" i="1"/>
  <c r="B10" i="1"/>
  <c r="C9" i="1"/>
  <c r="B9" i="1"/>
  <c r="C8" i="1"/>
  <c r="C7" i="1"/>
  <c r="B7" i="1"/>
  <c r="B6" i="1"/>
  <c r="C6" i="1"/>
  <c r="D5" i="1"/>
  <c r="C4" i="1"/>
  <c r="C3" i="1"/>
  <c r="B4" i="1"/>
  <c r="B3" i="1"/>
  <c r="D2" i="1"/>
  <c r="C42" i="1" l="1"/>
  <c r="C36" i="1"/>
  <c r="C34" i="1"/>
  <c r="C30" i="1"/>
  <c r="C31" i="1"/>
  <c r="C33" i="1"/>
  <c r="C32" i="1"/>
  <c r="C29" i="1"/>
  <c r="C28" i="1"/>
  <c r="C27" i="1"/>
</calcChain>
</file>

<file path=xl/sharedStrings.xml><?xml version="1.0" encoding="utf-8"?>
<sst xmlns="http://schemas.openxmlformats.org/spreadsheetml/2006/main" count="152" uniqueCount="72">
  <si>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</si>
  <si>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</si>
  <si>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</si>
  <si>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</si>
  <si>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</si>
  <si>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</si>
  <si>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</si>
  <si>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</si>
  <si>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</si>
  <si>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</si>
  <si>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</si>
  <si>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</si>
  <si>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</si>
  <si>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</si>
  <si>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</si>
  <si>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</si>
  <si>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Lune</t>
  </si>
  <si>
    <t>Angle de rotation (deg)</t>
  </si>
  <si>
    <t>7.23</t>
  </si>
  <si>
    <t>scale</t>
  </si>
  <si>
    <t>position x</t>
  </si>
  <si>
    <t>position y</t>
  </si>
  <si>
    <t>position z</t>
  </si>
  <si>
    <t>rotation z</t>
  </si>
  <si>
    <t>rotation speed z</t>
  </si>
  <si>
    <t>rotation speed x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</si>
  <si>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</si>
  <si>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</si>
  <si>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</si>
  <si>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</si>
  <si>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</si>
  <si>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</si>
  <si>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</si>
  <si>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</si>
  <si>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</si>
  <si>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</si>
  <si>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</si>
  <si>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au soleil</t>
  </si>
  <si>
    <t>49 597 870</t>
  </si>
  <si>
    <t>1 430 000 000</t>
  </si>
  <si>
    <t>Distance planète satellite</t>
  </si>
  <si>
    <t>-</t>
  </si>
  <si>
    <t>Distance planète-satellite</t>
  </si>
  <si>
    <t>Temps de rotation sur elle-même</t>
  </si>
  <si>
    <t>2,73 jours</t>
  </si>
  <si>
    <t>42,5 heures</t>
  </si>
  <si>
    <t>85 heures</t>
  </si>
  <si>
    <t>600 heures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</si>
  <si>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</si>
  <si>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</si>
  <si>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</si>
  <si>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</si>
  <si>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</si>
  <si>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</si>
  <si>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</si>
  <si>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</si>
  <si>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assets/textures/Moon</t>
  </si>
  <si>
    <t>assets/textures/dione</t>
  </si>
  <si>
    <t>Diamètre (km)</t>
  </si>
  <si>
    <t>Période de révolution (Jour terrestre</t>
  </si>
  <si>
    <t>vitesse rotation équateur (km/jour terrestre)</t>
  </si>
  <si>
    <t>vitesse rotation équateur (rad/Jour terrestre)</t>
  </si>
  <si>
    <t>assets/textures/neptune</t>
  </si>
  <si>
    <t>vitesse x (m/s)</t>
  </si>
  <si>
    <t>vitesse y</t>
  </si>
  <si>
    <t>vitesse z</t>
  </si>
  <si>
    <t>Période de rotation (h)</t>
  </si>
  <si>
    <t>Jour</t>
  </si>
  <si>
    <t>Obliquity</t>
  </si>
  <si>
    <t>Inclination of equator</t>
  </si>
  <si>
    <t>2.64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</si>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</sst>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9BC2E6"/>
      </top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/>
      <bottom style="medium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4" fillId="0" borderId="2" xfId="0" applyFont="1" applyBorder="1" applyAlignment="1">
      <alignment horizontal="left" vertical="center"/>
    </xf>
    <xf numFmtId="1" fontId="4" fillId="0" borderId="2" xfId="1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5" borderId="2" xfId="1" applyNumberFormat="1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4" fillId="8" borderId="2" xfId="0" applyNumberFormat="1" applyFont="1" applyFill="1" applyBorder="1" applyAlignment="1">
      <alignment horizontal="center" vertical="center"/>
    </xf>
    <xf numFmtId="2" fontId="9" fillId="8" borderId="11" xfId="0" applyNumberFormat="1" applyFon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9" fillId="8" borderId="12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4" fillId="7" borderId="13" xfId="1" applyNumberFormat="1" applyFont="1" applyFill="1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49"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outline="0">
        <left style="medium">
          <color indexed="64"/>
        </left>
      </border>
    </dxf>
    <dxf>
      <font>
        <color auto="1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color auto="1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L21" totalsRowShown="0" headerRowDxfId="48" dataDxfId="46" headerRowBorderDxfId="47" tableBorderDxfId="45">
  <autoFilter ref="A1:L21" xr:uid="{524A4480-6DAB-4CB9-8F9A-6D7582E76A58}"/>
  <tableColumns count="12">
    <tableColumn id="1" xr3:uid="{A3C56C48-4D56-4E78-8EAC-8A8834CCB7B6}" name="Astres" dataDxfId="44"/>
    <tableColumn id="2" xr3:uid="{0ACD23B6-9D0A-41BC-9D2A-22A123127B9A}" name="Masse" dataDxfId="43">
      <calculatedColumnFormula>1.988*10^30</calculatedColumnFormula>
    </tableColumn>
    <tableColumn id="3" xr3:uid="{5449565D-8FF5-4D07-BC9E-A81B7DCC7C09}" name="Diamètre (km)" dataDxfId="42"/>
    <tableColumn id="5" xr3:uid="{2859AEC0-DB80-4F8A-8611-2D1CB99408B1}" name="Aplatissement" dataDxfId="41">
      <calculatedColumnFormula>9*10^-6</calculatedColumnFormula>
    </tableColumn>
    <tableColumn id="6" xr3:uid="{FEFB98A5-F681-4A28-8656-83E81E4A53E3}" name="Angle de rotation (deg)" dataDxfId="40"/>
    <tableColumn id="4" xr3:uid="{F49A900E-B0EE-48B7-858F-35EC2942B732}" name="vitesse rotation équateur (km/jour terrestre)" dataDxfId="39">
      <calculatedColumnFormula>24*24*60*60</calculatedColumnFormula>
    </tableColumn>
    <tableColumn id="7" xr3:uid="{7B87A2BE-ADED-4EC7-90F4-82312C153D69}" name="vitesse rotation équateur (rad/Jour terrestre)" dataDxfId="38">
      <calculatedColumnFormula>DEGREES((F2*1000/3600)/(C2*1000/2))/10</calculatedColumnFormula>
    </tableColumn>
    <tableColumn id="8" xr3:uid="{2C9717ED-55F0-43A9-8BF0-C1A01A73941C}" name="Distance au soleil" dataDxfId="37"/>
    <tableColumn id="9" xr3:uid="{8BA55CA0-627D-44EB-B07B-B27C2C506AD3}" name="Distance planète-satellite" dataDxfId="36"/>
    <tableColumn id="10" xr3:uid="{8E2EBB81-110D-4D53-8EB8-4CFC858D462C}" name="Temps de rotation sur elle-même" dataDxfId="35"/>
    <tableColumn id="11" xr3:uid="{46007689-E22E-408A-95A0-42C987AB8891}" name="Période de rotation (h)" dataDxfId="34"/>
    <tableColumn id="12" xr3:uid="{CEB4B556-C34F-49FE-AE7D-1C42DB00465B}" name="Période de révolution (Jour terrestre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2" dataDxfId="30" headerRowBorderDxfId="31" tableBorderDxfId="29">
  <autoFilter ref="A25:G45" xr:uid="{6B08AFF7-E6AC-487E-A862-54025ABD7D5C}"/>
  <tableColumns count="7">
    <tableColumn id="1" xr3:uid="{57D8D285-6390-4ADD-8C08-C6E8212288A7}" name="Astres" dataDxfId="28"/>
    <tableColumn id="2" xr3:uid="{9AA0953F-EB7A-4A32-8A2C-59A3B7D54DD6}" name="Masse" dataDxfId="27"/>
    <tableColumn id="3" xr3:uid="{42C928A3-CDC0-401D-BBEB-DBDE9C296C9E}" name="Diamètre" dataDxfId="26"/>
    <tableColumn id="5" xr3:uid="{F3774F47-11B7-41CC-BD67-B0851461EE8E}" name="Aplatissement" dataDxfId="25"/>
    <tableColumn id="6" xr3:uid="{B4AE3617-38DD-4C16-A173-5946879F54C9}" name="Distance soleil" dataDxfId="24">
      <calculatedColumnFormula>H2*$C$23</calculatedColumnFormula>
    </tableColumn>
    <tableColumn id="4" xr3:uid="{C1001996-59B6-404E-967B-839EFC3F25BB}" name="vitesse rotation équateur (km/h)" dataDxfId="23"/>
    <tableColumn id="7" xr3:uid="{126EF6A9-B272-4BB1-AC3A-3BAF656E5D0E}" name="Distance planète satellite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R21" totalsRowShown="0" headerRowDxfId="21" dataDxfId="20" headerRowBorderDxfId="18" tableBorderDxfId="19">
  <autoFilter ref="A1:R21" xr:uid="{CE3AC303-40F0-41E2-BA80-E1255A59C86D}"/>
  <tableColumns count="18">
    <tableColumn id="1" xr3:uid="{EDE95679-AC5E-459B-B3E8-463BBC0A2BCF}" name="Astres" dataDxfId="17"/>
    <tableColumn id="7" xr3:uid="{D0B2E9DF-29DF-408C-8213-3AD64854BC13}" name="scale" dataDxfId="16"/>
    <tableColumn id="16" xr3:uid="{511C8A8E-79AC-4372-A019-C8C95FAF13DF}" name="Texture" dataDxfId="15"/>
    <tableColumn id="2" xr3:uid="{1543D1AE-2916-4C13-B130-4C9C188F65FA}" name="position x" dataDxfId="14"/>
    <tableColumn id="9" xr3:uid="{BDE35151-E2B7-4D06-8610-409F0E9CE7A8}" name="position y" dataDxfId="13"/>
    <tableColumn id="10" xr3:uid="{66091E47-CC13-44CA-922F-02228188114E}" name="position z" dataDxfId="12"/>
    <tableColumn id="3" xr3:uid="{A0A9109F-3A5E-4113-B0C4-45A17BDE5075}" name="vitesse x (m/s)" dataDxfId="11">
      <calculatedColumnFormula>360/365</calculatedColumnFormula>
    </tableColumn>
    <tableColumn id="11" xr3:uid="{1FB021ED-D2AE-4B20-9894-A1A7B535AF42}" name="vitesse y" dataDxfId="10"/>
    <tableColumn id="8" xr3:uid="{6447372A-4624-4464-9007-45A417812819}" name="vitesse z" dataDxfId="9"/>
    <tableColumn id="5" xr3:uid="{BEAF4F8A-6F7B-4128-8128-A05793BBD938}" name="Obliquity" dataDxfId="8"/>
    <tableColumn id="13" xr3:uid="{B028B5E1-AA94-4521-955D-E61AE895B0ED}" name="Inclination of equator" dataDxfId="7"/>
    <tableColumn id="12" xr3:uid="{43855469-E423-4784-A5C9-DD6167279A62}" name="rotation z" dataDxfId="6"/>
    <tableColumn id="4" xr3:uid="{90418A25-9A76-4ED3-861C-BA83D4A59328}" name="rotation speed x" dataDxfId="5"/>
    <tableColumn id="15" xr3:uid="{D7830255-2F24-444E-9022-19DC045D5D90}" name="rotation speed y " dataDxfId="4">
      <calculatedColumnFormula>-360/24</calculatedColumnFormula>
    </tableColumn>
    <tableColumn id="14" xr3:uid="{A8BA6684-B306-497B-A744-8A1D3880FB82}" name="rotation speed z" dataDxfId="3"/>
    <tableColumn id="6" xr3:uid="{B03DB22F-765F-4F06-AEAD-65CC10F8BCF0}" name="Masse" dataDxfId="2">
      <calculatedColumnFormula>5.9736 * 10^24</calculatedColumnFormula>
    </tableColumn>
    <tableColumn id="17" xr3:uid="{5DA3F3EA-DE7C-43C4-8D80-21CB3170CB56}" name="Jour" dataDxfId="1"/>
    <tableColumn id="18" xr3:uid="{F2FEFCB5-85CA-466F-9114-EE6A558D548B}" name="Par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fr.wikipedia.org/wiki/Terre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opLeftCell="A3" workbookViewId="0">
      <selection activeCell="K9" sqref="K9"/>
    </sheetView>
  </sheetViews>
  <sheetFormatPr baseColWidth="10" defaultColWidth="8.88671875" defaultRowHeight="14.4" x14ac:dyDescent="0.3"/>
  <cols>
    <col min="1" max="1" width="12.88671875" customWidth="1"/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43.33203125" bestFit="1" customWidth="1"/>
    <col min="7" max="7" width="43.5546875" bestFit="1" customWidth="1"/>
    <col min="8" max="8" width="29" style="40" customWidth="1"/>
    <col min="9" max="9" width="26.109375" customWidth="1"/>
    <col min="10" max="10" width="39.5546875" customWidth="1"/>
    <col min="11" max="11" width="34.88671875" bestFit="1" customWidth="1"/>
    <col min="12" max="12" width="36.21875" bestFit="1" customWidth="1"/>
  </cols>
  <sheetData>
    <row r="1" spans="1:12" ht="58.95" customHeight="1" thickBot="1" x14ac:dyDescent="0.35">
      <c r="A1" s="2" t="s">
        <v>0</v>
      </c>
      <c r="B1" s="3" t="s">
        <v>1</v>
      </c>
      <c r="C1" s="2" t="s">
        <v>58</v>
      </c>
      <c r="D1" s="14" t="s">
        <v>5</v>
      </c>
      <c r="E1" s="1" t="s">
        <v>17</v>
      </c>
      <c r="F1" s="2" t="s">
        <v>60</v>
      </c>
      <c r="G1" s="2" t="s">
        <v>61</v>
      </c>
      <c r="H1" s="2" t="s">
        <v>37</v>
      </c>
      <c r="I1" s="21" t="s">
        <v>42</v>
      </c>
      <c r="J1" s="2" t="s">
        <v>43</v>
      </c>
      <c r="K1" s="21" t="s">
        <v>66</v>
      </c>
      <c r="L1" s="21" t="s">
        <v>59</v>
      </c>
    </row>
    <row r="2" spans="1:12" x14ac:dyDescent="0.3">
      <c r="A2" s="12" t="s">
        <v>3</v>
      </c>
      <c r="B2" s="7">
        <f>1.988*10^30</f>
        <v>1.988E+30</v>
      </c>
      <c r="C2" s="8">
        <v>1392684</v>
      </c>
      <c r="D2" s="7">
        <f t="shared" ref="D2" si="0">9*10^-6</f>
        <v>9.0000000000000002E-6</v>
      </c>
      <c r="E2" s="8" t="s">
        <v>18</v>
      </c>
      <c r="F2" s="9">
        <f xml:space="preserve">  (2*PI()/Tableau2[[#This Row],[Période de rotation (h)]])*(Tableau2[[#This Row],[Diamètre (km)]]/2)</f>
        <v>162046.14159896472</v>
      </c>
      <c r="G2" s="9">
        <f xml:space="preserve">  (2*PI()/Tableau2[[#This Row],[Période de rotation (h)]])</f>
        <v>0.23271056693257727</v>
      </c>
      <c r="H2" s="35">
        <v>0</v>
      </c>
      <c r="I2" s="9" t="s">
        <v>41</v>
      </c>
      <c r="J2" s="4"/>
      <c r="K2" s="4">
        <v>27</v>
      </c>
      <c r="L2" s="4"/>
    </row>
    <row r="3" spans="1:12" x14ac:dyDescent="0.3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f xml:space="preserve">  (2*PI()/Tableau2[[#This Row],[Période de rotation (h)]])*(Tableau2[[#This Row],[Diamètre (km)]]/2)</f>
        <v>261.36551055287362</v>
      </c>
      <c r="G3" s="9">
        <f xml:space="preserve">  (2*PI()/Tableau2[[#This Row],[Période de rotation (h)]])</f>
        <v>0.1071301842656366</v>
      </c>
      <c r="H3" s="35">
        <v>57000000</v>
      </c>
      <c r="I3" s="9" t="s">
        <v>41</v>
      </c>
      <c r="J3" s="4"/>
      <c r="K3" s="4">
        <v>58.65</v>
      </c>
      <c r="L3" s="4">
        <v>87.96</v>
      </c>
    </row>
    <row r="4" spans="1:12" x14ac:dyDescent="0.3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f xml:space="preserve">  (2*PI()/Tableau2[[#This Row],[Période de rotation (h)]])*(Tableau2[[#This Row],[Diamètre (km)]]/2)</f>
        <v>156.47331732023136</v>
      </c>
      <c r="G4" s="9">
        <f xml:space="preserve">  (2*PI()/Tableau2[[#This Row],[Période de rotation (h)]])</f>
        <v>2.5855665640013112E-2</v>
      </c>
      <c r="H4" s="35">
        <v>108000000</v>
      </c>
      <c r="I4" s="9" t="s">
        <v>41</v>
      </c>
      <c r="J4" s="4"/>
      <c r="K4" s="4">
        <v>243.01</v>
      </c>
      <c r="L4" s="4">
        <v>224.69</v>
      </c>
    </row>
    <row r="5" spans="1:12" x14ac:dyDescent="0.3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f xml:space="preserve">  (2*PI()/Tableau2[[#This Row],[Période de rotation (h)]])*(Tableau2[[#This Row],[Diamètre (km)]]/2)</f>
        <v>40075.016685578485</v>
      </c>
      <c r="G5" s="9">
        <f xml:space="preserve">  (2*PI()/Tableau2[[#This Row],[Période de rotation (h)]])</f>
        <v>6.2831853071795862</v>
      </c>
      <c r="H5" s="35">
        <v>149597887.5</v>
      </c>
      <c r="I5" s="9" t="s">
        <v>41</v>
      </c>
      <c r="J5" s="4"/>
      <c r="K5" s="4">
        <v>1</v>
      </c>
      <c r="L5" s="4">
        <v>365.25599999999997</v>
      </c>
    </row>
    <row r="6" spans="1:12" ht="15" thickBot="1" x14ac:dyDescent="0.35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f xml:space="preserve">  (2*PI()/Tableau2[[#This Row],[Période de rotation (h)]])*(Tableau2[[#This Row],[Diamètre (km)]]/2)</f>
        <v>20734.731922629111</v>
      </c>
      <c r="G6" s="9">
        <f xml:space="preserve">  (2*PI()/Tableau2[[#This Row],[Période de rotation (h)]])</f>
        <v>6.1056336639072768</v>
      </c>
      <c r="H6" s="35">
        <f>227.944*10^6</f>
        <v>227944000</v>
      </c>
      <c r="I6" s="9" t="s">
        <v>41</v>
      </c>
      <c r="J6" s="4"/>
      <c r="K6" s="4">
        <f>(24.63)/23.934</f>
        <v>1.0290799699172724</v>
      </c>
      <c r="L6" s="4">
        <v>686.97</v>
      </c>
    </row>
    <row r="7" spans="1:12" ht="15" thickBot="1" x14ac:dyDescent="0.35">
      <c r="A7" s="12" t="s">
        <v>10</v>
      </c>
      <c r="B7" s="10">
        <f>1.8986 * 10^27</f>
        <v>1.8986000000000002E+27</v>
      </c>
      <c r="C7" s="9">
        <f>71492*2</f>
        <v>142984</v>
      </c>
      <c r="D7" s="30">
        <v>6.4869999999999997E-2</v>
      </c>
      <c r="E7" s="9">
        <v>1.304</v>
      </c>
      <c r="F7" s="9">
        <f xml:space="preserve">  (2*PI()/Tableau2[[#This Row],[Période de rotation (h)]])*(Tableau2[[#This Row],[Diamètre (km)]]/2)</f>
        <v>1092479.6851537907</v>
      </c>
      <c r="G7" s="9">
        <f xml:space="preserve">  (2*PI()/Tableau2[[#This Row],[Période de rotation (h)]])</f>
        <v>15.281145934563177</v>
      </c>
      <c r="H7" s="35">
        <f>778.34 *10^6</f>
        <v>778340000</v>
      </c>
      <c r="I7" s="9" t="s">
        <v>41</v>
      </c>
      <c r="J7" s="4"/>
      <c r="K7" s="4">
        <f>(9.841)/23.934</f>
        <v>0.41117239074120493</v>
      </c>
      <c r="L7" s="4">
        <v>4332.5889999999999</v>
      </c>
    </row>
    <row r="8" spans="1:12" ht="15" thickBot="1" x14ac:dyDescent="0.35">
      <c r="A8" s="12" t="s">
        <v>12</v>
      </c>
      <c r="B8" s="10">
        <f>1.0243 * 10^26</f>
        <v>1.0243000000000001E+26</v>
      </c>
      <c r="C8" s="31">
        <f>24764*2</f>
        <v>49528</v>
      </c>
      <c r="D8" s="10">
        <v>9.7960000000000005E-2</v>
      </c>
      <c r="E8" s="31">
        <v>27</v>
      </c>
      <c r="F8" s="9">
        <f xml:space="preserve">  (2*PI()/Tableau2[[#This Row],[Période de rotation (h)]])*(Tableau2[[#This Row],[Diamètre (km)]]/2)</f>
        <v>15205.394405061592</v>
      </c>
      <c r="G8" s="9">
        <f xml:space="preserve">  (2*PI()/Tableau2[[#This Row],[Période de rotation (h)]])</f>
        <v>0.61401204995402969</v>
      </c>
      <c r="H8" s="35">
        <v>1426700000</v>
      </c>
      <c r="I8" s="9" t="s">
        <v>41</v>
      </c>
      <c r="J8" s="4"/>
      <c r="K8" s="4">
        <f>10.233</f>
        <v>10.233000000000001</v>
      </c>
      <c r="L8" s="4">
        <v>10759.23</v>
      </c>
    </row>
    <row r="9" spans="1:12" ht="15" thickBot="1" x14ac:dyDescent="0.35">
      <c r="A9" s="12" t="s">
        <v>13</v>
      </c>
      <c r="B9" s="9">
        <f>8.681 * 10^25</f>
        <v>8.6810000000000007E+25</v>
      </c>
      <c r="C9" s="9">
        <f>25559*2</f>
        <v>51118</v>
      </c>
      <c r="D9" s="32">
        <v>2.2929999999999999E-2</v>
      </c>
      <c r="E9" s="9">
        <v>98</v>
      </c>
      <c r="F9" s="9">
        <f xml:space="preserve">  (2*PI()/Tableau2[[#This Row],[Période de rotation (h)]])*(Tableau2[[#This Row],[Diamètre (km)]]/2)</f>
        <v>214726.66652476561</v>
      </c>
      <c r="G9" s="9">
        <f xml:space="preserve">  (2*PI()/Tableau2[[#This Row],[Période de rotation (h)]])</f>
        <v>8.4012154827953207</v>
      </c>
      <c r="H9" s="35">
        <v>2870700000</v>
      </c>
      <c r="I9" s="9" t="s">
        <v>41</v>
      </c>
      <c r="J9" s="4"/>
      <c r="K9" s="4">
        <f>(17.9)/23.934</f>
        <v>0.74789003091835871</v>
      </c>
      <c r="L9" s="4">
        <v>30685.4</v>
      </c>
    </row>
    <row r="10" spans="1:12" ht="15" thickBot="1" x14ac:dyDescent="0.35">
      <c r="A10" s="15" t="s">
        <v>14</v>
      </c>
      <c r="B10" s="9">
        <f>1.0243 * 10^26</f>
        <v>1.0243000000000001E+26</v>
      </c>
      <c r="C10" s="9">
        <f>24764*2</f>
        <v>49528</v>
      </c>
      <c r="D10" s="32">
        <v>1.7100000000000001E-2</v>
      </c>
      <c r="E10" s="9">
        <v>28.32</v>
      </c>
      <c r="F10" s="9">
        <f xml:space="preserve">  (2*PI()/Tableau2[[#This Row],[Période de rotation (h)]])*(Tableau2[[#This Row],[Diamètre (km)]]/2)</f>
        <v>231164.11135104811</v>
      </c>
      <c r="G10" s="9">
        <f xml:space="preserve">  (2*PI()/Tableau2[[#This Row],[Période de rotation (h)]])</f>
        <v>9.3346838697725776</v>
      </c>
      <c r="H10" s="35">
        <v>4498400000</v>
      </c>
      <c r="I10" s="9" t="s">
        <v>41</v>
      </c>
      <c r="J10" s="4"/>
      <c r="K10" s="4">
        <f>(16.11)/23.934</f>
        <v>0.67310102782652292</v>
      </c>
      <c r="L10" s="4">
        <v>60216.800000000003</v>
      </c>
    </row>
    <row r="11" spans="1:12" x14ac:dyDescent="0.3">
      <c r="A11" s="17"/>
      <c r="B11" s="18"/>
      <c r="C11" s="19"/>
      <c r="D11" s="20"/>
      <c r="E11" s="19"/>
      <c r="F11" s="19"/>
      <c r="G11" s="19"/>
      <c r="H11" s="37"/>
      <c r="I11" s="19"/>
      <c r="J11" s="19"/>
      <c r="K11" s="19"/>
      <c r="L11" s="19"/>
    </row>
    <row r="12" spans="1:12" x14ac:dyDescent="0.3">
      <c r="A12" s="6" t="s">
        <v>16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41</v>
      </c>
      <c r="H12" s="35" t="s">
        <v>38</v>
      </c>
      <c r="I12" s="9">
        <v>384400</v>
      </c>
      <c r="J12" s="4" t="s">
        <v>47</v>
      </c>
      <c r="K12" s="4"/>
      <c r="L12" s="4"/>
    </row>
    <row r="13" spans="1:12" x14ac:dyDescent="0.3">
      <c r="A13" s="24" t="s">
        <v>27</v>
      </c>
      <c r="B13" s="9">
        <f>4.8 * 10^22</f>
        <v>4.8E+22</v>
      </c>
      <c r="C13" s="5">
        <f>3121.6</f>
        <v>3121.6</v>
      </c>
      <c r="D13" s="5" t="s">
        <v>41</v>
      </c>
      <c r="E13" s="9">
        <v>0.46899999999999997</v>
      </c>
      <c r="F13" s="4">
        <f>(PI()*Tableau2[[#This Row],[Diamètre (km)]])/85</f>
        <v>115.37406620524585</v>
      </c>
      <c r="G13" s="4" t="s">
        <v>41</v>
      </c>
      <c r="H13" s="35">
        <f>270*10^6</f>
        <v>270000000</v>
      </c>
      <c r="I13" s="22">
        <v>671000</v>
      </c>
      <c r="J13" s="4" t="s">
        <v>46</v>
      </c>
      <c r="K13" s="4"/>
      <c r="L13" s="4"/>
    </row>
    <row r="14" spans="1:12" x14ac:dyDescent="0.3">
      <c r="A14" s="23" t="s">
        <v>28</v>
      </c>
      <c r="B14" s="9">
        <f>8.9319*10^22</f>
        <v>8.9319000000000013E+22</v>
      </c>
      <c r="C14" s="5">
        <f>3643.2</f>
        <v>3643.2</v>
      </c>
      <c r="D14" s="9" t="s">
        <v>41</v>
      </c>
      <c r="E14" s="9">
        <v>3.5999999999999997E-2</v>
      </c>
      <c r="F14" s="4">
        <f>(PI()*Tableau2[[#This Row],[Diamètre (km)]])/42.5</f>
        <v>269.30471424843137</v>
      </c>
      <c r="G14" s="4" t="s">
        <v>41</v>
      </c>
      <c r="H14" s="35">
        <f>778*10^6</f>
        <v>778000000</v>
      </c>
      <c r="I14" s="9">
        <v>442000</v>
      </c>
      <c r="J14" s="22" t="s">
        <v>45</v>
      </c>
      <c r="K14" s="4"/>
      <c r="L14" s="4"/>
    </row>
    <row r="15" spans="1:12" x14ac:dyDescent="0.3">
      <c r="A15" s="24" t="s">
        <v>29</v>
      </c>
      <c r="B15" s="9">
        <f>1.2 * 10^17</f>
        <v>1.2E+17</v>
      </c>
      <c r="C15" s="5"/>
      <c r="D15" s="9" t="s">
        <v>41</v>
      </c>
      <c r="E15" s="5"/>
      <c r="F15" s="9"/>
      <c r="G15" s="4" t="s">
        <v>41</v>
      </c>
      <c r="H15" s="36"/>
      <c r="I15" s="5"/>
      <c r="J15" s="4"/>
      <c r="K15" s="4"/>
      <c r="L15" s="4"/>
    </row>
    <row r="16" spans="1:12" x14ac:dyDescent="0.3">
      <c r="A16" s="25" t="s">
        <v>30</v>
      </c>
      <c r="B16" s="9">
        <f>1.4819*10^23</f>
        <v>1.4818999999999999E+23</v>
      </c>
      <c r="C16" s="5"/>
      <c r="D16" s="9" t="s">
        <v>41</v>
      </c>
      <c r="E16" s="5"/>
      <c r="F16" s="9"/>
      <c r="G16" s="4" t="s">
        <v>41</v>
      </c>
      <c r="H16" s="36"/>
      <c r="I16" s="5"/>
      <c r="J16" s="4"/>
      <c r="K16" s="4"/>
      <c r="L16" s="4"/>
    </row>
    <row r="17" spans="1:12" x14ac:dyDescent="0.3">
      <c r="A17" s="26" t="s">
        <v>31</v>
      </c>
      <c r="B17" s="9">
        <f>1.88*10^21</f>
        <v>1.88E+21</v>
      </c>
      <c r="C17" s="5"/>
      <c r="D17" s="9" t="s">
        <v>41</v>
      </c>
      <c r="E17" s="5"/>
      <c r="F17" s="9"/>
      <c r="G17" s="4" t="s">
        <v>41</v>
      </c>
      <c r="H17" s="35"/>
      <c r="I17" s="5"/>
      <c r="J17" s="4"/>
      <c r="K17" s="4"/>
      <c r="L17" s="4"/>
    </row>
    <row r="18" spans="1:12" x14ac:dyDescent="0.3">
      <c r="A18" s="25" t="s">
        <v>32</v>
      </c>
      <c r="B18" s="9">
        <f>1.096 * 10^21</f>
        <v>1.0960000000000001E+21</v>
      </c>
      <c r="C18" s="9">
        <f>1118</f>
        <v>1118</v>
      </c>
      <c r="D18" s="9" t="s">
        <v>41</v>
      </c>
      <c r="E18" s="5">
        <v>2E-3</v>
      </c>
      <c r="F18" s="9">
        <v>56.73</v>
      </c>
      <c r="G18" s="4" t="s">
        <v>41</v>
      </c>
      <c r="H18" s="35" t="s">
        <v>39</v>
      </c>
      <c r="I18" s="22">
        <v>377400</v>
      </c>
      <c r="J18" s="4" t="s">
        <v>44</v>
      </c>
      <c r="K18" s="4"/>
      <c r="L18" s="4"/>
    </row>
    <row r="19" spans="1:12" x14ac:dyDescent="0.3">
      <c r="A19" s="26" t="s">
        <v>33</v>
      </c>
      <c r="B19" s="11">
        <f>2.306518 * 10^21</f>
        <v>2.3065180000000001E+21</v>
      </c>
      <c r="C19" s="5"/>
      <c r="D19" s="9" t="s">
        <v>41</v>
      </c>
      <c r="E19" s="5"/>
      <c r="F19" s="9"/>
      <c r="G19" s="4" t="s">
        <v>41</v>
      </c>
      <c r="H19" s="35"/>
      <c r="I19" s="5"/>
      <c r="J19" s="4"/>
      <c r="K19" s="4"/>
      <c r="L19" s="4"/>
    </row>
    <row r="20" spans="1:12" x14ac:dyDescent="0.3">
      <c r="A20" s="25" t="s">
        <v>34</v>
      </c>
      <c r="B20" s="9">
        <f>2.14 * 10^22</f>
        <v>2.1400000000000002E+22</v>
      </c>
      <c r="C20" s="9"/>
      <c r="D20" s="9" t="s">
        <v>41</v>
      </c>
      <c r="E20" s="5"/>
      <c r="F20" s="9"/>
      <c r="G20" s="4" t="s">
        <v>41</v>
      </c>
      <c r="H20" s="35"/>
      <c r="I20" s="5"/>
      <c r="J20" s="4"/>
      <c r="K20" s="4"/>
      <c r="L20" s="4"/>
    </row>
    <row r="21" spans="1:12" ht="15" thickBot="1" x14ac:dyDescent="0.35">
      <c r="A21" s="27" t="s">
        <v>35</v>
      </c>
      <c r="B21" s="9">
        <f>1.29*10^22</f>
        <v>1.2900000000000001E+22</v>
      </c>
      <c r="C21" s="9"/>
      <c r="D21" s="9" t="s">
        <v>41</v>
      </c>
      <c r="E21" s="9"/>
      <c r="F21" s="9"/>
      <c r="G21" s="4" t="s">
        <v>41</v>
      </c>
      <c r="H21" s="35"/>
      <c r="I21" s="5"/>
      <c r="J21" s="4" t="s">
        <v>41</v>
      </c>
      <c r="K21" s="4"/>
      <c r="L21" s="4"/>
    </row>
    <row r="22" spans="1:12" x14ac:dyDescent="0.3">
      <c r="A22" s="28"/>
      <c r="B22" s="10"/>
      <c r="C22" s="10"/>
      <c r="D22" s="5"/>
      <c r="E22" s="10"/>
      <c r="F22" s="10"/>
      <c r="G22" s="5"/>
      <c r="H22" s="34"/>
      <c r="I22" s="5"/>
    </row>
    <row r="23" spans="1:12" x14ac:dyDescent="0.3">
      <c r="B23" t="s">
        <v>15</v>
      </c>
      <c r="C23">
        <f>C26/C2</f>
        <v>7.1803797559245308E-5</v>
      </c>
      <c r="D23">
        <f>0.0000001</f>
        <v>9.9999999999999995E-8</v>
      </c>
    </row>
    <row r="24" spans="1:12" ht="15" thickBot="1" x14ac:dyDescent="0.35"/>
    <row r="25" spans="1:12" ht="15" thickBot="1" x14ac:dyDescent="0.35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1" t="s">
        <v>40</v>
      </c>
    </row>
    <row r="26" spans="1:12" x14ac:dyDescent="0.3">
      <c r="A26" s="12" t="s">
        <v>3</v>
      </c>
      <c r="B26" s="7"/>
      <c r="C26" s="8">
        <v>100</v>
      </c>
      <c r="D26" s="7"/>
      <c r="E26" s="44">
        <v>0</v>
      </c>
      <c r="F26" s="9"/>
      <c r="G26" s="29" t="s">
        <v>41</v>
      </c>
    </row>
    <row r="27" spans="1:12" x14ac:dyDescent="0.3">
      <c r="A27" s="12" t="s">
        <v>4</v>
      </c>
      <c r="B27" s="10"/>
      <c r="C27" s="9">
        <f>C3*$C$23</f>
        <v>0.35035944981058154</v>
      </c>
      <c r="D27" s="10"/>
      <c r="E27" s="42">
        <f>H3*$D$23+100</f>
        <v>105.7</v>
      </c>
      <c r="F27" s="9"/>
      <c r="G27" s="5" t="s">
        <v>41</v>
      </c>
    </row>
    <row r="28" spans="1:12" x14ac:dyDescent="0.3">
      <c r="A28" s="12" t="s">
        <v>7</v>
      </c>
      <c r="B28" s="10"/>
      <c r="C28" s="9">
        <f t="shared" ref="C28:C33" si="1">C4*$C$23</f>
        <v>0.8690844441380815</v>
      </c>
      <c r="D28" s="10"/>
      <c r="E28" s="42">
        <f t="shared" ref="E28:E34" si="2">H4*$D$23+100</f>
        <v>110.8</v>
      </c>
      <c r="F28" s="9"/>
      <c r="G28" s="5" t="s">
        <v>41</v>
      </c>
    </row>
    <row r="29" spans="1:12" x14ac:dyDescent="0.3">
      <c r="A29" s="12" t="s">
        <v>8</v>
      </c>
      <c r="B29" s="10"/>
      <c r="C29" s="9">
        <f t="shared" si="1"/>
        <v>0.91594891590626437</v>
      </c>
      <c r="D29" s="10"/>
      <c r="E29" s="42">
        <f t="shared" si="2"/>
        <v>114.95978875</v>
      </c>
      <c r="F29" s="9"/>
      <c r="G29" s="5" t="s">
        <v>41</v>
      </c>
    </row>
    <row r="30" spans="1:12" x14ac:dyDescent="0.3">
      <c r="A30" s="12" t="s">
        <v>9</v>
      </c>
      <c r="B30" s="10"/>
      <c r="C30" s="9">
        <f t="shared" si="1"/>
        <v>0.48769139302239412</v>
      </c>
      <c r="D30" s="5"/>
      <c r="E30" s="42">
        <f t="shared" si="2"/>
        <v>122.7944</v>
      </c>
      <c r="F30" s="9"/>
      <c r="G30" s="5" t="s">
        <v>41</v>
      </c>
    </row>
    <row r="31" spans="1:12" x14ac:dyDescent="0.3">
      <c r="A31" s="12" t="s">
        <v>10</v>
      </c>
      <c r="B31" s="10"/>
      <c r="C31" s="9">
        <f t="shared" si="1"/>
        <v>10.266794190211131</v>
      </c>
      <c r="D31" s="5"/>
      <c r="E31" s="42">
        <f t="shared" si="2"/>
        <v>177.834</v>
      </c>
      <c r="F31" s="9"/>
      <c r="G31" s="5" t="s">
        <v>41</v>
      </c>
    </row>
    <row r="32" spans="1:12" x14ac:dyDescent="0.3">
      <c r="A32" s="12" t="s">
        <v>12</v>
      </c>
      <c r="B32" s="10"/>
      <c r="C32" s="9">
        <f t="shared" si="1"/>
        <v>3.5562984855143016</v>
      </c>
      <c r="D32" s="5"/>
      <c r="E32" s="42">
        <f t="shared" si="2"/>
        <v>242.67</v>
      </c>
      <c r="F32" s="9"/>
      <c r="G32" s="5" t="s">
        <v>41</v>
      </c>
    </row>
    <row r="33" spans="1:7" x14ac:dyDescent="0.3">
      <c r="A33" s="12" t="s">
        <v>13</v>
      </c>
      <c r="B33" s="10"/>
      <c r="C33" s="9">
        <f t="shared" si="1"/>
        <v>3.6704665236335017</v>
      </c>
      <c r="D33" s="5"/>
      <c r="E33" s="42">
        <f t="shared" si="2"/>
        <v>387.07</v>
      </c>
      <c r="F33" s="9"/>
      <c r="G33" s="5" t="s">
        <v>41</v>
      </c>
    </row>
    <row r="34" spans="1:7" x14ac:dyDescent="0.3">
      <c r="A34" s="13" t="s">
        <v>14</v>
      </c>
      <c r="B34" s="10"/>
      <c r="C34" s="9">
        <f>C10*$C$23</f>
        <v>3.5562984855143016</v>
      </c>
      <c r="D34" s="5"/>
      <c r="E34" s="42">
        <f t="shared" si="2"/>
        <v>549.83999999999992</v>
      </c>
      <c r="F34" s="9"/>
      <c r="G34" s="5" t="s">
        <v>41</v>
      </c>
    </row>
    <row r="35" spans="1:7" x14ac:dyDescent="0.3">
      <c r="A35" s="17"/>
      <c r="B35" s="20"/>
      <c r="C35" s="19"/>
      <c r="D35" s="20"/>
      <c r="E35" s="19"/>
      <c r="F35" s="19"/>
      <c r="G35" s="19"/>
    </row>
    <row r="36" spans="1:7" x14ac:dyDescent="0.3">
      <c r="A36" s="6" t="s">
        <v>16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3">
      <c r="A37" s="24" t="s">
        <v>27</v>
      </c>
      <c r="B37" s="9"/>
      <c r="C37" s="9"/>
      <c r="D37" s="5"/>
      <c r="E37" s="8"/>
      <c r="F37" s="8"/>
      <c r="G37" s="5"/>
    </row>
    <row r="38" spans="1:7" x14ac:dyDescent="0.3">
      <c r="A38" s="23" t="s">
        <v>28</v>
      </c>
      <c r="B38" s="9"/>
      <c r="C38" s="9"/>
      <c r="D38" s="5"/>
      <c r="E38" s="9"/>
      <c r="F38" s="9"/>
      <c r="G38" s="5"/>
    </row>
    <row r="39" spans="1:7" x14ac:dyDescent="0.3">
      <c r="A39" s="24" t="s">
        <v>29</v>
      </c>
      <c r="B39" s="9"/>
      <c r="C39" s="9"/>
      <c r="D39" s="5"/>
      <c r="E39" s="9"/>
      <c r="F39" s="9"/>
      <c r="G39" s="5"/>
    </row>
    <row r="40" spans="1:7" x14ac:dyDescent="0.3">
      <c r="A40" s="25" t="s">
        <v>30</v>
      </c>
      <c r="B40" s="9"/>
      <c r="C40" s="9"/>
      <c r="D40" s="5"/>
      <c r="E40" s="9"/>
      <c r="F40" s="9"/>
      <c r="G40" s="5"/>
    </row>
    <row r="41" spans="1:7" x14ac:dyDescent="0.3">
      <c r="A41" s="26" t="s">
        <v>31</v>
      </c>
      <c r="B41" s="11"/>
      <c r="C41" s="9"/>
      <c r="D41" s="5"/>
      <c r="E41" s="9"/>
      <c r="F41" s="9"/>
      <c r="G41" s="5"/>
    </row>
    <row r="42" spans="1:7" x14ac:dyDescent="0.3">
      <c r="A42" s="25" t="s">
        <v>32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3">
      <c r="A43" s="26" t="s">
        <v>33</v>
      </c>
      <c r="B43" s="9"/>
      <c r="C43" s="9"/>
      <c r="D43" s="5"/>
      <c r="E43" s="11"/>
      <c r="F43" s="11"/>
      <c r="G43" s="5"/>
    </row>
    <row r="44" spans="1:7" x14ac:dyDescent="0.3">
      <c r="A44" s="25" t="s">
        <v>34</v>
      </c>
      <c r="B44" s="9"/>
      <c r="C44" s="9"/>
      <c r="D44" s="5"/>
      <c r="E44" s="9"/>
      <c r="F44" s="9"/>
      <c r="G44" s="5"/>
    </row>
    <row r="45" spans="1:7" ht="15" thickBot="1" x14ac:dyDescent="0.35">
      <c r="A45" s="27" t="s">
        <v>35</v>
      </c>
      <c r="B45" s="9"/>
      <c r="C45" s="9"/>
      <c r="D45" s="5"/>
      <c r="E45" s="8"/>
      <c r="F45" s="8"/>
      <c r="G45" s="5"/>
    </row>
    <row r="46" spans="1:7" x14ac:dyDescent="0.3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T24"/>
  <sheetViews>
    <sheetView tabSelected="1" topLeftCell="P1" zoomScale="101" workbookViewId="0">
      <selection activeCell="P11" sqref="P11"/>
    </sheetView>
  </sheetViews>
  <sheetFormatPr baseColWidth="10" defaultRowHeight="14.4" x14ac:dyDescent="0.3"/>
  <cols>
    <col min="1" max="1" width="11.109375" bestFit="1" customWidth="1"/>
    <col min="2" max="2" width="10.33203125" bestFit="1" customWidth="1"/>
    <col min="3" max="3" width="22" bestFit="1" customWidth="1"/>
    <col min="4" max="4" width="47.109375" customWidth="1"/>
    <col min="5" max="5" width="16.88671875" bestFit="1" customWidth="1"/>
    <col min="6" max="6" width="14.109375" bestFit="1" customWidth="1"/>
    <col min="7" max="7" width="18.33203125" bestFit="1" customWidth="1"/>
    <col min="8" max="8" width="13.21875" bestFit="1" customWidth="1"/>
    <col min="9" max="9" width="13.109375" bestFit="1" customWidth="1"/>
    <col min="10" max="10" width="14.109375" bestFit="1" customWidth="1"/>
    <col min="11" max="11" width="24.33203125" bestFit="1" customWidth="1"/>
    <col min="12" max="12" width="14" bestFit="1" customWidth="1"/>
    <col min="13" max="13" width="19.77734375" bestFit="1" customWidth="1"/>
    <col min="14" max="14" width="20.21875" bestFit="1" customWidth="1"/>
    <col min="15" max="15" width="19.6640625" bestFit="1" customWidth="1"/>
    <col min="16" max="16" width="38.33203125" bestFit="1" customWidth="1"/>
    <col min="17" max="17" width="17.5546875" bestFit="1" customWidth="1"/>
  </cols>
  <sheetData>
    <row r="1" spans="1:20" s="33" customFormat="1" ht="15" thickBot="1" x14ac:dyDescent="0.35">
      <c r="A1" s="2" t="s">
        <v>0</v>
      </c>
      <c r="B1" s="16" t="s">
        <v>19</v>
      </c>
      <c r="C1" s="3" t="s">
        <v>36</v>
      </c>
      <c r="D1" s="3" t="s">
        <v>20</v>
      </c>
      <c r="E1" s="3" t="s">
        <v>21</v>
      </c>
      <c r="F1" s="3" t="s">
        <v>22</v>
      </c>
      <c r="G1" s="2" t="s">
        <v>63</v>
      </c>
      <c r="H1" s="3" t="s">
        <v>64</v>
      </c>
      <c r="I1" s="3" t="s">
        <v>65</v>
      </c>
      <c r="J1" s="3" t="s">
        <v>68</v>
      </c>
      <c r="K1" s="16" t="s">
        <v>69</v>
      </c>
      <c r="L1" s="16" t="s">
        <v>23</v>
      </c>
      <c r="M1" s="2" t="s">
        <v>25</v>
      </c>
      <c r="N1" s="39" t="s">
        <v>26</v>
      </c>
      <c r="O1" s="3" t="s">
        <v>24</v>
      </c>
      <c r="P1" s="3" t="s">
        <v>1</v>
      </c>
      <c r="Q1" s="3" t="s">
        <v>67</v>
      </c>
      <c r="R1" s="65" t="s">
        <v>71</v>
      </c>
    </row>
    <row r="2" spans="1:20" ht="15" thickBot="1" x14ac:dyDescent="0.35">
      <c r="A2" s="12" t="s">
        <v>3</v>
      </c>
      <c r="B2" s="43">
        <v>50</v>
      </c>
      <c r="C2" s="45" t="s">
        <v>48</v>
      </c>
      <c r="D2" s="52">
        <v>0</v>
      </c>
      <c r="E2" s="53">
        <v>0</v>
      </c>
      <c r="F2" s="53">
        <v>0</v>
      </c>
      <c r="G2" s="50">
        <v>0</v>
      </c>
      <c r="H2" s="51">
        <v>0</v>
      </c>
      <c r="I2" s="51">
        <v>0</v>
      </c>
      <c r="J2" s="66">
        <v>7.25</v>
      </c>
      <c r="K2" s="56">
        <v>0</v>
      </c>
      <c r="L2" s="56">
        <v>0</v>
      </c>
      <c r="M2" s="59">
        <v>0</v>
      </c>
      <c r="N2" s="60">
        <v>-1</v>
      </c>
      <c r="O2" s="59">
        <v>0</v>
      </c>
      <c r="P2" s="35">
        <v>1.9884E+30</v>
      </c>
      <c r="Q2" s="22">
        <v>2192832</v>
      </c>
      <c r="R2" s="64"/>
      <c r="T2">
        <v>2192832</v>
      </c>
    </row>
    <row r="3" spans="1:20" ht="15" thickBot="1" x14ac:dyDescent="0.35">
      <c r="A3" s="12" t="s">
        <v>4</v>
      </c>
      <c r="B3" s="43">
        <v>0.35034999999999999</v>
      </c>
      <c r="C3" s="41" t="s">
        <v>49</v>
      </c>
      <c r="D3" s="52">
        <v>69296993029</v>
      </c>
      <c r="E3" s="53">
        <v>8513511681</v>
      </c>
      <c r="F3" s="53">
        <v>0</v>
      </c>
      <c r="G3" s="50">
        <v>0</v>
      </c>
      <c r="H3" s="51">
        <v>0</v>
      </c>
      <c r="I3" s="51">
        <v>38860</v>
      </c>
      <c r="J3" s="55">
        <v>3.4000000000000002E-2</v>
      </c>
      <c r="K3" s="56">
        <v>3.4000000000000002E-2</v>
      </c>
      <c r="L3" s="56">
        <v>0</v>
      </c>
      <c r="M3" s="59">
        <v>0</v>
      </c>
      <c r="N3" s="61">
        <v>-1</v>
      </c>
      <c r="O3" s="59">
        <v>0</v>
      </c>
      <c r="P3" s="35">
        <v>3.3009999999999998E+23</v>
      </c>
      <c r="Q3" s="49">
        <v>5067360</v>
      </c>
      <c r="R3" s="64"/>
    </row>
    <row r="4" spans="1:20" ht="15" thickBot="1" x14ac:dyDescent="0.35">
      <c r="A4" s="12" t="s">
        <v>7</v>
      </c>
      <c r="B4" s="43">
        <v>0.8609</v>
      </c>
      <c r="C4" s="41" t="s">
        <v>50</v>
      </c>
      <c r="D4" s="52">
        <v>108749808500</v>
      </c>
      <c r="E4" s="53">
        <v>6451405457</v>
      </c>
      <c r="F4" s="53">
        <v>0</v>
      </c>
      <c r="G4" s="50">
        <v>0</v>
      </c>
      <c r="H4" s="51">
        <v>0</v>
      </c>
      <c r="I4" s="51">
        <v>34780</v>
      </c>
      <c r="J4" s="55">
        <v>177.36</v>
      </c>
      <c r="K4" s="56" t="s">
        <v>70</v>
      </c>
      <c r="L4" s="56">
        <v>0</v>
      </c>
      <c r="M4" s="59">
        <v>0</v>
      </c>
      <c r="N4" s="62">
        <v>1</v>
      </c>
      <c r="O4" s="59">
        <v>0</v>
      </c>
      <c r="P4" s="35">
        <v>4.8673000000000005E+24</v>
      </c>
      <c r="Q4" s="49">
        <v>10087200</v>
      </c>
      <c r="R4" s="64"/>
    </row>
    <row r="5" spans="1:20" ht="15" thickBot="1" x14ac:dyDescent="0.35">
      <c r="A5" s="12" t="s">
        <v>8</v>
      </c>
      <c r="B5" s="43">
        <v>0.91090000000000004</v>
      </c>
      <c r="C5" s="41" t="s">
        <v>51</v>
      </c>
      <c r="D5" s="52">
        <v>152097701000</v>
      </c>
      <c r="E5" s="53">
        <v>0</v>
      </c>
      <c r="F5" s="53">
        <v>0</v>
      </c>
      <c r="G5" s="50">
        <v>0</v>
      </c>
      <c r="H5" s="51">
        <v>0</v>
      </c>
      <c r="I5" s="51">
        <v>29290</v>
      </c>
      <c r="J5" s="56">
        <v>23.45</v>
      </c>
      <c r="K5" s="56">
        <v>23.45</v>
      </c>
      <c r="L5" s="56">
        <v>0</v>
      </c>
      <c r="M5" s="59">
        <v>0</v>
      </c>
      <c r="N5" s="61">
        <v>-1</v>
      </c>
      <c r="O5" s="59">
        <v>0</v>
      </c>
      <c r="P5" s="40">
        <v>5.9735999999999995E+24</v>
      </c>
      <c r="Q5" s="49">
        <v>86164.1</v>
      </c>
      <c r="R5" s="64"/>
      <c r="S5" s="63"/>
    </row>
    <row r="6" spans="1:20" ht="15" thickBot="1" x14ac:dyDescent="0.35">
      <c r="A6" s="12" t="s">
        <v>9</v>
      </c>
      <c r="B6" s="43">
        <v>0.48759999999999998</v>
      </c>
      <c r="C6" s="41" t="s">
        <v>52</v>
      </c>
      <c r="D6" s="52">
        <v>249131358100</v>
      </c>
      <c r="E6" s="53">
        <v>8038191813</v>
      </c>
      <c r="F6" s="53">
        <v>0</v>
      </c>
      <c r="G6" s="50">
        <v>0</v>
      </c>
      <c r="H6" s="51">
        <v>0</v>
      </c>
      <c r="I6" s="51">
        <v>21970</v>
      </c>
      <c r="J6" s="56">
        <v>25.19</v>
      </c>
      <c r="K6" s="56">
        <v>25.19</v>
      </c>
      <c r="L6" s="56">
        <v>0</v>
      </c>
      <c r="M6" s="59">
        <v>0</v>
      </c>
      <c r="N6" s="62">
        <v>-1</v>
      </c>
      <c r="O6" s="59">
        <v>0</v>
      </c>
      <c r="P6" s="35">
        <v>6.4168999999999996E+23</v>
      </c>
      <c r="Q6" s="49">
        <v>88774.92</v>
      </c>
      <c r="R6" s="64"/>
      <c r="S6" s="48"/>
    </row>
    <row r="7" spans="1:20" ht="15" thickBot="1" x14ac:dyDescent="0.35">
      <c r="A7" s="12" t="s">
        <v>10</v>
      </c>
      <c r="B7" s="43">
        <v>10.2667</v>
      </c>
      <c r="C7" s="41" t="s">
        <v>53</v>
      </c>
      <c r="D7" s="52">
        <v>816151580800</v>
      </c>
      <c r="E7" s="53">
        <v>18578077870</v>
      </c>
      <c r="F7" s="53">
        <v>0</v>
      </c>
      <c r="G7" s="50">
        <v>0</v>
      </c>
      <c r="H7" s="51">
        <v>0</v>
      </c>
      <c r="I7" s="51">
        <v>12440</v>
      </c>
      <c r="J7" s="55">
        <v>3.13</v>
      </c>
      <c r="K7" s="55">
        <v>3.13</v>
      </c>
      <c r="L7" s="56">
        <v>0</v>
      </c>
      <c r="M7" s="59">
        <v>0</v>
      </c>
      <c r="N7" s="61">
        <v>-1</v>
      </c>
      <c r="O7" s="59">
        <v>0</v>
      </c>
      <c r="P7" s="34">
        <v>1.89813E+24</v>
      </c>
      <c r="Q7" s="49">
        <v>35733.24</v>
      </c>
      <c r="R7" s="64"/>
    </row>
    <row r="8" spans="1:20" ht="15" thickBot="1" x14ac:dyDescent="0.35">
      <c r="A8" s="12" t="s">
        <v>12</v>
      </c>
      <c r="B8" s="43">
        <v>3.5562</v>
      </c>
      <c r="C8" s="41" t="s">
        <v>54</v>
      </c>
      <c r="D8" s="52">
        <v>1505110000000</v>
      </c>
      <c r="E8" s="53">
        <v>65346019204</v>
      </c>
      <c r="F8" s="53">
        <v>0</v>
      </c>
      <c r="G8" s="50">
        <v>0</v>
      </c>
      <c r="H8" s="51">
        <v>0</v>
      </c>
      <c r="I8" s="51">
        <v>9140</v>
      </c>
      <c r="J8" s="55">
        <v>26.73</v>
      </c>
      <c r="K8" s="55">
        <v>26.73</v>
      </c>
      <c r="L8" s="56">
        <v>0</v>
      </c>
      <c r="M8" s="59">
        <v>0</v>
      </c>
      <c r="N8" s="62">
        <v>-1</v>
      </c>
      <c r="O8" s="59">
        <v>0</v>
      </c>
      <c r="P8" s="34">
        <v>1.0243000000000001E+26</v>
      </c>
      <c r="Q8" s="49">
        <v>36838.800000000003</v>
      </c>
      <c r="R8" s="64"/>
    </row>
    <row r="9" spans="1:20" ht="15" thickBot="1" x14ac:dyDescent="0.35">
      <c r="A9" s="12" t="s">
        <v>13</v>
      </c>
      <c r="B9" s="43">
        <v>3.6703999999999999</v>
      </c>
      <c r="C9" s="41" t="s">
        <v>55</v>
      </c>
      <c r="D9" s="52">
        <v>3001118967000</v>
      </c>
      <c r="E9" s="53">
        <v>40334571830</v>
      </c>
      <c r="F9" s="53">
        <v>0</v>
      </c>
      <c r="G9" s="50">
        <v>0</v>
      </c>
      <c r="H9" s="51">
        <v>0</v>
      </c>
      <c r="I9" s="51">
        <v>6490</v>
      </c>
      <c r="J9" s="55">
        <v>98.77</v>
      </c>
      <c r="K9" s="56">
        <v>82.23</v>
      </c>
      <c r="L9" s="56">
        <v>0</v>
      </c>
      <c r="M9" s="61">
        <v>0</v>
      </c>
      <c r="N9" s="59">
        <v>1</v>
      </c>
      <c r="O9" s="59">
        <v>0</v>
      </c>
      <c r="P9" s="35">
        <v>8.6810999999999998E+25</v>
      </c>
      <c r="Q9" s="49">
        <v>62064</v>
      </c>
      <c r="R9" s="64"/>
    </row>
    <row r="10" spans="1:20" ht="15" thickBot="1" x14ac:dyDescent="0.35">
      <c r="A10" s="13" t="s">
        <v>14</v>
      </c>
      <c r="B10" s="43">
        <v>3.5562</v>
      </c>
      <c r="C10" s="41" t="s">
        <v>62</v>
      </c>
      <c r="D10" s="52">
        <v>4556681833000</v>
      </c>
      <c r="E10" s="53">
        <v>140811305300</v>
      </c>
      <c r="F10" s="53">
        <v>0</v>
      </c>
      <c r="G10" s="50">
        <v>0</v>
      </c>
      <c r="H10" s="51">
        <v>0</v>
      </c>
      <c r="I10" s="51">
        <v>5370</v>
      </c>
      <c r="J10" s="57">
        <v>28.32</v>
      </c>
      <c r="K10" s="56">
        <v>0</v>
      </c>
      <c r="L10" s="56">
        <v>0</v>
      </c>
      <c r="M10" s="59">
        <v>0</v>
      </c>
      <c r="N10" s="62">
        <v>-1</v>
      </c>
      <c r="O10" s="59">
        <v>0</v>
      </c>
      <c r="P10" s="35">
        <v>1.0240900000000001E+26</v>
      </c>
      <c r="Q10" s="49">
        <v>57996</v>
      </c>
      <c r="R10" s="64"/>
    </row>
    <row r="11" spans="1:20" x14ac:dyDescent="0.3">
      <c r="A11" s="17"/>
      <c r="B11" s="18"/>
      <c r="C11" s="19"/>
      <c r="D11" s="52"/>
      <c r="E11" s="53"/>
      <c r="F11" s="53"/>
      <c r="G11" s="50"/>
      <c r="H11" s="51"/>
      <c r="I11" s="51"/>
      <c r="J11" s="57"/>
      <c r="K11" s="56"/>
      <c r="L11" s="56"/>
      <c r="M11" s="59"/>
      <c r="N11" s="59"/>
      <c r="O11" s="59"/>
      <c r="P11" s="38"/>
      <c r="Q11" s="49"/>
      <c r="R11" s="64"/>
    </row>
    <row r="12" spans="1:20" x14ac:dyDescent="0.3">
      <c r="A12" s="6" t="s">
        <v>16</v>
      </c>
      <c r="B12" s="9">
        <v>0.02</v>
      </c>
      <c r="C12" s="41" t="s">
        <v>56</v>
      </c>
      <c r="D12" s="52">
        <v>403866216.26999998</v>
      </c>
      <c r="E12" s="53">
        <v>36217332.270000003</v>
      </c>
      <c r="F12" s="53">
        <v>0</v>
      </c>
      <c r="G12" s="50">
        <v>0</v>
      </c>
      <c r="H12" s="51">
        <v>0</v>
      </c>
      <c r="I12" s="51">
        <v>970</v>
      </c>
      <c r="J12" s="57">
        <v>6.68</v>
      </c>
      <c r="K12" s="56">
        <v>0</v>
      </c>
      <c r="L12" s="56">
        <v>0</v>
      </c>
      <c r="M12" s="59">
        <v>0</v>
      </c>
      <c r="N12" s="59">
        <v>-1</v>
      </c>
      <c r="O12" s="59">
        <v>0</v>
      </c>
      <c r="P12" s="35">
        <v>7.3460000000000003E+22</v>
      </c>
      <c r="Q12" s="49">
        <v>2360592</v>
      </c>
      <c r="R12" s="64">
        <v>3</v>
      </c>
    </row>
    <row r="13" spans="1:20" x14ac:dyDescent="0.3">
      <c r="A13" s="6" t="s">
        <v>27</v>
      </c>
      <c r="B13" s="9">
        <v>0</v>
      </c>
      <c r="C13" s="41">
        <v>0</v>
      </c>
      <c r="D13" s="52">
        <v>0</v>
      </c>
      <c r="E13" s="53">
        <v>0</v>
      </c>
      <c r="F13" s="53">
        <v>0</v>
      </c>
      <c r="G13" s="50">
        <v>0</v>
      </c>
      <c r="H13" s="51">
        <v>0</v>
      </c>
      <c r="I13" s="51">
        <v>0</v>
      </c>
      <c r="J13" s="56">
        <v>0</v>
      </c>
      <c r="K13" s="56">
        <v>0</v>
      </c>
      <c r="L13" s="56">
        <v>0</v>
      </c>
      <c r="M13" s="59">
        <v>0</v>
      </c>
      <c r="N13" s="59">
        <v>0</v>
      </c>
      <c r="O13" s="59">
        <v>0</v>
      </c>
      <c r="P13" s="35"/>
      <c r="Q13" s="49"/>
      <c r="R13" s="64"/>
    </row>
    <row r="14" spans="1:20" x14ac:dyDescent="0.3">
      <c r="A14" s="6" t="s">
        <v>28</v>
      </c>
      <c r="B14" s="9">
        <v>0</v>
      </c>
      <c r="C14" s="41">
        <v>0</v>
      </c>
      <c r="D14" s="52">
        <v>0</v>
      </c>
      <c r="E14" s="53">
        <v>0</v>
      </c>
      <c r="F14" s="53">
        <v>0</v>
      </c>
      <c r="G14" s="50">
        <v>0</v>
      </c>
      <c r="H14" s="51">
        <v>0</v>
      </c>
      <c r="I14" s="51">
        <v>0</v>
      </c>
      <c r="J14" s="56">
        <v>0</v>
      </c>
      <c r="K14" s="56">
        <v>0</v>
      </c>
      <c r="L14" s="56">
        <v>0</v>
      </c>
      <c r="M14" s="59">
        <v>0</v>
      </c>
      <c r="N14" s="59">
        <v>0</v>
      </c>
      <c r="O14" s="59">
        <v>0</v>
      </c>
      <c r="P14" s="35"/>
      <c r="Q14" s="49"/>
      <c r="R14" s="64"/>
    </row>
    <row r="15" spans="1:20" x14ac:dyDescent="0.3">
      <c r="A15" s="6" t="s">
        <v>29</v>
      </c>
      <c r="B15" s="9">
        <v>0</v>
      </c>
      <c r="C15" s="41">
        <v>0</v>
      </c>
      <c r="D15" s="54">
        <v>0</v>
      </c>
      <c r="E15" s="53">
        <v>0</v>
      </c>
      <c r="F15" s="53">
        <v>0</v>
      </c>
      <c r="G15" s="50">
        <v>0</v>
      </c>
      <c r="H15" s="51">
        <v>0</v>
      </c>
      <c r="I15" s="51">
        <v>0</v>
      </c>
      <c r="J15" s="56">
        <v>0</v>
      </c>
      <c r="K15" s="56">
        <v>0</v>
      </c>
      <c r="L15" s="56">
        <v>0</v>
      </c>
      <c r="M15" s="59">
        <v>0</v>
      </c>
      <c r="N15" s="59">
        <v>0</v>
      </c>
      <c r="O15" s="59">
        <v>0</v>
      </c>
      <c r="P15" s="35"/>
      <c r="Q15" s="49"/>
      <c r="R15" s="64"/>
    </row>
    <row r="16" spans="1:20" x14ac:dyDescent="0.3">
      <c r="A16" s="5" t="s">
        <v>30</v>
      </c>
      <c r="B16" s="9">
        <v>0</v>
      </c>
      <c r="C16" s="41">
        <v>0</v>
      </c>
      <c r="D16" s="54">
        <v>0</v>
      </c>
      <c r="E16" s="53">
        <v>0</v>
      </c>
      <c r="F16" s="53">
        <v>0</v>
      </c>
      <c r="G16" s="50">
        <v>0</v>
      </c>
      <c r="H16" s="51">
        <v>0</v>
      </c>
      <c r="I16" s="51">
        <v>0</v>
      </c>
      <c r="J16" s="56">
        <v>0</v>
      </c>
      <c r="K16" s="56">
        <v>0</v>
      </c>
      <c r="L16" s="56">
        <v>0</v>
      </c>
      <c r="M16" s="59">
        <v>0</v>
      </c>
      <c r="N16" s="59">
        <v>0</v>
      </c>
      <c r="O16" s="59">
        <v>0</v>
      </c>
      <c r="P16" s="35"/>
      <c r="Q16" s="49"/>
      <c r="R16" s="64"/>
    </row>
    <row r="17" spans="1:18" x14ac:dyDescent="0.3">
      <c r="A17" s="5" t="s">
        <v>31</v>
      </c>
      <c r="B17" s="9">
        <v>0</v>
      </c>
      <c r="C17" s="41">
        <v>0</v>
      </c>
      <c r="D17" s="54">
        <v>0</v>
      </c>
      <c r="E17" s="53">
        <v>0</v>
      </c>
      <c r="F17" s="53">
        <v>0</v>
      </c>
      <c r="G17" s="50">
        <v>0</v>
      </c>
      <c r="H17" s="51">
        <v>0</v>
      </c>
      <c r="I17" s="51">
        <v>0</v>
      </c>
      <c r="J17" s="56">
        <v>0</v>
      </c>
      <c r="K17" s="56">
        <v>0</v>
      </c>
      <c r="L17" s="56">
        <v>0</v>
      </c>
      <c r="M17" s="59">
        <v>0</v>
      </c>
      <c r="N17" s="59">
        <v>0</v>
      </c>
      <c r="O17" s="59">
        <v>0</v>
      </c>
      <c r="P17" s="35"/>
      <c r="Q17" s="49"/>
      <c r="R17" s="64"/>
    </row>
    <row r="18" spans="1:18" x14ac:dyDescent="0.3">
      <c r="A18" s="5" t="s">
        <v>32</v>
      </c>
      <c r="B18" s="9">
        <v>0.9</v>
      </c>
      <c r="C18" s="46" t="s">
        <v>57</v>
      </c>
      <c r="D18" s="54">
        <v>110</v>
      </c>
      <c r="E18" s="53">
        <v>5</v>
      </c>
      <c r="F18" s="53">
        <v>0</v>
      </c>
      <c r="G18" s="50">
        <v>0</v>
      </c>
      <c r="H18" s="51">
        <v>0</v>
      </c>
      <c r="I18" s="51">
        <v>0</v>
      </c>
      <c r="J18" s="58">
        <v>2E-3</v>
      </c>
      <c r="K18" s="56">
        <v>0</v>
      </c>
      <c r="L18" s="56">
        <v>0</v>
      </c>
      <c r="M18" s="59">
        <v>0</v>
      </c>
      <c r="N18" s="59">
        <v>53.73</v>
      </c>
      <c r="O18" s="59">
        <v>0</v>
      </c>
      <c r="P18" s="35"/>
      <c r="Q18" s="49"/>
      <c r="R18" s="64"/>
    </row>
    <row r="19" spans="1:18" x14ac:dyDescent="0.3">
      <c r="A19" s="5" t="s">
        <v>33</v>
      </c>
      <c r="B19" s="9">
        <v>0</v>
      </c>
      <c r="C19" s="41">
        <v>0</v>
      </c>
      <c r="D19" s="54">
        <v>0</v>
      </c>
      <c r="E19" s="53">
        <v>0</v>
      </c>
      <c r="F19" s="53">
        <v>0</v>
      </c>
      <c r="G19" s="50">
        <v>0</v>
      </c>
      <c r="H19" s="51">
        <v>0</v>
      </c>
      <c r="I19" s="51">
        <v>0</v>
      </c>
      <c r="J19" s="56">
        <v>0</v>
      </c>
      <c r="K19" s="56">
        <v>0</v>
      </c>
      <c r="L19" s="56">
        <v>0</v>
      </c>
      <c r="M19" s="59">
        <v>0</v>
      </c>
      <c r="N19" s="59">
        <v>0</v>
      </c>
      <c r="O19" s="59">
        <v>0</v>
      </c>
      <c r="P19" s="35"/>
      <c r="Q19" s="49"/>
      <c r="R19" s="64"/>
    </row>
    <row r="20" spans="1:18" x14ac:dyDescent="0.3">
      <c r="A20" s="5" t="s">
        <v>34</v>
      </c>
      <c r="B20" s="9">
        <v>0</v>
      </c>
      <c r="C20" s="41">
        <v>0</v>
      </c>
      <c r="D20" s="54">
        <v>0</v>
      </c>
      <c r="E20" s="53">
        <v>0</v>
      </c>
      <c r="F20" s="53">
        <v>0</v>
      </c>
      <c r="G20" s="50">
        <v>0</v>
      </c>
      <c r="H20" s="51">
        <v>0</v>
      </c>
      <c r="I20" s="51">
        <v>0</v>
      </c>
      <c r="J20" s="56">
        <v>0</v>
      </c>
      <c r="K20" s="56">
        <v>0</v>
      </c>
      <c r="L20" s="56">
        <v>0</v>
      </c>
      <c r="M20" s="59">
        <v>0</v>
      </c>
      <c r="N20" s="59">
        <v>0</v>
      </c>
      <c r="O20" s="59">
        <v>0</v>
      </c>
      <c r="P20" s="35"/>
      <c r="Q20" s="49"/>
      <c r="R20" s="64"/>
    </row>
    <row r="21" spans="1:18" ht="15" thickBot="1" x14ac:dyDescent="0.35">
      <c r="A21" s="5" t="s">
        <v>35</v>
      </c>
      <c r="B21" s="9">
        <v>0</v>
      </c>
      <c r="C21" s="47">
        <v>0</v>
      </c>
      <c r="D21" s="54">
        <v>0</v>
      </c>
      <c r="E21" s="53">
        <v>0</v>
      </c>
      <c r="F21" s="53">
        <v>0</v>
      </c>
      <c r="G21" s="50">
        <v>0</v>
      </c>
      <c r="H21" s="51">
        <v>0</v>
      </c>
      <c r="I21" s="51">
        <v>0</v>
      </c>
      <c r="J21" s="56">
        <v>0</v>
      </c>
      <c r="K21" s="56">
        <v>0</v>
      </c>
      <c r="L21" s="56">
        <v>0</v>
      </c>
      <c r="M21" s="59">
        <v>0</v>
      </c>
      <c r="N21" s="59">
        <v>0</v>
      </c>
      <c r="O21" s="59">
        <v>0</v>
      </c>
      <c r="P21" s="35"/>
      <c r="Q21" s="49"/>
      <c r="R21" s="64"/>
    </row>
    <row r="24" spans="1:18" x14ac:dyDescent="0.3">
      <c r="J24" s="66"/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MOUGNERES Mael</cp:lastModifiedBy>
  <dcterms:created xsi:type="dcterms:W3CDTF">2015-06-05T18:19:34Z</dcterms:created>
  <dcterms:modified xsi:type="dcterms:W3CDTF">2024-05-17T09:13:40Z</dcterms:modified>
</cp:coreProperties>
</file>