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ING\Desktop\Pedro\University\PROJETO\docs\SprintD\"/>
    </mc:Choice>
  </mc:AlternateContent>
  <xr:revisionPtr revIDLastSave="0" documentId="13_ncr:1_{90B1504B-D870-494C-8DBD-31CF9BEB584A}" xr6:coauthVersionLast="47" xr6:coauthVersionMax="47" xr10:uidLastSave="{00000000-0000-0000-0000-000000000000}"/>
  <bookViews>
    <workbookView xWindow="28680" yWindow="-120" windowWidth="29040" windowHeight="16440" tabRatio="500" firstSheet="2" activeTab="2" xr2:uid="{00000000-000D-0000-FFFF-FFFF00000000}"/>
  </bookViews>
  <sheets>
    <sheet name="owid-covid-data" sheetId="1" r:id="rId1"/>
    <sheet name="Variables" sheetId="2" r:id="rId2"/>
    <sheet name="Y1-X1" sheetId="26" r:id="rId3"/>
    <sheet name="Y1-X2" sheetId="25" r:id="rId4"/>
    <sheet name="Y1-X3" sheetId="27" r:id="rId5"/>
    <sheet name="Y1-X4" sheetId="28" r:id="rId6"/>
    <sheet name="Y1-X5" sheetId="29" r:id="rId7"/>
    <sheet name="Y1-X6" sheetId="30" r:id="rId8"/>
    <sheet name="Y2-X1" sheetId="31" r:id="rId9"/>
    <sheet name="Y2-X2" sheetId="32" r:id="rId10"/>
    <sheet name="Y2-X3" sheetId="33" r:id="rId11"/>
    <sheet name="Y2-X4" sheetId="34" r:id="rId12"/>
    <sheet name="Y2-X5" sheetId="35" r:id="rId13"/>
    <sheet name="Y2-X6" sheetId="36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P260" i="36" l="1"/>
  <c r="P51" i="27"/>
  <c r="P50" i="27"/>
  <c r="M477" i="23"/>
  <c r="K327" i="23"/>
  <c r="D327" i="23"/>
  <c r="E321" i="23"/>
  <c r="E320" i="23"/>
  <c r="K558" i="23"/>
  <c r="D558" i="23"/>
  <c r="E552" i="23"/>
  <c r="E553" i="23"/>
  <c r="E551" i="23"/>
  <c r="K558" i="24"/>
  <c r="D558" i="24"/>
  <c r="E320" i="24"/>
  <c r="K327" i="24" s="1"/>
  <c r="E321" i="24"/>
  <c r="E552" i="24"/>
  <c r="E551" i="24"/>
  <c r="D558" i="22"/>
  <c r="K558" i="22"/>
  <c r="E552" i="22"/>
  <c r="E551" i="22"/>
  <c r="K327" i="22"/>
  <c r="D327" i="22"/>
  <c r="K327" i="9"/>
  <c r="D327" i="9"/>
  <c r="K558" i="9"/>
  <c r="D558" i="9"/>
  <c r="K292" i="9"/>
  <c r="C411" i="9"/>
  <c r="C346" i="9"/>
  <c r="D346" i="9"/>
  <c r="E346" i="9"/>
  <c r="F346" i="9"/>
  <c r="G346" i="9"/>
  <c r="S345" i="9" s="1"/>
  <c r="H346" i="9"/>
  <c r="W355" i="9" s="1"/>
  <c r="C347" i="9"/>
  <c r="D347" i="9"/>
  <c r="E347" i="9"/>
  <c r="F347" i="9"/>
  <c r="G347" i="9"/>
  <c r="H347" i="9"/>
  <c r="T346" i="9" s="1"/>
  <c r="C348" i="9"/>
  <c r="D348" i="9"/>
  <c r="E348" i="9"/>
  <c r="F348" i="9"/>
  <c r="G348" i="9"/>
  <c r="H348" i="9"/>
  <c r="C349" i="9"/>
  <c r="D349" i="9"/>
  <c r="P348" i="9" s="1"/>
  <c r="E349" i="9"/>
  <c r="Q348" i="9" s="1"/>
  <c r="F349" i="9"/>
  <c r="R348" i="9" s="1"/>
  <c r="G349" i="9"/>
  <c r="S348" i="9" s="1"/>
  <c r="H349" i="9"/>
  <c r="T348" i="9" s="1"/>
  <c r="C350" i="9"/>
  <c r="D350" i="9"/>
  <c r="E350" i="9"/>
  <c r="Q349" i="9" s="1"/>
  <c r="F350" i="9"/>
  <c r="R349" i="9" s="1"/>
  <c r="G350" i="9"/>
  <c r="S349" i="9" s="1"/>
  <c r="H350" i="9"/>
  <c r="T349" i="9" s="1"/>
  <c r="C351" i="9"/>
  <c r="D351" i="9"/>
  <c r="E351" i="9"/>
  <c r="F351" i="9"/>
  <c r="R350" i="9" s="1"/>
  <c r="G351" i="9"/>
  <c r="S350" i="9" s="1"/>
  <c r="H351" i="9"/>
  <c r="T350" i="9" s="1"/>
  <c r="C352" i="9"/>
  <c r="D352" i="9"/>
  <c r="E352" i="9"/>
  <c r="F352" i="9"/>
  <c r="G352" i="9"/>
  <c r="S351" i="9" s="1"/>
  <c r="H352" i="9"/>
  <c r="T351" i="9" s="1"/>
  <c r="C353" i="9"/>
  <c r="D353" i="9"/>
  <c r="E353" i="9"/>
  <c r="F353" i="9"/>
  <c r="G353" i="9"/>
  <c r="H353" i="9"/>
  <c r="T352" i="9" s="1"/>
  <c r="C354" i="9"/>
  <c r="D354" i="9"/>
  <c r="E354" i="9"/>
  <c r="F354" i="9"/>
  <c r="G354" i="9"/>
  <c r="H354" i="9"/>
  <c r="C355" i="9"/>
  <c r="D355" i="9"/>
  <c r="P354" i="9" s="1"/>
  <c r="E355" i="9"/>
  <c r="Q354" i="9" s="1"/>
  <c r="F355" i="9"/>
  <c r="R354" i="9" s="1"/>
  <c r="G355" i="9"/>
  <c r="S354" i="9" s="1"/>
  <c r="H355" i="9"/>
  <c r="T354" i="9" s="1"/>
  <c r="C356" i="9"/>
  <c r="D356" i="9"/>
  <c r="E356" i="9"/>
  <c r="Q355" i="9" s="1"/>
  <c r="F356" i="9"/>
  <c r="R355" i="9" s="1"/>
  <c r="G356" i="9"/>
  <c r="S355" i="9" s="1"/>
  <c r="H356" i="9"/>
  <c r="T355" i="9" s="1"/>
  <c r="C357" i="9"/>
  <c r="D357" i="9"/>
  <c r="E357" i="9"/>
  <c r="F357" i="9"/>
  <c r="R356" i="9" s="1"/>
  <c r="G357" i="9"/>
  <c r="S356" i="9" s="1"/>
  <c r="H357" i="9"/>
  <c r="T356" i="9" s="1"/>
  <c r="C358" i="9"/>
  <c r="D358" i="9"/>
  <c r="E358" i="9"/>
  <c r="F358" i="9"/>
  <c r="G358" i="9"/>
  <c r="S357" i="9" s="1"/>
  <c r="H358" i="9"/>
  <c r="T357" i="9" s="1"/>
  <c r="C359" i="9"/>
  <c r="D359" i="9"/>
  <c r="E359" i="9"/>
  <c r="F359" i="9"/>
  <c r="G359" i="9"/>
  <c r="H359" i="9"/>
  <c r="T358" i="9" s="1"/>
  <c r="C360" i="9"/>
  <c r="D360" i="9"/>
  <c r="E360" i="9"/>
  <c r="F360" i="9"/>
  <c r="G360" i="9"/>
  <c r="H360" i="9"/>
  <c r="C361" i="9"/>
  <c r="D361" i="9"/>
  <c r="P360" i="9" s="1"/>
  <c r="E361" i="9"/>
  <c r="Q360" i="9" s="1"/>
  <c r="F361" i="9"/>
  <c r="R360" i="9" s="1"/>
  <c r="G361" i="9"/>
  <c r="S360" i="9" s="1"/>
  <c r="H361" i="9"/>
  <c r="T360" i="9" s="1"/>
  <c r="C362" i="9"/>
  <c r="D362" i="9"/>
  <c r="E362" i="9"/>
  <c r="Q361" i="9" s="1"/>
  <c r="F362" i="9"/>
  <c r="R361" i="9" s="1"/>
  <c r="G362" i="9"/>
  <c r="S361" i="9" s="1"/>
  <c r="H362" i="9"/>
  <c r="T361" i="9" s="1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64" i="9" s="1"/>
  <c r="N372" i="36"/>
  <c r="P451" i="24"/>
  <c r="P431" i="24"/>
  <c r="C399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D347" i="24"/>
  <c r="D346" i="24"/>
  <c r="E346" i="24"/>
  <c r="E347" i="24"/>
  <c r="D348" i="24"/>
  <c r="P347" i="24" s="1"/>
  <c r="E348" i="24"/>
  <c r="Q347" i="24" s="1"/>
  <c r="D349" i="24"/>
  <c r="E349" i="24"/>
  <c r="D350" i="24"/>
  <c r="E350" i="24"/>
  <c r="D351" i="24"/>
  <c r="P350" i="24" s="1"/>
  <c r="E351" i="24"/>
  <c r="Q350" i="24" s="1"/>
  <c r="D352" i="24"/>
  <c r="E352" i="24"/>
  <c r="D353" i="24"/>
  <c r="E353" i="24"/>
  <c r="D354" i="24"/>
  <c r="P353" i="24" s="1"/>
  <c r="E354" i="24"/>
  <c r="Q353" i="24" s="1"/>
  <c r="D355" i="24"/>
  <c r="E355" i="24"/>
  <c r="D356" i="24"/>
  <c r="E356" i="24"/>
  <c r="D357" i="24"/>
  <c r="E357" i="24"/>
  <c r="Q356" i="24" s="1"/>
  <c r="D358" i="24"/>
  <c r="E358" i="24"/>
  <c r="D359" i="24"/>
  <c r="E359" i="24"/>
  <c r="D360" i="24"/>
  <c r="E360" i="24"/>
  <c r="Q359" i="24" s="1"/>
  <c r="D361" i="24"/>
  <c r="E361" i="24"/>
  <c r="D362" i="24"/>
  <c r="E362" i="24"/>
  <c r="C349" i="24"/>
  <c r="O348" i="24" s="1"/>
  <c r="C348" i="24"/>
  <c r="C350" i="24"/>
  <c r="C351" i="24"/>
  <c r="C352" i="24"/>
  <c r="O351" i="24" s="1"/>
  <c r="C353" i="24"/>
  <c r="C354" i="24"/>
  <c r="C355" i="24"/>
  <c r="C356" i="24"/>
  <c r="C357" i="24"/>
  <c r="C358" i="24"/>
  <c r="C359" i="24"/>
  <c r="O358" i="24" s="1"/>
  <c r="C360" i="24"/>
  <c r="O359" i="24" s="1"/>
  <c r="C361" i="24"/>
  <c r="O360" i="24" s="1"/>
  <c r="O353" i="24"/>
  <c r="O352" i="24"/>
  <c r="C362" i="24"/>
  <c r="O347" i="24"/>
  <c r="C347" i="24"/>
  <c r="C346" i="24"/>
  <c r="O345" i="24" s="1"/>
  <c r="P181" i="24"/>
  <c r="M181" i="24"/>
  <c r="J181" i="24"/>
  <c r="G181" i="24"/>
  <c r="J180" i="24"/>
  <c r="G180" i="24"/>
  <c r="B364" i="22"/>
  <c r="P281" i="36"/>
  <c r="P257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A208" i="36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S164" i="36"/>
  <c r="B133" i="36"/>
  <c r="P94" i="36"/>
  <c r="P95" i="36" s="1"/>
  <c r="P70" i="36"/>
  <c r="P71" i="36" s="1"/>
  <c r="P35" i="36"/>
  <c r="P38" i="36" s="1"/>
  <c r="P34" i="36"/>
  <c r="P36" i="36" s="1"/>
  <c r="U79" i="36" s="1"/>
  <c r="P281" i="35"/>
  <c r="P257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A208" i="35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O190" i="35"/>
  <c r="S164" i="35"/>
  <c r="B133" i="35"/>
  <c r="P94" i="35"/>
  <c r="P95" i="35" s="1"/>
  <c r="P70" i="35"/>
  <c r="P71" i="35" s="1"/>
  <c r="P38" i="35"/>
  <c r="P37" i="35"/>
  <c r="P35" i="35"/>
  <c r="N178" i="35" s="1" a="1"/>
  <c r="N178" i="35" s="1"/>
  <c r="P34" i="35"/>
  <c r="E95" i="34"/>
  <c r="E93" i="34"/>
  <c r="E96" i="34"/>
  <c r="E91" i="34"/>
  <c r="E99" i="34"/>
  <c r="E97" i="34"/>
  <c r="E94" i="34"/>
  <c r="E92" i="34"/>
  <c r="E90" i="34"/>
  <c r="E88" i="34"/>
  <c r="E86" i="34"/>
  <c r="E84" i="34"/>
  <c r="E82" i="34"/>
  <c r="E80" i="34"/>
  <c r="E78" i="34"/>
  <c r="E76" i="34"/>
  <c r="E74" i="34"/>
  <c r="E89" i="34"/>
  <c r="E87" i="34"/>
  <c r="E85" i="34"/>
  <c r="E83" i="34"/>
  <c r="E81" i="34"/>
  <c r="E79" i="34"/>
  <c r="E77" i="34"/>
  <c r="E75" i="34"/>
  <c r="E73" i="34"/>
  <c r="E71" i="34"/>
  <c r="E69" i="34"/>
  <c r="E67" i="34"/>
  <c r="E65" i="34"/>
  <c r="E63" i="34"/>
  <c r="E72" i="34"/>
  <c r="E70" i="34"/>
  <c r="E68" i="34"/>
  <c r="E66" i="34"/>
  <c r="E64" i="34"/>
  <c r="E62" i="34"/>
  <c r="E61" i="34"/>
  <c r="E60" i="34"/>
  <c r="P281" i="34"/>
  <c r="P257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P229" i="34" s="1"/>
  <c r="A208" i="34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S164" i="34"/>
  <c r="B133" i="34"/>
  <c r="N190" i="34" s="1"/>
  <c r="P94" i="34"/>
  <c r="P95" i="34" s="1"/>
  <c r="P70" i="34"/>
  <c r="P71" i="34" s="1"/>
  <c r="P36" i="34"/>
  <c r="P35" i="34"/>
  <c r="N178" i="34" s="1" a="1"/>
  <c r="N178" i="34" s="1"/>
  <c r="O190" i="34" s="1"/>
  <c r="P34" i="34"/>
  <c r="P281" i="33"/>
  <c r="P257" i="33"/>
  <c r="P229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A208" i="33"/>
  <c r="A209" i="33" s="1"/>
  <c r="A210" i="33" s="1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N190" i="33"/>
  <c r="N189" i="33"/>
  <c r="M195" i="33" s="1"/>
  <c r="S164" i="33"/>
  <c r="S145" i="33"/>
  <c r="B133" i="33"/>
  <c r="P94" i="33"/>
  <c r="P95" i="33" s="1"/>
  <c r="P70" i="33"/>
  <c r="P71" i="33" s="1"/>
  <c r="P35" i="33"/>
  <c r="P34" i="33"/>
  <c r="P36" i="33" s="1"/>
  <c r="B226" i="31"/>
  <c r="P228" i="31"/>
  <c r="E95" i="32"/>
  <c r="E108" i="32"/>
  <c r="P79" i="32"/>
  <c r="N361" i="32" a="1"/>
  <c r="N361" i="32" s="1"/>
  <c r="O373" i="32" s="1"/>
  <c r="P281" i="32"/>
  <c r="P257" i="32"/>
  <c r="P229" i="32"/>
  <c r="B226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A215" i="32"/>
  <c r="A216" i="32" s="1"/>
  <c r="A217" i="32" s="1"/>
  <c r="A218" i="32" s="1"/>
  <c r="A219" i="32" s="1"/>
  <c r="A220" i="32" s="1"/>
  <c r="A221" i="32" s="1"/>
  <c r="A222" i="32" s="1"/>
  <c r="A223" i="32" s="1"/>
  <c r="A224" i="32" s="1"/>
  <c r="C214" i="32"/>
  <c r="B214" i="32"/>
  <c r="C213" i="32"/>
  <c r="B213" i="32"/>
  <c r="C212" i="32"/>
  <c r="B212" i="32"/>
  <c r="A212" i="32"/>
  <c r="A213" i="32" s="1"/>
  <c r="A214" i="32" s="1"/>
  <c r="C211" i="32"/>
  <c r="B211" i="32"/>
  <c r="C210" i="32"/>
  <c r="B210" i="32"/>
  <c r="C209" i="32"/>
  <c r="B209" i="32"/>
  <c r="A209" i="32"/>
  <c r="A210" i="32" s="1"/>
  <c r="A211" i="32" s="1"/>
  <c r="C208" i="32"/>
  <c r="B208" i="32"/>
  <c r="A208" i="32"/>
  <c r="N190" i="32"/>
  <c r="S164" i="32"/>
  <c r="S145" i="32"/>
  <c r="B133" i="32"/>
  <c r="N189" i="32" s="1"/>
  <c r="P95" i="32"/>
  <c r="P94" i="32"/>
  <c r="P70" i="32"/>
  <c r="P71" i="32" s="1"/>
  <c r="P35" i="32"/>
  <c r="P34" i="32"/>
  <c r="P36" i="32" s="1"/>
  <c r="U79" i="32" s="1"/>
  <c r="T379" i="30"/>
  <c r="M379" i="30"/>
  <c r="T379" i="29"/>
  <c r="M379" i="29"/>
  <c r="T379" i="28"/>
  <c r="M379" i="28"/>
  <c r="T379" i="27"/>
  <c r="M379" i="27"/>
  <c r="T379" i="25"/>
  <c r="M379" i="25"/>
  <c r="T379" i="26"/>
  <c r="M379" i="26"/>
  <c r="P281" i="31"/>
  <c r="P257" i="31"/>
  <c r="P230" i="31"/>
  <c r="C224" i="31"/>
  <c r="B224" i="31"/>
  <c r="C223" i="31"/>
  <c r="B223" i="31"/>
  <c r="C222" i="31"/>
  <c r="B222" i="31"/>
  <c r="C221" i="31"/>
  <c r="B221" i="31"/>
  <c r="C220" i="31"/>
  <c r="B220" i="31"/>
  <c r="C219" i="31"/>
  <c r="B219" i="31"/>
  <c r="C218" i="31"/>
  <c r="B218" i="31"/>
  <c r="C217" i="31"/>
  <c r="B217" i="31"/>
  <c r="C216" i="31"/>
  <c r="B216" i="31"/>
  <c r="C215" i="31"/>
  <c r="B215" i="31"/>
  <c r="C214" i="31"/>
  <c r="B214" i="31"/>
  <c r="C213" i="31"/>
  <c r="B213" i="31"/>
  <c r="C212" i="31"/>
  <c r="B212" i="31"/>
  <c r="C211" i="31"/>
  <c r="B211" i="31"/>
  <c r="C210" i="31"/>
  <c r="B210" i="31"/>
  <c r="C209" i="31"/>
  <c r="B209" i="31"/>
  <c r="A209" i="3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C208" i="31"/>
  <c r="B208" i="31"/>
  <c r="A208" i="31"/>
  <c r="B133" i="31"/>
  <c r="N190" i="31" s="1"/>
  <c r="P94" i="31"/>
  <c r="P70" i="31"/>
  <c r="P36" i="31"/>
  <c r="P35" i="31"/>
  <c r="P34" i="31"/>
  <c r="P281" i="30"/>
  <c r="P257" i="30"/>
  <c r="C224" i="30"/>
  <c r="B224" i="30"/>
  <c r="C223" i="30"/>
  <c r="B223" i="30"/>
  <c r="C222" i="30"/>
  <c r="B222" i="30"/>
  <c r="C221" i="30"/>
  <c r="B221" i="30"/>
  <c r="C220" i="30"/>
  <c r="B220" i="30"/>
  <c r="C219" i="30"/>
  <c r="B219" i="30"/>
  <c r="C218" i="30"/>
  <c r="B218" i="30"/>
  <c r="C217" i="30"/>
  <c r="B217" i="30"/>
  <c r="C216" i="30"/>
  <c r="B216" i="30"/>
  <c r="C215" i="30"/>
  <c r="B215" i="30"/>
  <c r="C214" i="30"/>
  <c r="B214" i="30"/>
  <c r="C213" i="30"/>
  <c r="B213" i="30"/>
  <c r="C212" i="30"/>
  <c r="B212" i="30"/>
  <c r="C211" i="30"/>
  <c r="B211" i="30"/>
  <c r="C210" i="30"/>
  <c r="B210" i="30"/>
  <c r="C209" i="30"/>
  <c r="B209" i="30"/>
  <c r="C208" i="30"/>
  <c r="B208" i="30"/>
  <c r="P229" i="30" s="1"/>
  <c r="A208" i="30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S164" i="30"/>
  <c r="B133" i="30"/>
  <c r="N190" i="30" s="1"/>
  <c r="P94" i="30"/>
  <c r="P95" i="30" s="1"/>
  <c r="P70" i="30"/>
  <c r="P71" i="30" s="1"/>
  <c r="P35" i="30"/>
  <c r="P34" i="30"/>
  <c r="P36" i="30" s="1"/>
  <c r="P103" i="30" s="1"/>
  <c r="P51" i="29"/>
  <c r="P50" i="29"/>
  <c r="P245" i="29"/>
  <c r="P244" i="29"/>
  <c r="P245" i="28"/>
  <c r="P244" i="28"/>
  <c r="P50" i="28"/>
  <c r="P51" i="28"/>
  <c r="P245" i="27"/>
  <c r="P244" i="27"/>
  <c r="P51" i="25"/>
  <c r="P50" i="25"/>
  <c r="P245" i="25"/>
  <c r="P244" i="25"/>
  <c r="P245" i="26"/>
  <c r="P244" i="26"/>
  <c r="P51" i="26"/>
  <c r="P50" i="26"/>
  <c r="N372" i="29"/>
  <c r="S332" i="29"/>
  <c r="P282" i="29"/>
  <c r="P281" i="29"/>
  <c r="P257" i="29"/>
  <c r="P258" i="29" s="1"/>
  <c r="P231" i="29"/>
  <c r="P229" i="29"/>
  <c r="B226" i="29"/>
  <c r="C224" i="29"/>
  <c r="B224" i="29"/>
  <c r="C223" i="29"/>
  <c r="B223" i="29"/>
  <c r="C222" i="29"/>
  <c r="B222" i="29"/>
  <c r="C221" i="29"/>
  <c r="B221" i="29"/>
  <c r="C220" i="29"/>
  <c r="B220" i="29"/>
  <c r="C219" i="29"/>
  <c r="B219" i="29"/>
  <c r="C218" i="29"/>
  <c r="B218" i="29"/>
  <c r="C217" i="29"/>
  <c r="B217" i="29"/>
  <c r="C216" i="29"/>
  <c r="B216" i="29"/>
  <c r="C215" i="29"/>
  <c r="B215" i="29"/>
  <c r="C214" i="29"/>
  <c r="B214" i="29"/>
  <c r="C213" i="29"/>
  <c r="B213" i="29"/>
  <c r="C212" i="29"/>
  <c r="B212" i="29"/>
  <c r="C211" i="29"/>
  <c r="B211" i="29"/>
  <c r="C210" i="29"/>
  <c r="B210" i="29"/>
  <c r="C209" i="29"/>
  <c r="B209" i="29"/>
  <c r="C208" i="29"/>
  <c r="B208" i="29"/>
  <c r="A208" i="29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M195" i="29"/>
  <c r="N190" i="29"/>
  <c r="S164" i="29"/>
  <c r="S145" i="29"/>
  <c r="B133" i="29"/>
  <c r="N189" i="29" s="1"/>
  <c r="T195" i="29" s="1"/>
  <c r="P95" i="29"/>
  <c r="P94" i="29"/>
  <c r="P71" i="29"/>
  <c r="P70" i="29"/>
  <c r="P37" i="29"/>
  <c r="P35" i="29"/>
  <c r="P38" i="29" s="1"/>
  <c r="P34" i="29"/>
  <c r="N373" i="28"/>
  <c r="S351" i="28"/>
  <c r="S332" i="28"/>
  <c r="P281" i="28"/>
  <c r="P282" i="28" s="1"/>
  <c r="P258" i="28"/>
  <c r="P257" i="28"/>
  <c r="B226" i="28"/>
  <c r="N372" i="28" s="1"/>
  <c r="C224" i="28"/>
  <c r="B224" i="28"/>
  <c r="C223" i="28"/>
  <c r="B223" i="28"/>
  <c r="C222" i="28"/>
  <c r="B222" i="28"/>
  <c r="C221" i="28"/>
  <c r="B221" i="28"/>
  <c r="C220" i="28"/>
  <c r="B220" i="28"/>
  <c r="C219" i="28"/>
  <c r="B219" i="28"/>
  <c r="C218" i="28"/>
  <c r="B218" i="28"/>
  <c r="C217" i="28"/>
  <c r="B217" i="28"/>
  <c r="C216" i="28"/>
  <c r="B216" i="28"/>
  <c r="C215" i="28"/>
  <c r="B215" i="28"/>
  <c r="C214" i="28"/>
  <c r="B214" i="28"/>
  <c r="C213" i="28"/>
  <c r="B213" i="28"/>
  <c r="C212" i="28"/>
  <c r="B212" i="28"/>
  <c r="C211" i="28"/>
  <c r="B211" i="28"/>
  <c r="C210" i="28"/>
  <c r="B210" i="28"/>
  <c r="C209" i="28"/>
  <c r="B209" i="28"/>
  <c r="C208" i="28"/>
  <c r="B208" i="28"/>
  <c r="P229" i="28" s="1"/>
  <c r="A208" i="28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T195" i="28"/>
  <c r="M195" i="28"/>
  <c r="N189" i="28"/>
  <c r="N178" i="28" a="1"/>
  <c r="N178" i="28" s="1"/>
  <c r="O190" i="28" s="1"/>
  <c r="S164" i="28"/>
  <c r="B133" i="28"/>
  <c r="N190" i="28" s="1"/>
  <c r="P95" i="28"/>
  <c r="P94" i="28"/>
  <c r="P71" i="28"/>
  <c r="P70" i="28"/>
  <c r="P37" i="28"/>
  <c r="P35" i="28"/>
  <c r="P34" i="28"/>
  <c r="P281" i="27"/>
  <c r="P257" i="27"/>
  <c r="C224" i="27"/>
  <c r="B224" i="27"/>
  <c r="C223" i="27"/>
  <c r="B223" i="27"/>
  <c r="C222" i="27"/>
  <c r="B222" i="27"/>
  <c r="C221" i="27"/>
  <c r="B221" i="27"/>
  <c r="C220" i="27"/>
  <c r="B220" i="27"/>
  <c r="C219" i="27"/>
  <c r="B219" i="27"/>
  <c r="C218" i="27"/>
  <c r="B218" i="27"/>
  <c r="C217" i="27"/>
  <c r="B217" i="27"/>
  <c r="C216" i="27"/>
  <c r="B216" i="27"/>
  <c r="C215" i="27"/>
  <c r="B215" i="27"/>
  <c r="C214" i="27"/>
  <c r="B214" i="27"/>
  <c r="C213" i="27"/>
  <c r="B213" i="27"/>
  <c r="C212" i="27"/>
  <c r="B212" i="27"/>
  <c r="A212" i="27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C211" i="27"/>
  <c r="B211" i="27"/>
  <c r="C210" i="27"/>
  <c r="B210" i="27"/>
  <c r="C209" i="27"/>
  <c r="B209" i="27"/>
  <c r="C208" i="27"/>
  <c r="B208" i="27"/>
  <c r="A208" i="27"/>
  <c r="A209" i="27" s="1"/>
  <c r="A210" i="27" s="1"/>
  <c r="A211" i="27" s="1"/>
  <c r="N190" i="27"/>
  <c r="N178" i="27" a="1"/>
  <c r="N178" i="27" s="1"/>
  <c r="O190" i="27" s="1"/>
  <c r="B133" i="27"/>
  <c r="P95" i="27"/>
  <c r="P94" i="27"/>
  <c r="P70" i="27"/>
  <c r="P71" i="27" s="1"/>
  <c r="P37" i="27"/>
  <c r="P35" i="27"/>
  <c r="P34" i="27"/>
  <c r="P36" i="27" s="1"/>
  <c r="P281" i="26"/>
  <c r="P257" i="26"/>
  <c r="P229" i="26"/>
  <c r="P231" i="26" s="1"/>
  <c r="B226" i="26"/>
  <c r="C224" i="26"/>
  <c r="B224" i="26"/>
  <c r="C223" i="26"/>
  <c r="B223" i="26"/>
  <c r="C222" i="26"/>
  <c r="B222" i="26"/>
  <c r="C221" i="26"/>
  <c r="B221" i="26"/>
  <c r="C220" i="26"/>
  <c r="B220" i="26"/>
  <c r="C219" i="26"/>
  <c r="B219" i="26"/>
  <c r="C218" i="26"/>
  <c r="B218" i="26"/>
  <c r="C217" i="26"/>
  <c r="B217" i="26"/>
  <c r="C216" i="26"/>
  <c r="B216" i="26"/>
  <c r="C215" i="26"/>
  <c r="B215" i="26"/>
  <c r="C214" i="26"/>
  <c r="B214" i="26"/>
  <c r="C213" i="26"/>
  <c r="B213" i="26"/>
  <c r="C212" i="26"/>
  <c r="B212" i="26"/>
  <c r="C211" i="26"/>
  <c r="B211" i="26"/>
  <c r="C210" i="26"/>
  <c r="B210" i="26"/>
  <c r="C209" i="26"/>
  <c r="B209" i="26"/>
  <c r="C208" i="26"/>
  <c r="B208" i="26"/>
  <c r="A208" i="26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N190" i="26"/>
  <c r="N189" i="26"/>
  <c r="M195" i="26" s="1"/>
  <c r="S164" i="26"/>
  <c r="S145" i="26"/>
  <c r="B133" i="26"/>
  <c r="P94" i="26"/>
  <c r="P95" i="26" s="1"/>
  <c r="P71" i="26"/>
  <c r="P70" i="26"/>
  <c r="P36" i="26"/>
  <c r="U103" i="26" s="1"/>
  <c r="P35" i="26"/>
  <c r="P34" i="26"/>
  <c r="P281" i="25"/>
  <c r="P257" i="25"/>
  <c r="B226" i="25"/>
  <c r="C224" i="25"/>
  <c r="B224" i="25"/>
  <c r="C223" i="25"/>
  <c r="B223" i="25"/>
  <c r="C222" i="25"/>
  <c r="B222" i="25"/>
  <c r="C221" i="25"/>
  <c r="B221" i="25"/>
  <c r="C220" i="25"/>
  <c r="B220" i="25"/>
  <c r="C219" i="25"/>
  <c r="B219" i="25"/>
  <c r="C218" i="25"/>
  <c r="B218" i="25"/>
  <c r="C217" i="25"/>
  <c r="B217" i="25"/>
  <c r="C216" i="25"/>
  <c r="B216" i="25"/>
  <c r="C215" i="25"/>
  <c r="B215" i="25"/>
  <c r="C214" i="25"/>
  <c r="B214" i="25"/>
  <c r="C213" i="25"/>
  <c r="B213" i="25"/>
  <c r="A213" i="25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C212" i="25"/>
  <c r="B212" i="25"/>
  <c r="C211" i="25"/>
  <c r="B211" i="25"/>
  <c r="C210" i="25"/>
  <c r="B210" i="25"/>
  <c r="C209" i="25"/>
  <c r="B209" i="25"/>
  <c r="C208" i="25"/>
  <c r="B208" i="25"/>
  <c r="P229" i="25" s="1"/>
  <c r="A208" i="25"/>
  <c r="A209" i="25" s="1"/>
  <c r="A210" i="25" s="1"/>
  <c r="A211" i="25" s="1"/>
  <c r="A212" i="25" s="1"/>
  <c r="S164" i="25"/>
  <c r="B133" i="25"/>
  <c r="N190" i="25" s="1"/>
  <c r="P94" i="25"/>
  <c r="P95" i="25" s="1"/>
  <c r="P70" i="25"/>
  <c r="P71" i="25" s="1"/>
  <c r="P35" i="25"/>
  <c r="P34" i="25"/>
  <c r="G8" i="24"/>
  <c r="K444" i="24"/>
  <c r="K424" i="24"/>
  <c r="P361" i="24"/>
  <c r="O361" i="24"/>
  <c r="Q361" i="24"/>
  <c r="Q360" i="24"/>
  <c r="P360" i="24"/>
  <c r="P359" i="24"/>
  <c r="P358" i="24"/>
  <c r="A359" i="24"/>
  <c r="A360" i="24" s="1"/>
  <c r="A361" i="24" s="1"/>
  <c r="A362" i="24" s="1"/>
  <c r="Q358" i="24"/>
  <c r="O357" i="24"/>
  <c r="Q357" i="24"/>
  <c r="P357" i="24"/>
  <c r="P356" i="24"/>
  <c r="O356" i="24"/>
  <c r="P355" i="24"/>
  <c r="Q355" i="24"/>
  <c r="O355" i="24"/>
  <c r="O354" i="24"/>
  <c r="P354" i="24"/>
  <c r="Q352" i="24"/>
  <c r="P352" i="24"/>
  <c r="Q351" i="24"/>
  <c r="P351" i="24"/>
  <c r="O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Q348" i="24"/>
  <c r="P348" i="24"/>
  <c r="Q346" i="24"/>
  <c r="P346" i="24"/>
  <c r="A347" i="24"/>
  <c r="A348" i="24" s="1"/>
  <c r="A349" i="24" s="1"/>
  <c r="O346" i="24"/>
  <c r="P345" i="24"/>
  <c r="A346" i="24"/>
  <c r="Q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D322" i="9"/>
  <c r="D321" i="9"/>
  <c r="D320" i="9"/>
  <c r="K444" i="9"/>
  <c r="K424" i="9"/>
  <c r="W353" i="9"/>
  <c r="W352" i="9"/>
  <c r="W351" i="9"/>
  <c r="W350" i="9"/>
  <c r="C162" i="9"/>
  <c r="C163" i="9" s="1"/>
  <c r="C167" i="9" s="1"/>
  <c r="Y376" i="9"/>
  <c r="P345" i="9"/>
  <c r="Q345" i="9"/>
  <c r="R345" i="9"/>
  <c r="P346" i="9"/>
  <c r="Q346" i="9"/>
  <c r="R346" i="9"/>
  <c r="S346" i="9"/>
  <c r="P347" i="9"/>
  <c r="Q347" i="9"/>
  <c r="R347" i="9"/>
  <c r="S347" i="9"/>
  <c r="T347" i="9"/>
  <c r="P349" i="9"/>
  <c r="P350" i="9"/>
  <c r="Q350" i="9"/>
  <c r="P351" i="9"/>
  <c r="Q351" i="9"/>
  <c r="R351" i="9"/>
  <c r="P352" i="9"/>
  <c r="Q352" i="9"/>
  <c r="R352" i="9"/>
  <c r="S352" i="9"/>
  <c r="P353" i="9"/>
  <c r="Q353" i="9"/>
  <c r="R353" i="9"/>
  <c r="S353" i="9"/>
  <c r="T353" i="9"/>
  <c r="P355" i="9"/>
  <c r="P356" i="9"/>
  <c r="Q356" i="9"/>
  <c r="P357" i="9"/>
  <c r="Q357" i="9"/>
  <c r="R357" i="9"/>
  <c r="P358" i="9"/>
  <c r="Q358" i="9"/>
  <c r="R358" i="9"/>
  <c r="S358" i="9"/>
  <c r="P359" i="9"/>
  <c r="Q359" i="9"/>
  <c r="R359" i="9"/>
  <c r="S359" i="9"/>
  <c r="T359" i="9"/>
  <c r="P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E322" i="9"/>
  <c r="D327" i="24" l="1"/>
  <c r="Y377" i="9"/>
  <c r="W354" i="9"/>
  <c r="T345" i="9"/>
  <c r="Y382" i="9" s="1"/>
  <c r="C393" i="9"/>
  <c r="Y378" i="9"/>
  <c r="Y379" i="9"/>
  <c r="W349" i="9"/>
  <c r="Y380" i="9"/>
  <c r="Y381" i="9"/>
  <c r="C394" i="9"/>
  <c r="C395" i="9" s="1"/>
  <c r="D553" i="9" s="1"/>
  <c r="E553" i="9"/>
  <c r="U350" i="24"/>
  <c r="P228" i="36"/>
  <c r="P230" i="36" s="1"/>
  <c r="U266" i="36" s="1"/>
  <c r="P103" i="36"/>
  <c r="U103" i="36"/>
  <c r="N190" i="36"/>
  <c r="S145" i="36"/>
  <c r="N189" i="36"/>
  <c r="P229" i="36"/>
  <c r="P231" i="36" s="1"/>
  <c r="B226" i="36"/>
  <c r="P41" i="36"/>
  <c r="P79" i="36"/>
  <c r="P37" i="36"/>
  <c r="P50" i="36" s="1"/>
  <c r="N178" i="36" a="1"/>
  <c r="N178" i="36" s="1"/>
  <c r="O190" i="36" s="1"/>
  <c r="P228" i="35"/>
  <c r="P230" i="35" s="1"/>
  <c r="U266" i="35"/>
  <c r="U290" i="35"/>
  <c r="P36" i="35"/>
  <c r="P103" i="35" s="1"/>
  <c r="P229" i="35"/>
  <c r="P232" i="35"/>
  <c r="P231" i="35"/>
  <c r="B226" i="35"/>
  <c r="P258" i="35"/>
  <c r="P282" i="35"/>
  <c r="N190" i="35"/>
  <c r="S145" i="35"/>
  <c r="N189" i="35"/>
  <c r="P228" i="34"/>
  <c r="P230" i="34" s="1"/>
  <c r="U266" i="34" s="1"/>
  <c r="P103" i="34"/>
  <c r="P38" i="34"/>
  <c r="P79" i="34"/>
  <c r="P231" i="34"/>
  <c r="P37" i="34"/>
  <c r="U79" i="34"/>
  <c r="U103" i="34"/>
  <c r="N189" i="34"/>
  <c r="P232" i="34"/>
  <c r="B226" i="34"/>
  <c r="S145" i="34"/>
  <c r="P228" i="33"/>
  <c r="P230" i="33" s="1"/>
  <c r="U103" i="33"/>
  <c r="P79" i="33"/>
  <c r="U79" i="33"/>
  <c r="P232" i="33"/>
  <c r="U266" i="33"/>
  <c r="U290" i="33"/>
  <c r="N178" i="33" a="1"/>
  <c r="N178" i="33" s="1"/>
  <c r="O190" i="33" s="1"/>
  <c r="P37" i="33"/>
  <c r="T195" i="33"/>
  <c r="P38" i="33"/>
  <c r="P103" i="33"/>
  <c r="B226" i="33"/>
  <c r="N361" i="33" s="1" a="1"/>
  <c r="N361" i="33" s="1"/>
  <c r="O373" i="33" s="1"/>
  <c r="P231" i="33"/>
  <c r="N178" i="32" a="1"/>
  <c r="N178" i="32" s="1"/>
  <c r="O190" i="32" s="1"/>
  <c r="P37" i="32"/>
  <c r="P38" i="32"/>
  <c r="U103" i="32"/>
  <c r="P103" i="32"/>
  <c r="T195" i="32"/>
  <c r="M195" i="32"/>
  <c r="P282" i="32"/>
  <c r="P258" i="32"/>
  <c r="P228" i="32"/>
  <c r="N372" i="32"/>
  <c r="N373" i="32"/>
  <c r="S351" i="32"/>
  <c r="S332" i="32"/>
  <c r="P231" i="32"/>
  <c r="P232" i="32"/>
  <c r="P103" i="31"/>
  <c r="S164" i="31"/>
  <c r="S332" i="31"/>
  <c r="P71" i="31"/>
  <c r="P229" i="31"/>
  <c r="P231" i="31" s="1"/>
  <c r="P95" i="31"/>
  <c r="P282" i="31"/>
  <c r="U79" i="31"/>
  <c r="U103" i="31"/>
  <c r="U266" i="31"/>
  <c r="U290" i="31"/>
  <c r="P38" i="31"/>
  <c r="N178" i="31" a="1"/>
  <c r="N178" i="31" s="1"/>
  <c r="O190" i="31" s="1"/>
  <c r="P79" i="31"/>
  <c r="P37" i="31"/>
  <c r="P258" i="31"/>
  <c r="P232" i="31"/>
  <c r="N372" i="31"/>
  <c r="P266" i="31"/>
  <c r="N373" i="31"/>
  <c r="S351" i="31"/>
  <c r="P290" i="31"/>
  <c r="N361" i="31" a="1"/>
  <c r="N361" i="31" s="1"/>
  <c r="O373" i="31" s="1"/>
  <c r="N189" i="31"/>
  <c r="S145" i="31"/>
  <c r="P228" i="30"/>
  <c r="P230" i="30" s="1"/>
  <c r="U266" i="30" s="1"/>
  <c r="N361" i="30" a="1"/>
  <c r="N361" i="30" s="1"/>
  <c r="O373" i="30" s="1"/>
  <c r="P232" i="30"/>
  <c r="P231" i="30"/>
  <c r="P38" i="30"/>
  <c r="N178" i="30" a="1"/>
  <c r="N178" i="30" s="1"/>
  <c r="O190" i="30" s="1"/>
  <c r="P37" i="30"/>
  <c r="U79" i="30"/>
  <c r="U103" i="30"/>
  <c r="P79" i="30"/>
  <c r="P282" i="30"/>
  <c r="N189" i="30"/>
  <c r="B226" i="30"/>
  <c r="S145" i="30"/>
  <c r="N178" i="29" a="1"/>
  <c r="N178" i="29" s="1"/>
  <c r="O190" i="29" s="1"/>
  <c r="P36" i="29"/>
  <c r="P103" i="29" s="1"/>
  <c r="P228" i="29"/>
  <c r="P230" i="29" s="1"/>
  <c r="N361" i="29" a="1"/>
  <c r="N361" i="29" s="1"/>
  <c r="O373" i="29" s="1"/>
  <c r="P232" i="29"/>
  <c r="S351" i="29"/>
  <c r="N373" i="29"/>
  <c r="P290" i="29"/>
  <c r="P228" i="28"/>
  <c r="P230" i="28" s="1"/>
  <c r="U290" i="28" s="1"/>
  <c r="P232" i="28"/>
  <c r="U266" i="28"/>
  <c r="P231" i="28"/>
  <c r="P36" i="28"/>
  <c r="P79" i="28" s="1"/>
  <c r="N361" i="28" a="1"/>
  <c r="N361" i="28" s="1"/>
  <c r="O373" i="28" s="1"/>
  <c r="P38" i="28"/>
  <c r="P266" i="28"/>
  <c r="S145" i="28"/>
  <c r="P38" i="27"/>
  <c r="U103" i="27"/>
  <c r="P79" i="27"/>
  <c r="U79" i="27"/>
  <c r="P228" i="27"/>
  <c r="P230" i="27" s="1"/>
  <c r="P229" i="27"/>
  <c r="N189" i="27"/>
  <c r="P258" i="27"/>
  <c r="S145" i="27"/>
  <c r="P103" i="27"/>
  <c r="S164" i="27"/>
  <c r="B226" i="27"/>
  <c r="S332" i="26"/>
  <c r="S351" i="26"/>
  <c r="N372" i="26"/>
  <c r="P228" i="26"/>
  <c r="N361" i="26" a="1"/>
  <c r="N361" i="26" s="1"/>
  <c r="O373" i="26" s="1"/>
  <c r="N178" i="26" a="1"/>
  <c r="N178" i="26" s="1"/>
  <c r="O190" i="26" s="1"/>
  <c r="P37" i="26"/>
  <c r="P258" i="26"/>
  <c r="N373" i="26"/>
  <c r="P79" i="26"/>
  <c r="U79" i="26"/>
  <c r="P282" i="26"/>
  <c r="P38" i="26"/>
  <c r="P103" i="26"/>
  <c r="T195" i="26"/>
  <c r="P228" i="25"/>
  <c r="P230" i="25" s="1"/>
  <c r="U266" i="25" s="1"/>
  <c r="P36" i="25"/>
  <c r="P103" i="25" s="1"/>
  <c r="P232" i="25"/>
  <c r="N361" i="25" a="1"/>
  <c r="N361" i="25" s="1"/>
  <c r="O373" i="25" s="1"/>
  <c r="P231" i="25"/>
  <c r="N372" i="25"/>
  <c r="N373" i="25"/>
  <c r="S351" i="25"/>
  <c r="S332" i="25"/>
  <c r="P282" i="25"/>
  <c r="P38" i="25"/>
  <c r="P37" i="25"/>
  <c r="N178" i="25" a="1"/>
  <c r="N178" i="25" s="1"/>
  <c r="O190" i="25" s="1"/>
  <c r="P258" i="25"/>
  <c r="N189" i="25"/>
  <c r="S145" i="25"/>
  <c r="U349" i="24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N365" i="9" l="1" a="1"/>
  <c r="U290" i="36"/>
  <c r="P40" i="36"/>
  <c r="P51" i="36"/>
  <c r="P232" i="36"/>
  <c r="N361" i="36" a="1"/>
  <c r="N361" i="36" s="1"/>
  <c r="O373" i="36" s="1"/>
  <c r="S332" i="36"/>
  <c r="P266" i="36"/>
  <c r="N373" i="36"/>
  <c r="P258" i="36"/>
  <c r="S351" i="36"/>
  <c r="P290" i="36"/>
  <c r="M195" i="36"/>
  <c r="T195" i="36"/>
  <c r="P282" i="36"/>
  <c r="T195" i="35"/>
  <c r="M195" i="35"/>
  <c r="P51" i="35"/>
  <c r="P50" i="35"/>
  <c r="P244" i="35"/>
  <c r="P245" i="35"/>
  <c r="P235" i="35"/>
  <c r="P234" i="35" s="1"/>
  <c r="P79" i="35"/>
  <c r="N361" i="35" a="1"/>
  <c r="N361" i="35" s="1"/>
  <c r="O373" i="35" s="1"/>
  <c r="U79" i="35"/>
  <c r="U103" i="35"/>
  <c r="P41" i="35"/>
  <c r="N372" i="35"/>
  <c r="N373" i="35"/>
  <c r="S351" i="35"/>
  <c r="S332" i="35"/>
  <c r="P266" i="35"/>
  <c r="P290" i="35"/>
  <c r="U290" i="34"/>
  <c r="P50" i="34"/>
  <c r="P41" i="34"/>
  <c r="P51" i="34"/>
  <c r="P244" i="34"/>
  <c r="P235" i="34"/>
  <c r="P245" i="34"/>
  <c r="T195" i="34"/>
  <c r="M195" i="34"/>
  <c r="N372" i="34"/>
  <c r="P266" i="34"/>
  <c r="P290" i="34"/>
  <c r="N373" i="34"/>
  <c r="S351" i="34"/>
  <c r="S332" i="34"/>
  <c r="P282" i="34"/>
  <c r="P258" i="34"/>
  <c r="N361" i="34" a="1"/>
  <c r="N361" i="34" s="1"/>
  <c r="O373" i="34" s="1"/>
  <c r="P235" i="33"/>
  <c r="P234" i="33" s="1"/>
  <c r="E215" i="33" s="1"/>
  <c r="F215" i="33" s="1"/>
  <c r="G215" i="33" s="1"/>
  <c r="P245" i="33"/>
  <c r="P244" i="33"/>
  <c r="P282" i="33"/>
  <c r="E218" i="33"/>
  <c r="F218" i="33" s="1"/>
  <c r="G218" i="33" s="1"/>
  <c r="E216" i="33"/>
  <c r="F216" i="33" s="1"/>
  <c r="G216" i="33" s="1"/>
  <c r="E214" i="33"/>
  <c r="F214" i="33" s="1"/>
  <c r="G214" i="33" s="1"/>
  <c r="P41" i="33"/>
  <c r="P51" i="33"/>
  <c r="P50" i="33"/>
  <c r="P290" i="33"/>
  <c r="S332" i="33"/>
  <c r="P266" i="33"/>
  <c r="N373" i="33"/>
  <c r="P258" i="33"/>
  <c r="N372" i="33"/>
  <c r="S351" i="33"/>
  <c r="M379" i="31"/>
  <c r="T379" i="31"/>
  <c r="T379" i="32"/>
  <c r="M379" i="32"/>
  <c r="P230" i="32"/>
  <c r="P266" i="32" s="1"/>
  <c r="P50" i="32"/>
  <c r="P41" i="32"/>
  <c r="P51" i="32"/>
  <c r="T195" i="31"/>
  <c r="M195" i="31"/>
  <c r="P50" i="31"/>
  <c r="P51" i="31"/>
  <c r="P41" i="31"/>
  <c r="P244" i="31"/>
  <c r="P235" i="31"/>
  <c r="P245" i="31"/>
  <c r="U290" i="30"/>
  <c r="N372" i="30"/>
  <c r="P266" i="30"/>
  <c r="P290" i="30"/>
  <c r="N373" i="30"/>
  <c r="S351" i="30"/>
  <c r="S332" i="30"/>
  <c r="P41" i="30"/>
  <c r="P50" i="30"/>
  <c r="P51" i="30"/>
  <c r="T195" i="30"/>
  <c r="M195" i="30"/>
  <c r="P258" i="30"/>
  <c r="P244" i="30"/>
  <c r="P235" i="30"/>
  <c r="P245" i="30"/>
  <c r="P266" i="29"/>
  <c r="U290" i="29"/>
  <c r="U266" i="29"/>
  <c r="U103" i="29"/>
  <c r="U79" i="29"/>
  <c r="P235" i="29"/>
  <c r="P79" i="29"/>
  <c r="P41" i="29"/>
  <c r="P290" i="28"/>
  <c r="P235" i="28"/>
  <c r="P234" i="28" s="1"/>
  <c r="P41" i="28"/>
  <c r="P103" i="28"/>
  <c r="U79" i="28"/>
  <c r="U103" i="28"/>
  <c r="P41" i="27"/>
  <c r="P40" i="27" s="1"/>
  <c r="P232" i="27"/>
  <c r="P235" i="27" s="1"/>
  <c r="P234" i="27" s="1"/>
  <c r="U266" i="27"/>
  <c r="U290" i="27"/>
  <c r="N373" i="27"/>
  <c r="S351" i="27"/>
  <c r="S332" i="27"/>
  <c r="P266" i="27"/>
  <c r="P290" i="27"/>
  <c r="N372" i="27"/>
  <c r="P282" i="27"/>
  <c r="T195" i="27"/>
  <c r="M195" i="27"/>
  <c r="N361" i="27" a="1"/>
  <c r="N361" i="27" s="1"/>
  <c r="O373" i="27" s="1"/>
  <c r="P231" i="27"/>
  <c r="P232" i="26"/>
  <c r="P230" i="26"/>
  <c r="P290" i="26" s="1"/>
  <c r="P41" i="26"/>
  <c r="P290" i="25"/>
  <c r="U290" i="25"/>
  <c r="P266" i="25"/>
  <c r="P41" i="25"/>
  <c r="T195" i="25"/>
  <c r="M195" i="25"/>
  <c r="P235" i="25"/>
  <c r="U79" i="25"/>
  <c r="U103" i="25"/>
  <c r="P79" i="25"/>
  <c r="Y368" i="24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K193" i="9"/>
  <c r="Y16" i="9"/>
  <c r="Y15" i="9"/>
  <c r="Y14" i="9"/>
  <c r="Y13" i="9"/>
  <c r="Y12" i="9"/>
  <c r="Y11" i="9"/>
  <c r="Y10" i="9"/>
  <c r="O365" i="9" l="1"/>
  <c r="AC368" i="9"/>
  <c r="N371" i="9"/>
  <c r="P367" i="9"/>
  <c r="R369" i="9"/>
  <c r="T371" i="9"/>
  <c r="V367" i="9"/>
  <c r="X369" i="9"/>
  <c r="Z371" i="9"/>
  <c r="AB367" i="9"/>
  <c r="AD369" i="9"/>
  <c r="Q368" i="9"/>
  <c r="S370" i="9"/>
  <c r="W368" i="9"/>
  <c r="Y370" i="9"/>
  <c r="AD371" i="9"/>
  <c r="AB369" i="9"/>
  <c r="Z367" i="9"/>
  <c r="X365" i="9"/>
  <c r="T365" i="9"/>
  <c r="R370" i="9"/>
  <c r="P368" i="9"/>
  <c r="N366" i="9"/>
  <c r="AB370" i="9"/>
  <c r="Z368" i="9"/>
  <c r="X366" i="9"/>
  <c r="V371" i="9"/>
  <c r="T369" i="9"/>
  <c r="R367" i="9"/>
  <c r="P365" i="9"/>
  <c r="N370" i="9"/>
  <c r="AC367" i="9"/>
  <c r="AA365" i="9"/>
  <c r="Q370" i="9"/>
  <c r="Z365" i="9"/>
  <c r="T366" i="9"/>
  <c r="AD366" i="9"/>
  <c r="V365" i="9"/>
  <c r="P366" i="9"/>
  <c r="X371" i="9"/>
  <c r="V369" i="9"/>
  <c r="T367" i="9"/>
  <c r="R365" i="9"/>
  <c r="N365" i="9"/>
  <c r="AC369" i="9"/>
  <c r="AA367" i="9"/>
  <c r="Y365" i="9"/>
  <c r="V370" i="9"/>
  <c r="T368" i="9"/>
  <c r="R366" i="9"/>
  <c r="P371" i="9"/>
  <c r="N369" i="9"/>
  <c r="AC366" i="9"/>
  <c r="AA371" i="9"/>
  <c r="Y369" i="9"/>
  <c r="W367" i="9"/>
  <c r="U365" i="9"/>
  <c r="O368" i="9"/>
  <c r="V368" i="9"/>
  <c r="O369" i="9"/>
  <c r="Z369" i="9"/>
  <c r="T370" i="9"/>
  <c r="R371" i="9"/>
  <c r="P369" i="9"/>
  <c r="N367" i="9"/>
  <c r="AA366" i="9"/>
  <c r="Y371" i="9"/>
  <c r="W369" i="9"/>
  <c r="U367" i="9"/>
  <c r="S365" i="9"/>
  <c r="P370" i="9"/>
  <c r="N368" i="9"/>
  <c r="AC365" i="9"/>
  <c r="AA370" i="9"/>
  <c r="Y368" i="9"/>
  <c r="W366" i="9"/>
  <c r="U371" i="9"/>
  <c r="S369" i="9"/>
  <c r="Q367" i="9"/>
  <c r="X370" i="9"/>
  <c r="AB371" i="9"/>
  <c r="R368" i="9"/>
  <c r="AC370" i="9"/>
  <c r="AA368" i="9"/>
  <c r="Y366" i="9"/>
  <c r="U366" i="9"/>
  <c r="S371" i="9"/>
  <c r="Q369" i="9"/>
  <c r="O367" i="9"/>
  <c r="AC371" i="9"/>
  <c r="AA369" i="9"/>
  <c r="Y367" i="9"/>
  <c r="W365" i="9"/>
  <c r="U370" i="9"/>
  <c r="S368" i="9"/>
  <c r="Q366" i="9"/>
  <c r="O371" i="9"/>
  <c r="AD368" i="9"/>
  <c r="AB366" i="9"/>
  <c r="AD365" i="9"/>
  <c r="Q371" i="9"/>
  <c r="X367" i="9"/>
  <c r="W370" i="9"/>
  <c r="U368" i="9"/>
  <c r="S366" i="9"/>
  <c r="O366" i="9"/>
  <c r="AD370" i="9"/>
  <c r="AB368" i="9"/>
  <c r="Z366" i="9"/>
  <c r="W371" i="9"/>
  <c r="U369" i="9"/>
  <c r="S367" i="9"/>
  <c r="Q365" i="9"/>
  <c r="O370" i="9"/>
  <c r="AD367" i="9"/>
  <c r="AB365" i="9"/>
  <c r="Z370" i="9"/>
  <c r="X368" i="9"/>
  <c r="V366" i="9"/>
  <c r="T379" i="36"/>
  <c r="M379" i="36"/>
  <c r="E130" i="36"/>
  <c r="F130" i="36" s="1"/>
  <c r="G130" i="36" s="1"/>
  <c r="E128" i="36"/>
  <c r="F128" i="36" s="1"/>
  <c r="G128" i="36" s="1"/>
  <c r="E126" i="36"/>
  <c r="F126" i="36" s="1"/>
  <c r="G126" i="36" s="1"/>
  <c r="E124" i="36"/>
  <c r="F124" i="36" s="1"/>
  <c r="G124" i="36" s="1"/>
  <c r="E122" i="36"/>
  <c r="F122" i="36" s="1"/>
  <c r="G122" i="36" s="1"/>
  <c r="E120" i="36"/>
  <c r="F120" i="36" s="1"/>
  <c r="G120" i="36" s="1"/>
  <c r="E118" i="36"/>
  <c r="F118" i="36" s="1"/>
  <c r="G118" i="36" s="1"/>
  <c r="E116" i="36"/>
  <c r="F116" i="36" s="1"/>
  <c r="G116" i="36" s="1"/>
  <c r="E114" i="36"/>
  <c r="F114" i="36" s="1"/>
  <c r="G114" i="36" s="1"/>
  <c r="E112" i="36"/>
  <c r="F112" i="36" s="1"/>
  <c r="G112" i="36" s="1"/>
  <c r="E110" i="36"/>
  <c r="F110" i="36" s="1"/>
  <c r="G110" i="36" s="1"/>
  <c r="E106" i="36"/>
  <c r="F106" i="36" s="1"/>
  <c r="G106" i="36" s="1"/>
  <c r="E104" i="36"/>
  <c r="F104" i="36" s="1"/>
  <c r="G104" i="36" s="1"/>
  <c r="E97" i="36"/>
  <c r="F97" i="36" s="1"/>
  <c r="G97" i="36" s="1"/>
  <c r="E83" i="36"/>
  <c r="F83" i="36" s="1"/>
  <c r="G83" i="36" s="1"/>
  <c r="E71" i="36"/>
  <c r="F71" i="36" s="1"/>
  <c r="G71" i="36" s="1"/>
  <c r="E50" i="36"/>
  <c r="F50" i="36" s="1"/>
  <c r="G50" i="36" s="1"/>
  <c r="E48" i="36"/>
  <c r="F48" i="36" s="1"/>
  <c r="G48" i="36" s="1"/>
  <c r="E46" i="36"/>
  <c r="F46" i="36" s="1"/>
  <c r="G46" i="36" s="1"/>
  <c r="E44" i="36"/>
  <c r="F44" i="36" s="1"/>
  <c r="G44" i="36" s="1"/>
  <c r="E42" i="36"/>
  <c r="F42" i="36" s="1"/>
  <c r="G42" i="36" s="1"/>
  <c r="E108" i="36"/>
  <c r="F108" i="36" s="1"/>
  <c r="G108" i="36" s="1"/>
  <c r="E85" i="36"/>
  <c r="F85" i="36" s="1"/>
  <c r="G85" i="36" s="1"/>
  <c r="E79" i="36"/>
  <c r="F79" i="36" s="1"/>
  <c r="G79" i="36" s="1"/>
  <c r="E77" i="36"/>
  <c r="F77" i="36" s="1"/>
  <c r="G77" i="36" s="1"/>
  <c r="E75" i="36"/>
  <c r="F75" i="36" s="1"/>
  <c r="G75" i="36" s="1"/>
  <c r="E70" i="36"/>
  <c r="F70" i="36" s="1"/>
  <c r="G70" i="36" s="1"/>
  <c r="E68" i="36"/>
  <c r="F68" i="36" s="1"/>
  <c r="G68" i="36" s="1"/>
  <c r="E66" i="36"/>
  <c r="F66" i="36" s="1"/>
  <c r="G66" i="36" s="1"/>
  <c r="E64" i="36"/>
  <c r="F64" i="36" s="1"/>
  <c r="G64" i="36" s="1"/>
  <c r="E62" i="36"/>
  <c r="F62" i="36" s="1"/>
  <c r="G62" i="36" s="1"/>
  <c r="E60" i="36"/>
  <c r="F60" i="36" s="1"/>
  <c r="G60" i="36" s="1"/>
  <c r="E58" i="36"/>
  <c r="F58" i="36" s="1"/>
  <c r="G58" i="36" s="1"/>
  <c r="E56" i="36"/>
  <c r="F56" i="36" s="1"/>
  <c r="G56" i="36" s="1"/>
  <c r="E54" i="36"/>
  <c r="F54" i="36" s="1"/>
  <c r="G54" i="36" s="1"/>
  <c r="E52" i="36"/>
  <c r="F52" i="36" s="1"/>
  <c r="G52" i="36" s="1"/>
  <c r="E41" i="36"/>
  <c r="F41" i="36" s="1"/>
  <c r="G41" i="36" s="1"/>
  <c r="E33" i="36"/>
  <c r="F33" i="36" s="1"/>
  <c r="G33" i="36" s="1"/>
  <c r="E31" i="36"/>
  <c r="F31" i="36" s="1"/>
  <c r="G31" i="36" s="1"/>
  <c r="E29" i="36"/>
  <c r="F29" i="36" s="1"/>
  <c r="G29" i="36" s="1"/>
  <c r="E27" i="36"/>
  <c r="F27" i="36" s="1"/>
  <c r="G27" i="36" s="1"/>
  <c r="E25" i="36"/>
  <c r="F25" i="36" s="1"/>
  <c r="G25" i="36" s="1"/>
  <c r="E125" i="36"/>
  <c r="F125" i="36" s="1"/>
  <c r="G125" i="36" s="1"/>
  <c r="E119" i="36"/>
  <c r="F119" i="36" s="1"/>
  <c r="G119" i="36" s="1"/>
  <c r="E113" i="36"/>
  <c r="F113" i="36" s="1"/>
  <c r="G113" i="36" s="1"/>
  <c r="E95" i="36"/>
  <c r="F95" i="36" s="1"/>
  <c r="G95" i="36" s="1"/>
  <c r="E74" i="36"/>
  <c r="F74" i="36" s="1"/>
  <c r="G74" i="36" s="1"/>
  <c r="E69" i="36"/>
  <c r="F69" i="36" s="1"/>
  <c r="G69" i="36" s="1"/>
  <c r="E63" i="36"/>
  <c r="F63" i="36" s="1"/>
  <c r="G63" i="36" s="1"/>
  <c r="E57" i="36"/>
  <c r="F57" i="36" s="1"/>
  <c r="G57" i="36" s="1"/>
  <c r="E49" i="36"/>
  <c r="F49" i="36" s="1"/>
  <c r="G49" i="36" s="1"/>
  <c r="E43" i="36"/>
  <c r="F43" i="36" s="1"/>
  <c r="G43" i="36" s="1"/>
  <c r="E38" i="36"/>
  <c r="F38" i="36" s="1"/>
  <c r="G38" i="36" s="1"/>
  <c r="E34" i="36"/>
  <c r="F34" i="36" s="1"/>
  <c r="G34" i="36" s="1"/>
  <c r="E28" i="36"/>
  <c r="F28" i="36" s="1"/>
  <c r="G28" i="36" s="1"/>
  <c r="E40" i="36"/>
  <c r="F40" i="36" s="1"/>
  <c r="G40" i="36" s="1"/>
  <c r="E103" i="36"/>
  <c r="F103" i="36" s="1"/>
  <c r="G103" i="36" s="1"/>
  <c r="E100" i="36"/>
  <c r="F100" i="36" s="1"/>
  <c r="G100" i="36" s="1"/>
  <c r="E92" i="36"/>
  <c r="F92" i="36" s="1"/>
  <c r="G92" i="36" s="1"/>
  <c r="E89" i="36"/>
  <c r="F89" i="36" s="1"/>
  <c r="G89" i="36" s="1"/>
  <c r="E86" i="36"/>
  <c r="F86" i="36" s="1"/>
  <c r="G86" i="36" s="1"/>
  <c r="E82" i="36"/>
  <c r="F82" i="36" s="1"/>
  <c r="G82" i="36" s="1"/>
  <c r="E51" i="36"/>
  <c r="F51" i="36" s="1"/>
  <c r="G51" i="36" s="1"/>
  <c r="E127" i="36"/>
  <c r="F127" i="36" s="1"/>
  <c r="G127" i="36" s="1"/>
  <c r="E121" i="36"/>
  <c r="F121" i="36" s="1"/>
  <c r="G121" i="36" s="1"/>
  <c r="E115" i="36"/>
  <c r="F115" i="36" s="1"/>
  <c r="G115" i="36" s="1"/>
  <c r="E107" i="36"/>
  <c r="F107" i="36" s="1"/>
  <c r="G107" i="36" s="1"/>
  <c r="E105" i="36"/>
  <c r="F105" i="36" s="1"/>
  <c r="G105" i="36" s="1"/>
  <c r="E84" i="36"/>
  <c r="F84" i="36" s="1"/>
  <c r="G84" i="36" s="1"/>
  <c r="E76" i="36"/>
  <c r="F76" i="36" s="1"/>
  <c r="G76" i="36" s="1"/>
  <c r="E65" i="36"/>
  <c r="F65" i="36" s="1"/>
  <c r="G65" i="36" s="1"/>
  <c r="E59" i="36"/>
  <c r="F59" i="36" s="1"/>
  <c r="G59" i="36" s="1"/>
  <c r="E53" i="36"/>
  <c r="F53" i="36" s="1"/>
  <c r="G53" i="36" s="1"/>
  <c r="E45" i="36"/>
  <c r="F45" i="36" s="1"/>
  <c r="G45" i="36" s="1"/>
  <c r="E37" i="36"/>
  <c r="F37" i="36" s="1"/>
  <c r="G37" i="36" s="1"/>
  <c r="E30" i="36"/>
  <c r="F30" i="36" s="1"/>
  <c r="G30" i="36" s="1"/>
  <c r="E24" i="36"/>
  <c r="F24" i="36" s="1"/>
  <c r="G24" i="36" s="1"/>
  <c r="E22" i="36"/>
  <c r="F22" i="36" s="1"/>
  <c r="G22" i="36" s="1"/>
  <c r="E20" i="36"/>
  <c r="F20" i="36" s="1"/>
  <c r="G20" i="36" s="1"/>
  <c r="E18" i="36"/>
  <c r="F18" i="36" s="1"/>
  <c r="G18" i="36" s="1"/>
  <c r="E16" i="36"/>
  <c r="F16" i="36" s="1"/>
  <c r="G16" i="36" s="1"/>
  <c r="E14" i="36"/>
  <c r="F14" i="36" s="1"/>
  <c r="G14" i="36" s="1"/>
  <c r="E12" i="36"/>
  <c r="F12" i="36" s="1"/>
  <c r="G12" i="36" s="1"/>
  <c r="E35" i="36"/>
  <c r="F35" i="36" s="1"/>
  <c r="G35" i="36" s="1"/>
  <c r="E109" i="36"/>
  <c r="F109" i="36" s="1"/>
  <c r="G109" i="36" s="1"/>
  <c r="E102" i="36"/>
  <c r="F102" i="36" s="1"/>
  <c r="G102" i="36" s="1"/>
  <c r="E99" i="36"/>
  <c r="F99" i="36" s="1"/>
  <c r="G99" i="36" s="1"/>
  <c r="E94" i="36"/>
  <c r="F94" i="36" s="1"/>
  <c r="G94" i="36" s="1"/>
  <c r="E91" i="36"/>
  <c r="F91" i="36" s="1"/>
  <c r="G91" i="36" s="1"/>
  <c r="E88" i="36"/>
  <c r="F88" i="36" s="1"/>
  <c r="G88" i="36" s="1"/>
  <c r="E81" i="36"/>
  <c r="F81" i="36" s="1"/>
  <c r="G81" i="36" s="1"/>
  <c r="E73" i="36"/>
  <c r="F73" i="36" s="1"/>
  <c r="G73" i="36" s="1"/>
  <c r="E39" i="36"/>
  <c r="F39" i="36" s="1"/>
  <c r="G39" i="36" s="1"/>
  <c r="E129" i="36"/>
  <c r="F129" i="36" s="1"/>
  <c r="G129" i="36" s="1"/>
  <c r="E123" i="36"/>
  <c r="F123" i="36" s="1"/>
  <c r="G123" i="36" s="1"/>
  <c r="E117" i="36"/>
  <c r="F117" i="36" s="1"/>
  <c r="G117" i="36" s="1"/>
  <c r="E111" i="36"/>
  <c r="F111" i="36" s="1"/>
  <c r="G111" i="36" s="1"/>
  <c r="E96" i="36"/>
  <c r="F96" i="36" s="1"/>
  <c r="G96" i="36" s="1"/>
  <c r="E78" i="36"/>
  <c r="F78" i="36" s="1"/>
  <c r="G78" i="36" s="1"/>
  <c r="E67" i="36"/>
  <c r="F67" i="36" s="1"/>
  <c r="G67" i="36" s="1"/>
  <c r="E61" i="36"/>
  <c r="F61" i="36" s="1"/>
  <c r="G61" i="36" s="1"/>
  <c r="E55" i="36"/>
  <c r="F55" i="36" s="1"/>
  <c r="G55" i="36" s="1"/>
  <c r="E47" i="36"/>
  <c r="F47" i="36" s="1"/>
  <c r="G47" i="36" s="1"/>
  <c r="E32" i="36"/>
  <c r="F32" i="36" s="1"/>
  <c r="G32" i="36" s="1"/>
  <c r="E26" i="36"/>
  <c r="F26" i="36" s="1"/>
  <c r="G26" i="36" s="1"/>
  <c r="E101" i="36"/>
  <c r="F101" i="36" s="1"/>
  <c r="G101" i="36" s="1"/>
  <c r="E98" i="36"/>
  <c r="F98" i="36" s="1"/>
  <c r="G98" i="36" s="1"/>
  <c r="E93" i="36"/>
  <c r="F93" i="36" s="1"/>
  <c r="G93" i="36" s="1"/>
  <c r="E90" i="36"/>
  <c r="F90" i="36" s="1"/>
  <c r="G90" i="36" s="1"/>
  <c r="E87" i="36"/>
  <c r="F87" i="36" s="1"/>
  <c r="G87" i="36" s="1"/>
  <c r="E80" i="36"/>
  <c r="F80" i="36" s="1"/>
  <c r="G80" i="36" s="1"/>
  <c r="E72" i="36"/>
  <c r="F72" i="36" s="1"/>
  <c r="G72" i="36" s="1"/>
  <c r="E36" i="36"/>
  <c r="F36" i="36" s="1"/>
  <c r="G36" i="36" s="1"/>
  <c r="E23" i="36"/>
  <c r="F23" i="36" s="1"/>
  <c r="G23" i="36" s="1"/>
  <c r="E21" i="36"/>
  <c r="F21" i="36" s="1"/>
  <c r="G21" i="36" s="1"/>
  <c r="E19" i="36"/>
  <c r="F19" i="36" s="1"/>
  <c r="G19" i="36" s="1"/>
  <c r="E17" i="36"/>
  <c r="F17" i="36" s="1"/>
  <c r="G17" i="36" s="1"/>
  <c r="E15" i="36"/>
  <c r="F15" i="36" s="1"/>
  <c r="G15" i="36" s="1"/>
  <c r="E13" i="36"/>
  <c r="F13" i="36" s="1"/>
  <c r="G13" i="36" s="1"/>
  <c r="E11" i="36"/>
  <c r="P244" i="36"/>
  <c r="P245" i="36"/>
  <c r="P235" i="36"/>
  <c r="P40" i="35"/>
  <c r="E223" i="35"/>
  <c r="F223" i="35" s="1"/>
  <c r="G223" i="35" s="1"/>
  <c r="E220" i="35"/>
  <c r="F220" i="35" s="1"/>
  <c r="G220" i="35" s="1"/>
  <c r="E217" i="35"/>
  <c r="F217" i="35" s="1"/>
  <c r="G217" i="35" s="1"/>
  <c r="E214" i="35"/>
  <c r="F214" i="35" s="1"/>
  <c r="G214" i="35" s="1"/>
  <c r="E211" i="35"/>
  <c r="F211" i="35" s="1"/>
  <c r="G211" i="35" s="1"/>
  <c r="E208" i="35"/>
  <c r="E224" i="35"/>
  <c r="F224" i="35" s="1"/>
  <c r="G224" i="35" s="1"/>
  <c r="E221" i="35"/>
  <c r="F221" i="35" s="1"/>
  <c r="G221" i="35" s="1"/>
  <c r="E218" i="35"/>
  <c r="F218" i="35" s="1"/>
  <c r="G218" i="35" s="1"/>
  <c r="E215" i="35"/>
  <c r="F215" i="35" s="1"/>
  <c r="G215" i="35" s="1"/>
  <c r="E212" i="35"/>
  <c r="F212" i="35" s="1"/>
  <c r="G212" i="35" s="1"/>
  <c r="E209" i="35"/>
  <c r="F209" i="35" s="1"/>
  <c r="G209" i="35" s="1"/>
  <c r="E219" i="35"/>
  <c r="F219" i="35" s="1"/>
  <c r="G219" i="35" s="1"/>
  <c r="E216" i="35"/>
  <c r="F216" i="35" s="1"/>
  <c r="G216" i="35" s="1"/>
  <c r="E213" i="35"/>
  <c r="F213" i="35" s="1"/>
  <c r="G213" i="35" s="1"/>
  <c r="E222" i="35"/>
  <c r="F222" i="35" s="1"/>
  <c r="G222" i="35" s="1"/>
  <c r="E210" i="35"/>
  <c r="F210" i="35" s="1"/>
  <c r="G210" i="35" s="1"/>
  <c r="T379" i="35"/>
  <c r="M379" i="35"/>
  <c r="P234" i="34"/>
  <c r="T379" i="34"/>
  <c r="M379" i="34"/>
  <c r="P40" i="34"/>
  <c r="E219" i="33"/>
  <c r="F219" i="33" s="1"/>
  <c r="G219" i="33" s="1"/>
  <c r="E220" i="33"/>
  <c r="F220" i="33" s="1"/>
  <c r="G220" i="33" s="1"/>
  <c r="E224" i="33"/>
  <c r="F224" i="33" s="1"/>
  <c r="G224" i="33" s="1"/>
  <c r="E223" i="33"/>
  <c r="F223" i="33" s="1"/>
  <c r="G223" i="33" s="1"/>
  <c r="E209" i="33"/>
  <c r="F209" i="33" s="1"/>
  <c r="G209" i="33" s="1"/>
  <c r="E217" i="33"/>
  <c r="F217" i="33" s="1"/>
  <c r="G217" i="33" s="1"/>
  <c r="E221" i="33"/>
  <c r="F221" i="33" s="1"/>
  <c r="G221" i="33" s="1"/>
  <c r="E222" i="33"/>
  <c r="F222" i="33" s="1"/>
  <c r="G222" i="33" s="1"/>
  <c r="E208" i="33"/>
  <c r="F208" i="33" s="1"/>
  <c r="G208" i="33" s="1"/>
  <c r="E210" i="33"/>
  <c r="F210" i="33" s="1"/>
  <c r="G210" i="33" s="1"/>
  <c r="E212" i="33"/>
  <c r="F212" i="33" s="1"/>
  <c r="G212" i="33" s="1"/>
  <c r="E211" i="33"/>
  <c r="F211" i="33" s="1"/>
  <c r="G211" i="33" s="1"/>
  <c r="E213" i="33"/>
  <c r="F213" i="33" s="1"/>
  <c r="G213" i="33" s="1"/>
  <c r="P40" i="33"/>
  <c r="N362" i="33" a="1"/>
  <c r="T379" i="33"/>
  <c r="M379" i="33"/>
  <c r="P290" i="32"/>
  <c r="P245" i="32"/>
  <c r="P244" i="32"/>
  <c r="P40" i="32"/>
  <c r="U266" i="32"/>
  <c r="U290" i="32"/>
  <c r="P235" i="32"/>
  <c r="P234" i="31"/>
  <c r="P40" i="31"/>
  <c r="P234" i="30"/>
  <c r="P40" i="30"/>
  <c r="P234" i="29"/>
  <c r="P40" i="29"/>
  <c r="E220" i="28"/>
  <c r="F220" i="28" s="1"/>
  <c r="G220" i="28" s="1"/>
  <c r="E214" i="28"/>
  <c r="F214" i="28" s="1"/>
  <c r="G214" i="28" s="1"/>
  <c r="E208" i="28"/>
  <c r="E221" i="28"/>
  <c r="F221" i="28" s="1"/>
  <c r="G221" i="28" s="1"/>
  <c r="E215" i="28"/>
  <c r="F215" i="28" s="1"/>
  <c r="G215" i="28" s="1"/>
  <c r="E209" i="28"/>
  <c r="F209" i="28" s="1"/>
  <c r="G209" i="28" s="1"/>
  <c r="E222" i="28"/>
  <c r="F222" i="28" s="1"/>
  <c r="G222" i="28" s="1"/>
  <c r="E216" i="28"/>
  <c r="F216" i="28" s="1"/>
  <c r="G216" i="28" s="1"/>
  <c r="E210" i="28"/>
  <c r="F210" i="28" s="1"/>
  <c r="G210" i="28" s="1"/>
  <c r="E223" i="28"/>
  <c r="F223" i="28" s="1"/>
  <c r="G223" i="28" s="1"/>
  <c r="E217" i="28"/>
  <c r="F217" i="28" s="1"/>
  <c r="G217" i="28" s="1"/>
  <c r="E211" i="28"/>
  <c r="F211" i="28" s="1"/>
  <c r="G211" i="28" s="1"/>
  <c r="E224" i="28"/>
  <c r="F224" i="28" s="1"/>
  <c r="G224" i="28" s="1"/>
  <c r="E218" i="28"/>
  <c r="F218" i="28" s="1"/>
  <c r="G218" i="28" s="1"/>
  <c r="E212" i="28"/>
  <c r="F212" i="28" s="1"/>
  <c r="G212" i="28" s="1"/>
  <c r="E219" i="28"/>
  <c r="F219" i="28" s="1"/>
  <c r="G219" i="28" s="1"/>
  <c r="E213" i="28"/>
  <c r="F213" i="28" s="1"/>
  <c r="G213" i="28" s="1"/>
  <c r="P40" i="28"/>
  <c r="E129" i="27"/>
  <c r="F129" i="27" s="1"/>
  <c r="G129" i="27" s="1"/>
  <c r="E127" i="27"/>
  <c r="F127" i="27" s="1"/>
  <c r="G127" i="27" s="1"/>
  <c r="E125" i="27"/>
  <c r="F125" i="27" s="1"/>
  <c r="G125" i="27" s="1"/>
  <c r="E123" i="27"/>
  <c r="F123" i="27" s="1"/>
  <c r="G123" i="27" s="1"/>
  <c r="E121" i="27"/>
  <c r="F121" i="27" s="1"/>
  <c r="G121" i="27" s="1"/>
  <c r="E119" i="27"/>
  <c r="F119" i="27" s="1"/>
  <c r="G119" i="27" s="1"/>
  <c r="E117" i="27"/>
  <c r="F117" i="27" s="1"/>
  <c r="G117" i="27" s="1"/>
  <c r="E115" i="27"/>
  <c r="F115" i="27" s="1"/>
  <c r="G115" i="27" s="1"/>
  <c r="E113" i="27"/>
  <c r="F113" i="27" s="1"/>
  <c r="G113" i="27" s="1"/>
  <c r="E111" i="27"/>
  <c r="F111" i="27" s="1"/>
  <c r="G111" i="27" s="1"/>
  <c r="E105" i="27"/>
  <c r="F105" i="27" s="1"/>
  <c r="G105" i="27" s="1"/>
  <c r="E96" i="27"/>
  <c r="F96" i="27" s="1"/>
  <c r="G96" i="27" s="1"/>
  <c r="E84" i="27"/>
  <c r="F84" i="27" s="1"/>
  <c r="G84" i="27" s="1"/>
  <c r="E49" i="27"/>
  <c r="F49" i="27" s="1"/>
  <c r="G49" i="27" s="1"/>
  <c r="E47" i="27"/>
  <c r="F47" i="27" s="1"/>
  <c r="G47" i="27" s="1"/>
  <c r="E45" i="27"/>
  <c r="F45" i="27" s="1"/>
  <c r="G45" i="27" s="1"/>
  <c r="E43" i="27"/>
  <c r="F43" i="27" s="1"/>
  <c r="G43" i="27" s="1"/>
  <c r="E38" i="27"/>
  <c r="F38" i="27" s="1"/>
  <c r="G38" i="27" s="1"/>
  <c r="E35" i="27"/>
  <c r="F35" i="27" s="1"/>
  <c r="G35" i="27" s="1"/>
  <c r="E128" i="27"/>
  <c r="F128" i="27" s="1"/>
  <c r="G128" i="27" s="1"/>
  <c r="E116" i="27"/>
  <c r="F116" i="27" s="1"/>
  <c r="G116" i="27" s="1"/>
  <c r="E106" i="27"/>
  <c r="F106" i="27" s="1"/>
  <c r="G106" i="27" s="1"/>
  <c r="E102" i="27"/>
  <c r="F102" i="27" s="1"/>
  <c r="G102" i="27" s="1"/>
  <c r="E91" i="27"/>
  <c r="F91" i="27" s="1"/>
  <c r="G91" i="27" s="1"/>
  <c r="E86" i="27"/>
  <c r="F86" i="27" s="1"/>
  <c r="G86" i="27" s="1"/>
  <c r="E81" i="27"/>
  <c r="F81" i="27" s="1"/>
  <c r="G81" i="27" s="1"/>
  <c r="E79" i="27"/>
  <c r="F79" i="27" s="1"/>
  <c r="G79" i="27" s="1"/>
  <c r="E68" i="27"/>
  <c r="F68" i="27" s="1"/>
  <c r="G68" i="27" s="1"/>
  <c r="E61" i="27"/>
  <c r="F61" i="27" s="1"/>
  <c r="G61" i="27" s="1"/>
  <c r="E56" i="27"/>
  <c r="F56" i="27" s="1"/>
  <c r="G56" i="27" s="1"/>
  <c r="E28" i="27"/>
  <c r="F28" i="27" s="1"/>
  <c r="G28" i="27" s="1"/>
  <c r="E26" i="27"/>
  <c r="F26" i="27" s="1"/>
  <c r="G26" i="27" s="1"/>
  <c r="E24" i="27"/>
  <c r="F24" i="27" s="1"/>
  <c r="G24" i="27" s="1"/>
  <c r="E22" i="27"/>
  <c r="F22" i="27" s="1"/>
  <c r="G22" i="27" s="1"/>
  <c r="E20" i="27"/>
  <c r="F20" i="27" s="1"/>
  <c r="G20" i="27" s="1"/>
  <c r="E18" i="27"/>
  <c r="F18" i="27" s="1"/>
  <c r="G18" i="27" s="1"/>
  <c r="E16" i="27"/>
  <c r="F16" i="27" s="1"/>
  <c r="G16" i="27" s="1"/>
  <c r="E14" i="27"/>
  <c r="F14" i="27" s="1"/>
  <c r="G14" i="27" s="1"/>
  <c r="E12" i="27"/>
  <c r="F12" i="27" s="1"/>
  <c r="G12" i="27" s="1"/>
  <c r="E130" i="27"/>
  <c r="F130" i="27" s="1"/>
  <c r="G130" i="27" s="1"/>
  <c r="E118" i="27"/>
  <c r="F118" i="27" s="1"/>
  <c r="G118" i="27" s="1"/>
  <c r="E109" i="27"/>
  <c r="F109" i="27" s="1"/>
  <c r="G109" i="27" s="1"/>
  <c r="E99" i="27"/>
  <c r="F99" i="27" s="1"/>
  <c r="G99" i="27" s="1"/>
  <c r="E97" i="27"/>
  <c r="F97" i="27" s="1"/>
  <c r="G97" i="27" s="1"/>
  <c r="E95" i="27"/>
  <c r="F95" i="27" s="1"/>
  <c r="G95" i="27" s="1"/>
  <c r="E93" i="27"/>
  <c r="F93" i="27" s="1"/>
  <c r="G93" i="27" s="1"/>
  <c r="E88" i="27"/>
  <c r="F88" i="27" s="1"/>
  <c r="G88" i="27" s="1"/>
  <c r="E74" i="27"/>
  <c r="F74" i="27" s="1"/>
  <c r="G74" i="27" s="1"/>
  <c r="E72" i="27"/>
  <c r="F72" i="27" s="1"/>
  <c r="G72" i="27" s="1"/>
  <c r="E70" i="27"/>
  <c r="F70" i="27" s="1"/>
  <c r="G70" i="27" s="1"/>
  <c r="E63" i="27"/>
  <c r="F63" i="27" s="1"/>
  <c r="G63" i="27" s="1"/>
  <c r="E58" i="27"/>
  <c r="F58" i="27" s="1"/>
  <c r="G58" i="27" s="1"/>
  <c r="E42" i="27"/>
  <c r="F42" i="27" s="1"/>
  <c r="G42" i="27" s="1"/>
  <c r="E30" i="27"/>
  <c r="F30" i="27" s="1"/>
  <c r="G30" i="27" s="1"/>
  <c r="E112" i="27"/>
  <c r="F112" i="27" s="1"/>
  <c r="G112" i="27" s="1"/>
  <c r="E87" i="27"/>
  <c r="F87" i="27" s="1"/>
  <c r="G87" i="27" s="1"/>
  <c r="E73" i="27"/>
  <c r="F73" i="27" s="1"/>
  <c r="G73" i="27" s="1"/>
  <c r="E69" i="27"/>
  <c r="F69" i="27" s="1"/>
  <c r="G69" i="27" s="1"/>
  <c r="E64" i="27"/>
  <c r="F64" i="27" s="1"/>
  <c r="G64" i="27" s="1"/>
  <c r="E120" i="27"/>
  <c r="F120" i="27" s="1"/>
  <c r="G120" i="27" s="1"/>
  <c r="E107" i="27"/>
  <c r="F107" i="27" s="1"/>
  <c r="G107" i="27" s="1"/>
  <c r="E101" i="27"/>
  <c r="F101" i="27" s="1"/>
  <c r="G101" i="27" s="1"/>
  <c r="E90" i="27"/>
  <c r="F90" i="27" s="1"/>
  <c r="G90" i="27" s="1"/>
  <c r="E80" i="27"/>
  <c r="F80" i="27" s="1"/>
  <c r="G80" i="27" s="1"/>
  <c r="E76" i="27"/>
  <c r="F76" i="27" s="1"/>
  <c r="G76" i="27" s="1"/>
  <c r="E65" i="27"/>
  <c r="F65" i="27" s="1"/>
  <c r="G65" i="27" s="1"/>
  <c r="E60" i="27"/>
  <c r="F60" i="27" s="1"/>
  <c r="G60" i="27" s="1"/>
  <c r="E53" i="27"/>
  <c r="F53" i="27" s="1"/>
  <c r="G53" i="27" s="1"/>
  <c r="E51" i="27"/>
  <c r="F51" i="27" s="1"/>
  <c r="G51" i="27" s="1"/>
  <c r="E44" i="27"/>
  <c r="F44" i="27" s="1"/>
  <c r="G44" i="27" s="1"/>
  <c r="E40" i="27"/>
  <c r="F40" i="27" s="1"/>
  <c r="G40" i="27" s="1"/>
  <c r="E36" i="27"/>
  <c r="F36" i="27" s="1"/>
  <c r="G36" i="27" s="1"/>
  <c r="E32" i="27"/>
  <c r="F32" i="27" s="1"/>
  <c r="G32" i="27" s="1"/>
  <c r="E94" i="27"/>
  <c r="F94" i="27" s="1"/>
  <c r="G94" i="27" s="1"/>
  <c r="E85" i="27"/>
  <c r="F85" i="27" s="1"/>
  <c r="G85" i="27" s="1"/>
  <c r="E75" i="27"/>
  <c r="F75" i="27" s="1"/>
  <c r="G75" i="27" s="1"/>
  <c r="E71" i="27"/>
  <c r="F71" i="27" s="1"/>
  <c r="G71" i="27" s="1"/>
  <c r="E57" i="27"/>
  <c r="F57" i="27" s="1"/>
  <c r="G57" i="27" s="1"/>
  <c r="E122" i="27"/>
  <c r="F122" i="27" s="1"/>
  <c r="G122" i="27" s="1"/>
  <c r="E110" i="27"/>
  <c r="F110" i="27" s="1"/>
  <c r="G110" i="27" s="1"/>
  <c r="E103" i="27"/>
  <c r="F103" i="27" s="1"/>
  <c r="G103" i="27" s="1"/>
  <c r="E92" i="27"/>
  <c r="F92" i="27" s="1"/>
  <c r="G92" i="27" s="1"/>
  <c r="E82" i="27"/>
  <c r="F82" i="27" s="1"/>
  <c r="G82" i="27" s="1"/>
  <c r="E78" i="27"/>
  <c r="F78" i="27" s="1"/>
  <c r="G78" i="27" s="1"/>
  <c r="E67" i="27"/>
  <c r="F67" i="27" s="1"/>
  <c r="G67" i="27" s="1"/>
  <c r="E62" i="27"/>
  <c r="F62" i="27" s="1"/>
  <c r="G62" i="27" s="1"/>
  <c r="E55" i="27"/>
  <c r="F55" i="27" s="1"/>
  <c r="G55" i="27" s="1"/>
  <c r="E46" i="27"/>
  <c r="F46" i="27" s="1"/>
  <c r="G46" i="27" s="1"/>
  <c r="E34" i="27"/>
  <c r="F34" i="27" s="1"/>
  <c r="G34" i="27" s="1"/>
  <c r="E29" i="27"/>
  <c r="F29" i="27" s="1"/>
  <c r="G29" i="27" s="1"/>
  <c r="E27" i="27"/>
  <c r="F27" i="27" s="1"/>
  <c r="G27" i="27" s="1"/>
  <c r="E25" i="27"/>
  <c r="F25" i="27" s="1"/>
  <c r="G25" i="27" s="1"/>
  <c r="E23" i="27"/>
  <c r="F23" i="27" s="1"/>
  <c r="G23" i="27" s="1"/>
  <c r="E21" i="27"/>
  <c r="F21" i="27" s="1"/>
  <c r="G21" i="27" s="1"/>
  <c r="E19" i="27"/>
  <c r="F19" i="27" s="1"/>
  <c r="G19" i="27" s="1"/>
  <c r="E17" i="27"/>
  <c r="F17" i="27" s="1"/>
  <c r="G17" i="27" s="1"/>
  <c r="E15" i="27"/>
  <c r="F15" i="27" s="1"/>
  <c r="G15" i="27" s="1"/>
  <c r="E13" i="27"/>
  <c r="F13" i="27" s="1"/>
  <c r="G13" i="27" s="1"/>
  <c r="E11" i="27"/>
  <c r="E124" i="27"/>
  <c r="F124" i="27" s="1"/>
  <c r="G124" i="27" s="1"/>
  <c r="E98" i="27"/>
  <c r="F98" i="27" s="1"/>
  <c r="G98" i="27" s="1"/>
  <c r="E126" i="27"/>
  <c r="F126" i="27" s="1"/>
  <c r="G126" i="27" s="1"/>
  <c r="E100" i="27"/>
  <c r="F100" i="27" s="1"/>
  <c r="G100" i="27" s="1"/>
  <c r="E66" i="27"/>
  <c r="F66" i="27" s="1"/>
  <c r="G66" i="27" s="1"/>
  <c r="E52" i="27"/>
  <c r="F52" i="27" s="1"/>
  <c r="G52" i="27" s="1"/>
  <c r="E39" i="27"/>
  <c r="F39" i="27" s="1"/>
  <c r="G39" i="27" s="1"/>
  <c r="E89" i="27"/>
  <c r="F89" i="27" s="1"/>
  <c r="G89" i="27" s="1"/>
  <c r="E77" i="27"/>
  <c r="F77" i="27" s="1"/>
  <c r="G77" i="27" s="1"/>
  <c r="E83" i="27"/>
  <c r="F83" i="27" s="1"/>
  <c r="G83" i="27" s="1"/>
  <c r="E41" i="27"/>
  <c r="F41" i="27" s="1"/>
  <c r="G41" i="27" s="1"/>
  <c r="E37" i="27"/>
  <c r="F37" i="27" s="1"/>
  <c r="G37" i="27" s="1"/>
  <c r="E114" i="27"/>
  <c r="F114" i="27" s="1"/>
  <c r="G114" i="27" s="1"/>
  <c r="E31" i="27"/>
  <c r="F31" i="27" s="1"/>
  <c r="G31" i="27" s="1"/>
  <c r="E108" i="27"/>
  <c r="F108" i="27" s="1"/>
  <c r="G108" i="27" s="1"/>
  <c r="E104" i="27"/>
  <c r="F104" i="27" s="1"/>
  <c r="G104" i="27" s="1"/>
  <c r="E48" i="27"/>
  <c r="F48" i="27" s="1"/>
  <c r="G48" i="27" s="1"/>
  <c r="E33" i="27"/>
  <c r="F33" i="27" s="1"/>
  <c r="G33" i="27" s="1"/>
  <c r="E54" i="27"/>
  <c r="F54" i="27" s="1"/>
  <c r="G54" i="27" s="1"/>
  <c r="E59" i="27"/>
  <c r="F59" i="27" s="1"/>
  <c r="G59" i="27" s="1"/>
  <c r="E50" i="27"/>
  <c r="F50" i="27" s="1"/>
  <c r="G50" i="27" s="1"/>
  <c r="E222" i="27"/>
  <c r="F222" i="27" s="1"/>
  <c r="G222" i="27" s="1"/>
  <c r="E216" i="27"/>
  <c r="F216" i="27" s="1"/>
  <c r="G216" i="27" s="1"/>
  <c r="E210" i="27"/>
  <c r="F210" i="27" s="1"/>
  <c r="G210" i="27" s="1"/>
  <c r="E223" i="27"/>
  <c r="F223" i="27" s="1"/>
  <c r="G223" i="27" s="1"/>
  <c r="E217" i="27"/>
  <c r="F217" i="27" s="1"/>
  <c r="G217" i="27" s="1"/>
  <c r="E211" i="27"/>
  <c r="F211" i="27" s="1"/>
  <c r="G211" i="27" s="1"/>
  <c r="E224" i="27"/>
  <c r="F224" i="27" s="1"/>
  <c r="G224" i="27" s="1"/>
  <c r="E218" i="27"/>
  <c r="F218" i="27" s="1"/>
  <c r="G218" i="27" s="1"/>
  <c r="E212" i="27"/>
  <c r="F212" i="27" s="1"/>
  <c r="G212" i="27" s="1"/>
  <c r="E219" i="27"/>
  <c r="F219" i="27" s="1"/>
  <c r="G219" i="27" s="1"/>
  <c r="E213" i="27"/>
  <c r="F213" i="27" s="1"/>
  <c r="G213" i="27" s="1"/>
  <c r="E220" i="27"/>
  <c r="F220" i="27" s="1"/>
  <c r="G220" i="27" s="1"/>
  <c r="E214" i="27"/>
  <c r="F214" i="27" s="1"/>
  <c r="G214" i="27" s="1"/>
  <c r="E208" i="27"/>
  <c r="E209" i="27"/>
  <c r="F209" i="27" s="1"/>
  <c r="G209" i="27" s="1"/>
  <c r="E221" i="27"/>
  <c r="F221" i="27" s="1"/>
  <c r="G221" i="27" s="1"/>
  <c r="E215" i="27"/>
  <c r="F215" i="27" s="1"/>
  <c r="G215" i="27" s="1"/>
  <c r="P266" i="26"/>
  <c r="P40" i="26"/>
  <c r="U290" i="26"/>
  <c r="U266" i="26"/>
  <c r="P235" i="26"/>
  <c r="P234" i="25"/>
  <c r="P40" i="25"/>
  <c r="D553" i="24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N376" i="9" l="1" a="1"/>
  <c r="P234" i="36"/>
  <c r="N179" i="36"/>
  <c r="O188" i="36" s="1"/>
  <c r="Q188" i="36" s="1"/>
  <c r="F11" i="36"/>
  <c r="G11" i="36" s="1"/>
  <c r="E130" i="35"/>
  <c r="F130" i="35" s="1"/>
  <c r="G130" i="35" s="1"/>
  <c r="E128" i="35"/>
  <c r="F128" i="35" s="1"/>
  <c r="G128" i="35" s="1"/>
  <c r="E126" i="35"/>
  <c r="F126" i="35" s="1"/>
  <c r="G126" i="35" s="1"/>
  <c r="E124" i="35"/>
  <c r="F124" i="35" s="1"/>
  <c r="G124" i="35" s="1"/>
  <c r="E122" i="35"/>
  <c r="F122" i="35" s="1"/>
  <c r="G122" i="35" s="1"/>
  <c r="E120" i="35"/>
  <c r="F120" i="35" s="1"/>
  <c r="G120" i="35" s="1"/>
  <c r="E118" i="35"/>
  <c r="F118" i="35" s="1"/>
  <c r="G118" i="35" s="1"/>
  <c r="E116" i="35"/>
  <c r="F116" i="35" s="1"/>
  <c r="G116" i="35" s="1"/>
  <c r="E114" i="35"/>
  <c r="F114" i="35" s="1"/>
  <c r="G114" i="35" s="1"/>
  <c r="E112" i="35"/>
  <c r="F112" i="35" s="1"/>
  <c r="G112" i="35" s="1"/>
  <c r="E110" i="35"/>
  <c r="F110" i="35" s="1"/>
  <c r="G110" i="35" s="1"/>
  <c r="E106" i="35"/>
  <c r="F106" i="35" s="1"/>
  <c r="G106" i="35" s="1"/>
  <c r="E104" i="35"/>
  <c r="F104" i="35" s="1"/>
  <c r="G104" i="35" s="1"/>
  <c r="E97" i="35"/>
  <c r="F97" i="35" s="1"/>
  <c r="G97" i="35" s="1"/>
  <c r="E83" i="35"/>
  <c r="F83" i="35" s="1"/>
  <c r="G83" i="35" s="1"/>
  <c r="E71" i="35"/>
  <c r="F71" i="35" s="1"/>
  <c r="G71" i="35" s="1"/>
  <c r="E129" i="35"/>
  <c r="F129" i="35" s="1"/>
  <c r="G129" i="35" s="1"/>
  <c r="E127" i="35"/>
  <c r="F127" i="35" s="1"/>
  <c r="G127" i="35" s="1"/>
  <c r="E125" i="35"/>
  <c r="F125" i="35" s="1"/>
  <c r="G125" i="35" s="1"/>
  <c r="E123" i="35"/>
  <c r="F123" i="35" s="1"/>
  <c r="G123" i="35" s="1"/>
  <c r="E121" i="35"/>
  <c r="F121" i="35" s="1"/>
  <c r="G121" i="35" s="1"/>
  <c r="E119" i="35"/>
  <c r="F119" i="35" s="1"/>
  <c r="G119" i="35" s="1"/>
  <c r="E117" i="35"/>
  <c r="F117" i="35" s="1"/>
  <c r="G117" i="35" s="1"/>
  <c r="E115" i="35"/>
  <c r="F115" i="35" s="1"/>
  <c r="G115" i="35" s="1"/>
  <c r="E113" i="35"/>
  <c r="F113" i="35" s="1"/>
  <c r="G113" i="35" s="1"/>
  <c r="E111" i="35"/>
  <c r="F111" i="35" s="1"/>
  <c r="G111" i="35" s="1"/>
  <c r="E105" i="35"/>
  <c r="F105" i="35" s="1"/>
  <c r="G105" i="35" s="1"/>
  <c r="E96" i="35"/>
  <c r="F96" i="35" s="1"/>
  <c r="G96" i="35" s="1"/>
  <c r="E84" i="35"/>
  <c r="F84" i="35" s="1"/>
  <c r="G84" i="35" s="1"/>
  <c r="E49" i="35"/>
  <c r="F49" i="35" s="1"/>
  <c r="G49" i="35" s="1"/>
  <c r="E47" i="35"/>
  <c r="F47" i="35" s="1"/>
  <c r="G47" i="35" s="1"/>
  <c r="E45" i="35"/>
  <c r="F45" i="35" s="1"/>
  <c r="G45" i="35" s="1"/>
  <c r="E43" i="35"/>
  <c r="F43" i="35" s="1"/>
  <c r="G43" i="35" s="1"/>
  <c r="E38" i="35"/>
  <c r="F38" i="35" s="1"/>
  <c r="G38" i="35" s="1"/>
  <c r="E35" i="35"/>
  <c r="F35" i="35" s="1"/>
  <c r="G35" i="35" s="1"/>
  <c r="E108" i="35"/>
  <c r="F108" i="35" s="1"/>
  <c r="G108" i="35" s="1"/>
  <c r="E95" i="35"/>
  <c r="F95" i="35" s="1"/>
  <c r="G95" i="35" s="1"/>
  <c r="E77" i="35"/>
  <c r="F77" i="35" s="1"/>
  <c r="G77" i="35" s="1"/>
  <c r="E74" i="35"/>
  <c r="F74" i="35" s="1"/>
  <c r="G74" i="35" s="1"/>
  <c r="E67" i="35"/>
  <c r="F67" i="35" s="1"/>
  <c r="G67" i="35" s="1"/>
  <c r="E62" i="35"/>
  <c r="F62" i="35" s="1"/>
  <c r="G62" i="35" s="1"/>
  <c r="E55" i="35"/>
  <c r="F55" i="35" s="1"/>
  <c r="G55" i="35" s="1"/>
  <c r="E46" i="35"/>
  <c r="F46" i="35" s="1"/>
  <c r="G46" i="35" s="1"/>
  <c r="E34" i="35"/>
  <c r="F34" i="35" s="1"/>
  <c r="G34" i="35" s="1"/>
  <c r="E29" i="35"/>
  <c r="F29" i="35" s="1"/>
  <c r="G29" i="35" s="1"/>
  <c r="E27" i="35"/>
  <c r="F27" i="35" s="1"/>
  <c r="G27" i="35" s="1"/>
  <c r="E25" i="35"/>
  <c r="F25" i="35" s="1"/>
  <c r="G25" i="35" s="1"/>
  <c r="E23" i="35"/>
  <c r="F23" i="35" s="1"/>
  <c r="G23" i="35" s="1"/>
  <c r="E21" i="35"/>
  <c r="F21" i="35" s="1"/>
  <c r="G21" i="35" s="1"/>
  <c r="E19" i="35"/>
  <c r="F19" i="35" s="1"/>
  <c r="G19" i="35" s="1"/>
  <c r="E17" i="35"/>
  <c r="F17" i="35" s="1"/>
  <c r="G17" i="35" s="1"/>
  <c r="E15" i="35"/>
  <c r="F15" i="35" s="1"/>
  <c r="G15" i="35" s="1"/>
  <c r="E13" i="35"/>
  <c r="F13" i="35" s="1"/>
  <c r="G13" i="35" s="1"/>
  <c r="E11" i="35"/>
  <c r="E102" i="35"/>
  <c r="F102" i="35" s="1"/>
  <c r="G102" i="35" s="1"/>
  <c r="E98" i="35"/>
  <c r="F98" i="35" s="1"/>
  <c r="G98" i="35" s="1"/>
  <c r="E92" i="35"/>
  <c r="F92" i="35" s="1"/>
  <c r="G92" i="35" s="1"/>
  <c r="E89" i="35"/>
  <c r="F89" i="35" s="1"/>
  <c r="G89" i="35" s="1"/>
  <c r="E86" i="35"/>
  <c r="F86" i="35" s="1"/>
  <c r="G86" i="35" s="1"/>
  <c r="E82" i="35"/>
  <c r="F82" i="35" s="1"/>
  <c r="G82" i="35" s="1"/>
  <c r="E69" i="35"/>
  <c r="F69" i="35" s="1"/>
  <c r="G69" i="35" s="1"/>
  <c r="E64" i="35"/>
  <c r="F64" i="35" s="1"/>
  <c r="G64" i="35" s="1"/>
  <c r="E57" i="35"/>
  <c r="F57" i="35" s="1"/>
  <c r="G57" i="35" s="1"/>
  <c r="E52" i="35"/>
  <c r="F52" i="35" s="1"/>
  <c r="G52" i="35" s="1"/>
  <c r="E48" i="35"/>
  <c r="F48" i="35" s="1"/>
  <c r="G48" i="35" s="1"/>
  <c r="E41" i="35"/>
  <c r="F41" i="35" s="1"/>
  <c r="G41" i="35" s="1"/>
  <c r="E39" i="35"/>
  <c r="F39" i="35" s="1"/>
  <c r="G39" i="35" s="1"/>
  <c r="E31" i="35"/>
  <c r="F31" i="35" s="1"/>
  <c r="G31" i="35" s="1"/>
  <c r="E101" i="35"/>
  <c r="F101" i="35" s="1"/>
  <c r="G101" i="35" s="1"/>
  <c r="E79" i="35"/>
  <c r="F79" i="35" s="1"/>
  <c r="G79" i="35" s="1"/>
  <c r="E76" i="35"/>
  <c r="F76" i="35" s="1"/>
  <c r="G76" i="35" s="1"/>
  <c r="E66" i="35"/>
  <c r="F66" i="35" s="1"/>
  <c r="G66" i="35" s="1"/>
  <c r="E59" i="35"/>
  <c r="F59" i="35" s="1"/>
  <c r="G59" i="35" s="1"/>
  <c r="E54" i="35"/>
  <c r="F54" i="35" s="1"/>
  <c r="G54" i="35" s="1"/>
  <c r="E50" i="35"/>
  <c r="F50" i="35" s="1"/>
  <c r="G50" i="35" s="1"/>
  <c r="E107" i="35"/>
  <c r="F107" i="35" s="1"/>
  <c r="G107" i="35" s="1"/>
  <c r="E94" i="35"/>
  <c r="F94" i="35" s="1"/>
  <c r="G94" i="35" s="1"/>
  <c r="E91" i="35"/>
  <c r="F91" i="35" s="1"/>
  <c r="G91" i="35" s="1"/>
  <c r="E88" i="35"/>
  <c r="F88" i="35" s="1"/>
  <c r="G88" i="35" s="1"/>
  <c r="E81" i="35"/>
  <c r="F81" i="35" s="1"/>
  <c r="G81" i="35" s="1"/>
  <c r="E73" i="35"/>
  <c r="F73" i="35" s="1"/>
  <c r="G73" i="35" s="1"/>
  <c r="E68" i="35"/>
  <c r="F68" i="35" s="1"/>
  <c r="G68" i="35" s="1"/>
  <c r="E61" i="35"/>
  <c r="F61" i="35" s="1"/>
  <c r="G61" i="35" s="1"/>
  <c r="E56" i="35"/>
  <c r="F56" i="35" s="1"/>
  <c r="G56" i="35" s="1"/>
  <c r="E28" i="35"/>
  <c r="F28" i="35" s="1"/>
  <c r="G28" i="35" s="1"/>
  <c r="E26" i="35"/>
  <c r="F26" i="35" s="1"/>
  <c r="G26" i="35" s="1"/>
  <c r="E24" i="35"/>
  <c r="F24" i="35" s="1"/>
  <c r="G24" i="35" s="1"/>
  <c r="E22" i="35"/>
  <c r="F22" i="35" s="1"/>
  <c r="G22" i="35" s="1"/>
  <c r="E20" i="35"/>
  <c r="F20" i="35" s="1"/>
  <c r="G20" i="35" s="1"/>
  <c r="E18" i="35"/>
  <c r="F18" i="35" s="1"/>
  <c r="G18" i="35" s="1"/>
  <c r="E16" i="35"/>
  <c r="F16" i="35" s="1"/>
  <c r="G16" i="35" s="1"/>
  <c r="E14" i="35"/>
  <c r="F14" i="35" s="1"/>
  <c r="G14" i="35" s="1"/>
  <c r="E12" i="35"/>
  <c r="F12" i="35" s="1"/>
  <c r="G12" i="35" s="1"/>
  <c r="E100" i="35"/>
  <c r="F100" i="35" s="1"/>
  <c r="G100" i="35" s="1"/>
  <c r="E85" i="35"/>
  <c r="F85" i="35" s="1"/>
  <c r="G85" i="35" s="1"/>
  <c r="E78" i="35"/>
  <c r="F78" i="35" s="1"/>
  <c r="G78" i="35" s="1"/>
  <c r="E75" i="35"/>
  <c r="F75" i="35" s="1"/>
  <c r="G75" i="35" s="1"/>
  <c r="E70" i="35"/>
  <c r="F70" i="35" s="1"/>
  <c r="G70" i="35" s="1"/>
  <c r="E63" i="35"/>
  <c r="F63" i="35" s="1"/>
  <c r="G63" i="35" s="1"/>
  <c r="E58" i="35"/>
  <c r="F58" i="35" s="1"/>
  <c r="G58" i="35" s="1"/>
  <c r="E42" i="35"/>
  <c r="F42" i="35" s="1"/>
  <c r="G42" i="35" s="1"/>
  <c r="E30" i="35"/>
  <c r="F30" i="35" s="1"/>
  <c r="G30" i="35" s="1"/>
  <c r="E109" i="35"/>
  <c r="F109" i="35" s="1"/>
  <c r="G109" i="35" s="1"/>
  <c r="E103" i="35"/>
  <c r="F103" i="35" s="1"/>
  <c r="G103" i="35" s="1"/>
  <c r="E99" i="35"/>
  <c r="F99" i="35" s="1"/>
  <c r="G99" i="35" s="1"/>
  <c r="E93" i="35"/>
  <c r="F93" i="35" s="1"/>
  <c r="G93" i="35" s="1"/>
  <c r="E90" i="35"/>
  <c r="F90" i="35" s="1"/>
  <c r="G90" i="35" s="1"/>
  <c r="E87" i="35"/>
  <c r="F87" i="35" s="1"/>
  <c r="G87" i="35" s="1"/>
  <c r="E80" i="35"/>
  <c r="F80" i="35" s="1"/>
  <c r="G80" i="35" s="1"/>
  <c r="E72" i="35"/>
  <c r="F72" i="35" s="1"/>
  <c r="G72" i="35" s="1"/>
  <c r="E65" i="35"/>
  <c r="F65" i="35" s="1"/>
  <c r="G65" i="35" s="1"/>
  <c r="E51" i="35"/>
  <c r="F51" i="35" s="1"/>
  <c r="G51" i="35" s="1"/>
  <c r="E60" i="35"/>
  <c r="F60" i="35" s="1"/>
  <c r="G60" i="35" s="1"/>
  <c r="E37" i="35"/>
  <c r="F37" i="35" s="1"/>
  <c r="G37" i="35" s="1"/>
  <c r="E33" i="35"/>
  <c r="F33" i="35" s="1"/>
  <c r="G33" i="35" s="1"/>
  <c r="E44" i="35"/>
  <c r="F44" i="35" s="1"/>
  <c r="G44" i="35" s="1"/>
  <c r="E36" i="35"/>
  <c r="F36" i="35" s="1"/>
  <c r="G36" i="35" s="1"/>
  <c r="E32" i="35"/>
  <c r="F32" i="35" s="1"/>
  <c r="G32" i="35" s="1"/>
  <c r="E53" i="35"/>
  <c r="F53" i="35" s="1"/>
  <c r="G53" i="35" s="1"/>
  <c r="E40" i="35"/>
  <c r="F40" i="35" s="1"/>
  <c r="G40" i="35" s="1"/>
  <c r="F208" i="35"/>
  <c r="G208" i="35" s="1"/>
  <c r="N362" i="35" a="1"/>
  <c r="N362" i="35" s="1"/>
  <c r="O371" i="35" s="1"/>
  <c r="Q371" i="35" s="1"/>
  <c r="E223" i="34"/>
  <c r="F223" i="34" s="1"/>
  <c r="G223" i="34" s="1"/>
  <c r="E221" i="34"/>
  <c r="F221" i="34" s="1"/>
  <c r="G221" i="34" s="1"/>
  <c r="E219" i="34"/>
  <c r="F219" i="34" s="1"/>
  <c r="G219" i="34" s="1"/>
  <c r="E217" i="34"/>
  <c r="F217" i="34" s="1"/>
  <c r="G217" i="34" s="1"/>
  <c r="E215" i="34"/>
  <c r="F215" i="34" s="1"/>
  <c r="G215" i="34" s="1"/>
  <c r="E213" i="34"/>
  <c r="F213" i="34" s="1"/>
  <c r="G213" i="34" s="1"/>
  <c r="E211" i="34"/>
  <c r="F211" i="34" s="1"/>
  <c r="G211" i="34" s="1"/>
  <c r="E209" i="34"/>
  <c r="F209" i="34" s="1"/>
  <c r="G209" i="34" s="1"/>
  <c r="E224" i="34"/>
  <c r="F224" i="34" s="1"/>
  <c r="G224" i="34" s="1"/>
  <c r="E222" i="34"/>
  <c r="F222" i="34" s="1"/>
  <c r="G222" i="34" s="1"/>
  <c r="E220" i="34"/>
  <c r="F220" i="34" s="1"/>
  <c r="G220" i="34" s="1"/>
  <c r="E218" i="34"/>
  <c r="F218" i="34" s="1"/>
  <c r="G218" i="34" s="1"/>
  <c r="E216" i="34"/>
  <c r="F216" i="34" s="1"/>
  <c r="G216" i="34" s="1"/>
  <c r="E214" i="34"/>
  <c r="F214" i="34" s="1"/>
  <c r="G214" i="34" s="1"/>
  <c r="E212" i="34"/>
  <c r="F212" i="34" s="1"/>
  <c r="G212" i="34" s="1"/>
  <c r="E210" i="34"/>
  <c r="F210" i="34" s="1"/>
  <c r="G210" i="34" s="1"/>
  <c r="E208" i="34"/>
  <c r="E130" i="34"/>
  <c r="F130" i="34" s="1"/>
  <c r="G130" i="34" s="1"/>
  <c r="E128" i="34"/>
  <c r="F128" i="34" s="1"/>
  <c r="G128" i="34" s="1"/>
  <c r="E126" i="34"/>
  <c r="F126" i="34" s="1"/>
  <c r="G126" i="34" s="1"/>
  <c r="E124" i="34"/>
  <c r="F124" i="34" s="1"/>
  <c r="G124" i="34" s="1"/>
  <c r="E122" i="34"/>
  <c r="F122" i="34" s="1"/>
  <c r="G122" i="34" s="1"/>
  <c r="E120" i="34"/>
  <c r="F120" i="34" s="1"/>
  <c r="G120" i="34" s="1"/>
  <c r="E118" i="34"/>
  <c r="F118" i="34" s="1"/>
  <c r="G118" i="34" s="1"/>
  <c r="E116" i="34"/>
  <c r="F116" i="34" s="1"/>
  <c r="G116" i="34" s="1"/>
  <c r="E114" i="34"/>
  <c r="F114" i="34" s="1"/>
  <c r="G114" i="34" s="1"/>
  <c r="E112" i="34"/>
  <c r="F112" i="34" s="1"/>
  <c r="G112" i="34" s="1"/>
  <c r="E110" i="34"/>
  <c r="F110" i="34" s="1"/>
  <c r="G110" i="34" s="1"/>
  <c r="E106" i="34"/>
  <c r="F106" i="34" s="1"/>
  <c r="G106" i="34" s="1"/>
  <c r="E104" i="34"/>
  <c r="F104" i="34" s="1"/>
  <c r="G104" i="34" s="1"/>
  <c r="F97" i="34"/>
  <c r="G97" i="34" s="1"/>
  <c r="F83" i="34"/>
  <c r="G83" i="34" s="1"/>
  <c r="E107" i="34"/>
  <c r="F107" i="34" s="1"/>
  <c r="G107" i="34" s="1"/>
  <c r="F95" i="34"/>
  <c r="G95" i="34" s="1"/>
  <c r="E129" i="34"/>
  <c r="F129" i="34" s="1"/>
  <c r="G129" i="34" s="1"/>
  <c r="E127" i="34"/>
  <c r="F127" i="34" s="1"/>
  <c r="G127" i="34" s="1"/>
  <c r="E125" i="34"/>
  <c r="F125" i="34" s="1"/>
  <c r="G125" i="34" s="1"/>
  <c r="E123" i="34"/>
  <c r="F123" i="34" s="1"/>
  <c r="G123" i="34" s="1"/>
  <c r="E121" i="34"/>
  <c r="F121" i="34" s="1"/>
  <c r="G121" i="34" s="1"/>
  <c r="E119" i="34"/>
  <c r="F119" i="34" s="1"/>
  <c r="G119" i="34" s="1"/>
  <c r="E117" i="34"/>
  <c r="F117" i="34" s="1"/>
  <c r="G117" i="34" s="1"/>
  <c r="E115" i="34"/>
  <c r="F115" i="34" s="1"/>
  <c r="G115" i="34" s="1"/>
  <c r="E113" i="34"/>
  <c r="F113" i="34" s="1"/>
  <c r="G113" i="34" s="1"/>
  <c r="E111" i="34"/>
  <c r="F111" i="34" s="1"/>
  <c r="G111" i="34" s="1"/>
  <c r="E105" i="34"/>
  <c r="F105" i="34" s="1"/>
  <c r="G105" i="34" s="1"/>
  <c r="F96" i="34"/>
  <c r="G96" i="34" s="1"/>
  <c r="F84" i="34"/>
  <c r="G84" i="34" s="1"/>
  <c r="E49" i="34"/>
  <c r="F49" i="34" s="1"/>
  <c r="G49" i="34" s="1"/>
  <c r="E47" i="34"/>
  <c r="F47" i="34" s="1"/>
  <c r="G47" i="34" s="1"/>
  <c r="E45" i="34"/>
  <c r="F45" i="34" s="1"/>
  <c r="G45" i="34" s="1"/>
  <c r="E43" i="34"/>
  <c r="F43" i="34" s="1"/>
  <c r="G43" i="34" s="1"/>
  <c r="E38" i="34"/>
  <c r="F38" i="34" s="1"/>
  <c r="G38" i="34" s="1"/>
  <c r="E35" i="34"/>
  <c r="F35" i="34" s="1"/>
  <c r="G35" i="34" s="1"/>
  <c r="E108" i="34"/>
  <c r="F108" i="34" s="1"/>
  <c r="G108" i="34" s="1"/>
  <c r="E101" i="34"/>
  <c r="F101" i="34" s="1"/>
  <c r="G101" i="34" s="1"/>
  <c r="F94" i="34"/>
  <c r="G94" i="34" s="1"/>
  <c r="F90" i="34"/>
  <c r="G90" i="34" s="1"/>
  <c r="F86" i="34"/>
  <c r="G86" i="34" s="1"/>
  <c r="F81" i="34"/>
  <c r="G81" i="34" s="1"/>
  <c r="F74" i="34"/>
  <c r="G74" i="34" s="1"/>
  <c r="F72" i="34"/>
  <c r="G72" i="34" s="1"/>
  <c r="F70" i="34"/>
  <c r="G70" i="34" s="1"/>
  <c r="F63" i="34"/>
  <c r="G63" i="34" s="1"/>
  <c r="E58" i="34"/>
  <c r="F58" i="34" s="1"/>
  <c r="G58" i="34" s="1"/>
  <c r="E42" i="34"/>
  <c r="F42" i="34" s="1"/>
  <c r="G42" i="34" s="1"/>
  <c r="E30" i="34"/>
  <c r="F30" i="34" s="1"/>
  <c r="G30" i="34" s="1"/>
  <c r="F79" i="34"/>
  <c r="G79" i="34" s="1"/>
  <c r="E100" i="34"/>
  <c r="F100" i="34" s="1"/>
  <c r="G100" i="34" s="1"/>
  <c r="F93" i="34"/>
  <c r="G93" i="34" s="1"/>
  <c r="F89" i="34"/>
  <c r="G89" i="34" s="1"/>
  <c r="F76" i="34"/>
  <c r="G76" i="34" s="1"/>
  <c r="F65" i="34"/>
  <c r="G65" i="34" s="1"/>
  <c r="F60" i="34"/>
  <c r="G60" i="34" s="1"/>
  <c r="E53" i="34"/>
  <c r="F53" i="34" s="1"/>
  <c r="G53" i="34" s="1"/>
  <c r="E51" i="34"/>
  <c r="F51" i="34" s="1"/>
  <c r="G51" i="34" s="1"/>
  <c r="E44" i="34"/>
  <c r="F44" i="34" s="1"/>
  <c r="G44" i="34" s="1"/>
  <c r="E40" i="34"/>
  <c r="F40" i="34" s="1"/>
  <c r="G40" i="34" s="1"/>
  <c r="E36" i="34"/>
  <c r="F36" i="34" s="1"/>
  <c r="G36" i="34" s="1"/>
  <c r="E32" i="34"/>
  <c r="F32" i="34" s="1"/>
  <c r="G32" i="34" s="1"/>
  <c r="E24" i="34"/>
  <c r="F24" i="34" s="1"/>
  <c r="G24" i="34" s="1"/>
  <c r="E14" i="34"/>
  <c r="F14" i="34" s="1"/>
  <c r="G14" i="34" s="1"/>
  <c r="F85" i="34"/>
  <c r="G85" i="34" s="1"/>
  <c r="F80" i="34"/>
  <c r="G80" i="34" s="1"/>
  <c r="F78" i="34"/>
  <c r="G78" i="34" s="1"/>
  <c r="F67" i="34"/>
  <c r="G67" i="34" s="1"/>
  <c r="F62" i="34"/>
  <c r="G62" i="34" s="1"/>
  <c r="E55" i="34"/>
  <c r="F55" i="34" s="1"/>
  <c r="G55" i="34" s="1"/>
  <c r="E46" i="34"/>
  <c r=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/>
  <c r="E25" i="34"/>
  <c r="F25" i="34" s="1"/>
  <c r="G25" i="34" s="1"/>
  <c r="E23" i="34"/>
  <c r="F23" i="34" s="1"/>
  <c r="G23" i="34" s="1"/>
  <c r="E21" i="34"/>
  <c r="F21" i="34" s="1"/>
  <c r="G21" i="34" s="1"/>
  <c r="E19" i="34"/>
  <c r="F19" i="34" s="1"/>
  <c r="G19" i="34" s="1"/>
  <c r="E17" i="34"/>
  <c r="F17" i="34" s="1"/>
  <c r="G17" i="34" s="1"/>
  <c r="E15" i="34"/>
  <c r="F15" i="34" s="1"/>
  <c r="G15" i="34" s="1"/>
  <c r="E13" i="34"/>
  <c r="F13" i="34" s="1"/>
  <c r="G13" i="34" s="1"/>
  <c r="E11" i="34"/>
  <c r="F68" i="34"/>
  <c r="G68" i="34" s="1"/>
  <c r="E56" i="34"/>
  <c r="F56" i="34" s="1"/>
  <c r="G56" i="34" s="1"/>
  <c r="E28" i="34"/>
  <c r="F28" i="34" s="1"/>
  <c r="G28" i="34" s="1"/>
  <c r="E22" i="34"/>
  <c r="F22" i="34" s="1"/>
  <c r="G22" i="34" s="1"/>
  <c r="E18" i="34"/>
  <c r="F18" i="34" s="1"/>
  <c r="G18" i="34" s="1"/>
  <c r="E16" i="34"/>
  <c r="F16" i="34" s="1"/>
  <c r="G16" i="34" s="1"/>
  <c r="E103" i="34"/>
  <c r="F103" i="34" s="1"/>
  <c r="G103" i="34" s="1"/>
  <c r="F99" i="34"/>
  <c r="G99" i="34" s="1"/>
  <c r="F92" i="34"/>
  <c r="G92" i="34" s="1"/>
  <c r="F88" i="34"/>
  <c r="G88" i="34" s="1"/>
  <c r="F75" i="34"/>
  <c r="G75" i="34" s="1"/>
  <c r="F73" i="34"/>
  <c r="G73" i="34" s="1"/>
  <c r="F71" i="34"/>
  <c r="G71" i="34" s="1"/>
  <c r="F69" i="34"/>
  <c r="G69" i="34" s="1"/>
  <c r="F64" i="34"/>
  <c r="G64" i="34" s="1"/>
  <c r="E57" i="34"/>
  <c r="F57" i="34" s="1"/>
  <c r="G57" i="34" s="1"/>
  <c r="E52" i="34"/>
  <c r="F52" i="34" s="1"/>
  <c r="G52" i="34" s="1"/>
  <c r="E48" i="34"/>
  <c r="F48" i="34" s="1"/>
  <c r="G48" i="34" s="1"/>
  <c r="E41" i="34"/>
  <c r="F41" i="34" s="1"/>
  <c r="G41" i="34" s="1"/>
  <c r="E39" i="34"/>
  <c r="F39" i="34" s="1"/>
  <c r="G39" i="34" s="1"/>
  <c r="E31" i="34"/>
  <c r="F31" i="34" s="1"/>
  <c r="G31" i="34" s="1"/>
  <c r="F61" i="34"/>
  <c r="G61" i="34" s="1"/>
  <c r="E109" i="34"/>
  <c r="F109" i="34" s="1"/>
  <c r="G109" i="34" s="1"/>
  <c r="E102" i="34"/>
  <c r="F102" i="34" s="1"/>
  <c r="G102" i="34" s="1"/>
  <c r="E98" i="34"/>
  <c r="F98" i="34" s="1"/>
  <c r="G98" i="34" s="1"/>
  <c r="F91" i="34"/>
  <c r="G91" i="34" s="1"/>
  <c r="F87" i="34"/>
  <c r="G87" i="34" s="1"/>
  <c r="F82" i="34"/>
  <c r="G82" i="34" s="1"/>
  <c r="F77" i="34"/>
  <c r="G77" i="34" s="1"/>
  <c r="F66" i="34"/>
  <c r="G66" i="34" s="1"/>
  <c r="E59" i="34"/>
  <c r="F59" i="34" s="1"/>
  <c r="G59" i="34" s="1"/>
  <c r="E54" i="34"/>
  <c r="F54" i="34" s="1"/>
  <c r="G54" i="34" s="1"/>
  <c r="E50" i="34"/>
  <c r="F50" i="34" s="1"/>
  <c r="G50" i="34" s="1"/>
  <c r="E37" i="34"/>
  <c r="F37" i="34" s="1"/>
  <c r="G37" i="34" s="1"/>
  <c r="E33" i="34"/>
  <c r="F33" i="34" s="1"/>
  <c r="G33" i="34" s="1"/>
  <c r="E26" i="34"/>
  <c r="F26" i="34" s="1"/>
  <c r="G26" i="34" s="1"/>
  <c r="E20" i="34"/>
  <c r="F20" i="34" s="1"/>
  <c r="G20" i="34" s="1"/>
  <c r="E12" i="34"/>
  <c r="F12" i="34" s="1"/>
  <c r="G12" i="34" s="1"/>
  <c r="N362" i="33"/>
  <c r="O371" i="33" s="1"/>
  <c r="Q371" i="33" s="1"/>
  <c r="E102" i="33"/>
  <c r="F102" i="33" s="1"/>
  <c r="G102" i="33" s="1"/>
  <c r="E100" i="33"/>
  <c r="F100" i="33" s="1"/>
  <c r="G100" i="33" s="1"/>
  <c r="E98" i="33"/>
  <c r="F98" i="33" s="1"/>
  <c r="G98" i="33" s="1"/>
  <c r="E93" i="33"/>
  <c r="F93" i="33" s="1"/>
  <c r="G93" i="33" s="1"/>
  <c r="E91" i="33"/>
  <c r="F91" i="33" s="1"/>
  <c r="G91" i="33" s="1"/>
  <c r="E89" i="33"/>
  <c r="F89" i="33" s="1"/>
  <c r="G89" i="33" s="1"/>
  <c r="E87" i="33"/>
  <c r="F87" i="33" s="1"/>
  <c r="G87" i="33" s="1"/>
  <c r="E81" i="33"/>
  <c r="F81" i="33" s="1"/>
  <c r="G81" i="33" s="1"/>
  <c r="E72" i="33"/>
  <c r="F72" i="33" s="1"/>
  <c r="G72" i="33" s="1"/>
  <c r="E51" i="33"/>
  <c r="F51" i="33" s="1"/>
  <c r="G51" i="33" s="1"/>
  <c r="E40" i="33"/>
  <c r="F40" i="33" s="1"/>
  <c r="G40" i="33" s="1"/>
  <c r="E108" i="33"/>
  <c r="F108" i="33" s="1"/>
  <c r="G108" i="33" s="1"/>
  <c r="E85" i="33"/>
  <c r="F85" i="33" s="1"/>
  <c r="G85" i="33" s="1"/>
  <c r="E79" i="33"/>
  <c r="F79" i="33" s="1"/>
  <c r="G79" i="33" s="1"/>
  <c r="E77" i="33"/>
  <c r="F77" i="33" s="1"/>
  <c r="G77" i="33" s="1"/>
  <c r="E75" i="33"/>
  <c r="F75" i="33" s="1"/>
  <c r="G75" i="33" s="1"/>
  <c r="E70" i="33"/>
  <c r="F70" i="33" s="1"/>
  <c r="G70" i="33" s="1"/>
  <c r="E68" i="33"/>
  <c r="F68" i="33" s="1"/>
  <c r="G68" i="33" s="1"/>
  <c r="E66" i="33"/>
  <c r="F66" i="33" s="1"/>
  <c r="G66" i="33" s="1"/>
  <c r="E64" i="33"/>
  <c r="F64" i="33" s="1"/>
  <c r="G64" i="33" s="1"/>
  <c r="E62" i="33"/>
  <c r="F62" i="33" s="1"/>
  <c r="G62" i="33" s="1"/>
  <c r="E60" i="33"/>
  <c r="F60" i="33" s="1"/>
  <c r="G60" i="33" s="1"/>
  <c r="E58" i="33"/>
  <c r="F58" i="33" s="1"/>
  <c r="G58" i="33" s="1"/>
  <c r="E56" i="33"/>
  <c r="F56" i="33" s="1"/>
  <c r="G56" i="33" s="1"/>
  <c r="E54" i="33"/>
  <c r="F54" i="33" s="1"/>
  <c r="G54" i="33" s="1"/>
  <c r="E52" i="33"/>
  <c r="F52" i="33" s="1"/>
  <c r="G52" i="33" s="1"/>
  <c r="E41" i="33"/>
  <c r="F41" i="33" s="1"/>
  <c r="G41" i="33" s="1"/>
  <c r="E33" i="33"/>
  <c r="F33" i="33" s="1"/>
  <c r="G33" i="33" s="1"/>
  <c r="E31" i="33"/>
  <c r="F31" i="33" s="1"/>
  <c r="G31" i="33" s="1"/>
  <c r="E29" i="33"/>
  <c r="F29" i="33" s="1"/>
  <c r="G29" i="33" s="1"/>
  <c r="E27" i="33"/>
  <c r="F27" i="33" s="1"/>
  <c r="G27" i="33" s="1"/>
  <c r="E25" i="33"/>
  <c r="F25" i="33" s="1"/>
  <c r="G25" i="33" s="1"/>
  <c r="E129" i="33"/>
  <c r="F129" i="33" s="1"/>
  <c r="G129" i="33" s="1"/>
  <c r="E126" i="33"/>
  <c r="F126" i="33" s="1"/>
  <c r="G126" i="33" s="1"/>
  <c r="E123" i="33"/>
  <c r="F123" i="33" s="1"/>
  <c r="G123" i="33" s="1"/>
  <c r="E120" i="33"/>
  <c r="F120" i="33" s="1"/>
  <c r="G120" i="33" s="1"/>
  <c r="E117" i="33"/>
  <c r="F117" i="33" s="1"/>
  <c r="G117" i="33" s="1"/>
  <c r="E114" i="33"/>
  <c r="F114" i="33" s="1"/>
  <c r="G114" i="33" s="1"/>
  <c r="E111" i="33"/>
  <c r="F111" i="33" s="1"/>
  <c r="G111" i="33" s="1"/>
  <c r="E104" i="33"/>
  <c r="F104" i="33" s="1"/>
  <c r="G104" i="33" s="1"/>
  <c r="E96" i="33"/>
  <c r="F96" i="33" s="1"/>
  <c r="G96" i="33" s="1"/>
  <c r="E94" i="33"/>
  <c r="F94" i="33" s="1"/>
  <c r="G94" i="33" s="1"/>
  <c r="E88" i="33"/>
  <c r="F88" i="33" s="1"/>
  <c r="G88" i="33" s="1"/>
  <c r="E76" i="33"/>
  <c r="F76" i="33" s="1"/>
  <c r="G76" i="33" s="1"/>
  <c r="E73" i="33"/>
  <c r="F73" i="33" s="1"/>
  <c r="G73" i="33" s="1"/>
  <c r="E65" i="33"/>
  <c r="F65" i="33" s="1"/>
  <c r="G65" i="33" s="1"/>
  <c r="E59" i="33"/>
  <c r="F59" i="33" s="1"/>
  <c r="G59" i="33" s="1"/>
  <c r="E53" i="33"/>
  <c r="F53" i="33" s="1"/>
  <c r="G53" i="33" s="1"/>
  <c r="E39" i="33"/>
  <c r="F39" i="33" s="1"/>
  <c r="G39" i="33" s="1"/>
  <c r="E37" i="33"/>
  <c r="F37" i="33" s="1"/>
  <c r="G37" i="33" s="1"/>
  <c r="E24" i="33"/>
  <c r="F24" i="33" s="1"/>
  <c r="G24" i="33" s="1"/>
  <c r="E22" i="33"/>
  <c r="F22" i="33" s="1"/>
  <c r="G22" i="33" s="1"/>
  <c r="E20" i="33"/>
  <c r="F20" i="33" s="1"/>
  <c r="G20" i="33" s="1"/>
  <c r="E18" i="33"/>
  <c r="F18" i="33" s="1"/>
  <c r="G18" i="33" s="1"/>
  <c r="E16" i="33"/>
  <c r="F16" i="33" s="1"/>
  <c r="G16" i="33" s="1"/>
  <c r="E14" i="33"/>
  <c r="F14" i="33" s="1"/>
  <c r="G14" i="33" s="1"/>
  <c r="E12" i="33"/>
  <c r="F12" i="33" s="1"/>
  <c r="G12" i="33" s="1"/>
  <c r="E101" i="33"/>
  <c r="F101" i="33" s="1"/>
  <c r="G101" i="33" s="1"/>
  <c r="E83" i="33"/>
  <c r="F83" i="33" s="1"/>
  <c r="G83" i="33" s="1"/>
  <c r="E50" i="33"/>
  <c r="F50" i="33" s="1"/>
  <c r="G50" i="33" s="1"/>
  <c r="E47" i="33"/>
  <c r="F47" i="33" s="1"/>
  <c r="G47" i="33" s="1"/>
  <c r="E44" i="33"/>
  <c r="F44" i="33" s="1"/>
  <c r="G44" i="33" s="1"/>
  <c r="E35" i="33"/>
  <c r="F35" i="33" s="1"/>
  <c r="G35" i="33" s="1"/>
  <c r="E26" i="33"/>
  <c r="F26" i="33" s="1"/>
  <c r="G26" i="33" s="1"/>
  <c r="E109" i="33"/>
  <c r="F109" i="33" s="1"/>
  <c r="G109" i="33" s="1"/>
  <c r="E99" i="33"/>
  <c r="F99" i="33" s="1"/>
  <c r="G99" i="33" s="1"/>
  <c r="E45" i="33"/>
  <c r="F45" i="33" s="1"/>
  <c r="G45" i="33" s="1"/>
  <c r="E128" i="33"/>
  <c r="F128" i="33" s="1"/>
  <c r="G128" i="33" s="1"/>
  <c r="E125" i="33"/>
  <c r="F125" i="33" s="1"/>
  <c r="G125" i="33" s="1"/>
  <c r="E122" i="33"/>
  <c r="F122" i="33" s="1"/>
  <c r="G122" i="33" s="1"/>
  <c r="E119" i="33"/>
  <c r="F119" i="33" s="1"/>
  <c r="G119" i="33" s="1"/>
  <c r="E116" i="33"/>
  <c r="F116" i="33" s="1"/>
  <c r="G116" i="33" s="1"/>
  <c r="E113" i="33"/>
  <c r="F113" i="33" s="1"/>
  <c r="G113" i="33" s="1"/>
  <c r="E110" i="33"/>
  <c r="F110" i="33" s="1"/>
  <c r="G110" i="33" s="1"/>
  <c r="E106" i="33"/>
  <c r="F106" i="33" s="1"/>
  <c r="G106" i="33" s="1"/>
  <c r="E90" i="33"/>
  <c r="F90" i="33" s="1"/>
  <c r="G90" i="33" s="1"/>
  <c r="E80" i="33"/>
  <c r="F80" i="33" s="1"/>
  <c r="G80" i="33" s="1"/>
  <c r="E78" i="33"/>
  <c r="F78" i="33" s="1"/>
  <c r="G78" i="33" s="1"/>
  <c r="E67" i="33"/>
  <c r="F67" i="33" s="1"/>
  <c r="G67" i="33" s="1"/>
  <c r="E61" i="33"/>
  <c r="F61" i="33" s="1"/>
  <c r="G61" i="33" s="1"/>
  <c r="E55" i="33"/>
  <c r="F55" i="33" s="1"/>
  <c r="G55" i="33" s="1"/>
  <c r="E28" i="33"/>
  <c r="F28" i="33" s="1"/>
  <c r="G28" i="33" s="1"/>
  <c r="E84" i="33"/>
  <c r="F84" i="33" s="1"/>
  <c r="G84" i="33" s="1"/>
  <c r="E42" i="33"/>
  <c r="F42" i="33" s="1"/>
  <c r="G42" i="33" s="1"/>
  <c r="E103" i="33"/>
  <c r="F103" i="33" s="1"/>
  <c r="G103" i="33" s="1"/>
  <c r="E95" i="33"/>
  <c r="F95" i="33" s="1"/>
  <c r="G95" i="33" s="1"/>
  <c r="E49" i="33"/>
  <c r="F49" i="33" s="1"/>
  <c r="G49" i="33" s="1"/>
  <c r="E46" i="33"/>
  <c r="F46" i="33" s="1"/>
  <c r="G46" i="33" s="1"/>
  <c r="E43" i="33"/>
  <c r="F43" i="33" s="1"/>
  <c r="G43" i="33" s="1"/>
  <c r="E38" i="33"/>
  <c r="F38" i="33" s="1"/>
  <c r="G38" i="33" s="1"/>
  <c r="E36" i="33"/>
  <c r="F36" i="33" s="1"/>
  <c r="G36" i="33" s="1"/>
  <c r="E30" i="33"/>
  <c r="F30" i="33" s="1"/>
  <c r="G30" i="33" s="1"/>
  <c r="E23" i="33"/>
  <c r="F23" i="33" s="1"/>
  <c r="G23" i="33" s="1"/>
  <c r="E21" i="33"/>
  <c r="F21" i="33" s="1"/>
  <c r="G21" i="33" s="1"/>
  <c r="E19" i="33"/>
  <c r="F19" i="33" s="1"/>
  <c r="G19" i="33" s="1"/>
  <c r="E17" i="33"/>
  <c r="F17" i="33" s="1"/>
  <c r="G17" i="33" s="1"/>
  <c r="E15" i="33"/>
  <c r="F15" i="33" s="1"/>
  <c r="G15" i="33" s="1"/>
  <c r="E13" i="33"/>
  <c r="F13" i="33" s="1"/>
  <c r="G13" i="33" s="1"/>
  <c r="E11" i="33"/>
  <c r="E130" i="33"/>
  <c r="F130" i="33" s="1"/>
  <c r="G130" i="33" s="1"/>
  <c r="E127" i="33"/>
  <c r="F127" i="33" s="1"/>
  <c r="G127" i="33" s="1"/>
  <c r="E124" i="33"/>
  <c r="F124" i="33" s="1"/>
  <c r="G124" i="33" s="1"/>
  <c r="E121" i="33"/>
  <c r="F121" i="33" s="1"/>
  <c r="G121" i="33" s="1"/>
  <c r="E118" i="33"/>
  <c r="F118" i="33" s="1"/>
  <c r="G118" i="33" s="1"/>
  <c r="E115" i="33"/>
  <c r="F115" i="33" s="1"/>
  <c r="G115" i="33" s="1"/>
  <c r="E112" i="33"/>
  <c r="F112" i="33" s="1"/>
  <c r="G112" i="33" s="1"/>
  <c r="E105" i="33"/>
  <c r="F105" i="33" s="1"/>
  <c r="G105" i="33" s="1"/>
  <c r="E97" i="33"/>
  <c r="F97" i="33" s="1"/>
  <c r="G97" i="33" s="1"/>
  <c r="E92" i="33"/>
  <c r="F92" i="33" s="1"/>
  <c r="G92" i="33" s="1"/>
  <c r="E86" i="33"/>
  <c r="F86" i="33" s="1"/>
  <c r="G86" i="33" s="1"/>
  <c r="E82" i="33"/>
  <c r="F82" i="33" s="1"/>
  <c r="G82" i="33" s="1"/>
  <c r="E74" i="33"/>
  <c r="F74" i="33" s="1"/>
  <c r="G74" i="33" s="1"/>
  <c r="E69" i="33"/>
  <c r="F69" i="33" s="1"/>
  <c r="G69" i="33" s="1"/>
  <c r="E63" i="33"/>
  <c r="F63" i="33" s="1"/>
  <c r="G63" i="33" s="1"/>
  <c r="E57" i="33"/>
  <c r="F57" i="33" s="1"/>
  <c r="G57" i="33" s="1"/>
  <c r="E32" i="33"/>
  <c r="F32" i="33" s="1"/>
  <c r="G32" i="33" s="1"/>
  <c r="E107" i="33"/>
  <c r="F107" i="33" s="1"/>
  <c r="G107" i="33" s="1"/>
  <c r="E71" i="33"/>
  <c r="F71" i="33" s="1"/>
  <c r="G71" i="33" s="1"/>
  <c r="E48" i="33"/>
  <c r="F48" i="33" s="1"/>
  <c r="G48" i="33" s="1"/>
  <c r="E34" i="33"/>
  <c r="F34" i="33" s="1"/>
  <c r="G34" i="33" s="1"/>
  <c r="N363" i="33"/>
  <c r="O372" i="33" s="1"/>
  <c r="Q372" i="33" s="1"/>
  <c r="P260" i="33"/>
  <c r="P284" i="33"/>
  <c r="E107" i="32"/>
  <c r="F107" i="32" s="1"/>
  <c r="G107" i="32" s="1"/>
  <c r="E129" i="32"/>
  <c r="F129" i="32" s="1"/>
  <c r="G129" i="32" s="1"/>
  <c r="E127" i="32"/>
  <c r="F127" i="32" s="1"/>
  <c r="G127" i="32" s="1"/>
  <c r="E125" i="32"/>
  <c r="F125" i="32" s="1"/>
  <c r="G125" i="32" s="1"/>
  <c r="E123" i="32"/>
  <c r="F123" i="32" s="1"/>
  <c r="G123" i="32" s="1"/>
  <c r="E121" i="32"/>
  <c r="F121" i="32" s="1"/>
  <c r="G121" i="32" s="1"/>
  <c r="E119" i="32"/>
  <c r="F119" i="32" s="1"/>
  <c r="G119" i="32" s="1"/>
  <c r="E117" i="32"/>
  <c r="F117" i="32" s="1"/>
  <c r="G117" i="32" s="1"/>
  <c r="E115" i="32"/>
  <c r="F115" i="32" s="1"/>
  <c r="G115" i="32" s="1"/>
  <c r="E113" i="32"/>
  <c r="F113" i="32" s="1"/>
  <c r="G113" i="32" s="1"/>
  <c r="E111" i="32"/>
  <c r="F111" i="32" s="1"/>
  <c r="G111" i="32" s="1"/>
  <c r="E105" i="32"/>
  <c r="F105" i="32" s="1"/>
  <c r="G105" i="32" s="1"/>
  <c r="E96" i="32"/>
  <c r="F96" i="32" s="1"/>
  <c r="G96" i="32" s="1"/>
  <c r="E84" i="32"/>
  <c r="F84" i="32" s="1"/>
  <c r="G84" i="32" s="1"/>
  <c r="E49" i="32"/>
  <c r="F49" i="32" s="1"/>
  <c r="G49" i="32" s="1"/>
  <c r="E47" i="32"/>
  <c r="F47" i="32" s="1"/>
  <c r="G47" i="32" s="1"/>
  <c r="E45" i="32"/>
  <c r="F45" i="32" s="1"/>
  <c r="G45" i="32" s="1"/>
  <c r="E43" i="32"/>
  <c r="F43" i="32" s="1"/>
  <c r="G43" i="32" s="1"/>
  <c r="E38" i="32"/>
  <c r="F38" i="32" s="1"/>
  <c r="G38" i="32" s="1"/>
  <c r="E35" i="32"/>
  <c r="F35" i="32" s="1"/>
  <c r="G35" i="32" s="1"/>
  <c r="F108" i="32"/>
  <c r="G108" i="32" s="1"/>
  <c r="E100" i="32"/>
  <c r="F100" i="32" s="1"/>
  <c r="G100" i="32" s="1"/>
  <c r="E89" i="32"/>
  <c r="F89" i="32" s="1"/>
  <c r="G89" i="32" s="1"/>
  <c r="E83" i="32"/>
  <c r="F83" i="32" s="1"/>
  <c r="G83" i="32" s="1"/>
  <c r="E77" i="32"/>
  <c r="F77" i="32" s="1"/>
  <c r="G77" i="32" s="1"/>
  <c r="E102" i="32"/>
  <c r="F102" i="32" s="1"/>
  <c r="G102" i="32" s="1"/>
  <c r="E91" i="32"/>
  <c r="F91" i="32" s="1"/>
  <c r="G91" i="32" s="1"/>
  <c r="E86" i="32"/>
  <c r="F86" i="32" s="1"/>
  <c r="G86" i="32" s="1"/>
  <c r="E81" i="32"/>
  <c r="F81" i="32" s="1"/>
  <c r="G81" i="32" s="1"/>
  <c r="E79" i="32"/>
  <c r="F79" i="32" s="1"/>
  <c r="G79" i="32" s="1"/>
  <c r="E68" i="32"/>
  <c r="F68" i="32" s="1"/>
  <c r="G68" i="32" s="1"/>
  <c r="E61" i="32"/>
  <c r="F61" i="32" s="1"/>
  <c r="G61" i="32" s="1"/>
  <c r="E56" i="32"/>
  <c r="F56" i="32" s="1"/>
  <c r="G56" i="32" s="1"/>
  <c r="E28" i="32"/>
  <c r="F28" i="32" s="1"/>
  <c r="G28" i="32" s="1"/>
  <c r="E26" i="32"/>
  <c r="F26" i="32" s="1"/>
  <c r="G26" i="32" s="1"/>
  <c r="E24" i="32"/>
  <c r="F24" i="32" s="1"/>
  <c r="G24" i="32" s="1"/>
  <c r="E22" i="32"/>
  <c r="F22" i="32" s="1"/>
  <c r="G22" i="32" s="1"/>
  <c r="E20" i="32"/>
  <c r="F20" i="32" s="1"/>
  <c r="G20" i="32" s="1"/>
  <c r="E18" i="32"/>
  <c r="F18" i="32" s="1"/>
  <c r="G18" i="32" s="1"/>
  <c r="E16" i="32"/>
  <c r="F16" i="32" s="1"/>
  <c r="G16" i="32" s="1"/>
  <c r="E14" i="32"/>
  <c r="F14" i="32" s="1"/>
  <c r="G14" i="32" s="1"/>
  <c r="E12" i="32"/>
  <c r="F12" i="32" s="1"/>
  <c r="G12" i="32" s="1"/>
  <c r="E130" i="32"/>
  <c r="F130" i="32" s="1"/>
  <c r="G130" i="32" s="1"/>
  <c r="E126" i="32"/>
  <c r="F126" i="32" s="1"/>
  <c r="G126" i="32" s="1"/>
  <c r="E122" i="32"/>
  <c r="F122" i="32" s="1"/>
  <c r="G122" i="32" s="1"/>
  <c r="E118" i="32"/>
  <c r="F118" i="32" s="1"/>
  <c r="G118" i="32" s="1"/>
  <c r="E114" i="32"/>
  <c r="F114" i="32" s="1"/>
  <c r="G114" i="32" s="1"/>
  <c r="E110" i="32"/>
  <c r="F110" i="32" s="1"/>
  <c r="G110" i="32" s="1"/>
  <c r="E104" i="32"/>
  <c r="F104" i="32" s="1"/>
  <c r="G104" i="32" s="1"/>
  <c r="E99" i="32"/>
  <c r="F99" i="32" s="1"/>
  <c r="G99" i="32" s="1"/>
  <c r="E97" i="32"/>
  <c r="F97" i="32" s="1"/>
  <c r="G97" i="32" s="1"/>
  <c r="F95" i="32"/>
  <c r="G95" i="32" s="1"/>
  <c r="E93" i="32"/>
  <c r="F93" i="32" s="1"/>
  <c r="G93" i="32" s="1"/>
  <c r="E88" i="32"/>
  <c r="F88" i="32" s="1"/>
  <c r="G88" i="32" s="1"/>
  <c r="E101" i="32"/>
  <c r="F101" i="32" s="1"/>
  <c r="G101" i="32" s="1"/>
  <c r="E90" i="32"/>
  <c r="F90" i="32" s="1"/>
  <c r="G90" i="32" s="1"/>
  <c r="E80" i="32"/>
  <c r="F80" i="32" s="1"/>
  <c r="G80" i="32" s="1"/>
  <c r="E76" i="32"/>
  <c r="F76" i="32" s="1"/>
  <c r="G76" i="32" s="1"/>
  <c r="E65" i="32"/>
  <c r="F65" i="32" s="1"/>
  <c r="G65" i="32" s="1"/>
  <c r="E60" i="32"/>
  <c r="F60" i="32" s="1"/>
  <c r="G60" i="32" s="1"/>
  <c r="E53" i="32"/>
  <c r="F53" i="32" s="1"/>
  <c r="G53" i="32" s="1"/>
  <c r="E51" i="32"/>
  <c r="F51" i="32" s="1"/>
  <c r="G51" i="32" s="1"/>
  <c r="E44" i="32"/>
  <c r="F44" i="32" s="1"/>
  <c r="G44" i="32" s="1"/>
  <c r="E40" i="32"/>
  <c r="F40" i="32" s="1"/>
  <c r="G40" i="32" s="1"/>
  <c r="E36" i="32"/>
  <c r="F36" i="32" s="1"/>
  <c r="G36" i="32" s="1"/>
  <c r="E32" i="32"/>
  <c r="F32" i="32" s="1"/>
  <c r="G32" i="32" s="1"/>
  <c r="E120" i="32"/>
  <c r="F120" i="32" s="1"/>
  <c r="G120" i="32" s="1"/>
  <c r="E75" i="32"/>
  <c r="F75" i="32" s="1"/>
  <c r="G75" i="32" s="1"/>
  <c r="E71" i="32"/>
  <c r="F71" i="32" s="1"/>
  <c r="G71" i="32" s="1"/>
  <c r="E64" i="32"/>
  <c r="F64" i="32" s="1"/>
  <c r="G64" i="32" s="1"/>
  <c r="E57" i="32"/>
  <c r="F57" i="32" s="1"/>
  <c r="G57" i="32" s="1"/>
  <c r="E25" i="32"/>
  <c r="F25" i="32" s="1"/>
  <c r="G25" i="32" s="1"/>
  <c r="E19" i="32"/>
  <c r="F19" i="32" s="1"/>
  <c r="G19" i="32" s="1"/>
  <c r="E13" i="32"/>
  <c r="F13" i="32" s="1"/>
  <c r="G13" i="32" s="1"/>
  <c r="E69" i="32"/>
  <c r="F69" i="32" s="1"/>
  <c r="G69" i="32" s="1"/>
  <c r="E58" i="32"/>
  <c r="F58" i="32" s="1"/>
  <c r="G58" i="32" s="1"/>
  <c r="E29" i="32"/>
  <c r="F29" i="32" s="1"/>
  <c r="G29" i="32" s="1"/>
  <c r="E54" i="32"/>
  <c r="F54" i="32" s="1"/>
  <c r="G54" i="32" s="1"/>
  <c r="E94" i="32"/>
  <c r="F94" i="32" s="1"/>
  <c r="G94" i="32" s="1"/>
  <c r="E87" i="32"/>
  <c r="F87" i="32" s="1"/>
  <c r="G87" i="32" s="1"/>
  <c r="E74" i="32"/>
  <c r="F74" i="32" s="1"/>
  <c r="G74" i="32" s="1"/>
  <c r="E67" i="32"/>
  <c r="F67" i="32" s="1"/>
  <c r="G67" i="32" s="1"/>
  <c r="E50" i="32"/>
  <c r="F50" i="32" s="1"/>
  <c r="G50" i="32" s="1"/>
  <c r="E46" i="32"/>
  <c r="F46" i="32" s="1"/>
  <c r="G46" i="32" s="1"/>
  <c r="E37" i="32"/>
  <c r="F37" i="32" s="1"/>
  <c r="G37" i="32" s="1"/>
  <c r="E31" i="32"/>
  <c r="F31" i="32" s="1"/>
  <c r="G31" i="32" s="1"/>
  <c r="E128" i="32"/>
  <c r="F128" i="32" s="1"/>
  <c r="G128" i="32" s="1"/>
  <c r="E116" i="32"/>
  <c r="F116" i="32" s="1"/>
  <c r="G116" i="32" s="1"/>
  <c r="E106" i="32"/>
  <c r="F106" i="32" s="1"/>
  <c r="G106" i="32" s="1"/>
  <c r="E98" i="32"/>
  <c r="F98" i="32" s="1"/>
  <c r="G98" i="32" s="1"/>
  <c r="E92" i="32"/>
  <c r="F92" i="32" s="1"/>
  <c r="G92" i="32" s="1"/>
  <c r="E82" i="32"/>
  <c r="F82" i="32" s="1"/>
  <c r="G82" i="32" s="1"/>
  <c r="E78" i="32"/>
  <c r="F78" i="32" s="1"/>
  <c r="G78" i="32" s="1"/>
  <c r="E70" i="32"/>
  <c r="F70" i="32" s="1"/>
  <c r="G70" i="32" s="1"/>
  <c r="E63" i="32"/>
  <c r="F63" i="32" s="1"/>
  <c r="G63" i="32" s="1"/>
  <c r="E52" i="32"/>
  <c r="F52" i="32" s="1"/>
  <c r="G52" i="32" s="1"/>
  <c r="E42" i="32"/>
  <c r="F42" i="32" s="1"/>
  <c r="G42" i="32" s="1"/>
  <c r="E39" i="32"/>
  <c r="F39" i="32" s="1"/>
  <c r="G39" i="32" s="1"/>
  <c r="E34" i="32"/>
  <c r="F34" i="32" s="1"/>
  <c r="G34" i="32" s="1"/>
  <c r="E27" i="32"/>
  <c r="F27" i="32" s="1"/>
  <c r="G27" i="32" s="1"/>
  <c r="E21" i="32"/>
  <c r="F21" i="32" s="1"/>
  <c r="G21" i="32" s="1"/>
  <c r="E15" i="32"/>
  <c r="F15" i="32" s="1"/>
  <c r="G15" i="32" s="1"/>
  <c r="E124" i="32"/>
  <c r="F124" i="32" s="1"/>
  <c r="G124" i="32" s="1"/>
  <c r="E112" i="32"/>
  <c r="F112" i="32" s="1"/>
  <c r="G112" i="32" s="1"/>
  <c r="E103" i="32"/>
  <c r="F103" i="32" s="1"/>
  <c r="G103" i="32" s="1"/>
  <c r="E85" i="32"/>
  <c r="F85" i="32" s="1"/>
  <c r="G85" i="32" s="1"/>
  <c r="E73" i="32"/>
  <c r="F73" i="32" s="1"/>
  <c r="G73" i="32" s="1"/>
  <c r="E66" i="32"/>
  <c r="F66" i="32" s="1"/>
  <c r="G66" i="32" s="1"/>
  <c r="E62" i="32"/>
  <c r="F62" i="32" s="1"/>
  <c r="G62" i="32" s="1"/>
  <c r="E59" i="32"/>
  <c r="F59" i="32" s="1"/>
  <c r="G59" i="32" s="1"/>
  <c r="E55" i="32"/>
  <c r="F55" i="32" s="1"/>
  <c r="G55" i="32" s="1"/>
  <c r="E30" i="32"/>
  <c r="F30" i="32" s="1"/>
  <c r="G30" i="32" s="1"/>
  <c r="E72" i="32"/>
  <c r="F72" i="32" s="1"/>
  <c r="G72" i="32" s="1"/>
  <c r="E48" i="32"/>
  <c r="F48" i="32" s="1"/>
  <c r="G48" i="32" s="1"/>
  <c r="E41" i="32"/>
  <c r="F41" i="32" s="1"/>
  <c r="G41" i="32" s="1"/>
  <c r="E33" i="32"/>
  <c r="F33" i="32" s="1"/>
  <c r="G33" i="32" s="1"/>
  <c r="E23" i="32"/>
  <c r="F23" i="32" s="1"/>
  <c r="G23" i="32" s="1"/>
  <c r="E17" i="32"/>
  <c r="F17" i="32" s="1"/>
  <c r="G17" i="32" s="1"/>
  <c r="E11" i="32"/>
  <c r="E109" i="32"/>
  <c r="F109" i="32" s="1"/>
  <c r="G109" i="32" s="1"/>
  <c r="P234" i="32"/>
  <c r="E130" i="31"/>
  <c r="F130" i="31" s="1"/>
  <c r="G130" i="31" s="1"/>
  <c r="E128" i="31"/>
  <c r="F128" i="31" s="1"/>
  <c r="G128" i="31" s="1"/>
  <c r="E126" i="31"/>
  <c r="F126" i="31" s="1"/>
  <c r="G126" i="31" s="1"/>
  <c r="E124" i="31"/>
  <c r="F124" i="31" s="1"/>
  <c r="G124" i="31" s="1"/>
  <c r="E122" i="31"/>
  <c r="F122" i="31" s="1"/>
  <c r="G122" i="31" s="1"/>
  <c r="E120" i="31"/>
  <c r="F120" i="31" s="1"/>
  <c r="G120" i="31" s="1"/>
  <c r="E118" i="31"/>
  <c r="F118" i="31" s="1"/>
  <c r="G118" i="31" s="1"/>
  <c r="E116" i="31"/>
  <c r="F116" i="31" s="1"/>
  <c r="G116" i="31" s="1"/>
  <c r="E114" i="31"/>
  <c r="F114" i="31" s="1"/>
  <c r="G114" i="31" s="1"/>
  <c r="E112" i="31"/>
  <c r="F112" i="31" s="1"/>
  <c r="G112" i="31" s="1"/>
  <c r="E110" i="31"/>
  <c r="F110" i="31" s="1"/>
  <c r="G110" i="31" s="1"/>
  <c r="E106" i="31"/>
  <c r="F106" i="31" s="1"/>
  <c r="G106" i="31" s="1"/>
  <c r="E104" i="31"/>
  <c r="F104" i="31" s="1"/>
  <c r="G104" i="31" s="1"/>
  <c r="E97" i="31"/>
  <c r="F97" i="31" s="1"/>
  <c r="G97" i="31" s="1"/>
  <c r="E83" i="31"/>
  <c r="F83" i="31" s="1"/>
  <c r="G83" i="31" s="1"/>
  <c r="E71" i="31"/>
  <c r="F71" i="31" s="1"/>
  <c r="G71" i="31" s="1"/>
  <c r="E50" i="31"/>
  <c r="F50" i="31" s="1"/>
  <c r="G50" i="31" s="1"/>
  <c r="E48" i="31"/>
  <c r="F48" i="31" s="1"/>
  <c r="G48" i="31" s="1"/>
  <c r="E46" i="31"/>
  <c r="F46" i="31" s="1"/>
  <c r="G46" i="31" s="1"/>
  <c r="E44" i="31"/>
  <c r="F44" i="31" s="1"/>
  <c r="G44" i="31" s="1"/>
  <c r="E42" i="31"/>
  <c r="F42" i="31" s="1"/>
  <c r="G42" i="31" s="1"/>
  <c r="E107" i="31"/>
  <c r="F107" i="31" s="1"/>
  <c r="G107" i="31" s="1"/>
  <c r="E95" i="31"/>
  <c r="F95" i="31" s="1"/>
  <c r="G95" i="31" s="1"/>
  <c r="E78" i="31"/>
  <c r="F78" i="31" s="1"/>
  <c r="G78" i="31" s="1"/>
  <c r="E76" i="31"/>
  <c r="F76" i="31" s="1"/>
  <c r="G76" i="31" s="1"/>
  <c r="E74" i="31"/>
  <c r="F74" i="31" s="1"/>
  <c r="G74" i="31" s="1"/>
  <c r="E69" i="31"/>
  <c r="F69" i="31" s="1"/>
  <c r="G69" i="31" s="1"/>
  <c r="E67" i="31"/>
  <c r="F67" i="31" s="1"/>
  <c r="G67" i="31" s="1"/>
  <c r="E129" i="31"/>
  <c r="F129" i="31" s="1"/>
  <c r="G129" i="31" s="1"/>
  <c r="E127" i="31"/>
  <c r="F127" i="31" s="1"/>
  <c r="G127" i="31" s="1"/>
  <c r="E125" i="31"/>
  <c r="F125" i="31" s="1"/>
  <c r="G125" i="31" s="1"/>
  <c r="E123" i="31"/>
  <c r="F123" i="31" s="1"/>
  <c r="G123" i="31" s="1"/>
  <c r="E121" i="31"/>
  <c r="F121" i="31" s="1"/>
  <c r="G121" i="31" s="1"/>
  <c r="E119" i="31"/>
  <c r="F119" i="31" s="1"/>
  <c r="G119" i="31" s="1"/>
  <c r="E117" i="31"/>
  <c r="F117" i="31" s="1"/>
  <c r="G117" i="31" s="1"/>
  <c r="E115" i="31"/>
  <c r="F115" i="31" s="1"/>
  <c r="G115" i="31" s="1"/>
  <c r="E113" i="31"/>
  <c r="F113" i="31" s="1"/>
  <c r="G113" i="31" s="1"/>
  <c r="E111" i="31"/>
  <c r="F111" i="31" s="1"/>
  <c r="G111" i="31" s="1"/>
  <c r="E105" i="31"/>
  <c r="F105" i="31" s="1"/>
  <c r="G105" i="31" s="1"/>
  <c r="E96" i="31"/>
  <c r="F96" i="31" s="1"/>
  <c r="G96" i="31" s="1"/>
  <c r="E84" i="31"/>
  <c r="F84" i="31" s="1"/>
  <c r="G84" i="31" s="1"/>
  <c r="E49" i="31"/>
  <c r="F49" i="31" s="1"/>
  <c r="G49" i="31" s="1"/>
  <c r="E47" i="31"/>
  <c r="F47" i="31" s="1"/>
  <c r="G47" i="31" s="1"/>
  <c r="E45" i="31"/>
  <c r="F45" i="31" s="1"/>
  <c r="G45" i="31" s="1"/>
  <c r="E43" i="31"/>
  <c r="F43" i="31" s="1"/>
  <c r="G43" i="31" s="1"/>
  <c r="E38" i="31"/>
  <c r="F38" i="31" s="1"/>
  <c r="G38" i="31" s="1"/>
  <c r="E35" i="31"/>
  <c r="F35" i="31" s="1"/>
  <c r="G35" i="31" s="1"/>
  <c r="E108" i="31"/>
  <c r="F108" i="31" s="1"/>
  <c r="G108" i="31" s="1"/>
  <c r="E77" i="31"/>
  <c r="F77" i="31" s="1"/>
  <c r="G77" i="31" s="1"/>
  <c r="E30" i="31"/>
  <c r="F30" i="31" s="1"/>
  <c r="G30" i="31" s="1"/>
  <c r="E87" i="31"/>
  <c r="F87" i="31" s="1"/>
  <c r="G87" i="31" s="1"/>
  <c r="E101" i="31"/>
  <c r="F101" i="31" s="1"/>
  <c r="G101" i="31" s="1"/>
  <c r="E94" i="31"/>
  <c r="F94" i="31" s="1"/>
  <c r="G94" i="31" s="1"/>
  <c r="E90" i="31"/>
  <c r="F90" i="31" s="1"/>
  <c r="G90" i="31" s="1"/>
  <c r="E86" i="31"/>
  <c r="F86" i="31" s="1"/>
  <c r="G86" i="31" s="1"/>
  <c r="E80" i="31"/>
  <c r="F80" i="31" s="1"/>
  <c r="G80" i="31" s="1"/>
  <c r="E73" i="31"/>
  <c r="F73" i="31" s="1"/>
  <c r="G73" i="31" s="1"/>
  <c r="E70" i="31"/>
  <c r="F70" i="31" s="1"/>
  <c r="G70" i="31" s="1"/>
  <c r="E66" i="31"/>
  <c r="F66" i="31" s="1"/>
  <c r="G66" i="31" s="1"/>
  <c r="E63" i="31"/>
  <c r="F63" i="31" s="1"/>
  <c r="G63" i="31" s="1"/>
  <c r="E60" i="31"/>
  <c r="F60" i="31" s="1"/>
  <c r="G60" i="31" s="1"/>
  <c r="E57" i="31"/>
  <c r="F57" i="31" s="1"/>
  <c r="G57" i="31" s="1"/>
  <c r="E54" i="31"/>
  <c r="F54" i="31" s="1"/>
  <c r="G54" i="31" s="1"/>
  <c r="E36" i="31"/>
  <c r="F36" i="31" s="1"/>
  <c r="G36" i="31" s="1"/>
  <c r="E32" i="31"/>
  <c r="F32" i="31" s="1"/>
  <c r="G32" i="31" s="1"/>
  <c r="E102" i="31"/>
  <c r="F102" i="31" s="1"/>
  <c r="G102" i="31" s="1"/>
  <c r="E98" i="31"/>
  <c r="F98" i="31" s="1"/>
  <c r="G98" i="31" s="1"/>
  <c r="E91" i="31"/>
  <c r="F91" i="31" s="1"/>
  <c r="G91" i="31" s="1"/>
  <c r="E81" i="31"/>
  <c r="F81" i="31" s="1"/>
  <c r="G81" i="31" s="1"/>
  <c r="E28" i="31"/>
  <c r="F28" i="31" s="1"/>
  <c r="G28" i="31" s="1"/>
  <c r="E26" i="31"/>
  <c r="F26" i="31" s="1"/>
  <c r="G26" i="31" s="1"/>
  <c r="E24" i="31"/>
  <c r="F24" i="31" s="1"/>
  <c r="G24" i="31" s="1"/>
  <c r="E22" i="31"/>
  <c r="F22" i="31" s="1"/>
  <c r="G22" i="31" s="1"/>
  <c r="E100" i="31"/>
  <c r="F100" i="31" s="1"/>
  <c r="G100" i="31" s="1"/>
  <c r="E93" i="31"/>
  <c r="F93" i="31" s="1"/>
  <c r="G93" i="31" s="1"/>
  <c r="E89" i="31"/>
  <c r="F89" i="31" s="1"/>
  <c r="G89" i="31" s="1"/>
  <c r="E72" i="31"/>
  <c r="F72" i="31" s="1"/>
  <c r="G72" i="31" s="1"/>
  <c r="E51" i="31"/>
  <c r="F51" i="31" s="1"/>
  <c r="G51" i="31" s="1"/>
  <c r="E40" i="31"/>
  <c r="F40" i="31" s="1"/>
  <c r="G40" i="31" s="1"/>
  <c r="E34" i="31"/>
  <c r="F34" i="31" s="1"/>
  <c r="G34" i="31" s="1"/>
  <c r="E29" i="31"/>
  <c r="F29" i="31" s="1"/>
  <c r="G29" i="31" s="1"/>
  <c r="E27" i="31"/>
  <c r="F27" i="31" s="1"/>
  <c r="G27" i="31" s="1"/>
  <c r="E25" i="31"/>
  <c r="F25" i="31" s="1"/>
  <c r="G25" i="31" s="1"/>
  <c r="E23" i="31"/>
  <c r="F23" i="31" s="1"/>
  <c r="G23" i="31" s="1"/>
  <c r="E21" i="31"/>
  <c r="F21" i="31" s="1"/>
  <c r="G21" i="31" s="1"/>
  <c r="E19" i="31"/>
  <c r="F19" i="31" s="1"/>
  <c r="G19" i="31" s="1"/>
  <c r="E17" i="31"/>
  <c r="F17" i="31" s="1"/>
  <c r="G17" i="31" s="1"/>
  <c r="E15" i="31"/>
  <c r="F15" i="31" s="1"/>
  <c r="G15" i="31" s="1"/>
  <c r="E13" i="31"/>
  <c r="F13" i="31" s="1"/>
  <c r="G13" i="31" s="1"/>
  <c r="E11" i="31"/>
  <c r="E85" i="31"/>
  <c r="F85" i="31" s="1"/>
  <c r="G85" i="31" s="1"/>
  <c r="E79" i="31"/>
  <c r="F79" i="31" s="1"/>
  <c r="G79" i="31" s="1"/>
  <c r="E75" i="31"/>
  <c r="F75" i="31" s="1"/>
  <c r="G75" i="31" s="1"/>
  <c r="E65" i="31"/>
  <c r="F65" i="31" s="1"/>
  <c r="G65" i="31" s="1"/>
  <c r="E62" i="31"/>
  <c r="F62" i="31" s="1"/>
  <c r="G62" i="31" s="1"/>
  <c r="E59" i="31"/>
  <c r="F59" i="31" s="1"/>
  <c r="G59" i="31" s="1"/>
  <c r="E56" i="31"/>
  <c r="F56" i="31" s="1"/>
  <c r="G56" i="31" s="1"/>
  <c r="E53" i="31"/>
  <c r="F53" i="31" s="1"/>
  <c r="G53" i="31" s="1"/>
  <c r="E31" i="31"/>
  <c r="F31" i="31" s="1"/>
  <c r="G31" i="31" s="1"/>
  <c r="E109" i="31"/>
  <c r="F109" i="31" s="1"/>
  <c r="G109" i="31" s="1"/>
  <c r="E103" i="31"/>
  <c r="F103" i="31" s="1"/>
  <c r="G103" i="31" s="1"/>
  <c r="E99" i="31"/>
  <c r="F99" i="31" s="1"/>
  <c r="G99" i="31" s="1"/>
  <c r="E92" i="31"/>
  <c r="F92" i="31" s="1"/>
  <c r="G92" i="31" s="1"/>
  <c r="E88" i="31"/>
  <c r="F88" i="31" s="1"/>
  <c r="G88" i="31" s="1"/>
  <c r="E82" i="31"/>
  <c r="F82" i="31" s="1"/>
  <c r="G82" i="31" s="1"/>
  <c r="E68" i="31"/>
  <c r="F68" i="31" s="1"/>
  <c r="G68" i="31" s="1"/>
  <c r="E39" i="31"/>
  <c r="F39" i="31" s="1"/>
  <c r="G39" i="31" s="1"/>
  <c r="E37" i="31"/>
  <c r="F37" i="31" s="1"/>
  <c r="G37" i="31" s="1"/>
  <c r="E33" i="31"/>
  <c r="F33" i="31" s="1"/>
  <c r="G33" i="31" s="1"/>
  <c r="E64" i="31"/>
  <c r="F64" i="31" s="1"/>
  <c r="G64" i="31" s="1"/>
  <c r="E61" i="31"/>
  <c r="F61" i="31" s="1"/>
  <c r="G61" i="31" s="1"/>
  <c r="E58" i="31"/>
  <c r="F58" i="31" s="1"/>
  <c r="G58" i="31" s="1"/>
  <c r="E55" i="31"/>
  <c r="F55" i="31" s="1"/>
  <c r="G55" i="31" s="1"/>
  <c r="E52" i="31"/>
  <c r="F52" i="31" s="1"/>
  <c r="G52" i="31" s="1"/>
  <c r="E41" i="31"/>
  <c r="F41" i="31" s="1"/>
  <c r="G41" i="31" s="1"/>
  <c r="E20" i="31"/>
  <c r="F20" i="31" s="1"/>
  <c r="G20" i="31" s="1"/>
  <c r="E18" i="31"/>
  <c r="F18" i="31" s="1"/>
  <c r="G18" i="31" s="1"/>
  <c r="E16" i="31"/>
  <c r="F16" i="31" s="1"/>
  <c r="G16" i="31" s="1"/>
  <c r="E14" i="31"/>
  <c r="F14" i="31" s="1"/>
  <c r="G14" i="31" s="1"/>
  <c r="E12" i="31"/>
  <c r="F12" i="31" s="1"/>
  <c r="G12" i="31" s="1"/>
  <c r="E222" i="31"/>
  <c r="F222" i="31" s="1"/>
  <c r="G222" i="31" s="1"/>
  <c r="E216" i="31"/>
  <c r="F216" i="31" s="1"/>
  <c r="G216" i="31" s="1"/>
  <c r="E210" i="31"/>
  <c r="F210" i="31" s="1"/>
  <c r="G210" i="31" s="1"/>
  <c r="E215" i="31"/>
  <c r="F215" i="31" s="1"/>
  <c r="G215" i="31" s="1"/>
  <c r="E223" i="31"/>
  <c r="F223" i="31" s="1"/>
  <c r="G223" i="31" s="1"/>
  <c r="E217" i="31"/>
  <c r="F217" i="31" s="1"/>
  <c r="G217" i="31" s="1"/>
  <c r="E211" i="31"/>
  <c r="F211" i="31" s="1"/>
  <c r="G211" i="31" s="1"/>
  <c r="E209" i="31"/>
  <c r="F209" i="31" s="1"/>
  <c r="G209" i="31" s="1"/>
  <c r="E224" i="31"/>
  <c r="F224" i="31" s="1"/>
  <c r="G224" i="31" s="1"/>
  <c r="E218" i="31"/>
  <c r="F218" i="31" s="1"/>
  <c r="G218" i="31" s="1"/>
  <c r="E212" i="31"/>
  <c r="F212" i="31" s="1"/>
  <c r="G212" i="31" s="1"/>
  <c r="E219" i="31"/>
  <c r="F219" i="31" s="1"/>
  <c r="G219" i="31" s="1"/>
  <c r="E213" i="31"/>
  <c r="F213" i="31" s="1"/>
  <c r="G213" i="31" s="1"/>
  <c r="E220" i="31"/>
  <c r="F220" i="31" s="1"/>
  <c r="G220" i="31" s="1"/>
  <c r="E214" i="31"/>
  <c r="F214" i="31" s="1"/>
  <c r="G214" i="31" s="1"/>
  <c r="E208" i="31"/>
  <c r="E221" i="31"/>
  <c r="F221" i="31" s="1"/>
  <c r="G221" i="31" s="1"/>
  <c r="E130" i="30"/>
  <c r="F130" i="30" s="1"/>
  <c r="G130" i="30" s="1"/>
  <c r="E128" i="30"/>
  <c r="F128" i="30" s="1"/>
  <c r="G128" i="30" s="1"/>
  <c r="E126" i="30"/>
  <c r="F126" i="30" s="1"/>
  <c r="G126" i="30" s="1"/>
  <c r="E124" i="30"/>
  <c r="F124" i="30" s="1"/>
  <c r="G124" i="30" s="1"/>
  <c r="E122" i="30"/>
  <c r="F122" i="30" s="1"/>
  <c r="G122" i="30" s="1"/>
  <c r="E120" i="30"/>
  <c r="F120" i="30" s="1"/>
  <c r="G120" i="30" s="1"/>
  <c r="E118" i="30"/>
  <c r="F118" i="30" s="1"/>
  <c r="G118" i="30" s="1"/>
  <c r="E116" i="30"/>
  <c r="F116" i="30" s="1"/>
  <c r="G116" i="30" s="1"/>
  <c r="E114" i="30"/>
  <c r="F114" i="30" s="1"/>
  <c r="G114" i="30" s="1"/>
  <c r="E112" i="30"/>
  <c r="F112" i="30" s="1"/>
  <c r="G112" i="30" s="1"/>
  <c r="E110" i="30"/>
  <c r="F110" i="30" s="1"/>
  <c r="G110" i="30" s="1"/>
  <c r="E106" i="30"/>
  <c r="F106" i="30" s="1"/>
  <c r="G106" i="30" s="1"/>
  <c r="E104" i="30"/>
  <c r="F104" i="30" s="1"/>
  <c r="G104" i="30" s="1"/>
  <c r="E97" i="30"/>
  <c r="F97" i="30" s="1"/>
  <c r="G97" i="30" s="1"/>
  <c r="E83" i="30"/>
  <c r="F83" i="30" s="1"/>
  <c r="G83" i="30" s="1"/>
  <c r="E71" i="30"/>
  <c r="F71" i="30" s="1"/>
  <c r="G71" i="30" s="1"/>
  <c r="E50" i="30"/>
  <c r="F50" i="30" s="1"/>
  <c r="G50" i="30" s="1"/>
  <c r="E48" i="30"/>
  <c r="F48" i="30" s="1"/>
  <c r="G48" i="30" s="1"/>
  <c r="E46" i="30"/>
  <c r="F46" i="30" s="1"/>
  <c r="G46" i="30" s="1"/>
  <c r="E44" i="30"/>
  <c r="F44" i="30" s="1"/>
  <c r="G44" i="30" s="1"/>
  <c r="E42" i="30"/>
  <c r="F42" i="30" s="1"/>
  <c r="G42" i="30" s="1"/>
  <c r="E107" i="30"/>
  <c r="F107" i="30" s="1"/>
  <c r="G107" i="30" s="1"/>
  <c r="E95" i="30"/>
  <c r="F95" i="30" s="1"/>
  <c r="G95" i="30" s="1"/>
  <c r="E78" i="30"/>
  <c r="F78" i="30" s="1"/>
  <c r="G78" i="30" s="1"/>
  <c r="E76" i="30"/>
  <c r="F76" i="30" s="1"/>
  <c r="G76" i="30" s="1"/>
  <c r="E74" i="30"/>
  <c r="F74" i="30" s="1"/>
  <c r="G74" i="30" s="1"/>
  <c r="E69" i="30"/>
  <c r="F69" i="30" s="1"/>
  <c r="G69" i="30" s="1"/>
  <c r="E67" i="30"/>
  <c r="F67" i="30" s="1"/>
  <c r="G67" i="30" s="1"/>
  <c r="E65" i="30"/>
  <c r="F65" i="30" s="1"/>
  <c r="G65" i="30" s="1"/>
  <c r="E63" i="30"/>
  <c r="F63" i="30" s="1"/>
  <c r="G63" i="30" s="1"/>
  <c r="E61" i="30"/>
  <c r="F61" i="30" s="1"/>
  <c r="G61" i="30" s="1"/>
  <c r="E59" i="30"/>
  <c r="F59" i="30" s="1"/>
  <c r="G59" i="30" s="1"/>
  <c r="E57" i="30"/>
  <c r="F57" i="30" s="1"/>
  <c r="G57" i="30" s="1"/>
  <c r="E55" i="30"/>
  <c r="F55" i="30" s="1"/>
  <c r="G55" i="30" s="1"/>
  <c r="E53" i="30"/>
  <c r="F53" i="30" s="1"/>
  <c r="G53" i="30" s="1"/>
  <c r="E37" i="30"/>
  <c r="F37" i="30" s="1"/>
  <c r="G37" i="30" s="1"/>
  <c r="E34" i="30"/>
  <c r="F34" i="30" s="1"/>
  <c r="G34" i="30" s="1"/>
  <c r="E32" i="30"/>
  <c r="F32" i="30" s="1"/>
  <c r="G32" i="30" s="1"/>
  <c r="E129" i="30"/>
  <c r="F129" i="30" s="1"/>
  <c r="G129" i="30" s="1"/>
  <c r="E127" i="30"/>
  <c r="F127" i="30" s="1"/>
  <c r="G127" i="30" s="1"/>
  <c r="E125" i="30"/>
  <c r="F125" i="30" s="1"/>
  <c r="G125" i="30" s="1"/>
  <c r="E123" i="30"/>
  <c r="F123" i="30" s="1"/>
  <c r="G123" i="30" s="1"/>
  <c r="E121" i="30"/>
  <c r="F121" i="30" s="1"/>
  <c r="G121" i="30" s="1"/>
  <c r="E119" i="30"/>
  <c r="F119" i="30" s="1"/>
  <c r="G119" i="30" s="1"/>
  <c r="E117" i="30"/>
  <c r="F117" i="30" s="1"/>
  <c r="G117" i="30" s="1"/>
  <c r="E115" i="30"/>
  <c r="F115" i="30" s="1"/>
  <c r="G115" i="30" s="1"/>
  <c r="E113" i="30"/>
  <c r="F113" i="30" s="1"/>
  <c r="G113" i="30" s="1"/>
  <c r="E111" i="30"/>
  <c r="F111" i="30" s="1"/>
  <c r="G111" i="30" s="1"/>
  <c r="E105" i="30"/>
  <c r="F105" i="30" s="1"/>
  <c r="G105" i="30" s="1"/>
  <c r="E96" i="30"/>
  <c r="F96" i="30" s="1"/>
  <c r="G96" i="30" s="1"/>
  <c r="E84" i="30"/>
  <c r="F84" i="30" s="1"/>
  <c r="G84" i="30" s="1"/>
  <c r="E49" i="30"/>
  <c r="F49" i="30" s="1"/>
  <c r="G49" i="30" s="1"/>
  <c r="E47" i="30"/>
  <c r="F47" i="30" s="1"/>
  <c r="G47" i="30" s="1"/>
  <c r="E45" i="30"/>
  <c r="F45" i="30" s="1"/>
  <c r="G45" i="30" s="1"/>
  <c r="E43" i="30"/>
  <c r="F43" i="30" s="1"/>
  <c r="G43" i="30" s="1"/>
  <c r="E38" i="30"/>
  <c r="F38" i="30" s="1"/>
  <c r="G38" i="30" s="1"/>
  <c r="E35" i="30"/>
  <c r="F35" i="30" s="1"/>
  <c r="G35" i="30" s="1"/>
  <c r="E108" i="30"/>
  <c r="F108" i="30" s="1"/>
  <c r="G108" i="30" s="1"/>
  <c r="E85" i="30"/>
  <c r="F85" i="30" s="1"/>
  <c r="G85" i="30" s="1"/>
  <c r="E103" i="30"/>
  <c r="F103" i="30" s="1"/>
  <c r="G103" i="30" s="1"/>
  <c r="E92" i="30"/>
  <c r="F92" i="30" s="1"/>
  <c r="G92" i="30" s="1"/>
  <c r="E86" i="30"/>
  <c r="F86" i="30" s="1"/>
  <c r="G86" i="30" s="1"/>
  <c r="E72" i="30"/>
  <c r="F72" i="30" s="1"/>
  <c r="G72" i="30" s="1"/>
  <c r="E39" i="30"/>
  <c r="F39" i="30" s="1"/>
  <c r="G39" i="30" s="1"/>
  <c r="E31" i="30"/>
  <c r="F31" i="30" s="1"/>
  <c r="G31" i="30" s="1"/>
  <c r="E98" i="30"/>
  <c r="F98" i="30" s="1"/>
  <c r="G98" i="30" s="1"/>
  <c r="E73" i="30"/>
  <c r="F73" i="30" s="1"/>
  <c r="G73" i="30" s="1"/>
  <c r="E62" i="30"/>
  <c r="F62" i="30" s="1"/>
  <c r="G62" i="30" s="1"/>
  <c r="E54" i="30"/>
  <c r="F54" i="30" s="1"/>
  <c r="G54" i="30" s="1"/>
  <c r="E23" i="30"/>
  <c r="F23" i="30" s="1"/>
  <c r="G23" i="30" s="1"/>
  <c r="E17" i="30"/>
  <c r="F17" i="30" s="1"/>
  <c r="G17" i="30" s="1"/>
  <c r="E11" i="30"/>
  <c r="E102" i="30"/>
  <c r="F102" i="30" s="1"/>
  <c r="G102" i="30" s="1"/>
  <c r="E91" i="30"/>
  <c r="F91" i="30" s="1"/>
  <c r="G91" i="30" s="1"/>
  <c r="E79" i="30"/>
  <c r="F79" i="30" s="1"/>
  <c r="G79" i="30" s="1"/>
  <c r="E75" i="30"/>
  <c r="F75" i="30" s="1"/>
  <c r="G75" i="30" s="1"/>
  <c r="E36" i="30"/>
  <c r="F36" i="30" s="1"/>
  <c r="G36" i="30" s="1"/>
  <c r="E88" i="30"/>
  <c r="F88" i="30" s="1"/>
  <c r="G88" i="30" s="1"/>
  <c r="E77" i="30"/>
  <c r="F77" i="30" s="1"/>
  <c r="G77" i="30" s="1"/>
  <c r="E70" i="30"/>
  <c r="F70" i="30" s="1"/>
  <c r="G70" i="30" s="1"/>
  <c r="E101" i="30"/>
  <c r="F101" i="30" s="1"/>
  <c r="G101" i="30" s="1"/>
  <c r="E90" i="30"/>
  <c r="F90" i="30" s="1"/>
  <c r="G90" i="30" s="1"/>
  <c r="E82" i="30"/>
  <c r="F82" i="30" s="1"/>
  <c r="G82" i="30" s="1"/>
  <c r="E68" i="30"/>
  <c r="F68" i="30" s="1"/>
  <c r="G68" i="30" s="1"/>
  <c r="E64" i="30"/>
  <c r="F64" i="30" s="1"/>
  <c r="G64" i="30" s="1"/>
  <c r="E60" i="30"/>
  <c r="F60" i="30" s="1"/>
  <c r="G60" i="30" s="1"/>
  <c r="E56" i="30"/>
  <c r="F56" i="30" s="1"/>
  <c r="G56" i="30" s="1"/>
  <c r="E52" i="30"/>
  <c r="F52" i="30" s="1"/>
  <c r="G52" i="30" s="1"/>
  <c r="E41" i="30"/>
  <c r="F41" i="30" s="1"/>
  <c r="G41" i="30" s="1"/>
  <c r="E33" i="30"/>
  <c r="F33" i="30" s="1"/>
  <c r="G33" i="30" s="1"/>
  <c r="E28" i="30"/>
  <c r="F28" i="30" s="1"/>
  <c r="G28" i="30" s="1"/>
  <c r="E26" i="30"/>
  <c r="F26" i="30" s="1"/>
  <c r="G26" i="30" s="1"/>
  <c r="E24" i="30"/>
  <c r="F24" i="30" s="1"/>
  <c r="G24" i="30" s="1"/>
  <c r="E22" i="30"/>
  <c r="F22" i="30" s="1"/>
  <c r="G22" i="30" s="1"/>
  <c r="E20" i="30"/>
  <c r="F20" i="30" s="1"/>
  <c r="G20" i="30" s="1"/>
  <c r="E18" i="30"/>
  <c r="F18" i="30" s="1"/>
  <c r="G18" i="30" s="1"/>
  <c r="E16" i="30"/>
  <c r="F16" i="30" s="1"/>
  <c r="G16" i="30" s="1"/>
  <c r="E14" i="30"/>
  <c r="F14" i="30" s="1"/>
  <c r="G14" i="30" s="1"/>
  <c r="E12" i="30"/>
  <c r="F12" i="30" s="1"/>
  <c r="G12" i="30" s="1"/>
  <c r="E109" i="30"/>
  <c r="F109" i="30" s="1"/>
  <c r="G109" i="30" s="1"/>
  <c r="E94" i="30"/>
  <c r="F94" i="30" s="1"/>
  <c r="G94" i="30" s="1"/>
  <c r="E93" i="30"/>
  <c r="F93" i="30" s="1"/>
  <c r="G93" i="30" s="1"/>
  <c r="E80" i="30"/>
  <c r="F80" i="30" s="1"/>
  <c r="G80" i="30" s="1"/>
  <c r="E66" i="30"/>
  <c r="F66" i="30" s="1"/>
  <c r="G66" i="30" s="1"/>
  <c r="E27" i="30"/>
  <c r="F27" i="30" s="1"/>
  <c r="G27" i="30" s="1"/>
  <c r="E19" i="30"/>
  <c r="F19" i="30" s="1"/>
  <c r="G19" i="30" s="1"/>
  <c r="E15" i="30"/>
  <c r="F15" i="30" s="1"/>
  <c r="G15" i="30" s="1"/>
  <c r="E100" i="30"/>
  <c r="F100" i="30" s="1"/>
  <c r="G100" i="30" s="1"/>
  <c r="E89" i="30"/>
  <c r="F89" i="30" s="1"/>
  <c r="G89" i="30" s="1"/>
  <c r="E81" i="30"/>
  <c r="F81" i="30" s="1"/>
  <c r="G81" i="30" s="1"/>
  <c r="E30" i="30"/>
  <c r="F30" i="30" s="1"/>
  <c r="G30" i="30" s="1"/>
  <c r="E99" i="30"/>
  <c r="F99" i="30" s="1"/>
  <c r="G99" i="30" s="1"/>
  <c r="E51" i="30"/>
  <c r="F51" i="30" s="1"/>
  <c r="G51" i="30" s="1"/>
  <c r="E40" i="30"/>
  <c r="F40" i="30" s="1"/>
  <c r="G40" i="30" s="1"/>
  <c r="E87" i="30"/>
  <c r="F87" i="30" s="1"/>
  <c r="G87" i="30" s="1"/>
  <c r="E58" i="30"/>
  <c r="F58" i="30" s="1"/>
  <c r="G58" i="30" s="1"/>
  <c r="E29" i="30"/>
  <c r="F29" i="30" s="1"/>
  <c r="G29" i="30" s="1"/>
  <c r="E25" i="30"/>
  <c r="F25" i="30" s="1"/>
  <c r="G25" i="30" s="1"/>
  <c r="E21" i="30"/>
  <c r="F21" i="30" s="1"/>
  <c r="G21" i="30" s="1"/>
  <c r="E13" i="30"/>
  <c r="F13" i="30" s="1"/>
  <c r="G13" i="30" s="1"/>
  <c r="E223" i="30"/>
  <c r="F223" i="30" s="1"/>
  <c r="G223" i="30" s="1"/>
  <c r="E221" i="30"/>
  <c r="F221" i="30" s="1"/>
  <c r="G221" i="30" s="1"/>
  <c r="E219" i="30"/>
  <c r="F219" i="30" s="1"/>
  <c r="G219" i="30" s="1"/>
  <c r="E217" i="30"/>
  <c r="F217" i="30" s="1"/>
  <c r="G217" i="30" s="1"/>
  <c r="E215" i="30"/>
  <c r="F215" i="30" s="1"/>
  <c r="G215" i="30" s="1"/>
  <c r="E213" i="30"/>
  <c r="F213" i="30" s="1"/>
  <c r="G213" i="30" s="1"/>
  <c r="E211" i="30"/>
  <c r="F211" i="30" s="1"/>
  <c r="G211" i="30" s="1"/>
  <c r="E209" i="30"/>
  <c r="F209" i="30" s="1"/>
  <c r="G209" i="30" s="1"/>
  <c r="E224" i="30"/>
  <c r="F224" i="30" s="1"/>
  <c r="G224" i="30" s="1"/>
  <c r="E222" i="30"/>
  <c r="F222" i="30" s="1"/>
  <c r="G222" i="30" s="1"/>
  <c r="E220" i="30"/>
  <c r="F220" i="30" s="1"/>
  <c r="G220" i="30" s="1"/>
  <c r="E218" i="30"/>
  <c r="F218" i="30" s="1"/>
  <c r="G218" i="30" s="1"/>
  <c r="E216" i="30"/>
  <c r="F216" i="30" s="1"/>
  <c r="G216" i="30" s="1"/>
  <c r="E214" i="30"/>
  <c r="F214" i="30" s="1"/>
  <c r="G214" i="30" s="1"/>
  <c r="E212" i="30"/>
  <c r="F212" i="30" s="1"/>
  <c r="G212" i="30" s="1"/>
  <c r="E210" i="30"/>
  <c r="F210" i="30" s="1"/>
  <c r="G210" i="30" s="1"/>
  <c r="E208" i="30"/>
  <c r="E107" i="29"/>
  <c r="F107" i="29" s="1"/>
  <c r="G107" i="29" s="1"/>
  <c r="E95" i="29"/>
  <c r="F95" i="29" s="1"/>
  <c r="G95" i="29" s="1"/>
  <c r="E78" i="29"/>
  <c r="F78" i="29" s="1"/>
  <c r="G78" i="29" s="1"/>
  <c r="E76" i="29"/>
  <c r="F76" i="29" s="1"/>
  <c r="G76" i="29" s="1"/>
  <c r="E74" i="29"/>
  <c r="F74" i="29" s="1"/>
  <c r="G74" i="29" s="1"/>
  <c r="E69" i="29"/>
  <c r="F69" i="29" s="1"/>
  <c r="G69" i="29" s="1"/>
  <c r="E67" i="29"/>
  <c r="F67" i="29" s="1"/>
  <c r="G67" i="29" s="1"/>
  <c r="E65" i="29"/>
  <c r="F65" i="29" s="1"/>
  <c r="G65" i="29" s="1"/>
  <c r="E63" i="29"/>
  <c r="F63" i="29" s="1"/>
  <c r="G63" i="29" s="1"/>
  <c r="E61" i="29"/>
  <c r="F61" i="29" s="1"/>
  <c r="G61" i="29" s="1"/>
  <c r="E59" i="29"/>
  <c r="F59" i="29" s="1"/>
  <c r="G59" i="29" s="1"/>
  <c r="E57" i="29"/>
  <c r="F57" i="29" s="1"/>
  <c r="G57" i="29" s="1"/>
  <c r="E55" i="29"/>
  <c r="F55" i="29" s="1"/>
  <c r="G55" i="29" s="1"/>
  <c r="E53" i="29"/>
  <c r="F53" i="29" s="1"/>
  <c r="G53" i="29" s="1"/>
  <c r="E37" i="29"/>
  <c r="F37" i="29" s="1"/>
  <c r="G37" i="29" s="1"/>
  <c r="E34" i="29"/>
  <c r="F34" i="29" s="1"/>
  <c r="G34" i="29" s="1"/>
  <c r="E32" i="29"/>
  <c r="F32" i="29" s="1"/>
  <c r="G32" i="29" s="1"/>
  <c r="E30" i="29"/>
  <c r="F30" i="29" s="1"/>
  <c r="G30" i="29" s="1"/>
  <c r="E28" i="29"/>
  <c r="F28" i="29" s="1"/>
  <c r="G28" i="29" s="1"/>
  <c r="E26" i="29"/>
  <c r="F26" i="29" s="1"/>
  <c r="G26" i="29" s="1"/>
  <c r="E24" i="29"/>
  <c r="F24" i="29" s="1"/>
  <c r="G24" i="29" s="1"/>
  <c r="E22" i="29"/>
  <c r="F22" i="29" s="1"/>
  <c r="G22" i="29" s="1"/>
  <c r="E20" i="29"/>
  <c r="F20" i="29" s="1"/>
  <c r="G20" i="29" s="1"/>
  <c r="E18" i="29"/>
  <c r="F18" i="29" s="1"/>
  <c r="G18" i="29" s="1"/>
  <c r="E16" i="29"/>
  <c r="F16" i="29" s="1"/>
  <c r="G16" i="29" s="1"/>
  <c r="E14" i="29"/>
  <c r="F14" i="29" s="1"/>
  <c r="G14" i="29" s="1"/>
  <c r="E12" i="29"/>
  <c r="F12" i="29" s="1"/>
  <c r="G12" i="29" s="1"/>
  <c r="E102" i="29"/>
  <c r="F102" i="29" s="1"/>
  <c r="G102" i="29" s="1"/>
  <c r="E100" i="29"/>
  <c r="F100" i="29" s="1"/>
  <c r="G100" i="29" s="1"/>
  <c r="E98" i="29"/>
  <c r="F98" i="29" s="1"/>
  <c r="G98" i="29" s="1"/>
  <c r="E93" i="29"/>
  <c r="F93" i="29" s="1"/>
  <c r="G93" i="29" s="1"/>
  <c r="E91" i="29"/>
  <c r="F91" i="29" s="1"/>
  <c r="G91" i="29" s="1"/>
  <c r="E89" i="29"/>
  <c r="F89" i="29" s="1"/>
  <c r="G89" i="29" s="1"/>
  <c r="E87" i="29"/>
  <c r="F87" i="29" s="1"/>
  <c r="G87" i="29" s="1"/>
  <c r="E81" i="29"/>
  <c r="F81" i="29" s="1"/>
  <c r="G81" i="29" s="1"/>
  <c r="E72" i="29"/>
  <c r="F72" i="29" s="1"/>
  <c r="G72" i="29" s="1"/>
  <c r="E51" i="29"/>
  <c r="F51" i="29" s="1"/>
  <c r="G51" i="29" s="1"/>
  <c r="E40" i="29"/>
  <c r="F40" i="29" s="1"/>
  <c r="G40" i="29" s="1"/>
  <c r="E129" i="29"/>
  <c r="F129" i="29" s="1"/>
  <c r="G129" i="29" s="1"/>
  <c r="E127" i="29"/>
  <c r="F127" i="29" s="1"/>
  <c r="G127" i="29" s="1"/>
  <c r="E125" i="29"/>
  <c r="F125" i="29" s="1"/>
  <c r="G125" i="29" s="1"/>
  <c r="E123" i="29"/>
  <c r="F123" i="29" s="1"/>
  <c r="G123" i="29" s="1"/>
  <c r="E121" i="29"/>
  <c r="F121" i="29" s="1"/>
  <c r="G121" i="29" s="1"/>
  <c r="E119" i="29"/>
  <c r="F119" i="29" s="1"/>
  <c r="G119" i="29" s="1"/>
  <c r="E117" i="29"/>
  <c r="F117" i="29" s="1"/>
  <c r="G117" i="29" s="1"/>
  <c r="E115" i="29"/>
  <c r="F115" i="29" s="1"/>
  <c r="G115" i="29" s="1"/>
  <c r="E113" i="29"/>
  <c r="F113" i="29" s="1"/>
  <c r="G113" i="29" s="1"/>
  <c r="E111" i="29"/>
  <c r="F111" i="29" s="1"/>
  <c r="G111" i="29" s="1"/>
  <c r="E105" i="29"/>
  <c r="F105" i="29" s="1"/>
  <c r="G105" i="29" s="1"/>
  <c r="E96" i="29"/>
  <c r="F96" i="29" s="1"/>
  <c r="G96" i="29" s="1"/>
  <c r="E79" i="29"/>
  <c r="F79" i="29" s="1"/>
  <c r="G79" i="29" s="1"/>
  <c r="E71" i="29"/>
  <c r="F71" i="29" s="1"/>
  <c r="G71" i="29" s="1"/>
  <c r="E45" i="29"/>
  <c r="F45" i="29" s="1"/>
  <c r="G45" i="29" s="1"/>
  <c r="E35" i="29"/>
  <c r="F35" i="29" s="1"/>
  <c r="G35" i="29" s="1"/>
  <c r="E21" i="29"/>
  <c r="F21" i="29" s="1"/>
  <c r="G21" i="29" s="1"/>
  <c r="E73" i="29"/>
  <c r="F73" i="29" s="1"/>
  <c r="G73" i="29" s="1"/>
  <c r="E29" i="29"/>
  <c r="F29" i="29" s="1"/>
  <c r="G29" i="29" s="1"/>
  <c r="E23" i="29"/>
  <c r="F23" i="29" s="1"/>
  <c r="G23" i="29" s="1"/>
  <c r="E11" i="29"/>
  <c r="E128" i="29"/>
  <c r="F128" i="29" s="1"/>
  <c r="G128" i="29" s="1"/>
  <c r="E124" i="29"/>
  <c r="F124" i="29" s="1"/>
  <c r="G124" i="29" s="1"/>
  <c r="E120" i="29"/>
  <c r="F120" i="29" s="1"/>
  <c r="G120" i="29" s="1"/>
  <c r="E116" i="29"/>
  <c r="F116" i="29" s="1"/>
  <c r="G116" i="29" s="1"/>
  <c r="E112" i="29"/>
  <c r="F112" i="29" s="1"/>
  <c r="G112" i="29" s="1"/>
  <c r="E106" i="29"/>
  <c r="F106" i="29" s="1"/>
  <c r="G106" i="29" s="1"/>
  <c r="E85" i="29"/>
  <c r="F85" i="29" s="1"/>
  <c r="G85" i="29" s="1"/>
  <c r="E83" i="29"/>
  <c r="F83" i="29" s="1"/>
  <c r="G83" i="29" s="1"/>
  <c r="E75" i="29"/>
  <c r="F75" i="29" s="1"/>
  <c r="G75" i="29" s="1"/>
  <c r="E47" i="29"/>
  <c r="F47" i="29" s="1"/>
  <c r="G47" i="29" s="1"/>
  <c r="E39" i="29"/>
  <c r="F39" i="29" s="1"/>
  <c r="G39" i="29" s="1"/>
  <c r="E13" i="29"/>
  <c r="F13" i="29" s="1"/>
  <c r="G13" i="29" s="1"/>
  <c r="E70" i="29"/>
  <c r="F70" i="29" s="1"/>
  <c r="G70" i="29" s="1"/>
  <c r="E64" i="29"/>
  <c r="F64" i="29" s="1"/>
  <c r="G64" i="29" s="1"/>
  <c r="E58" i="29"/>
  <c r="F58" i="29" s="1"/>
  <c r="G58" i="29" s="1"/>
  <c r="E52" i="29"/>
  <c r="F52" i="29" s="1"/>
  <c r="G52" i="29" s="1"/>
  <c r="E50" i="29"/>
  <c r="F50" i="29" s="1"/>
  <c r="G50" i="29" s="1"/>
  <c r="E44" i="29"/>
  <c r="F44" i="29" s="1"/>
  <c r="G44" i="29" s="1"/>
  <c r="E41" i="29"/>
  <c r="F41" i="29" s="1"/>
  <c r="G41" i="29" s="1"/>
  <c r="E31" i="29"/>
  <c r="F31" i="29" s="1"/>
  <c r="G31" i="29" s="1"/>
  <c r="E25" i="29"/>
  <c r="F25" i="29" s="1"/>
  <c r="G25" i="29" s="1"/>
  <c r="E15" i="29"/>
  <c r="F15" i="29" s="1"/>
  <c r="G15" i="29" s="1"/>
  <c r="E99" i="29"/>
  <c r="F99" i="29" s="1"/>
  <c r="G99" i="29" s="1"/>
  <c r="E94" i="29"/>
  <c r="F94" i="29" s="1"/>
  <c r="G94" i="29" s="1"/>
  <c r="E88" i="29"/>
  <c r="F88" i="29" s="1"/>
  <c r="G88" i="29" s="1"/>
  <c r="E68" i="29"/>
  <c r="F68" i="29" s="1"/>
  <c r="G68" i="29" s="1"/>
  <c r="E62" i="29"/>
  <c r="F62" i="29" s="1"/>
  <c r="G62" i="29" s="1"/>
  <c r="E56" i="29"/>
  <c r="F56" i="29" s="1"/>
  <c r="G56" i="29" s="1"/>
  <c r="E48" i="29"/>
  <c r="F48" i="29" s="1"/>
  <c r="G48" i="29" s="1"/>
  <c r="E42" i="29"/>
  <c r="F42" i="29" s="1"/>
  <c r="G42" i="29" s="1"/>
  <c r="E108" i="29"/>
  <c r="F108" i="29" s="1"/>
  <c r="G108" i="29" s="1"/>
  <c r="E90" i="29"/>
  <c r="F90" i="29" s="1"/>
  <c r="G90" i="29" s="1"/>
  <c r="E80" i="29"/>
  <c r="F80" i="29" s="1"/>
  <c r="G80" i="29" s="1"/>
  <c r="E33" i="29"/>
  <c r="F33" i="29" s="1"/>
  <c r="G33" i="29" s="1"/>
  <c r="E27" i="29"/>
  <c r="F27" i="29" s="1"/>
  <c r="G27" i="29" s="1"/>
  <c r="E19" i="29"/>
  <c r="F19" i="29" s="1"/>
  <c r="G19" i="29" s="1"/>
  <c r="E109" i="29"/>
  <c r="F109" i="29" s="1"/>
  <c r="G109" i="29" s="1"/>
  <c r="E103" i="29"/>
  <c r="F103" i="29" s="1"/>
  <c r="G103" i="29" s="1"/>
  <c r="E101" i="29"/>
  <c r="F101" i="29" s="1"/>
  <c r="G101" i="29" s="1"/>
  <c r="E77" i="29"/>
  <c r="F77" i="29" s="1"/>
  <c r="G77" i="29" s="1"/>
  <c r="E49" i="29"/>
  <c r="F49" i="29" s="1"/>
  <c r="G49" i="29" s="1"/>
  <c r="E43" i="29"/>
  <c r="F43" i="29" s="1"/>
  <c r="G43" i="29" s="1"/>
  <c r="E38" i="29"/>
  <c r="F38" i="29" s="1"/>
  <c r="G38" i="29" s="1"/>
  <c r="E36" i="29"/>
  <c r="F36" i="29" s="1"/>
  <c r="G36" i="29" s="1"/>
  <c r="E17" i="29"/>
  <c r="F17" i="29" s="1"/>
  <c r="G17" i="29" s="1"/>
  <c r="E130" i="29"/>
  <c r="F130" i="29" s="1"/>
  <c r="G130" i="29" s="1"/>
  <c r="E126" i="29"/>
  <c r="F126" i="29" s="1"/>
  <c r="G126" i="29" s="1"/>
  <c r="E122" i="29"/>
  <c r="F122" i="29" s="1"/>
  <c r="G122" i="29" s="1"/>
  <c r="E118" i="29"/>
  <c r="F118" i="29" s="1"/>
  <c r="G118" i="29" s="1"/>
  <c r="E114" i="29"/>
  <c r="F114" i="29" s="1"/>
  <c r="G114" i="29" s="1"/>
  <c r="E110" i="29"/>
  <c r="F110" i="29" s="1"/>
  <c r="G110" i="29" s="1"/>
  <c r="E104" i="29"/>
  <c r="F104" i="29" s="1"/>
  <c r="G104" i="29" s="1"/>
  <c r="E97" i="29"/>
  <c r="F97" i="29" s="1"/>
  <c r="G97" i="29" s="1"/>
  <c r="E92" i="29"/>
  <c r="F92" i="29" s="1"/>
  <c r="G92" i="29" s="1"/>
  <c r="E86" i="29"/>
  <c r="F86" i="29" s="1"/>
  <c r="G86" i="29" s="1"/>
  <c r="E84" i="29"/>
  <c r="F84" i="29" s="1"/>
  <c r="G84" i="29" s="1"/>
  <c r="E82" i="29"/>
  <c r="F82" i="29" s="1"/>
  <c r="G82" i="29" s="1"/>
  <c r="E66" i="29"/>
  <c r="F66" i="29" s="1"/>
  <c r="G66" i="29" s="1"/>
  <c r="E60" i="29"/>
  <c r="F60" i="29" s="1"/>
  <c r="G60" i="29" s="1"/>
  <c r="E54" i="29"/>
  <c r="F54" i="29" s="1"/>
  <c r="G54" i="29" s="1"/>
  <c r="E46" i="29"/>
  <c r="F46" i="29" s="1"/>
  <c r="G46" i="29" s="1"/>
  <c r="E223" i="29"/>
  <c r="F223" i="29" s="1"/>
  <c r="G223" i="29" s="1"/>
  <c r="E220" i="29"/>
  <c r="F220" i="29" s="1"/>
  <c r="G220" i="29" s="1"/>
  <c r="E217" i="29"/>
  <c r="F217" i="29" s="1"/>
  <c r="G217" i="29" s="1"/>
  <c r="E214" i="29"/>
  <c r="F214" i="29" s="1"/>
  <c r="G214" i="29" s="1"/>
  <c r="E211" i="29"/>
  <c r="F211" i="29" s="1"/>
  <c r="G211" i="29" s="1"/>
  <c r="E208" i="29"/>
  <c r="E222" i="29"/>
  <c r="F222" i="29" s="1"/>
  <c r="G222" i="29" s="1"/>
  <c r="E219" i="29"/>
  <c r="F219" i="29" s="1"/>
  <c r="G219" i="29" s="1"/>
  <c r="E216" i="29"/>
  <c r="F216" i="29" s="1"/>
  <c r="G216" i="29" s="1"/>
  <c r="E213" i="29"/>
  <c r="F213" i="29" s="1"/>
  <c r="G213" i="29" s="1"/>
  <c r="E210" i="29"/>
  <c r="F210" i="29" s="1"/>
  <c r="G210" i="29" s="1"/>
  <c r="E224" i="29"/>
  <c r="F224" i="29" s="1"/>
  <c r="G224" i="29" s="1"/>
  <c r="E221" i="29"/>
  <c r="F221" i="29" s="1"/>
  <c r="G221" i="29" s="1"/>
  <c r="E218" i="29"/>
  <c r="F218" i="29" s="1"/>
  <c r="G218" i="29" s="1"/>
  <c r="E215" i="29"/>
  <c r="F215" i="29" s="1"/>
  <c r="G215" i="29" s="1"/>
  <c r="E212" i="29"/>
  <c r="F212" i="29" s="1"/>
  <c r="G212" i="29" s="1"/>
  <c r="E209" i="29"/>
  <c r="F209" i="29" s="1"/>
  <c r="G209" i="29" s="1"/>
  <c r="E130" i="28"/>
  <c r="F130" i="28" s="1"/>
  <c r="G130" i="28" s="1"/>
  <c r="E128" i="28"/>
  <c r="F128" i="28" s="1"/>
  <c r="G128" i="28" s="1"/>
  <c r="E126" i="28"/>
  <c r="F126" i="28" s="1"/>
  <c r="G126" i="28" s="1"/>
  <c r="E124" i="28"/>
  <c r="F124" i="28" s="1"/>
  <c r="G124" i="28" s="1"/>
  <c r="E122" i="28"/>
  <c r="F122" i="28" s="1"/>
  <c r="G122" i="28" s="1"/>
  <c r="E120" i="28"/>
  <c r="F120" i="28" s="1"/>
  <c r="G120" i="28" s="1"/>
  <c r="E118" i="28"/>
  <c r="F118" i="28" s="1"/>
  <c r="G118" i="28" s="1"/>
  <c r="E116" i="28"/>
  <c r="F116" i="28" s="1"/>
  <c r="G116" i="28" s="1"/>
  <c r="E114" i="28"/>
  <c r="F114" i="28" s="1"/>
  <c r="G114" i="28" s="1"/>
  <c r="E112" i="28"/>
  <c r="F112" i="28" s="1"/>
  <c r="G112" i="28" s="1"/>
  <c r="E110" i="28"/>
  <c r="F110" i="28" s="1"/>
  <c r="G110" i="28" s="1"/>
  <c r="E106" i="28"/>
  <c r="F106" i="28" s="1"/>
  <c r="G106" i="28" s="1"/>
  <c r="E104" i="28"/>
  <c r="F104" i="28" s="1"/>
  <c r="G104" i="28" s="1"/>
  <c r="E97" i="28"/>
  <c r="F97" i="28" s="1"/>
  <c r="G97" i="28" s="1"/>
  <c r="E83" i="28"/>
  <c r="F83" i="28" s="1"/>
  <c r="G83" i="28" s="1"/>
  <c r="E71" i="28"/>
  <c r="F71" i="28" s="1"/>
  <c r="G71" i="28" s="1"/>
  <c r="E50" i="28"/>
  <c r="F50" i="28" s="1"/>
  <c r="G50" i="28" s="1"/>
  <c r="E48" i="28"/>
  <c r="F48" i="28" s="1"/>
  <c r="G48" i="28" s="1"/>
  <c r="E46" i="28"/>
  <c r="F46" i="28" s="1"/>
  <c r="G46" i="28" s="1"/>
  <c r="E44" i="28"/>
  <c r="F44" i="28" s="1"/>
  <c r="G44" i="28" s="1"/>
  <c r="E42" i="28"/>
  <c r="F42" i="28" s="1"/>
  <c r="G42" i="28" s="1"/>
  <c r="E107" i="28"/>
  <c r="F107" i="28" s="1"/>
  <c r="G107" i="28" s="1"/>
  <c r="E95" i="28"/>
  <c r="F95" i="28" s="1"/>
  <c r="G95" i="28" s="1"/>
  <c r="E78" i="28"/>
  <c r="F78" i="28" s="1"/>
  <c r="G78" i="28" s="1"/>
  <c r="E76" i="28"/>
  <c r="F76" i="28" s="1"/>
  <c r="G76" i="28" s="1"/>
  <c r="E74" i="28"/>
  <c r="F74" i="28" s="1"/>
  <c r="G74" i="28" s="1"/>
  <c r="E69" i="28"/>
  <c r="F69" i="28" s="1"/>
  <c r="G69" i="28" s="1"/>
  <c r="E67" i="28"/>
  <c r="F67" i="28" s="1"/>
  <c r="G67" i="28" s="1"/>
  <c r="E65" i="28"/>
  <c r="F65" i="28" s="1"/>
  <c r="G65" i="28" s="1"/>
  <c r="E63" i="28"/>
  <c r="F63" i="28" s="1"/>
  <c r="G63" i="28" s="1"/>
  <c r="E61" i="28"/>
  <c r="F61" i="28" s="1"/>
  <c r="G61" i="28" s="1"/>
  <c r="E59" i="28"/>
  <c r="F59" i="28" s="1"/>
  <c r="G59" i="28" s="1"/>
  <c r="E57" i="28"/>
  <c r="F57" i="28" s="1"/>
  <c r="G57" i="28" s="1"/>
  <c r="E55" i="28"/>
  <c r="F55" i="28" s="1"/>
  <c r="G55" i="28" s="1"/>
  <c r="E53" i="28"/>
  <c r="F53" i="28" s="1"/>
  <c r="G53" i="28" s="1"/>
  <c r="E37" i="28"/>
  <c r="F37" i="28" s="1"/>
  <c r="G37" i="28" s="1"/>
  <c r="E34" i="28"/>
  <c r="F34" i="28" s="1"/>
  <c r="G34" i="28" s="1"/>
  <c r="E32" i="28"/>
  <c r="F32" i="28" s="1"/>
  <c r="G32" i="28" s="1"/>
  <c r="E30" i="28"/>
  <c r="F30" i="28" s="1"/>
  <c r="G30" i="28" s="1"/>
  <c r="E28" i="28"/>
  <c r="F28" i="28" s="1"/>
  <c r="G28" i="28" s="1"/>
  <c r="E26" i="28"/>
  <c r="F26" i="28" s="1"/>
  <c r="G26" i="28" s="1"/>
  <c r="E24" i="28"/>
  <c r="F24" i="28" s="1"/>
  <c r="G24" i="28" s="1"/>
  <c r="E22" i="28"/>
  <c r="F22" i="28" s="1"/>
  <c r="G22" i="28" s="1"/>
  <c r="E20" i="28"/>
  <c r="F20" i="28" s="1"/>
  <c r="G20" i="28" s="1"/>
  <c r="E18" i="28"/>
  <c r="F18" i="28" s="1"/>
  <c r="G18" i="28" s="1"/>
  <c r="E16" i="28"/>
  <c r="F16" i="28" s="1"/>
  <c r="G16" i="28" s="1"/>
  <c r="E14" i="28"/>
  <c r="F14" i="28" s="1"/>
  <c r="G14" i="28" s="1"/>
  <c r="E12" i="28"/>
  <c r="F12" i="28" s="1"/>
  <c r="G12" i="28" s="1"/>
  <c r="E102" i="28"/>
  <c r="F102" i="28" s="1"/>
  <c r="G102" i="28" s="1"/>
  <c r="E100" i="28"/>
  <c r="F100" i="28" s="1"/>
  <c r="G100" i="28" s="1"/>
  <c r="E98" i="28"/>
  <c r="F98" i="28" s="1"/>
  <c r="G98" i="28" s="1"/>
  <c r="E93" i="28"/>
  <c r="F93" i="28" s="1"/>
  <c r="G93" i="28" s="1"/>
  <c r="E91" i="28"/>
  <c r="F91" i="28" s="1"/>
  <c r="G91" i="28" s="1"/>
  <c r="E89" i="28"/>
  <c r="F89" i="28" s="1"/>
  <c r="G89" i="28" s="1"/>
  <c r="E87" i="28"/>
  <c r="F87" i="28" s="1"/>
  <c r="G87" i="28" s="1"/>
  <c r="E81" i="28"/>
  <c r="F81" i="28" s="1"/>
  <c r="G81" i="28" s="1"/>
  <c r="E72" i="28"/>
  <c r="F72" i="28" s="1"/>
  <c r="G72" i="28" s="1"/>
  <c r="E51" i="28"/>
  <c r="F51" i="28" s="1"/>
  <c r="G51" i="28" s="1"/>
  <c r="E40" i="28"/>
  <c r="F40" i="28" s="1"/>
  <c r="G40" i="28" s="1"/>
  <c r="E109" i="28"/>
  <c r="F109" i="28" s="1"/>
  <c r="G109" i="28" s="1"/>
  <c r="E103" i="28"/>
  <c r="F103" i="28" s="1"/>
  <c r="G103" i="28" s="1"/>
  <c r="E99" i="28"/>
  <c r="F99" i="28" s="1"/>
  <c r="G99" i="28" s="1"/>
  <c r="E85" i="28"/>
  <c r="F85" i="28" s="1"/>
  <c r="G85" i="28" s="1"/>
  <c r="E79" i="28"/>
  <c r="F79" i="28" s="1"/>
  <c r="G79" i="28" s="1"/>
  <c r="E75" i="28"/>
  <c r="F75" i="28" s="1"/>
  <c r="G75" i="28" s="1"/>
  <c r="E49" i="28"/>
  <c r="F49" i="28" s="1"/>
  <c r="G49" i="28" s="1"/>
  <c r="E45" i="28"/>
  <c r="F45" i="28" s="1"/>
  <c r="G45" i="28" s="1"/>
  <c r="E38" i="28"/>
  <c r="F38" i="28" s="1"/>
  <c r="G38" i="28" s="1"/>
  <c r="E21" i="28"/>
  <c r="F21" i="28" s="1"/>
  <c r="G21" i="28" s="1"/>
  <c r="E15" i="28"/>
  <c r="F15" i="28" s="1"/>
  <c r="G15" i="28" s="1"/>
  <c r="E127" i="28"/>
  <c r="F127" i="28" s="1"/>
  <c r="G127" i="28" s="1"/>
  <c r="E123" i="28"/>
  <c r="F123" i="28" s="1"/>
  <c r="G123" i="28" s="1"/>
  <c r="E119" i="28"/>
  <c r="F119" i="28" s="1"/>
  <c r="G119" i="28" s="1"/>
  <c r="E115" i="28"/>
  <c r="F115" i="28" s="1"/>
  <c r="G115" i="28" s="1"/>
  <c r="E111" i="28"/>
  <c r="F111" i="28" s="1"/>
  <c r="G111" i="28" s="1"/>
  <c r="E105" i="28"/>
  <c r="F105" i="28" s="1"/>
  <c r="G105" i="28" s="1"/>
  <c r="E92" i="28"/>
  <c r="F92" i="28" s="1"/>
  <c r="G92" i="28" s="1"/>
  <c r="E88" i="28"/>
  <c r="F88" i="28" s="1"/>
  <c r="G88" i="28" s="1"/>
  <c r="E82" i="28"/>
  <c r="F82" i="28" s="1"/>
  <c r="G82" i="28" s="1"/>
  <c r="E68" i="28"/>
  <c r="F68" i="28" s="1"/>
  <c r="G68" i="28" s="1"/>
  <c r="E64" i="28"/>
  <c r="F64" i="28" s="1"/>
  <c r="G64" i="28" s="1"/>
  <c r="E60" i="28"/>
  <c r="F60" i="28" s="1"/>
  <c r="G60" i="28" s="1"/>
  <c r="E56" i="28"/>
  <c r="F56" i="28" s="1"/>
  <c r="G56" i="28" s="1"/>
  <c r="E52" i="28"/>
  <c r="F52" i="28" s="1"/>
  <c r="G52" i="28" s="1"/>
  <c r="E41" i="28"/>
  <c r="F41" i="28" s="1"/>
  <c r="G41" i="28" s="1"/>
  <c r="E108" i="28"/>
  <c r="F108" i="28" s="1"/>
  <c r="G108" i="28" s="1"/>
  <c r="E84" i="28"/>
  <c r="F84" i="28" s="1"/>
  <c r="G84" i="28" s="1"/>
  <c r="E31" i="28"/>
  <c r="F31" i="28" s="1"/>
  <c r="G31" i="28" s="1"/>
  <c r="E27" i="28"/>
  <c r="F27" i="28" s="1"/>
  <c r="G27" i="28" s="1"/>
  <c r="E23" i="28"/>
  <c r="F23" i="28" s="1"/>
  <c r="G23" i="28" s="1"/>
  <c r="E17" i="28"/>
  <c r="F17" i="28" s="1"/>
  <c r="G17" i="28" s="1"/>
  <c r="E11" i="28"/>
  <c r="E101" i="28"/>
  <c r="F101" i="28" s="1"/>
  <c r="G101" i="28" s="1"/>
  <c r="E77" i="28"/>
  <c r="F77" i="28" s="1"/>
  <c r="G77" i="28" s="1"/>
  <c r="E47" i="28"/>
  <c r="F47" i="28" s="1"/>
  <c r="G47" i="28" s="1"/>
  <c r="E43" i="28"/>
  <c r="F43" i="28" s="1"/>
  <c r="G43" i="28" s="1"/>
  <c r="E129" i="28"/>
  <c r="F129" i="28" s="1"/>
  <c r="G129" i="28" s="1"/>
  <c r="E125" i="28"/>
  <c r="F125" i="28" s="1"/>
  <c r="G125" i="28" s="1"/>
  <c r="E121" i="28"/>
  <c r="F121" i="28" s="1"/>
  <c r="G121" i="28" s="1"/>
  <c r="E117" i="28"/>
  <c r="F117" i="28" s="1"/>
  <c r="G117" i="28" s="1"/>
  <c r="E113" i="28"/>
  <c r="F113" i="28" s="1"/>
  <c r="G113" i="28" s="1"/>
  <c r="E96" i="28"/>
  <c r="F96" i="28" s="1"/>
  <c r="G96" i="28" s="1"/>
  <c r="E94" i="28"/>
  <c r="F94" i="28" s="1"/>
  <c r="G94" i="28" s="1"/>
  <c r="E90" i="28"/>
  <c r="F90" i="28" s="1"/>
  <c r="G90" i="28" s="1"/>
  <c r="E86" i="28"/>
  <c r="F86" i="28" s="1"/>
  <c r="G86" i="28" s="1"/>
  <c r="E80" i="28"/>
  <c r="F80" i="28" s="1"/>
  <c r="G80" i="28" s="1"/>
  <c r="E73" i="28"/>
  <c r="F73" i="28" s="1"/>
  <c r="G73" i="28" s="1"/>
  <c r="E70" i="28"/>
  <c r="F70" i="28" s="1"/>
  <c r="G70" i="28" s="1"/>
  <c r="E66" i="28"/>
  <c r="F66" i="28" s="1"/>
  <c r="G66" i="28" s="1"/>
  <c r="E62" i="28"/>
  <c r="F62" i="28" s="1"/>
  <c r="G62" i="28" s="1"/>
  <c r="E58" i="28"/>
  <c r="F58" i="28" s="1"/>
  <c r="G58" i="28" s="1"/>
  <c r="E54" i="28"/>
  <c r="F54" i="28" s="1"/>
  <c r="G54" i="28" s="1"/>
  <c r="E35" i="28"/>
  <c r="F35" i="28" s="1"/>
  <c r="G35" i="28" s="1"/>
  <c r="E19" i="28"/>
  <c r="F19" i="28" s="1"/>
  <c r="G19" i="28" s="1"/>
  <c r="E13" i="28"/>
  <c r="F13" i="28" s="1"/>
  <c r="G13" i="28" s="1"/>
  <c r="E36" i="28"/>
  <c r="F36" i="28" s="1"/>
  <c r="G36" i="28" s="1"/>
  <c r="E29" i="28"/>
  <c r="F29" i="28" s="1"/>
  <c r="G29" i="28" s="1"/>
  <c r="E39" i="28"/>
  <c r="F39" i="28" s="1"/>
  <c r="G39" i="28" s="1"/>
  <c r="E33" i="28"/>
  <c r="F33" i="28" s="1"/>
  <c r="G33" i="28" s="1"/>
  <c r="E25" i="28"/>
  <c r="F25" i="28" s="1"/>
  <c r="G25" i="28" s="1"/>
  <c r="F208" i="28"/>
  <c r="G208" i="28" s="1"/>
  <c r="N362" i="28" a="1"/>
  <c r="N362" i="28" s="1"/>
  <c r="O371" i="28" s="1"/>
  <c r="Q371" i="28" s="1"/>
  <c r="F208" i="27"/>
  <c r="G208" i="27" s="1"/>
  <c r="N362" i="27" a="1"/>
  <c r="N362" i="27" s="1"/>
  <c r="O371" i="27" s="1"/>
  <c r="Q371" i="27" s="1"/>
  <c r="F11" i="27"/>
  <c r="G11" i="27" s="1"/>
  <c r="N179" i="27"/>
  <c r="O188" i="27" s="1"/>
  <c r="Q188" i="27" s="1"/>
  <c r="E107" i="26"/>
  <c r="F107" i="26" s="1"/>
  <c r="G107" i="26" s="1"/>
  <c r="E95" i="26"/>
  <c r="F95" i="26" s="1"/>
  <c r="G95" i="26" s="1"/>
  <c r="E78" i="26"/>
  <c r="F78" i="26" s="1"/>
  <c r="G78" i="26" s="1"/>
  <c r="E76" i="26"/>
  <c r="F76" i="26" s="1"/>
  <c r="G76" i="26" s="1"/>
  <c r="E74" i="26"/>
  <c r="F74" i="26" s="1"/>
  <c r="G74" i="26" s="1"/>
  <c r="E69" i="26"/>
  <c r="F69" i="26" s="1"/>
  <c r="G69" i="26" s="1"/>
  <c r="E67" i="26"/>
  <c r="F67" i="26" s="1"/>
  <c r="G67" i="26" s="1"/>
  <c r="E65" i="26"/>
  <c r="F65" i="26" s="1"/>
  <c r="G65" i="26" s="1"/>
  <c r="E63" i="26"/>
  <c r="F63" i="26" s="1"/>
  <c r="G63" i="26" s="1"/>
  <c r="E61" i="26"/>
  <c r="F61" i="26" s="1"/>
  <c r="G61" i="26" s="1"/>
  <c r="E59" i="26"/>
  <c r="F59" i="26" s="1"/>
  <c r="G59" i="26" s="1"/>
  <c r="E57" i="26"/>
  <c r="F57" i="26" s="1"/>
  <c r="G57" i="26" s="1"/>
  <c r="E55" i="26"/>
  <c r="F55" i="26" s="1"/>
  <c r="G55" i="26" s="1"/>
  <c r="E53" i="26"/>
  <c r="F53" i="26" s="1"/>
  <c r="G53" i="26" s="1"/>
  <c r="E37" i="26"/>
  <c r="F37" i="26" s="1"/>
  <c r="G37" i="26" s="1"/>
  <c r="E34" i="26"/>
  <c r="F34" i="26" s="1"/>
  <c r="G34" i="26" s="1"/>
  <c r="E32" i="26"/>
  <c r="F32" i="26" s="1"/>
  <c r="G32" i="26" s="1"/>
  <c r="E30" i="26"/>
  <c r="F30" i="26" s="1"/>
  <c r="G30" i="26" s="1"/>
  <c r="E28" i="26"/>
  <c r="F28" i="26" s="1"/>
  <c r="G28" i="26" s="1"/>
  <c r="E26" i="26"/>
  <c r="F26" i="26" s="1"/>
  <c r="G26" i="26" s="1"/>
  <c r="E24" i="26"/>
  <c r="F24" i="26" s="1"/>
  <c r="G24" i="26" s="1"/>
  <c r="E22" i="26"/>
  <c r="F22" i="26" s="1"/>
  <c r="G22" i="26" s="1"/>
  <c r="E20" i="26"/>
  <c r="F20" i="26" s="1"/>
  <c r="G20" i="26" s="1"/>
  <c r="E18" i="26"/>
  <c r="F18" i="26" s="1"/>
  <c r="G18" i="26" s="1"/>
  <c r="E16" i="26"/>
  <c r="F16" i="26" s="1"/>
  <c r="G16" i="26" s="1"/>
  <c r="E14" i="26"/>
  <c r="F14" i="26" s="1"/>
  <c r="G14" i="26" s="1"/>
  <c r="E12" i="26"/>
  <c r="F12" i="26" s="1"/>
  <c r="G12" i="26" s="1"/>
  <c r="E108" i="26"/>
  <c r="F108" i="26" s="1"/>
  <c r="G108" i="26" s="1"/>
  <c r="E85" i="26"/>
  <c r="F85" i="26" s="1"/>
  <c r="G85" i="26" s="1"/>
  <c r="E79" i="26"/>
  <c r="F79" i="26" s="1"/>
  <c r="G79" i="26" s="1"/>
  <c r="E77" i="26"/>
  <c r="F77" i="26" s="1"/>
  <c r="G77" i="26" s="1"/>
  <c r="E75" i="26"/>
  <c r="F75" i="26" s="1"/>
  <c r="G75" i="26" s="1"/>
  <c r="E70" i="26"/>
  <c r="F70" i="26" s="1"/>
  <c r="G70" i="26" s="1"/>
  <c r="E68" i="26"/>
  <c r="F68" i="26" s="1"/>
  <c r="G68" i="26" s="1"/>
  <c r="E66" i="26"/>
  <c r="F66" i="26" s="1"/>
  <c r="G66" i="26" s="1"/>
  <c r="E64" i="26"/>
  <c r="F64" i="26" s="1"/>
  <c r="G64" i="26" s="1"/>
  <c r="E62" i="26"/>
  <c r="F62" i="26" s="1"/>
  <c r="G62" i="26" s="1"/>
  <c r="E60" i="26"/>
  <c r="F60" i="26" s="1"/>
  <c r="G60" i="26" s="1"/>
  <c r="E58" i="26"/>
  <c r="F58" i="26" s="1"/>
  <c r="G58" i="26" s="1"/>
  <c r="E56" i="26"/>
  <c r="F56" i="26" s="1"/>
  <c r="G56" i="26" s="1"/>
  <c r="E54" i="26"/>
  <c r="F54" i="26" s="1"/>
  <c r="G54" i="26" s="1"/>
  <c r="E52" i="26"/>
  <c r="F52" i="26" s="1"/>
  <c r="G52" i="26" s="1"/>
  <c r="E41" i="26"/>
  <c r="F41" i="26" s="1"/>
  <c r="G41" i="26" s="1"/>
  <c r="E33" i="26"/>
  <c r="F33" i="26" s="1"/>
  <c r="G33" i="26" s="1"/>
  <c r="E31" i="26"/>
  <c r="F31" i="26" s="1"/>
  <c r="G31" i="26" s="1"/>
  <c r="E29" i="26"/>
  <c r="F29" i="26" s="1"/>
  <c r="G29" i="26" s="1"/>
  <c r="E27" i="26"/>
  <c r="F27" i="26" s="1"/>
  <c r="G27" i="26" s="1"/>
  <c r="E25" i="26"/>
  <c r="F25" i="26" s="1"/>
  <c r="G25" i="26" s="1"/>
  <c r="E101" i="26"/>
  <c r="F101" i="26" s="1"/>
  <c r="G101" i="26" s="1"/>
  <c r="E98" i="26"/>
  <c r="F98" i="26" s="1"/>
  <c r="G98" i="26" s="1"/>
  <c r="E93" i="26"/>
  <c r="F93" i="26" s="1"/>
  <c r="G93" i="26" s="1"/>
  <c r="E90" i="26"/>
  <c r="F90" i="26" s="1"/>
  <c r="G90" i="26" s="1"/>
  <c r="E87" i="26"/>
  <c r="F87" i="26" s="1"/>
  <c r="G87" i="26" s="1"/>
  <c r="E80" i="26"/>
  <c r="F80" i="26" s="1"/>
  <c r="G80" i="26" s="1"/>
  <c r="E72" i="26"/>
  <c r="F72" i="26" s="1"/>
  <c r="G72" i="26" s="1"/>
  <c r="E50" i="26"/>
  <c r="F50" i="26" s="1"/>
  <c r="G50" i="26" s="1"/>
  <c r="E47" i="26"/>
  <c r="F47" i="26" s="1"/>
  <c r="G47" i="26" s="1"/>
  <c r="E44" i="26"/>
  <c r="F44" i="26" s="1"/>
  <c r="G44" i="26" s="1"/>
  <c r="E23" i="26"/>
  <c r="F23" i="26" s="1"/>
  <c r="G23" i="26" s="1"/>
  <c r="E11" i="26"/>
  <c r="E128" i="26"/>
  <c r="F128" i="26" s="1"/>
  <c r="G128" i="26" s="1"/>
  <c r="E125" i="26"/>
  <c r="F125" i="26" s="1"/>
  <c r="G125" i="26" s="1"/>
  <c r="E122" i="26"/>
  <c r="F122" i="26" s="1"/>
  <c r="G122" i="26" s="1"/>
  <c r="E119" i="26"/>
  <c r="F119" i="26" s="1"/>
  <c r="G119" i="26" s="1"/>
  <c r="E116" i="26"/>
  <c r="F116" i="26" s="1"/>
  <c r="G116" i="26" s="1"/>
  <c r="E113" i="26"/>
  <c r="F113" i="26" s="1"/>
  <c r="G113" i="26" s="1"/>
  <c r="E110" i="26"/>
  <c r="F110" i="26" s="1"/>
  <c r="G110" i="26" s="1"/>
  <c r="E106" i="26"/>
  <c r="F106" i="26" s="1"/>
  <c r="G106" i="26" s="1"/>
  <c r="E36" i="26"/>
  <c r="F36" i="26" s="1"/>
  <c r="G36" i="26" s="1"/>
  <c r="E13" i="26"/>
  <c r="F13" i="26" s="1"/>
  <c r="G13" i="26" s="1"/>
  <c r="E120" i="26"/>
  <c r="F120" i="26" s="1"/>
  <c r="G120" i="26" s="1"/>
  <c r="E96" i="26"/>
  <c r="F96" i="26" s="1"/>
  <c r="G96" i="26" s="1"/>
  <c r="E103" i="26"/>
  <c r="F103" i="26" s="1"/>
  <c r="G103" i="26" s="1"/>
  <c r="E100" i="26"/>
  <c r="F100" i="26" s="1"/>
  <c r="G100" i="26" s="1"/>
  <c r="E92" i="26"/>
  <c r="F92" i="26" s="1"/>
  <c r="G92" i="26" s="1"/>
  <c r="E89" i="26"/>
  <c r="F89" i="26" s="1"/>
  <c r="G89" i="26" s="1"/>
  <c r="E86" i="26"/>
  <c r="F86" i="26" s="1"/>
  <c r="G86" i="26" s="1"/>
  <c r="E82" i="26"/>
  <c r="F82" i="26" s="1"/>
  <c r="G82" i="26" s="1"/>
  <c r="E49" i="26"/>
  <c r="F49" i="26" s="1"/>
  <c r="G49" i="26" s="1"/>
  <c r="E46" i="26"/>
  <c r="F46" i="26" s="1"/>
  <c r="G46" i="26" s="1"/>
  <c r="E43" i="26"/>
  <c r="F43" i="26" s="1"/>
  <c r="G43" i="26" s="1"/>
  <c r="E38" i="26"/>
  <c r="F38" i="26" s="1"/>
  <c r="G38" i="26" s="1"/>
  <c r="E15" i="26"/>
  <c r="F15" i="26" s="1"/>
  <c r="G15" i="26" s="1"/>
  <c r="E123" i="26"/>
  <c r="F123" i="26" s="1"/>
  <c r="G123" i="26" s="1"/>
  <c r="E39" i="26"/>
  <c r="F39" i="26" s="1"/>
  <c r="G39" i="26" s="1"/>
  <c r="E21" i="26"/>
  <c r="F21" i="26" s="1"/>
  <c r="G21" i="26" s="1"/>
  <c r="E130" i="26"/>
  <c r="F130" i="26" s="1"/>
  <c r="G130" i="26" s="1"/>
  <c r="E127" i="26"/>
  <c r="F127" i="26" s="1"/>
  <c r="G127" i="26" s="1"/>
  <c r="E124" i="26"/>
  <c r="F124" i="26" s="1"/>
  <c r="G124" i="26" s="1"/>
  <c r="E121" i="26"/>
  <c r="F121" i="26" s="1"/>
  <c r="G121" i="26" s="1"/>
  <c r="E118" i="26"/>
  <c r="F118" i="26" s="1"/>
  <c r="G118" i="26" s="1"/>
  <c r="E115" i="26"/>
  <c r="F115" i="26" s="1"/>
  <c r="G115" i="26" s="1"/>
  <c r="E112" i="26"/>
  <c r="F112" i="26" s="1"/>
  <c r="G112" i="26" s="1"/>
  <c r="E105" i="26"/>
  <c r="F105" i="26" s="1"/>
  <c r="G105" i="26" s="1"/>
  <c r="E97" i="26"/>
  <c r="F97" i="26" s="1"/>
  <c r="G97" i="26" s="1"/>
  <c r="E84" i="26"/>
  <c r="F84" i="26" s="1"/>
  <c r="G84" i="26" s="1"/>
  <c r="E71" i="26"/>
  <c r="F71" i="26" s="1"/>
  <c r="G71" i="26" s="1"/>
  <c r="E51" i="26"/>
  <c r="F51" i="26" s="1"/>
  <c r="G51" i="26" s="1"/>
  <c r="E40" i="26"/>
  <c r="F40" i="26" s="1"/>
  <c r="G40" i="26" s="1"/>
  <c r="E17" i="26"/>
  <c r="F17" i="26" s="1"/>
  <c r="G17" i="26" s="1"/>
  <c r="E109" i="26"/>
  <c r="F109" i="26" s="1"/>
  <c r="G109" i="26" s="1"/>
  <c r="E102" i="26"/>
  <c r="F102" i="26" s="1"/>
  <c r="G102" i="26" s="1"/>
  <c r="E99" i="26"/>
  <c r="F99" i="26" s="1"/>
  <c r="G99" i="26" s="1"/>
  <c r="E94" i="26"/>
  <c r="F94" i="26" s="1"/>
  <c r="G94" i="26" s="1"/>
  <c r="E91" i="26"/>
  <c r="F91" i="26" s="1"/>
  <c r="G91" i="26" s="1"/>
  <c r="E88" i="26"/>
  <c r="F88" i="26" s="1"/>
  <c r="G88" i="26" s="1"/>
  <c r="E81" i="26"/>
  <c r="F81" i="26" s="1"/>
  <c r="G81" i="26" s="1"/>
  <c r="E73" i="26"/>
  <c r="F73" i="26" s="1"/>
  <c r="G73" i="26" s="1"/>
  <c r="E48" i="26"/>
  <c r="F48" i="26" s="1"/>
  <c r="G48" i="26" s="1"/>
  <c r="E45" i="26"/>
  <c r="F45" i="26" s="1"/>
  <c r="G45" i="26" s="1"/>
  <c r="E42" i="26"/>
  <c r="F42" i="26" s="1"/>
  <c r="G42" i="26" s="1"/>
  <c r="E35" i="26"/>
  <c r="F35" i="26" s="1"/>
  <c r="G35" i="26" s="1"/>
  <c r="E19" i="26"/>
  <c r="F19" i="26" s="1"/>
  <c r="G19" i="26" s="1"/>
  <c r="E129" i="26"/>
  <c r="F129" i="26" s="1"/>
  <c r="G129" i="26" s="1"/>
  <c r="E126" i="26"/>
  <c r="F126" i="26" s="1"/>
  <c r="G126" i="26" s="1"/>
  <c r="E117" i="26"/>
  <c r="F117" i="26" s="1"/>
  <c r="G117" i="26" s="1"/>
  <c r="E114" i="26"/>
  <c r="F114" i="26" s="1"/>
  <c r="G114" i="26" s="1"/>
  <c r="E111" i="26"/>
  <c r="F111" i="26" s="1"/>
  <c r="G111" i="26" s="1"/>
  <c r="E104" i="26"/>
  <c r="F104" i="26" s="1"/>
  <c r="G104" i="26" s="1"/>
  <c r="E83" i="26"/>
  <c r="F83" i="26" s="1"/>
  <c r="G83" i="26" s="1"/>
  <c r="P234" i="26"/>
  <c r="E130" i="25"/>
  <c r="F130" i="25" s="1"/>
  <c r="G130" i="25" s="1"/>
  <c r="E128" i="25"/>
  <c r="F128" i="25" s="1"/>
  <c r="G128" i="25" s="1"/>
  <c r="E126" i="25"/>
  <c r="F126" i="25" s="1"/>
  <c r="G126" i="25" s="1"/>
  <c r="E124" i="25"/>
  <c r="F124" i="25" s="1"/>
  <c r="G124" i="25" s="1"/>
  <c r="E122" i="25"/>
  <c r="F122" i="25" s="1"/>
  <c r="G122" i="25" s="1"/>
  <c r="E120" i="25"/>
  <c r="F120" i="25" s="1"/>
  <c r="G120" i="25" s="1"/>
  <c r="E118" i="25"/>
  <c r="F118" i="25" s="1"/>
  <c r="G118" i="25" s="1"/>
  <c r="E116" i="25"/>
  <c r="F116" i="25" s="1"/>
  <c r="G116" i="25" s="1"/>
  <c r="E114" i="25"/>
  <c r="F114" i="25" s="1"/>
  <c r="G114" i="25" s="1"/>
  <c r="E112" i="25"/>
  <c r="F112" i="25" s="1"/>
  <c r="G112" i="25" s="1"/>
  <c r="E110" i="25"/>
  <c r="F110" i="25" s="1"/>
  <c r="G110" i="25" s="1"/>
  <c r="E106" i="25"/>
  <c r="F106" i="25" s="1"/>
  <c r="G106" i="25" s="1"/>
  <c r="E104" i="25"/>
  <c r="F104" i="25" s="1"/>
  <c r="G104" i="25" s="1"/>
  <c r="E97" i="25"/>
  <c r="F97" i="25" s="1"/>
  <c r="G97" i="25" s="1"/>
  <c r="E83" i="25"/>
  <c r="F83" i="25" s="1"/>
  <c r="G83" i="25" s="1"/>
  <c r="E71" i="25"/>
  <c r="F71" i="25" s="1"/>
  <c r="G71" i="25" s="1"/>
  <c r="E50" i="25"/>
  <c r="F50" i="25" s="1"/>
  <c r="G50" i="25" s="1"/>
  <c r="E48" i="25"/>
  <c r="F48" i="25" s="1"/>
  <c r="G48" i="25" s="1"/>
  <c r="E46" i="25"/>
  <c r="F46" i="25" s="1"/>
  <c r="G46" i="25" s="1"/>
  <c r="E44" i="25"/>
  <c r="F44" i="25" s="1"/>
  <c r="G44" i="25" s="1"/>
  <c r="E42" i="25"/>
  <c r="F42" i="25" s="1"/>
  <c r="G42" i="25" s="1"/>
  <c r="E107" i="25"/>
  <c r="F107" i="25" s="1"/>
  <c r="G107" i="25" s="1"/>
  <c r="E95" i="25"/>
  <c r="F95" i="25" s="1"/>
  <c r="G95" i="25" s="1"/>
  <c r="E78" i="25"/>
  <c r="F78" i="25" s="1"/>
  <c r="G78" i="25" s="1"/>
  <c r="E76" i="25"/>
  <c r="F76" i="25" s="1"/>
  <c r="G76" i="25" s="1"/>
  <c r="E74" i="25"/>
  <c r="F74" i="25" s="1"/>
  <c r="G74" i="25" s="1"/>
  <c r="E69" i="25"/>
  <c r="F69" i="25" s="1"/>
  <c r="G69" i="25" s="1"/>
  <c r="E67" i="25"/>
  <c r="F67" i="25" s="1"/>
  <c r="G67" i="25" s="1"/>
  <c r="E65" i="25"/>
  <c r="F65" i="25" s="1"/>
  <c r="G65" i="25" s="1"/>
  <c r="E63" i="25"/>
  <c r="F63" i="25" s="1"/>
  <c r="G63" i="25" s="1"/>
  <c r="E61" i="25"/>
  <c r="F61" i="25" s="1"/>
  <c r="G61" i="25" s="1"/>
  <c r="E59" i="25"/>
  <c r="F59" i="25" s="1"/>
  <c r="G59" i="25" s="1"/>
  <c r="E57" i="25"/>
  <c r="F57" i="25" s="1"/>
  <c r="G57" i="25" s="1"/>
  <c r="E55" i="25"/>
  <c r="F55" i="25" s="1"/>
  <c r="G55" i="25" s="1"/>
  <c r="E53" i="25"/>
  <c r="F53" i="25" s="1"/>
  <c r="G53" i="25" s="1"/>
  <c r="E37" i="25"/>
  <c r="F37" i="25" s="1"/>
  <c r="G37" i="25" s="1"/>
  <c r="E34" i="25"/>
  <c r="F34" i="25" s="1"/>
  <c r="G34" i="25" s="1"/>
  <c r="E32" i="25"/>
  <c r="F32" i="25" s="1"/>
  <c r="G32" i="25" s="1"/>
  <c r="E30" i="25"/>
  <c r="F30" i="25" s="1"/>
  <c r="G30" i="25" s="1"/>
  <c r="E28" i="25"/>
  <c r="F28" i="25" s="1"/>
  <c r="G28" i="25" s="1"/>
  <c r="E129" i="25"/>
  <c r="F129" i="25" s="1"/>
  <c r="G129" i="25" s="1"/>
  <c r="E127" i="25"/>
  <c r="F127" i="25" s="1"/>
  <c r="G127" i="25" s="1"/>
  <c r="E125" i="25"/>
  <c r="F125" i="25" s="1"/>
  <c r="G125" i="25" s="1"/>
  <c r="E123" i="25"/>
  <c r="F123" i="25" s="1"/>
  <c r="G123" i="25" s="1"/>
  <c r="E121" i="25"/>
  <c r="F121" i="25" s="1"/>
  <c r="G121" i="25" s="1"/>
  <c r="E119" i="25"/>
  <c r="F119" i="25" s="1"/>
  <c r="G119" i="25" s="1"/>
  <c r="E117" i="25"/>
  <c r="F117" i="25" s="1"/>
  <c r="G117" i="25" s="1"/>
  <c r="E115" i="25"/>
  <c r="F115" i="25" s="1"/>
  <c r="G115" i="25" s="1"/>
  <c r="E113" i="25"/>
  <c r="F113" i="25" s="1"/>
  <c r="G113" i="25" s="1"/>
  <c r="E111" i="25"/>
  <c r="F111" i="25" s="1"/>
  <c r="G111" i="25" s="1"/>
  <c r="E105" i="25"/>
  <c r="F105" i="25" s="1"/>
  <c r="G105" i="25" s="1"/>
  <c r="E96" i="25"/>
  <c r="F96" i="25" s="1"/>
  <c r="G96" i="25" s="1"/>
  <c r="E84" i="25"/>
  <c r="F84" i="25" s="1"/>
  <c r="G84" i="25" s="1"/>
  <c r="E49" i="25"/>
  <c r="F49" i="25" s="1"/>
  <c r="G49" i="25" s="1"/>
  <c r="E47" i="25"/>
  <c r="F47" i="25" s="1"/>
  <c r="G47" i="25" s="1"/>
  <c r="E45" i="25"/>
  <c r="F45" i="25" s="1"/>
  <c r="G45" i="25" s="1"/>
  <c r="E43" i="25"/>
  <c r="F43" i="25" s="1"/>
  <c r="G43" i="25" s="1"/>
  <c r="E38" i="25"/>
  <c r="F38" i="25" s="1"/>
  <c r="G38" i="25" s="1"/>
  <c r="E35" i="25"/>
  <c r="F35" i="25" s="1"/>
  <c r="G35" i="25" s="1"/>
  <c r="E101" i="25"/>
  <c r="F101" i="25" s="1"/>
  <c r="G101" i="25" s="1"/>
  <c r="E94" i="25"/>
  <c r="F94" i="25" s="1"/>
  <c r="G94" i="25" s="1"/>
  <c r="E90" i="25"/>
  <c r="F90" i="25" s="1"/>
  <c r="G90" i="25" s="1"/>
  <c r="E86" i="25"/>
  <c r="F86" i="25" s="1"/>
  <c r="G86" i="25" s="1"/>
  <c r="E80" i="25"/>
  <c r="F80" i="25" s="1"/>
  <c r="G80" i="25" s="1"/>
  <c r="E73" i="25"/>
  <c r="F73" i="25" s="1"/>
  <c r="G73" i="25" s="1"/>
  <c r="E70" i="25"/>
  <c r="F70" i="25" s="1"/>
  <c r="G70" i="25" s="1"/>
  <c r="E66" i="25"/>
  <c r="F66" i="25" s="1"/>
  <c r="G66" i="25" s="1"/>
  <c r="E62" i="25"/>
  <c r="F62" i="25" s="1"/>
  <c r="G62" i="25" s="1"/>
  <c r="E58" i="25"/>
  <c r="F58" i="25" s="1"/>
  <c r="G58" i="25" s="1"/>
  <c r="E54" i="25"/>
  <c r="F54" i="25" s="1"/>
  <c r="G54" i="25" s="1"/>
  <c r="E85" i="25"/>
  <c r="F85" i="25" s="1"/>
  <c r="G85" i="25" s="1"/>
  <c r="E79" i="25"/>
  <c r="F79" i="25" s="1"/>
  <c r="G79" i="25" s="1"/>
  <c r="E36" i="25"/>
  <c r="F36" i="25" s="1"/>
  <c r="G36" i="25" s="1"/>
  <c r="E27" i="25"/>
  <c r="F27" i="25" s="1"/>
  <c r="G27" i="25" s="1"/>
  <c r="E23" i="25"/>
  <c r="F23" i="25" s="1"/>
  <c r="G23" i="25" s="1"/>
  <c r="E19" i="25"/>
  <c r="F19" i="25" s="1"/>
  <c r="G19" i="25" s="1"/>
  <c r="E15" i="25"/>
  <c r="F15" i="25" s="1"/>
  <c r="G15" i="25" s="1"/>
  <c r="E11" i="25"/>
  <c r="E100" i="25"/>
  <c r="F100" i="25" s="1"/>
  <c r="G100" i="25" s="1"/>
  <c r="E93" i="25"/>
  <c r="F93" i="25" s="1"/>
  <c r="G93" i="25" s="1"/>
  <c r="E89" i="25"/>
  <c r="F89" i="25" s="1"/>
  <c r="G89" i="25" s="1"/>
  <c r="E72" i="25"/>
  <c r="F72" i="25" s="1"/>
  <c r="G72" i="25" s="1"/>
  <c r="E39" i="25"/>
  <c r="F39" i="25" s="1"/>
  <c r="G39" i="25" s="1"/>
  <c r="E31" i="25"/>
  <c r="F31" i="25" s="1"/>
  <c r="G31" i="25" s="1"/>
  <c r="E26" i="25"/>
  <c r="F26" i="25" s="1"/>
  <c r="G26" i="25" s="1"/>
  <c r="E24" i="25"/>
  <c r="F24" i="25" s="1"/>
  <c r="G24" i="25" s="1"/>
  <c r="E22" i="25"/>
  <c r="F22" i="25" s="1"/>
  <c r="G22" i="25" s="1"/>
  <c r="E20" i="25"/>
  <c r="F20" i="25" s="1"/>
  <c r="G20" i="25" s="1"/>
  <c r="E18" i="25"/>
  <c r="F18" i="25" s="1"/>
  <c r="G18" i="25" s="1"/>
  <c r="E16" i="25"/>
  <c r="F16" i="25" s="1"/>
  <c r="G16" i="25" s="1"/>
  <c r="E14" i="25"/>
  <c r="F14" i="25" s="1"/>
  <c r="G14" i="25" s="1"/>
  <c r="E12" i="25"/>
  <c r="F12" i="25" s="1"/>
  <c r="G12" i="25" s="1"/>
  <c r="E75" i="25"/>
  <c r="F75" i="25" s="1"/>
  <c r="G75" i="25" s="1"/>
  <c r="E25" i="25"/>
  <c r="F25" i="25" s="1"/>
  <c r="G25" i="25" s="1"/>
  <c r="E21" i="25"/>
  <c r="F21" i="25" s="1"/>
  <c r="G21" i="25" s="1"/>
  <c r="E17" i="25"/>
  <c r="F17" i="25" s="1"/>
  <c r="G17" i="25" s="1"/>
  <c r="E13" i="25"/>
  <c r="F13" i="25" s="1"/>
  <c r="G13" i="25" s="1"/>
  <c r="E109" i="25"/>
  <c r="F109" i="25" s="1"/>
  <c r="G109" i="25" s="1"/>
  <c r="E103" i="25"/>
  <c r="F103" i="25" s="1"/>
  <c r="G103" i="25" s="1"/>
  <c r="E99" i="25"/>
  <c r="F99" i="25" s="1"/>
  <c r="G99" i="25" s="1"/>
  <c r="E92" i="25"/>
  <c r="F92" i="25" s="1"/>
  <c r="G92" i="25" s="1"/>
  <c r="E88" i="25"/>
  <c r="F88" i="25" s="1"/>
  <c r="G88" i="25" s="1"/>
  <c r="E82" i="25"/>
  <c r="F82" i="25" s="1"/>
  <c r="G82" i="25" s="1"/>
  <c r="E68" i="25"/>
  <c r="F68" i="25" s="1"/>
  <c r="G68" i="25" s="1"/>
  <c r="E64" i="25"/>
  <c r="F64" i="25" s="1"/>
  <c r="G64" i="25" s="1"/>
  <c r="E60" i="25"/>
  <c r="F60" i="25" s="1"/>
  <c r="G60" i="25" s="1"/>
  <c r="E56" i="25"/>
  <c r="F56" i="25" s="1"/>
  <c r="G56" i="25" s="1"/>
  <c r="E52" i="25"/>
  <c r="F52" i="25" s="1"/>
  <c r="G52" i="25" s="1"/>
  <c r="E41" i="25"/>
  <c r="F41" i="25" s="1"/>
  <c r="G41" i="25" s="1"/>
  <c r="E33" i="25"/>
  <c r="F33" i="25" s="1"/>
  <c r="G33" i="25" s="1"/>
  <c r="E102" i="25"/>
  <c r="F102" i="25" s="1"/>
  <c r="G102" i="25" s="1"/>
  <c r="E98" i="25"/>
  <c r="F98" i="25" s="1"/>
  <c r="G98" i="25" s="1"/>
  <c r="E91" i="25"/>
  <c r="F91" i="25" s="1"/>
  <c r="G91" i="25" s="1"/>
  <c r="E87" i="25"/>
  <c r="F87" i="25" s="1"/>
  <c r="G87" i="25" s="1"/>
  <c r="E81" i="25"/>
  <c r="F81" i="25" s="1"/>
  <c r="G81" i="25" s="1"/>
  <c r="E29" i="25"/>
  <c r="F29" i="25" s="1"/>
  <c r="G29" i="25" s="1"/>
  <c r="E40" i="25"/>
  <c r="F40" i="25" s="1"/>
  <c r="G40" i="25" s="1"/>
  <c r="E77" i="25"/>
  <c r="F77" i="25" s="1"/>
  <c r="G77" i="25" s="1"/>
  <c r="E108" i="25"/>
  <c r="F108" i="25" s="1"/>
  <c r="G108" i="25" s="1"/>
  <c r="E51" i="25"/>
  <c r="F51" i="25" s="1"/>
  <c r="G51" i="25" s="1"/>
  <c r="E223" i="25"/>
  <c r="F223" i="25" s="1"/>
  <c r="G223" i="25" s="1"/>
  <c r="E217" i="25"/>
  <c r="F217" i="25" s="1"/>
  <c r="G217" i="25" s="1"/>
  <c r="E211" i="25"/>
  <c r="F211" i="25" s="1"/>
  <c r="G211" i="25" s="1"/>
  <c r="E222" i="25"/>
  <c r="F222" i="25" s="1"/>
  <c r="G222" i="25" s="1"/>
  <c r="E224" i="25"/>
  <c r="F224" i="25" s="1"/>
  <c r="G224" i="25" s="1"/>
  <c r="E218" i="25"/>
  <c r="F218" i="25" s="1"/>
  <c r="G218" i="25" s="1"/>
  <c r="E212" i="25"/>
  <c r="F212" i="25" s="1"/>
  <c r="G212" i="25" s="1"/>
  <c r="E219" i="25"/>
  <c r="F219" i="25" s="1"/>
  <c r="G219" i="25" s="1"/>
  <c r="E213" i="25"/>
  <c r="F213" i="25" s="1"/>
  <c r="G213" i="25" s="1"/>
  <c r="E220" i="25"/>
  <c r="F220" i="25" s="1"/>
  <c r="G220" i="25" s="1"/>
  <c r="E214" i="25"/>
  <c r="F214" i="25" s="1"/>
  <c r="G214" i="25" s="1"/>
  <c r="E208" i="25"/>
  <c r="E221" i="25"/>
  <c r="F221" i="25" s="1"/>
  <c r="G221" i="25" s="1"/>
  <c r="E215" i="25"/>
  <c r="F215" i="25" s="1"/>
  <c r="G215" i="25" s="1"/>
  <c r="E209" i="25"/>
  <c r="F209" i="25" s="1"/>
  <c r="G209" i="25" s="1"/>
  <c r="E216" i="25"/>
  <c r="F216" i="25" s="1"/>
  <c r="G216" i="25" s="1"/>
  <c r="E210" i="25"/>
  <c r="F210" i="25" s="1"/>
  <c r="G210" i="25" s="1"/>
  <c r="O144" i="24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N376" i="9" l="1"/>
  <c r="S382" i="9"/>
  <c r="P378" i="9"/>
  <c r="N379" i="9"/>
  <c r="S376" i="9"/>
  <c r="R380" i="9"/>
  <c r="N381" i="9"/>
  <c r="S378" i="9"/>
  <c r="O381" i="9"/>
  <c r="P379" i="9"/>
  <c r="P376" i="9"/>
  <c r="O380" i="9"/>
  <c r="R376" i="9"/>
  <c r="O378" i="9"/>
  <c r="R382" i="9"/>
  <c r="S379" i="9"/>
  <c r="R377" i="9"/>
  <c r="T377" i="9"/>
  <c r="P380" i="9"/>
  <c r="Q381" i="9"/>
  <c r="N382" i="9"/>
  <c r="Q378" i="9"/>
  <c r="Q382" i="9"/>
  <c r="P377" i="9"/>
  <c r="T380" i="9"/>
  <c r="T378" i="9"/>
  <c r="O382" i="9"/>
  <c r="N377" i="9"/>
  <c r="Q379" i="9"/>
  <c r="T379" i="9"/>
  <c r="T376" i="9"/>
  <c r="S381" i="9"/>
  <c r="R381" i="9"/>
  <c r="Q376" i="9"/>
  <c r="Q377" i="9"/>
  <c r="N378" i="9"/>
  <c r="P381" i="9"/>
  <c r="O376" i="9"/>
  <c r="R378" i="9"/>
  <c r="O379" i="9"/>
  <c r="R379" i="9"/>
  <c r="N380" i="9"/>
  <c r="S380" i="9"/>
  <c r="T381" i="9"/>
  <c r="P382" i="9"/>
  <c r="O377" i="9"/>
  <c r="Q380" i="9"/>
  <c r="T382" i="9"/>
  <c r="S377" i="9"/>
  <c r="E224" i="36"/>
  <c r="F224" i="36" s="1"/>
  <c r="G224" i="36" s="1"/>
  <c r="E218" i="36"/>
  <c r="F218" i="36" s="1"/>
  <c r="G218" i="36" s="1"/>
  <c r="E212" i="36"/>
  <c r="F212" i="36" s="1"/>
  <c r="G212" i="36" s="1"/>
  <c r="E219" i="36"/>
  <c r="F219" i="36" s="1"/>
  <c r="G219" i="36" s="1"/>
  <c r="E213" i="36"/>
  <c r="F213" i="36" s="1"/>
  <c r="G213" i="36" s="1"/>
  <c r="E220" i="36"/>
  <c r="F220" i="36" s="1"/>
  <c r="G220" i="36" s="1"/>
  <c r="E214" i="36"/>
  <c r="F214" i="36" s="1"/>
  <c r="G214" i="36" s="1"/>
  <c r="E208" i="36"/>
  <c r="E221" i="36"/>
  <c r="F221" i="36" s="1"/>
  <c r="G221" i="36" s="1"/>
  <c r="E215" i="36"/>
  <c r="F215" i="36" s="1"/>
  <c r="G215" i="36" s="1"/>
  <c r="E209" i="36"/>
  <c r="F209" i="36" s="1"/>
  <c r="G209" i="36" s="1"/>
  <c r="E222" i="36"/>
  <c r="F222" i="36" s="1"/>
  <c r="G222" i="36" s="1"/>
  <c r="E216" i="36"/>
  <c r="F216" i="36" s="1"/>
  <c r="G216" i="36" s="1"/>
  <c r="E210" i="36"/>
  <c r="F210" i="36" s="1"/>
  <c r="G210" i="36" s="1"/>
  <c r="E223" i="36"/>
  <c r="F223" i="36" s="1"/>
  <c r="G223" i="36" s="1"/>
  <c r="E217" i="36"/>
  <c r="F217" i="36" s="1"/>
  <c r="G217" i="36" s="1"/>
  <c r="E211" i="36"/>
  <c r="F211" i="36" s="1"/>
  <c r="G211" i="36" s="1"/>
  <c r="N180" i="36"/>
  <c r="O189" i="36" s="1"/>
  <c r="Q189" i="36" s="1"/>
  <c r="S188" i="36" s="1"/>
  <c r="P97" i="36"/>
  <c r="P73" i="36"/>
  <c r="N363" i="35"/>
  <c r="O372" i="35" s="1"/>
  <c r="Q372" i="35" s="1"/>
  <c r="S371" i="35" s="1"/>
  <c r="P260" i="35"/>
  <c r="P284" i="35"/>
  <c r="N179" i="35"/>
  <c r="O188" i="35" s="1"/>
  <c r="Q188" i="35" s="1"/>
  <c r="F11" i="35"/>
  <c r="G11" i="35" s="1"/>
  <c r="P73" i="34"/>
  <c r="N179" i="34"/>
  <c r="O188" i="34" s="1"/>
  <c r="Q188" i="34" s="1"/>
  <c r="F11" i="34"/>
  <c r="G11" i="34" s="1"/>
  <c r="N362" i="34" a="1"/>
  <c r="N362" i="34" s="1"/>
  <c r="O371" i="34" s="1"/>
  <c r="Q371" i="34" s="1"/>
  <c r="F208" i="34"/>
  <c r="G208" i="34" s="1"/>
  <c r="S371" i="33"/>
  <c r="O319" i="33"/>
  <c r="U319" i="33"/>
  <c r="U293" i="33"/>
  <c r="P293" i="33"/>
  <c r="N179" i="33"/>
  <c r="O188" i="33" s="1"/>
  <c r="Q188" i="33" s="1"/>
  <c r="F11" i="33"/>
  <c r="G11" i="33" s="1"/>
  <c r="P269" i="33"/>
  <c r="U269" i="33"/>
  <c r="P73" i="32"/>
  <c r="E224" i="32"/>
  <c r="F224" i="32" s="1"/>
  <c r="G224" i="32" s="1"/>
  <c r="E221" i="32"/>
  <c r="F221" i="32" s="1"/>
  <c r="G221" i="32" s="1"/>
  <c r="E218" i="32"/>
  <c r="F218" i="32" s="1"/>
  <c r="G218" i="32" s="1"/>
  <c r="E215" i="32"/>
  <c r="F215" i="32" s="1"/>
  <c r="G215" i="32" s="1"/>
  <c r="E212" i="32"/>
  <c r="F212" i="32" s="1"/>
  <c r="G212" i="32" s="1"/>
  <c r="E209" i="32"/>
  <c r="F209" i="32" s="1"/>
  <c r="G209" i="32" s="1"/>
  <c r="E222" i="32"/>
  <c r="F222" i="32" s="1"/>
  <c r="G222" i="32" s="1"/>
  <c r="E219" i="32"/>
  <c r="F219" i="32" s="1"/>
  <c r="G219" i="32" s="1"/>
  <c r="E216" i="32"/>
  <c r="F216" i="32" s="1"/>
  <c r="G216" i="32" s="1"/>
  <c r="E213" i="32"/>
  <c r="F213" i="32" s="1"/>
  <c r="G213" i="32" s="1"/>
  <c r="E210" i="32"/>
  <c r="F210" i="32" s="1"/>
  <c r="G210" i="32" s="1"/>
  <c r="E223" i="32"/>
  <c r="F223" i="32" s="1"/>
  <c r="G223" i="32" s="1"/>
  <c r="E214" i="32"/>
  <c r="F214" i="32" s="1"/>
  <c r="G214" i="32" s="1"/>
  <c r="E220" i="32"/>
  <c r="F220" i="32" s="1"/>
  <c r="G220" i="32" s="1"/>
  <c r="E211" i="32"/>
  <c r="F211" i="32" s="1"/>
  <c r="G211" i="32" s="1"/>
  <c r="E217" i="32"/>
  <c r="F217" i="32" s="1"/>
  <c r="G217" i="32" s="1"/>
  <c r="E208" i="32"/>
  <c r="N179" i="32"/>
  <c r="O188" i="32" s="1"/>
  <c r="Q188" i="32" s="1"/>
  <c r="F11" i="32"/>
  <c r="G11" i="32" s="1"/>
  <c r="N179" i="31"/>
  <c r="O188" i="31" s="1"/>
  <c r="Q188" i="31" s="1"/>
  <c r="F11" i="31"/>
  <c r="G11" i="31" s="1"/>
  <c r="F208" i="31"/>
  <c r="G208" i="31" s="1"/>
  <c r="N362" i="31" a="1"/>
  <c r="N362" i="31" s="1"/>
  <c r="O371" i="31" s="1"/>
  <c r="Q371" i="31" s="1"/>
  <c r="N179" i="30"/>
  <c r="O188" i="30" s="1"/>
  <c r="Q188" i="30" s="1"/>
  <c r="F11" i="30"/>
  <c r="G11" i="30" s="1"/>
  <c r="F208" i="30"/>
  <c r="G208" i="30" s="1"/>
  <c r="N362" i="30" a="1"/>
  <c r="N362" i="30" s="1"/>
  <c r="O371" i="30" s="1"/>
  <c r="Q371" i="30" s="1"/>
  <c r="N179" i="29"/>
  <c r="O188" i="29" s="1"/>
  <c r="Q188" i="29" s="1"/>
  <c r="F11" i="29"/>
  <c r="G11" i="29" s="1"/>
  <c r="F208" i="29"/>
  <c r="G208" i="29" s="1"/>
  <c r="N362" i="29" a="1"/>
  <c r="N362" i="29" s="1"/>
  <c r="O371" i="29" s="1"/>
  <c r="Q371" i="29" s="1"/>
  <c r="P284" i="28"/>
  <c r="N363" i="28"/>
  <c r="O372" i="28" s="1"/>
  <c r="Q372" i="28" s="1"/>
  <c r="S371" i="28" s="1"/>
  <c r="P260" i="28"/>
  <c r="N179" i="28"/>
  <c r="O188" i="28" s="1"/>
  <c r="Q188" i="28" s="1"/>
  <c r="F11" i="28"/>
  <c r="G11" i="28" s="1"/>
  <c r="P73" i="27"/>
  <c r="N180" i="27"/>
  <c r="O189" i="27" s="1"/>
  <c r="Q189" i="27" s="1"/>
  <c r="S188" i="27" s="1"/>
  <c r="P97" i="27"/>
  <c r="N363" i="27"/>
  <c r="O372" i="27" s="1"/>
  <c r="Q372" i="27" s="1"/>
  <c r="S371" i="27" s="1"/>
  <c r="P284" i="27"/>
  <c r="P260" i="27"/>
  <c r="E224" i="26"/>
  <c r="F224" i="26" s="1"/>
  <c r="G224" i="26" s="1"/>
  <c r="E218" i="26"/>
  <c r="F218" i="26" s="1"/>
  <c r="G218" i="26" s="1"/>
  <c r="E212" i="26"/>
  <c r="F212" i="26" s="1"/>
  <c r="G212" i="26" s="1"/>
  <c r="E219" i="26"/>
  <c r="F219" i="26" s="1"/>
  <c r="G219" i="26" s="1"/>
  <c r="E213" i="26"/>
  <c r="F213" i="26" s="1"/>
  <c r="G213" i="26" s="1"/>
  <c r="E220" i="26"/>
  <c r="F220" i="26" s="1"/>
  <c r="G220" i="26" s="1"/>
  <c r="E214" i="26"/>
  <c r="F214" i="26" s="1"/>
  <c r="G214" i="26" s="1"/>
  <c r="E208" i="26"/>
  <c r="E221" i="26"/>
  <c r="F221" i="26" s="1"/>
  <c r="G221" i="26" s="1"/>
  <c r="E215" i="26"/>
  <c r="F215" i="26" s="1"/>
  <c r="G215" i="26" s="1"/>
  <c r="E209" i="26"/>
  <c r="F209" i="26" s="1"/>
  <c r="G209" i="26" s="1"/>
  <c r="E222" i="26"/>
  <c r="F222" i="26" s="1"/>
  <c r="G222" i="26" s="1"/>
  <c r="E216" i="26"/>
  <c r="F216" i="26" s="1"/>
  <c r="G216" i="26" s="1"/>
  <c r="E210" i="26"/>
  <c r="F210" i="26" s="1"/>
  <c r="G210" i="26" s="1"/>
  <c r="E223" i="26"/>
  <c r="F223" i="26" s="1"/>
  <c r="G223" i="26" s="1"/>
  <c r="E217" i="26"/>
  <c r="F217" i="26" s="1"/>
  <c r="G217" i="26" s="1"/>
  <c r="E211" i="26"/>
  <c r="F211" i="26" s="1"/>
  <c r="G211" i="26" s="1"/>
  <c r="N179" i="26"/>
  <c r="O188" i="26" s="1"/>
  <c r="Q188" i="26" s="1"/>
  <c r="F11" i="26"/>
  <c r="G11" i="26" s="1"/>
  <c r="F208" i="25"/>
  <c r="G208" i="25" s="1"/>
  <c r="N362" i="25" a="1"/>
  <c r="N362" i="25" s="1"/>
  <c r="O371" i="25" s="1"/>
  <c r="Q371" i="25" s="1"/>
  <c r="N179" i="25"/>
  <c r="O188" i="25" s="1"/>
  <c r="Q188" i="25" s="1"/>
  <c r="F11" i="25"/>
  <c r="G11" i="25" s="1"/>
  <c r="O151" i="24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N387" i="9" l="1" a="1"/>
  <c r="U82" i="36"/>
  <c r="P82" i="36"/>
  <c r="V132" i="36"/>
  <c r="P132" i="36"/>
  <c r="U106" i="36"/>
  <c r="P106" i="36"/>
  <c r="F208" i="36"/>
  <c r="G208" i="36" s="1"/>
  <c r="N362" i="36" a="1"/>
  <c r="N362" i="36" s="1"/>
  <c r="O371" i="36" s="1"/>
  <c r="Q371" i="36" s="1"/>
  <c r="P73" i="35"/>
  <c r="N180" i="35"/>
  <c r="O189" i="35" s="1"/>
  <c r="Q189" i="35" s="1"/>
  <c r="S188" i="35" s="1"/>
  <c r="P97" i="35"/>
  <c r="P293" i="35"/>
  <c r="U293" i="35"/>
  <c r="O319" i="35"/>
  <c r="U319" i="35"/>
  <c r="U269" i="35"/>
  <c r="P269" i="35"/>
  <c r="N363" i="34"/>
  <c r="O372" i="34" s="1"/>
  <c r="Q372" i="34" s="1"/>
  <c r="S371" i="34" s="1"/>
  <c r="P284" i="34"/>
  <c r="P260" i="34"/>
  <c r="N180" i="34"/>
  <c r="O189" i="34" s="1"/>
  <c r="Q189" i="34" s="1"/>
  <c r="S188" i="34" s="1"/>
  <c r="P97" i="34"/>
  <c r="P97" i="33"/>
  <c r="N180" i="33"/>
  <c r="O189" i="33" s="1"/>
  <c r="Q189" i="33" s="1"/>
  <c r="S188" i="33" s="1"/>
  <c r="P73" i="33"/>
  <c r="P296" i="33"/>
  <c r="P295" i="33"/>
  <c r="U296" i="33"/>
  <c r="U295" i="33"/>
  <c r="U272" i="33"/>
  <c r="U271" i="33"/>
  <c r="P272" i="33"/>
  <c r="P271" i="33"/>
  <c r="N180" i="32"/>
  <c r="O189" i="32" s="1"/>
  <c r="Q189" i="32" s="1"/>
  <c r="S188" i="32" s="1"/>
  <c r="P97" i="32"/>
  <c r="F208" i="32"/>
  <c r="G208" i="32" s="1"/>
  <c r="N362" i="32" a="1"/>
  <c r="N362" i="32" s="1"/>
  <c r="O371" i="32" s="1"/>
  <c r="Q371" i="32" s="1"/>
  <c r="N363" i="31"/>
  <c r="O372" i="31" s="1"/>
  <c r="Q372" i="31" s="1"/>
  <c r="S371" i="31" s="1"/>
  <c r="P260" i="31"/>
  <c r="P284" i="31"/>
  <c r="N180" i="31"/>
  <c r="O189" i="31" s="1"/>
  <c r="Q189" i="31" s="1"/>
  <c r="S188" i="31" s="1"/>
  <c r="P73" i="31"/>
  <c r="P97" i="31"/>
  <c r="N363" i="30"/>
  <c r="O372" i="30" s="1"/>
  <c r="Q372" i="30" s="1"/>
  <c r="S371" i="30" s="1"/>
  <c r="P284" i="30"/>
  <c r="P260" i="30"/>
  <c r="N180" i="30"/>
  <c r="O189" i="30" s="1"/>
  <c r="Q189" i="30" s="1"/>
  <c r="S188" i="30" s="1"/>
  <c r="P97" i="30"/>
  <c r="P73" i="30"/>
  <c r="N180" i="29"/>
  <c r="O189" i="29" s="1"/>
  <c r="Q189" i="29" s="1"/>
  <c r="S188" i="29" s="1"/>
  <c r="P73" i="29"/>
  <c r="P97" i="29"/>
  <c r="N363" i="29"/>
  <c r="O372" i="29" s="1"/>
  <c r="Q372" i="29" s="1"/>
  <c r="S371" i="29" s="1"/>
  <c r="P260" i="29"/>
  <c r="P284" i="29"/>
  <c r="N180" i="28"/>
  <c r="O189" i="28" s="1"/>
  <c r="Q189" i="28" s="1"/>
  <c r="S188" i="28" s="1"/>
  <c r="P73" i="28"/>
  <c r="P97" i="28"/>
  <c r="P269" i="28"/>
  <c r="U269" i="28"/>
  <c r="P293" i="28"/>
  <c r="U293" i="28"/>
  <c r="U319" i="28"/>
  <c r="O319" i="28"/>
  <c r="U269" i="27"/>
  <c r="P269" i="27"/>
  <c r="U82" i="27"/>
  <c r="P82" i="27"/>
  <c r="V132" i="27"/>
  <c r="P132" i="27"/>
  <c r="U293" i="27"/>
  <c r="P293" i="27"/>
  <c r="U319" i="27"/>
  <c r="O319" i="27"/>
  <c r="U106" i="27"/>
  <c r="P106" i="27"/>
  <c r="N180" i="26"/>
  <c r="O189" i="26" s="1"/>
  <c r="Q189" i="26" s="1"/>
  <c r="P97" i="26"/>
  <c r="P73" i="26"/>
  <c r="F208" i="26"/>
  <c r="G208" i="26" s="1"/>
  <c r="N362" i="26" a="1"/>
  <c r="N362" i="26" s="1"/>
  <c r="O371" i="26" s="1"/>
  <c r="Q371" i="26" s="1"/>
  <c r="S188" i="26"/>
  <c r="N180" i="25"/>
  <c r="O189" i="25" s="1"/>
  <c r="Q189" i="25" s="1"/>
  <c r="S188" i="25" s="1"/>
  <c r="P97" i="25"/>
  <c r="P73" i="25"/>
  <c r="N363" i="25"/>
  <c r="O372" i="25" s="1"/>
  <c r="Q372" i="25" s="1"/>
  <c r="S371" i="25" s="1"/>
  <c r="P260" i="25"/>
  <c r="P284" i="25"/>
  <c r="Q390" i="24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R154" i="24"/>
  <c r="O152" i="24"/>
  <c r="Q153" i="24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N387" i="9" l="1"/>
  <c r="R393" i="9"/>
  <c r="Q388" i="9"/>
  <c r="N390" i="9"/>
  <c r="S393" i="9"/>
  <c r="R388" i="9"/>
  <c r="T389" i="9"/>
  <c r="Q391" i="9"/>
  <c r="T393" i="9"/>
  <c r="U412" i="9" s="1"/>
  <c r="T387" i="9"/>
  <c r="O387" i="9"/>
  <c r="S392" i="9"/>
  <c r="R412" i="9" s="1"/>
  <c r="R387" i="9"/>
  <c r="O389" i="9"/>
  <c r="T392" i="9"/>
  <c r="S387" i="9"/>
  <c r="N389" i="9"/>
  <c r="R390" i="9"/>
  <c r="N393" i="9"/>
  <c r="P389" i="9"/>
  <c r="I412" i="9" s="1"/>
  <c r="S390" i="9"/>
  <c r="S388" i="9"/>
  <c r="T391" i="9"/>
  <c r="Q393" i="9"/>
  <c r="P388" i="9"/>
  <c r="N392" i="9"/>
  <c r="P393" i="9"/>
  <c r="O388" i="9"/>
  <c r="F412" i="9" s="1"/>
  <c r="S389" i="9"/>
  <c r="P391" i="9"/>
  <c r="T390" i="9"/>
  <c r="P392" i="9"/>
  <c r="N391" i="9"/>
  <c r="R392" i="9"/>
  <c r="Q387" i="9"/>
  <c r="O391" i="9"/>
  <c r="Q392" i="9"/>
  <c r="P387" i="9"/>
  <c r="T388" i="9"/>
  <c r="Q390" i="9"/>
  <c r="L412" i="9" s="1"/>
  <c r="Q389" i="9"/>
  <c r="O390" i="9"/>
  <c r="S391" i="9"/>
  <c r="O392" i="9"/>
  <c r="P390" i="9"/>
  <c r="R391" i="9"/>
  <c r="O412" i="9" s="1"/>
  <c r="O393" i="9"/>
  <c r="N388" i="9"/>
  <c r="R389" i="9"/>
  <c r="N363" i="36"/>
  <c r="O372" i="36" s="1"/>
  <c r="Q372" i="36" s="1"/>
  <c r="S371" i="36" s="1"/>
  <c r="P284" i="36"/>
  <c r="U85" i="36"/>
  <c r="U84" i="36"/>
  <c r="P109" i="36"/>
  <c r="P108" i="36"/>
  <c r="U108" i="36"/>
  <c r="U109" i="36"/>
  <c r="P84" i="36"/>
  <c r="P85" i="36"/>
  <c r="U295" i="35"/>
  <c r="U296" i="35"/>
  <c r="P271" i="35"/>
  <c r="P272" i="35"/>
  <c r="U271" i="35"/>
  <c r="U272" i="35"/>
  <c r="U106" i="35"/>
  <c r="P106" i="35"/>
  <c r="P296" i="35"/>
  <c r="P295" i="35"/>
  <c r="P82" i="35"/>
  <c r="U82" i="35"/>
  <c r="V132" i="35"/>
  <c r="P132" i="35"/>
  <c r="U82" i="34"/>
  <c r="P82" i="34"/>
  <c r="V132" i="34"/>
  <c r="P132" i="34"/>
  <c r="U269" i="34"/>
  <c r="P269" i="34"/>
  <c r="P293" i="34"/>
  <c r="U319" i="34"/>
  <c r="U293" i="34"/>
  <c r="O319" i="34"/>
  <c r="P106" i="34"/>
  <c r="U106" i="34"/>
  <c r="P82" i="33"/>
  <c r="U82" i="33"/>
  <c r="V132" i="33"/>
  <c r="P132" i="33"/>
  <c r="P106" i="33"/>
  <c r="U106" i="33"/>
  <c r="N363" i="32"/>
  <c r="O372" i="32" s="1"/>
  <c r="Q372" i="32" s="1"/>
  <c r="S371" i="32" s="1"/>
  <c r="P284" i="32"/>
  <c r="P260" i="32"/>
  <c r="P82" i="32"/>
  <c r="U82" i="32"/>
  <c r="V132" i="32"/>
  <c r="P132" i="32"/>
  <c r="P106" i="32"/>
  <c r="U106" i="32"/>
  <c r="U293" i="31"/>
  <c r="P293" i="31"/>
  <c r="U319" i="31"/>
  <c r="O319" i="31"/>
  <c r="U82" i="31"/>
  <c r="P82" i="31"/>
  <c r="V132" i="31"/>
  <c r="P132" i="31"/>
  <c r="P269" i="31"/>
  <c r="U269" i="31"/>
  <c r="U106" i="31"/>
  <c r="P106" i="31"/>
  <c r="P106" i="30"/>
  <c r="U106" i="30"/>
  <c r="U269" i="30"/>
  <c r="P269" i="30"/>
  <c r="P293" i="30"/>
  <c r="U293" i="30"/>
  <c r="U319" i="30"/>
  <c r="O319" i="30"/>
  <c r="P82" i="30"/>
  <c r="U82" i="30"/>
  <c r="V132" i="30"/>
  <c r="P132" i="30"/>
  <c r="U106" i="29"/>
  <c r="P106" i="29"/>
  <c r="P293" i="29"/>
  <c r="U293" i="29"/>
  <c r="U319" i="29"/>
  <c r="O319" i="29"/>
  <c r="P82" i="29"/>
  <c r="U82" i="29"/>
  <c r="V132" i="29"/>
  <c r="P132" i="29"/>
  <c r="U269" i="29"/>
  <c r="P269" i="29"/>
  <c r="P271" i="28"/>
  <c r="P272" i="28"/>
  <c r="P106" i="28"/>
  <c r="U106" i="28"/>
  <c r="U271" i="28"/>
  <c r="U272" i="28"/>
  <c r="U295" i="28"/>
  <c r="U296" i="28"/>
  <c r="U82" i="28"/>
  <c r="P82" i="28"/>
  <c r="V132" i="28"/>
  <c r="P132" i="28"/>
  <c r="P296" i="28"/>
  <c r="P295" i="28"/>
  <c r="P84" i="27"/>
  <c r="P85" i="27"/>
  <c r="U85" i="27"/>
  <c r="U84" i="27"/>
  <c r="P296" i="27"/>
  <c r="P295" i="27"/>
  <c r="P272" i="27"/>
  <c r="P271" i="27"/>
  <c r="U296" i="27"/>
  <c r="U295" i="27"/>
  <c r="U272" i="27"/>
  <c r="U271" i="27"/>
  <c r="P109" i="27"/>
  <c r="P108" i="27"/>
  <c r="U108" i="27"/>
  <c r="U109" i="27"/>
  <c r="N363" i="26"/>
  <c r="O372" i="26" s="1"/>
  <c r="Q372" i="26" s="1"/>
  <c r="S371" i="26" s="1"/>
  <c r="P260" i="26"/>
  <c r="P284" i="26"/>
  <c r="P82" i="26"/>
  <c r="U82" i="26"/>
  <c r="V132" i="26"/>
  <c r="P132" i="26"/>
  <c r="P106" i="26"/>
  <c r="U106" i="26"/>
  <c r="P82" i="25"/>
  <c r="U82" i="25"/>
  <c r="V132" i="25"/>
  <c r="P132" i="25"/>
  <c r="U293" i="25"/>
  <c r="P293" i="25"/>
  <c r="U319" i="25"/>
  <c r="O319" i="25"/>
  <c r="P106" i="25"/>
  <c r="U106" i="25"/>
  <c r="U269" i="25"/>
  <c r="P269" i="25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H127" i="23"/>
  <c r="I127" i="23" s="1"/>
  <c r="H29" i="23"/>
  <c r="I29" i="23" s="1"/>
  <c r="K262" i="23"/>
  <c r="K292" i="23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C412" i="9" l="1"/>
  <c r="C378" i="9" a="1"/>
  <c r="U269" i="36"/>
  <c r="U272" i="36" s="1"/>
  <c r="P269" i="36"/>
  <c r="U293" i="36"/>
  <c r="P293" i="36"/>
  <c r="U319" i="36"/>
  <c r="O319" i="36"/>
  <c r="U85" i="35"/>
  <c r="U84" i="35"/>
  <c r="P85" i="35"/>
  <c r="P84" i="35"/>
  <c r="P109" i="35"/>
  <c r="P108" i="35"/>
  <c r="U108" i="35"/>
  <c r="U109" i="35"/>
  <c r="U109" i="34"/>
  <c r="U108" i="34"/>
  <c r="P272" i="34"/>
  <c r="P271" i="34"/>
  <c r="P109" i="34"/>
  <c r="P108" i="34"/>
  <c r="U272" i="34"/>
  <c r="U271" i="34"/>
  <c r="U296" i="34"/>
  <c r="U295" i="34"/>
  <c r="P84" i="34"/>
  <c r="P85" i="34"/>
  <c r="P296" i="34"/>
  <c r="P295" i="34"/>
  <c r="U84" i="34"/>
  <c r="U85" i="34"/>
  <c r="U108" i="33"/>
  <c r="U109" i="33"/>
  <c r="P109" i="33"/>
  <c r="P108" i="33"/>
  <c r="U85" i="33"/>
  <c r="U84" i="33"/>
  <c r="P84" i="33"/>
  <c r="P85" i="33"/>
  <c r="P84" i="32"/>
  <c r="P85" i="32"/>
  <c r="U84" i="32"/>
  <c r="U85" i="32"/>
  <c r="U108" i="32"/>
  <c r="U109" i="32"/>
  <c r="U269" i="32"/>
  <c r="P269" i="32"/>
  <c r="P108" i="32"/>
  <c r="P109" i="32"/>
  <c r="P293" i="32"/>
  <c r="U293" i="32"/>
  <c r="U319" i="32"/>
  <c r="O319" i="32"/>
  <c r="P108" i="31"/>
  <c r="P109" i="31"/>
  <c r="U108" i="31"/>
  <c r="U109" i="31"/>
  <c r="U272" i="31"/>
  <c r="U271" i="31"/>
  <c r="P85" i="31"/>
  <c r="P84" i="31"/>
  <c r="U85" i="31"/>
  <c r="U84" i="31"/>
  <c r="P272" i="31"/>
  <c r="P271" i="31"/>
  <c r="P295" i="31"/>
  <c r="P296" i="31"/>
  <c r="U296" i="31"/>
  <c r="U295" i="31"/>
  <c r="U296" i="30"/>
  <c r="U295" i="30"/>
  <c r="P296" i="30"/>
  <c r="P295" i="30"/>
  <c r="U85" i="30"/>
  <c r="U84" i="30"/>
  <c r="P272" i="30"/>
  <c r="P271" i="30"/>
  <c r="P85" i="30"/>
  <c r="P84" i="30"/>
  <c r="U272" i="30"/>
  <c r="U271" i="30"/>
  <c r="U108" i="30"/>
  <c r="U109" i="30"/>
  <c r="P109" i="30"/>
  <c r="P108" i="30"/>
  <c r="P271" i="29"/>
  <c r="P272" i="29"/>
  <c r="U271" i="29"/>
  <c r="U272" i="29"/>
  <c r="U296" i="29"/>
  <c r="U295" i="29"/>
  <c r="U85" i="29"/>
  <c r="U84" i="29"/>
  <c r="P108" i="29"/>
  <c r="P109" i="29"/>
  <c r="P296" i="29"/>
  <c r="P295" i="29"/>
  <c r="P84" i="29"/>
  <c r="P85" i="29"/>
  <c r="U109" i="29"/>
  <c r="U108" i="29"/>
  <c r="P85" i="28"/>
  <c r="P84" i="28"/>
  <c r="U109" i="28"/>
  <c r="U108" i="28"/>
  <c r="P109" i="28"/>
  <c r="P108" i="28"/>
  <c r="U84" i="28"/>
  <c r="U85" i="28"/>
  <c r="U84" i="26"/>
  <c r="U85" i="26"/>
  <c r="P85" i="26"/>
  <c r="P84" i="26"/>
  <c r="U109" i="26"/>
  <c r="U108" i="26"/>
  <c r="P293" i="26"/>
  <c r="U293" i="26"/>
  <c r="U319" i="26"/>
  <c r="O319" i="26"/>
  <c r="P108" i="26"/>
  <c r="P109" i="26"/>
  <c r="U269" i="26"/>
  <c r="P269" i="26"/>
  <c r="U272" i="25"/>
  <c r="U271" i="25"/>
  <c r="U296" i="25"/>
  <c r="U295" i="25"/>
  <c r="U108" i="25"/>
  <c r="U109" i="25"/>
  <c r="P295" i="25"/>
  <c r="P296" i="25"/>
  <c r="P108" i="25"/>
  <c r="P109" i="25"/>
  <c r="P272" i="25"/>
  <c r="P271" i="25"/>
  <c r="U85" i="25"/>
  <c r="U84" i="25"/>
  <c r="P85" i="25"/>
  <c r="P84" i="25"/>
  <c r="C381" i="24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C378" i="9" l="1"/>
  <c r="C384" i="9"/>
  <c r="U410" i="9" s="1"/>
  <c r="C379" i="9"/>
  <c r="C382" i="9"/>
  <c r="O410" i="9" s="1"/>
  <c r="C383" i="9"/>
  <c r="R410" i="9" s="1"/>
  <c r="C380" i="9"/>
  <c r="I410" i="9" s="1"/>
  <c r="C381" i="9"/>
  <c r="L410" i="9" s="1"/>
  <c r="P272" i="36"/>
  <c r="P271" i="36"/>
  <c r="U271" i="36"/>
  <c r="P296" i="36"/>
  <c r="P295" i="36"/>
  <c r="U296" i="36"/>
  <c r="U295" i="36"/>
  <c r="U296" i="32"/>
  <c r="U295" i="32"/>
  <c r="P295" i="32"/>
  <c r="P296" i="32"/>
  <c r="P272" i="32"/>
  <c r="P271" i="32"/>
  <c r="U271" i="32"/>
  <c r="U272" i="32"/>
  <c r="P272" i="26"/>
  <c r="P271" i="26"/>
  <c r="U295" i="26"/>
  <c r="U296" i="26"/>
  <c r="U272" i="26"/>
  <c r="U271" i="26"/>
  <c r="P296" i="26"/>
  <c r="P295" i="26"/>
  <c r="J179" i="24"/>
  <c r="K214" i="24"/>
  <c r="K194" i="24"/>
  <c r="G179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K262" i="24"/>
  <c r="J410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C160" i="22"/>
  <c r="F410" i="22"/>
  <c r="K523" i="22"/>
  <c r="K445" i="22"/>
  <c r="K425" i="22"/>
  <c r="K493" i="22"/>
  <c r="F410" i="9" l="1"/>
  <c r="K493" i="9"/>
  <c r="K523" i="9"/>
  <c r="K445" i="9"/>
  <c r="E552" i="9"/>
  <c r="E551" i="9"/>
  <c r="K425" i="9"/>
  <c r="J355" i="9"/>
  <c r="K355" i="9" s="1"/>
  <c r="L355" i="9" s="1"/>
  <c r="J348" i="9"/>
  <c r="K348" i="9" s="1"/>
  <c r="L348" i="9" s="1"/>
  <c r="J349" i="9"/>
  <c r="K349" i="9" s="1"/>
  <c r="L349" i="9" s="1"/>
  <c r="J356" i="9"/>
  <c r="K356" i="9" s="1"/>
  <c r="L356" i="9" s="1"/>
  <c r="J360" i="9"/>
  <c r="K360" i="9" s="1"/>
  <c r="L360" i="9" s="1"/>
  <c r="J351" i="9"/>
  <c r="K351" i="9" s="1"/>
  <c r="L351" i="9" s="1"/>
  <c r="J362" i="9"/>
  <c r="K362" i="9" s="1"/>
  <c r="L362" i="9" s="1"/>
  <c r="J359" i="9"/>
  <c r="K359" i="9" s="1"/>
  <c r="L359" i="9" s="1"/>
  <c r="J350" i="9"/>
  <c r="K350" i="9" s="1"/>
  <c r="L350" i="9" s="1"/>
  <c r="J354" i="9"/>
  <c r="K354" i="9" s="1"/>
  <c r="L354" i="9" s="1"/>
  <c r="J361" i="9"/>
  <c r="K361" i="9" s="1"/>
  <c r="L361" i="9" s="1"/>
  <c r="C410" i="9"/>
  <c r="J352" i="9"/>
  <c r="K352" i="9" s="1"/>
  <c r="L352" i="9" s="1"/>
  <c r="J353" i="9"/>
  <c r="K353" i="9" s="1"/>
  <c r="L353" i="9" s="1"/>
  <c r="J357" i="9"/>
  <c r="K357" i="9" s="1"/>
  <c r="L357" i="9" s="1"/>
  <c r="J346" i="9"/>
  <c r="K346" i="9" s="1"/>
  <c r="L346" i="9" s="1"/>
  <c r="J358" i="9"/>
  <c r="K358" i="9" s="1"/>
  <c r="L358" i="9" s="1"/>
  <c r="J347" i="9"/>
  <c r="K347" i="9" s="1"/>
  <c r="L347" i="9" s="1"/>
  <c r="C160" i="24"/>
  <c r="C392" i="24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G410" i="23"/>
  <c r="D320" i="23"/>
  <c r="J246" i="23"/>
  <c r="J199" i="23"/>
  <c r="G246" i="23"/>
  <c r="P199" i="23"/>
  <c r="P246" i="23"/>
  <c r="M246" i="23"/>
  <c r="M199" i="23"/>
  <c r="C392" i="22"/>
  <c r="F180" i="22"/>
  <c r="F183" i="22" s="1"/>
  <c r="D321" i="22"/>
  <c r="F321" i="22" s="1"/>
  <c r="U180" i="22"/>
  <c r="U183" i="22" s="1"/>
  <c r="C180" i="22"/>
  <c r="C183" i="22" s="1"/>
  <c r="O180" i="22"/>
  <c r="O183" i="22" s="1"/>
  <c r="C167" i="22"/>
  <c r="R180" i="22"/>
  <c r="R183" i="22" s="1"/>
  <c r="L180" i="22"/>
  <c r="L183" i="22" s="1"/>
  <c r="I180" i="22"/>
  <c r="I183" i="22" s="1"/>
  <c r="C164" i="22"/>
  <c r="C392" i="9" l="1"/>
  <c r="P411" i="24"/>
  <c r="P414" i="24" s="1"/>
  <c r="M411" i="24"/>
  <c r="M414" i="24" s="1"/>
  <c r="G411" i="24"/>
  <c r="G414" i="24" s="1"/>
  <c r="J411" i="24"/>
  <c r="J414" i="24" s="1"/>
  <c r="D552" i="24"/>
  <c r="F552" i="24" s="1"/>
  <c r="C396" i="24"/>
  <c r="C398" i="24" s="1"/>
  <c r="M180" i="24"/>
  <c r="M183" i="24" s="1"/>
  <c r="J183" i="24"/>
  <c r="P180" i="24"/>
  <c r="P183" i="24" s="1"/>
  <c r="D321" i="24"/>
  <c r="F321" i="24" s="1"/>
  <c r="G183" i="24"/>
  <c r="C167" i="24"/>
  <c r="C164" i="24"/>
  <c r="C392" i="23"/>
  <c r="J411" i="23" s="1"/>
  <c r="J414" i="23" s="1"/>
  <c r="F320" i="23"/>
  <c r="H320" i="23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C414" i="9" l="1"/>
  <c r="L411" i="9"/>
  <c r="L414" i="9" s="1"/>
  <c r="R411" i="9"/>
  <c r="R414" i="9" s="1"/>
  <c r="D552" i="9"/>
  <c r="F552" i="9" s="1"/>
  <c r="O411" i="9"/>
  <c r="O414" i="9" s="1"/>
  <c r="U411" i="9"/>
  <c r="U414" i="9" s="1"/>
  <c r="I411" i="9"/>
  <c r="I414" i="9" s="1"/>
  <c r="C396" i="9"/>
  <c r="F411" i="9"/>
  <c r="F414" i="9" s="1"/>
  <c r="C399" i="9"/>
  <c r="G199" i="24"/>
  <c r="G220" i="24"/>
  <c r="G200" i="24"/>
  <c r="G221" i="24"/>
  <c r="G246" i="24"/>
  <c r="P477" i="24"/>
  <c r="P452" i="24"/>
  <c r="P432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D551" i="24"/>
  <c r="M411" i="23"/>
  <c r="M414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F320" i="22"/>
  <c r="H320" i="22" s="1"/>
  <c r="O477" i="9" l="1"/>
  <c r="O451" i="9"/>
  <c r="O432" i="9"/>
  <c r="O431" i="9"/>
  <c r="O452" i="9"/>
  <c r="U431" i="9"/>
  <c r="U477" i="9"/>
  <c r="U452" i="9"/>
  <c r="U451" i="9"/>
  <c r="U432" i="9"/>
  <c r="F431" i="9"/>
  <c r="F452" i="9"/>
  <c r="F432" i="9"/>
  <c r="F477" i="9"/>
  <c r="F451" i="9"/>
  <c r="D551" i="9"/>
  <c r="C398" i="9"/>
  <c r="L451" i="9"/>
  <c r="L432" i="9"/>
  <c r="L452" i="9"/>
  <c r="L431" i="9"/>
  <c r="L477" i="9"/>
  <c r="R432" i="9"/>
  <c r="R431" i="9"/>
  <c r="R477" i="9"/>
  <c r="R452" i="9"/>
  <c r="R451" i="9"/>
  <c r="I452" i="9"/>
  <c r="I451" i="9"/>
  <c r="I431" i="9"/>
  <c r="I432" i="9"/>
  <c r="I477" i="9"/>
  <c r="C432" i="9"/>
  <c r="C452" i="9"/>
  <c r="C431" i="9"/>
  <c r="C451" i="9"/>
  <c r="C477" i="9"/>
  <c r="F551" i="24"/>
  <c r="H551" i="24" s="1"/>
  <c r="F320" i="24"/>
  <c r="H320" i="24" s="1"/>
  <c r="G477" i="23"/>
  <c r="M451" i="23"/>
  <c r="M452" i="23"/>
  <c r="M432" i="23"/>
  <c r="F551" i="23"/>
  <c r="H551" i="23" s="1"/>
  <c r="F551" i="22"/>
  <c r="H551" i="22" s="1"/>
  <c r="F551" i="9" l="1"/>
  <c r="H551" i="9" s="1"/>
  <c r="U159" i="9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F179" i="9" l="1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<sst xmlns="http://schemas.openxmlformats.org/spreadsheetml/2006/main" count="3960" uniqueCount="116">
  <si>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</si>
  <si>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</si>
  <si>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</si>
  <si>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</si>
  <si>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</si>
  <si>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</si>
  <si>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</si>
  <si>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</si>
  <si>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</si>
  <si>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</si>
  <si>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</si>
  <si>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</si>
  <si>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</si>
  <si>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</si>
  <si>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</si>
  <si>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</si>
  <si>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</si>
  <si>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</si>
  <si>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</si>
  <si>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</si>
  <si>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</si>
  <si>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</si>
  <si>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</si>
  <si>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</si>
  <si>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</si>
  <si>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</si>
  <si>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</si>
  <si>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</si>
  <si>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</si>
  <si>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</si>
  <si>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</si>
  <si>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</si>
  <si>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</si>
  <si>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</si>
  <si>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</si>
  <si>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</si>
  <si>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</si>
  <si>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</si>
  <si>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</si>
  <si>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</si>
  <si>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</si>
  <si>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</si>
  <si>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</si>
  <si>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</si>
  <si>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</si>
  <si>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</si>
  <si>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</si>
  <si>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</si>
  <si>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</si>
  <si>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</si>
  <si>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</si>
  <si>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</si>
  <si>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</si>
  <si>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</si>
  <si>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</si>
  <si>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</si>
  <si>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</si>
  <si>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</si>
  <si>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</si>
  <si>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</si>
  <si>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</si>
  <si>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</si>
  <si>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</si>
  <si>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</si>
  <si>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</si>
  <si>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</si>
  <si>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</si>
  <si>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</si>
  <si>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</si>
  <si>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</si>
  <si>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</si>
  <si>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</si>
  <si>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</si>
  <si>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</si>
  <si>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</si>
  <si>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</si>
  <si>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</si>
  <si>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</si>
  <si>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</si>
  <si>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</si>
  <si>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</si>
  <si>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</si>
  <si>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</si>
  <si>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</si>
  <si>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</si>
  <si>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</si>
  <si>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</si>
  <si>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</si>
  <si>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</si>
  <si>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</si>
  <si>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</si>
  <si>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</si>
  <si>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</si>
  <si>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</si>
  <si>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</si>
  <si>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</si>
  <si>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</si>
  <si>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</si>
  <si>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</si>
  <si>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</si>
  <si>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</si>
  <si>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</si>
  <si>
    <t>f(0,01;1;118)=</t>
  </si>
  <si>
    <t>f(0,05;1;118)=</t>
  </si>
  <si>
    <t>f(0,01;1;15)=</t>
  </si>
  <si>
    <t>f(0,05;1;15)=</t>
  </si>
  <si>
    <t>Relationship between Y1 and X6 - Simple Linear Regression</t>
  </si>
  <si>
    <t>f(0,01;6;10)=</t>
  </si>
  <si>
    <t>f(0,05;6;10)=</t>
  </si>
  <si>
    <t>f(0,01;6;113)=</t>
  </si>
  <si>
    <t>f(0,05;6;113)=</t>
  </si>
  <si>
    <t>f(0,01;3;13)=</t>
  </si>
  <si>
    <t>f(0,05;3;13)=</t>
  </si>
  <si>
    <t>f(0,05;3;116)=</t>
  </si>
  <si>
    <t>f(0,01;3;116)=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</si>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</sst>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4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0" fillId="0" borderId="2" xfId="0" applyBorder="1"/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left"/>
    </xf>
    <xf numFmtId="0" fontId="0" fillId="0" borderId="0" xfId="0" applyFill="1"/>
    <xf numFmtId="0" fontId="1" fillId="3" borderId="0" xfId="0" applyFont="1" applyFill="1"/>
    <xf numFmtId="0" fontId="13" fillId="3" borderId="0" xfId="0" applyFont="1" applyFill="1" applyBorder="1"/>
    <xf numFmtId="0" fontId="0" fillId="0" borderId="2" xfId="0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0" fillId="5" borderId="0" xfId="0" applyFill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6-406C-AEC5-F2BB31A5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6F2-BF47-873F4BD5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EF8-B78D-5FCBA64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7-452C-97D9-CDD0D74C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A0-8E9A-6150A1B7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C-45D3-BA9C-A5EA92F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1-4F33-965B-5699DF6D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3-4DF0-B5D8-0C2C2CFB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1-47C0-A932-F7C02CE3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1-44B0-85A4-E25DF35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E-460D-87F6-3BC64E0F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7-414A-B690-5785F824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6-429A-9C07-DAD56698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4152-B305-9B64278D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2-4D0C-B06D-375B524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5-48F3-90E5-B8EC230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3-40A9-983E-1EA6FF65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8-48D6-9FFE-C56C7AE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4-4B2D-B5C9-4C778249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A-44CC-A830-D23E5C60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1-4A43-BA6C-DAEE9F3D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A-4F53-B56A-7731ED09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D-48A3-8A70-917BD51D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A-4D0A-91FC-E4E1E319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AC7BA-4402-4A89-BE37-D67F2CFD8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CE1E8D-D56A-4BB0-8582-F1F716246506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934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=3422,6644 −2824,5343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̂𝑥=3422,6644 −2824,5343𝑥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E741C34-0659-4B97-9CF4-5ADDA7D733B3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9EB2BAF-B3EB-451D-A51A-80485DFB705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slop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D090B0-8A2F-40FE-8BDD-8291D3EFBFB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B12920A-4185-4000-94EC-F52AB9BEB9D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A8A0F3F-5DE2-461E-81CB-9BBCBA3F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873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=24651,5887 −2945,0519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̂𝑥=24651,5887 −2945,0519𝑥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350990C-85B1-4F59-8097-188DBCF09DC7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AA41E2-1FDC-46B3-B259-EA705A3E537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C0E23C-6261-45DF-A526-6C10A870110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4306F07-F205-45E1-AC02-5B36F19C678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60782B2-49FC-46CE-B3A6-FDBDCE7EB551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526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FEA-453B-42DA-AF3E-4AA2B33FF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16C0D7-9AA4-4BB5-8933-A9AC893A713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=−147,4516+4,3399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̂𝑥=−147,4516+4,3399𝑥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8A6D247-9764-451B-B934-E30CA9FB9803}"/>
            </a:ext>
          </a:extLst>
        </xdr:cNvPr>
        <xdr:cNvSpPr txBox="1"/>
      </xdr:nvSpPr>
      <xdr:spPr>
        <a:xfrm>
          <a:off x="149828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A9A593-E739-4E58-9D55-D2CE74C1CD09}"/>
            </a:ext>
          </a:extLst>
        </xdr:cNvPr>
        <xdr:cNvSpPr txBox="1"/>
      </xdr:nvSpPr>
      <xdr:spPr>
        <a:xfrm>
          <a:off x="148304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40C18C4-416A-49F5-B99A-936E7D138D07}"/>
            </a:ext>
          </a:extLst>
        </xdr:cNvPr>
        <xdr:cNvSpPr txBox="1"/>
      </xdr:nvSpPr>
      <xdr:spPr>
        <a:xfrm>
          <a:off x="149828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0EAB4EB-4306-4971-9B3F-9C44F13BF31A}"/>
            </a:ext>
          </a:extLst>
        </xdr:cNvPr>
        <xdr:cNvSpPr txBox="1"/>
      </xdr:nvSpPr>
      <xdr:spPr>
        <a:xfrm>
          <a:off x="148304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the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A385673-B23D-4E6A-90D0-8082BA405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2576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=−1126,6512+4,3770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̂𝑥=−1126,6512+4,3770𝑥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681D4B-EA32-42EB-A95D-AF7F578BD0C6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6F68F-A60F-43F4-BE4C-0B10FEE5A62C}"/>
            </a:ext>
          </a:extLst>
        </xdr:cNvPr>
        <xdr:cNvSpPr txBox="1"/>
      </xdr:nvSpPr>
      <xdr:spPr>
        <a:xfrm>
          <a:off x="151325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509CFCC-1BAD-4D66-8E9B-F05F05A9DEEF}"/>
            </a:ext>
          </a:extLst>
        </xdr:cNvPr>
        <xdr:cNvSpPr txBox="1"/>
      </xdr:nvSpPr>
      <xdr:spPr>
        <a:xfrm>
          <a:off x="148304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AFD038A-8A0C-404A-B01D-260CBA9FAA65}"/>
            </a:ext>
          </a:extLst>
        </xdr:cNvPr>
        <xdr:cNvSpPr txBox="1"/>
      </xdr:nvSpPr>
      <xdr:spPr>
        <a:xfrm>
          <a:off x="150780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2F78668-9532-4523-8462-67AFE96452BC}"/>
            </a:ext>
          </a:extLst>
        </xdr:cNvPr>
        <xdr:cNvSpPr txBox="1"/>
      </xdr:nvSpPr>
      <xdr:spPr>
        <a:xfrm>
          <a:off x="148304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340179</xdr:colOff>
      <xdr:row>196</xdr:row>
      <xdr:rowOff>138792</xdr:rowOff>
    </xdr:from>
    <xdr:ext cx="416803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476250</xdr:colOff>
      <xdr:row>380</xdr:row>
      <xdr:rowOff>136071</xdr:rowOff>
    </xdr:from>
    <xdr:ext cx="411535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258535</xdr:colOff>
      <xdr:row>380</xdr:row>
      <xdr:rowOff>136071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CED116-2F17-4AEC-8AA8-DD75B445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BEAA41D-CCE4-4506-BB8A-CDBFF0CCB68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=15,1080+0,6896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̂𝑥=15,1080+0,6896𝑥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10C895A-775A-429F-8CA7-54406385A68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1E7D38-49EB-448B-9907-D2EF0F5ACECF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7CDA3A-30A5-44B2-B8AC-01169494F3B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7C4BEA0-3051-4907-AF5D-38F6B62A1CA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1DE9E03-7623-44D2-9AE9-B3059331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59346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=1,4858+0,6980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̂𝑥=1,4858+0,6980𝑥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C7D068CE-DB3E-42AF-A1E5-F1DE6EA545E3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44AEB11-5385-469B-BD4D-18B8D1988273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8D590E0-23A3-41E8-AFD1-B8B83BA614C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889A701A-8DDF-4C82-BCB7-74D874BCB8D0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16C2DEA-5699-4C22-9BDD-FBFB4DAE231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15036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19647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17954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A673F1-9384-45CA-9BC8-3B4E22A1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FB00BB1-C97C-45A5-ABF3-F451506B23C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=885,9702+0,0049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̂𝑥=885,9702+0,0049𝑥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9D8F71E9-C369-4E1F-8E1C-AA55E7330440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3C41F3A-43A5-49AD-906D-6E42BE1D2913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2E5941-1B27-4BD6-B2E5-8ACF152F2F7A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6C52FFA-CD32-4D3E-AE1D-57BED4DE6AB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FFF28F8-F104-49AC-8D1C-4E560F1F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=7346,5605+0,0007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̂𝑥=7346,5605+0,0007𝑥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57760D0-DCC1-4E71-BC39-79E93DC67DA5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EBD5E7-97AF-4EC1-8ABF-3C957DA2E35B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1400962-46E3-44A1-8F3E-2B612F8DE7FF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831B246-A40E-408C-8E97-D7E90C630667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DF120E2-F66C-4E3D-9A25-273CA82B2C4F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</m:oMath>
              </a14:m>
              <a:r>
                <a:rPr lang="pt-PT" sz="1200"/>
                <a:t>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200"/>
                <a:t>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8C2194-69AB-43D0-8981-18375B747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681772E-0124-49A7-A398-FA3C6ACEE5C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=−37,0594+30986,2874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̂𝑥=−37,0594+30986,2874𝑥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966ED8A-BA31-49E5-A20C-F174707E5DF4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C21927BE-2845-4EE2-BE0D-7630FC3DE3DC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4D19744-250A-4024-AB21-7C1596950847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6B72A9C-BFA9-4B98-8AC8-9325111907CD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6C32A3A-0EB2-48B7-87D7-C0D128DB9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=−335,9649+31261,7421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̂𝑥=−335,9649+31261,7421𝑥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4F3E082-B4AF-4011-8527-B00EDA6454C4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C4C4560-5C00-4221-981C-31B48D1F589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B8F1B92-1DA3-4CB4-8DB5-351B4399690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C1300-162A-4991-8071-367240446C58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56405040-2F3B-4367-93C9-23134E6B0527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09317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E9F69E-E18E-441E-90E9-5A0F3C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786BE28-0CBA-4358-B747-F85390C831F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=2031,5054 −0,0014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̂𝑥=2031,5054 −0,0014𝑥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9438695-1BDD-4E07-AE90-EAE177FEB25C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A8BD8FEF-4FE8-44A7-ACC2-D824D0796A1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222F0F7-C2E6-4240-98CB-5BFE559E413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C583B68-88DB-40D7-8BBF-CF52CC114DC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60E9617-5A00-4730-BB17-4377E0D8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=14503,4806 −0,0015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̂𝑥=14503,4806 −0,0015𝑥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5219B01-4748-4038-984A-7877C2746FE0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397A4027-483D-4C29-8F2D-6B865F80B42E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3C83DDD-B714-403D-9C2B-D7D27DB2FED5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97328ED0-BBC5-4449-BB7A-BB5607993E2E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77DFED5-6013-459E-860A-9050F45224A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b="0" i="0"/>
                      <m:t>d</m:t>
                    </m:r>
                    <m:r>
                      <m:rPr>
                        <m:nor/>
                      </m:rPr>
                      <a:rPr lang="pt-PT"/>
                      <m:t>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b="0" i="0">
                  <a:latin typeface="Cambria Math" panose="02040503050406030204" pitchFamily="18" charset="0"/>
                </a:rPr>
                <a:t>d</a:t>
              </a:r>
              <a:r>
                <a:rPr lang="pt-PT" i="0">
                  <a:latin typeface="Cambria Math" panose="02040503050406030204" pitchFamily="18" charset="0"/>
                </a:rPr>
                <a:t>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3410A2-BD92-4D59-860E-4AA64D7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DDCCC22-7264-4675-82F0-B0C2C0462C2C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=183,3855 −174,8259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̂𝑥=183,3855 −174,8259𝑥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CA16C35B-B552-490A-B2D5-F381B7AEADC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DB883D3-3098-4BBA-A4AD-0AC2FA145D25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15D05C10-E3B4-44F3-8D47-B239425D95FC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FB5BC2-1366-4847-B89A-23EDF617DAB1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BC509A7-15F9-49E4-98D8-7D0BF53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995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=1321,5081 −181,5521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̂𝑥=1321,5081 −181,5521𝑥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DD53B34-1995-43C9-B37B-A18F876D763A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BE7E908-44A5-4EB8-865B-7E2603637B30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945957-5C96-4575-B8DB-6957747037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45444-A2FF-4E73-9101-A70641EB7C6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3285050-0FF4-46DE-9E65-72AFF692FBF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CB979D-3005-41BC-BCBE-008C2442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977A38-C186-4859-B2FC-C8EA5EC31E53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=−23,9142+0,2199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̂𝑥=−23,9142+0,2199𝑥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866BD5-7AFD-43B6-97FE-1400E5B5A302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3033DB-BCE5-4F18-874D-A100C7925707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02EA509-8ECA-45B4-A87C-326B1DFC280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F5680B4-CBEF-4B9E-91B2-C6CAFCE71D7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D991133-7B92-4D88-80FA-3C9AEB2B1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=−169,2548+0,2204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̂𝑥=−169,2548+0,2204𝑥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4BA6EE6-76E5-41E7-B535-7EE02CFD6AC8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1F9C3B13-0E64-44A0-8132-7D743A56A3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6C6762C6-1A89-423C-9060-4CB80C529B51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F28B0A58-1792-441F-A57E-865BDE0C083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87E27E-B21F-41E6-AD64-099B6D84983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6FC554-0E4F-4E01-8145-CA8EAD0A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DE63760-3080-4308-BE2C-FD7E881FAE6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=−13,6278+0,0336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̂𝑥=−13,6278+0,0336𝑥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E9FAF6C-F3C9-47ED-B5D0-F6043BE6637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F022468-4F80-470B-A66F-B40FCFEEA0F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3CEB6E19-89F4-410A-ACDB-A8E6DFFDF20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E0E31811-B007-4AF5-B943-3B7E2A5E0AD0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C2F385-CE04-404E-BD2D-371CD889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=−96,4140+0,0337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̂𝑥=−96,4140+0,0337𝑥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4E86971-3485-47B4-9083-01D472C376FB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BBA698FE-D62B-4FF8-9B70-AD9CBF311D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BC3126A-7482-4662-9876-79C990DC16CE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2A8BFF7-AEEE-47B3-BDA5-E713C700EFC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42F4669-9682-4778-8151-EDCC475A69C8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18C54-E617-4AE2-A331-EBB63F69C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769683-5B02-4E1C-88D5-98A7EB38FDFE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=44,6287 −0,0001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̂𝑥=44,6287 −0,0001𝑥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666DCBD-C64C-4DF4-86E0-DE873F2EE44F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5CEC820-C0AD-47A3-A19F-4D6D8C941D8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E29B4AB-37FD-4447-B322-3D3F835F81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039AA80-2B8E-4C3C-AF44-66EBF1B6E41F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E41722A-C574-4B22-9114-B23DB761F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=423,3908 −0,0005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̂𝑥=423,3908 −0,0005𝑥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68A5F90-15F8-4BD5-A585-CBC3FD205A0C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892C1975-F533-40E2-B4D1-DCB69C07EF0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7B59B5E-EE34-4FF0-8C90-09B93549522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AA0DFE34-71B9-415E-8577-567E5E2CE27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BAF16C8-1430-4362-8646-5BE61680D3B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22788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D7188-1032-4EFF-AF84-27ACB050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5B6E27-8874-4F24-B901-9F46B22C52B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=−13,0097+1421,8882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̂𝑥=−13,0097+1421,8882𝑥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90903E-D685-4920-90B7-CD2BF41681A1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1419FD5-0047-4EDA-9D63-3DB1D9506860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D511B29-9487-49ED-BE33-3637F3D6F3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83009D6-2217-423A-93C8-58848F7519F5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9977370-0B8C-47E9-A6A1-EAC0D650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=−93,1439+1430,3773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̂𝑥=−93,1439+1430,3773𝑥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D0A2687-E286-42D1-B5BC-0F41E945594E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CA5A243-ACB3-4263-B013-BACC7DB45CD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340345F-09C2-47DB-B72A-2588E56221B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D041653-FBD1-4E8B-88B2-76005C2F7DC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288CE85E-2566-441B-8001-21D099DC32E5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D5649-78C7-42D2-867F-A6AD75B8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350D43-7A07-4166-A367-4CA9FA0D477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=88,2619 −0,00007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̂𝑥=88,2619 −0,00007𝑥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B740AC5-20B3-4985-AB76-859F8AB03FF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D7E54D3-988A-493F-A6E1-4B31D197DDE6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8DFDBBD-1D48-4084-8EC4-BDBDBD2AA43B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34693AC-ED01-44BC-BDEA-F014BFD5022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0AE8AF7-F6FE-459F-BE13-BA000065A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=638,0117 −0,00007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̂𝑥=638,0117 −0,00007𝑥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9D685B6-3D40-44F9-87CD-B3EA6C6ED3A1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369A533-A1AB-464D-B9DD-A88FA363F6D7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E52F77A-176C-4141-A13C-63CA2287B5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EB262806-38DD-45FB-BEB9-F92C73F6D53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8BCE57B-F4FE-4160-8946-FE19B3AD21D9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146275</xdr:colOff>
      <xdr:row>267</xdr:row>
      <xdr:rowOff>163285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825651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185262"/>
          <a:ext cx="682565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-4817,4992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258,7398X1 +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1,0663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- 0,8,627X3 + 0,0113X4 + 61253,5137X5 - 0,00006X6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317726</xdr:colOff>
      <xdr:row>275</xdr:row>
      <xdr:rowOff>168047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77220</xdr:colOff>
      <xdr:row>275</xdr:row>
      <xdr:rowOff>129947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298675</xdr:colOff>
      <xdr:row>267</xdr:row>
      <xdr:rowOff>160904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286768</xdr:colOff>
      <xdr:row>267</xdr:row>
      <xdr:rowOff>160903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201044</xdr:colOff>
      <xdr:row>267</xdr:row>
      <xdr:rowOff>146616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389163</xdr:colOff>
      <xdr:row>275</xdr:row>
      <xdr:rowOff>156141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12925</xdr:colOff>
      <xdr:row>297</xdr:row>
      <xdr:rowOff>148998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339157</xdr:colOff>
      <xdr:row>305</xdr:row>
      <xdr:rowOff>177572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98651</xdr:colOff>
      <xdr:row>305</xdr:row>
      <xdr:rowOff>139472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320106</xdr:colOff>
      <xdr:row>297</xdr:row>
      <xdr:rowOff>170429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308199</xdr:colOff>
      <xdr:row>297</xdr:row>
      <xdr:rowOff>170428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222475</xdr:colOff>
      <xdr:row>297</xdr:row>
      <xdr:rowOff>156141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410594</xdr:colOff>
      <xdr:row>305</xdr:row>
      <xdr:rowOff>165666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879699</xdr:colOff>
      <xdr:row>498</xdr:row>
      <xdr:rowOff>110899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265337</xdr:colOff>
      <xdr:row>506</xdr:row>
      <xdr:rowOff>139473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246286</xdr:colOff>
      <xdr:row>498</xdr:row>
      <xdr:rowOff>132330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234379</xdr:colOff>
      <xdr:row>498</xdr:row>
      <xdr:rowOff>132329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148655</xdr:colOff>
      <xdr:row>498</xdr:row>
      <xdr:rowOff>118042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336774</xdr:colOff>
      <xdr:row>506</xdr:row>
      <xdr:rowOff>127567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8161</xdr:colOff>
      <xdr:row>506</xdr:row>
      <xdr:rowOff>168049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817786</xdr:colOff>
      <xdr:row>528</xdr:row>
      <xdr:rowOff>132329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203424</xdr:colOff>
      <xdr:row>536</xdr:row>
      <xdr:rowOff>160903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184373</xdr:colOff>
      <xdr:row>528</xdr:row>
      <xdr:rowOff>153760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172466</xdr:colOff>
      <xdr:row>528</xdr:row>
      <xdr:rowOff>153759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86742</xdr:colOff>
      <xdr:row>528</xdr:row>
      <xdr:rowOff>139472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274861</xdr:colOff>
      <xdr:row>536</xdr:row>
      <xdr:rowOff>148997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58168</xdr:colOff>
      <xdr:row>536</xdr:row>
      <xdr:rowOff>170428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71438</xdr:colOff>
      <xdr:row>267</xdr:row>
      <xdr:rowOff>142875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267</xdr:row>
      <xdr:rowOff>164306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267</xdr:row>
      <xdr:rowOff>164305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275</xdr:row>
      <xdr:rowOff>159543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275</xdr:row>
      <xdr:rowOff>154781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267</xdr:row>
      <xdr:rowOff>166688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275</xdr:row>
      <xdr:rowOff>140493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71438</xdr:colOff>
      <xdr:row>297</xdr:row>
      <xdr:rowOff>142875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297</xdr:row>
      <xdr:rowOff>164306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297</xdr:row>
      <xdr:rowOff>164305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305</xdr:row>
      <xdr:rowOff>159543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305</xdr:row>
      <xdr:rowOff>154781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297</xdr:row>
      <xdr:rowOff>166688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305</xdr:row>
      <xdr:rowOff>140493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928688</xdr:colOff>
      <xdr:row>498</xdr:row>
      <xdr:rowOff>130969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295275</xdr:colOff>
      <xdr:row>498</xdr:row>
      <xdr:rowOff>152400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283368</xdr:colOff>
      <xdr:row>498</xdr:row>
      <xdr:rowOff>152399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385763</xdr:colOff>
      <xdr:row>506</xdr:row>
      <xdr:rowOff>147637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273844</xdr:colOff>
      <xdr:row>506</xdr:row>
      <xdr:rowOff>142875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119062</xdr:colOff>
      <xdr:row>498</xdr:row>
      <xdr:rowOff>154782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938213</xdr:colOff>
      <xdr:row>506</xdr:row>
      <xdr:rowOff>128587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107156</xdr:colOff>
      <xdr:row>528</xdr:row>
      <xdr:rowOff>166688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414337</xdr:colOff>
      <xdr:row>528</xdr:row>
      <xdr:rowOff>188119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402430</xdr:colOff>
      <xdr:row>528</xdr:row>
      <xdr:rowOff>188118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504825</xdr:colOff>
      <xdr:row>536</xdr:row>
      <xdr:rowOff>183356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392906</xdr:colOff>
      <xdr:row>536</xdr:row>
      <xdr:rowOff>178594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528</xdr:row>
      <xdr:rowOff>190501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116681</xdr:colOff>
      <xdr:row>536</xdr:row>
      <xdr:rowOff>164306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691460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9773" y="33441446"/>
          <a:ext cx="369146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35,6094 + 0,9148X1  - 0,9307X2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+ 6317,1574X3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798348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31357" y="86163111"/>
          <a:ext cx="379834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914,8238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- 1,9850X1 - 0,3312X2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+ 55687,9808X3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1319098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107156</xdr:colOff>
      <xdr:row>498</xdr:row>
      <xdr:rowOff>130969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498</xdr:row>
      <xdr:rowOff>116681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485774</xdr:colOff>
      <xdr:row>498</xdr:row>
      <xdr:rowOff>164305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498</xdr:row>
      <xdr:rowOff>154782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47625</xdr:colOff>
      <xdr:row>528</xdr:row>
      <xdr:rowOff>142875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200025</xdr:colOff>
      <xdr:row>528</xdr:row>
      <xdr:rowOff>164306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528</xdr:row>
      <xdr:rowOff>164305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178593</xdr:colOff>
      <xdr:row>528</xdr:row>
      <xdr:rowOff>166688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83344</xdr:colOff>
      <xdr:row>297</xdr:row>
      <xdr:rowOff>130968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390525</xdr:colOff>
      <xdr:row>297</xdr:row>
      <xdr:rowOff>152399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297</xdr:row>
      <xdr:rowOff>164304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214312</xdr:colOff>
      <xdr:row>297</xdr:row>
      <xdr:rowOff>154781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267</xdr:row>
      <xdr:rowOff>130969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267</xdr:row>
      <xdr:rowOff>164307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569118</xdr:colOff>
      <xdr:row>267</xdr:row>
      <xdr:rowOff>152399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130968</xdr:colOff>
      <xdr:row>267</xdr:row>
      <xdr:rowOff>154782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898071</xdr:colOff>
      <xdr:row>267</xdr:row>
      <xdr:rowOff>108857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106476</xdr:colOff>
      <xdr:row>267</xdr:row>
      <xdr:rowOff>130288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258534</xdr:colOff>
      <xdr:row>267</xdr:row>
      <xdr:rowOff>119063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547005</xdr:colOff>
      <xdr:row>267</xdr:row>
      <xdr:rowOff>148999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138793</xdr:colOff>
      <xdr:row>297</xdr:row>
      <xdr:rowOff>152400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218055</xdr:colOff>
      <xdr:row>297</xdr:row>
      <xdr:rowOff>146617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438149</xdr:colOff>
      <xdr:row>297</xdr:row>
      <xdr:rowOff>162606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549727</xdr:colOff>
      <xdr:row>297</xdr:row>
      <xdr:rowOff>165328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40821</xdr:colOff>
      <xdr:row>498</xdr:row>
      <xdr:rowOff>169069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120083</xdr:colOff>
      <xdr:row>498</xdr:row>
      <xdr:rowOff>163286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340177</xdr:colOff>
      <xdr:row>498</xdr:row>
      <xdr:rowOff>179275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451755</xdr:colOff>
      <xdr:row>498</xdr:row>
      <xdr:rowOff>181997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40822</xdr:colOff>
      <xdr:row>528</xdr:row>
      <xdr:rowOff>182676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120084</xdr:colOff>
      <xdr:row>528</xdr:row>
      <xdr:rowOff>176893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340178</xdr:colOff>
      <xdr:row>528</xdr:row>
      <xdr:rowOff>192882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451756</xdr:colOff>
      <xdr:row>528</xdr:row>
      <xdr:rowOff>195604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H1" sqref="H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8083-7003-448F-BC8F-713EABE28900}">
  <dimension ref="A3:AD444"/>
  <sheetViews>
    <sheetView tabSelected="1" topLeftCell="I83" zoomScale="110" zoomScaleNormal="110" workbookViewId="0">
      <selection activeCell="M98" sqref="M9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27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17">
        <f>$P$40 + $P$41*C11</f>
        <v>1106.5463008731585</v>
      </c>
      <c r="F11" s="17">
        <f>B11-E11</f>
        <v>4698.4536991268415</v>
      </c>
      <c r="G11" s="17">
        <f>POWER(F11,2)</f>
        <v>22075467.162838701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17">
        <f t="shared" ref="E12:E75" si="0">$P$40 + $P$41*C12</f>
        <v>1276.0183587837255</v>
      </c>
      <c r="F12" s="17">
        <f t="shared" ref="F12:F75" si="1">B12-E12</f>
        <v>4263.9816412162745</v>
      </c>
      <c r="G12" s="17">
        <f t="shared" ref="G12:G75" si="2">POWER(F12,2)</f>
        <v>18181539.436629433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0.71</v>
      </c>
      <c r="E13" s="17">
        <f t="shared" si="0"/>
        <v>1417.2450737091981</v>
      </c>
      <c r="F13" s="17">
        <f t="shared" si="1"/>
        <v>7665.7549262908014</v>
      </c>
      <c r="G13" s="17">
        <f t="shared" si="2"/>
        <v>58763798.589951694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17">
        <f t="shared" si="0"/>
        <v>1530.2264456495761</v>
      </c>
      <c r="F14" s="17">
        <f t="shared" si="1"/>
        <v>6383.7735543504241</v>
      </c>
      <c r="G14" s="17">
        <f t="shared" si="2"/>
        <v>40752564.79322385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17">
        <f t="shared" si="0"/>
        <v>1614.9624746048596</v>
      </c>
      <c r="F15" s="17">
        <f t="shared" si="1"/>
        <v>5301.0375253951406</v>
      </c>
      <c r="G15" s="17">
        <f t="shared" si="2"/>
        <v>28100998.845647436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17">
        <f t="shared" si="0"/>
        <v>1671.4531605750487</v>
      </c>
      <c r="F16" s="17">
        <f t="shared" si="1"/>
        <v>4460.546839424951</v>
      </c>
      <c r="G16" s="17">
        <f t="shared" si="2"/>
        <v>19896478.106703918</v>
      </c>
    </row>
    <row r="17" spans="1:24" ht="18" customHeight="1" x14ac:dyDescent="0.2">
      <c r="A17" s="4">
        <v>44234</v>
      </c>
      <c r="B17" s="5">
        <v>3508</v>
      </c>
      <c r="C17" s="5">
        <v>0.59</v>
      </c>
      <c r="E17" s="17">
        <f t="shared" si="0"/>
        <v>1756.1891895303324</v>
      </c>
      <c r="F17" s="17">
        <f t="shared" si="1"/>
        <v>1751.8108104696676</v>
      </c>
      <c r="G17" s="17">
        <f t="shared" si="2"/>
        <v>3068841.1156783933</v>
      </c>
    </row>
    <row r="18" spans="1:24" ht="18" customHeight="1" x14ac:dyDescent="0.2">
      <c r="A18" s="4">
        <v>44235</v>
      </c>
      <c r="B18" s="5">
        <v>2505</v>
      </c>
      <c r="C18" s="5">
        <v>0.56000000000000005</v>
      </c>
      <c r="E18" s="17">
        <f t="shared" si="0"/>
        <v>1840.9252184856157</v>
      </c>
      <c r="F18" s="17">
        <f t="shared" si="1"/>
        <v>664.07478151438431</v>
      </c>
      <c r="G18" s="17">
        <f t="shared" si="2"/>
        <v>440995.31544337724</v>
      </c>
    </row>
    <row r="19" spans="1:24" ht="18" customHeight="1" x14ac:dyDescent="0.2">
      <c r="A19" s="4">
        <v>44236</v>
      </c>
      <c r="B19" s="5">
        <v>2583</v>
      </c>
      <c r="C19" s="5">
        <v>0.53</v>
      </c>
      <c r="E19" s="17">
        <f t="shared" si="0"/>
        <v>1925.6612474408992</v>
      </c>
      <c r="F19" s="17">
        <f t="shared" si="1"/>
        <v>657.33875255910084</v>
      </c>
      <c r="G19" s="17">
        <f t="shared" si="2"/>
        <v>432094.23561595479</v>
      </c>
    </row>
    <row r="20" spans="1:24" ht="18" customHeight="1" x14ac:dyDescent="0.2">
      <c r="A20" s="4">
        <v>44237</v>
      </c>
      <c r="B20" s="5">
        <v>4387</v>
      </c>
      <c r="C20" s="5">
        <v>0.51</v>
      </c>
      <c r="E20" s="17">
        <f t="shared" si="0"/>
        <v>1982.1519334110883</v>
      </c>
      <c r="F20" s="17">
        <f t="shared" si="1"/>
        <v>2404.8480665889119</v>
      </c>
      <c r="G20" s="17">
        <f t="shared" si="2"/>
        <v>5783294.2233764278</v>
      </c>
    </row>
    <row r="21" spans="1:24" ht="18" customHeight="1" x14ac:dyDescent="0.2">
      <c r="A21" s="4">
        <v>44238</v>
      </c>
      <c r="B21" s="5">
        <v>3480</v>
      </c>
      <c r="C21" s="5">
        <v>0.49</v>
      </c>
      <c r="E21" s="17">
        <f t="shared" si="0"/>
        <v>2038.6426193812774</v>
      </c>
      <c r="F21" s="17">
        <f t="shared" si="1"/>
        <v>1441.3573806187226</v>
      </c>
      <c r="G21" s="17">
        <f t="shared" si="2"/>
        <v>2077511.0986640651</v>
      </c>
    </row>
    <row r="22" spans="1:24" ht="18" customHeight="1" x14ac:dyDescent="0.2">
      <c r="A22" s="4">
        <v>44239</v>
      </c>
      <c r="B22" s="5">
        <v>2854</v>
      </c>
      <c r="C22" s="5">
        <v>0.48</v>
      </c>
      <c r="E22" s="17">
        <f t="shared" si="0"/>
        <v>2066.887962366372</v>
      </c>
      <c r="F22" s="17">
        <f t="shared" si="1"/>
        <v>787.11203763362801</v>
      </c>
      <c r="G22" s="17">
        <f t="shared" si="2"/>
        <v>619545.35978776182</v>
      </c>
    </row>
    <row r="23" spans="1:24" ht="18" customHeight="1" x14ac:dyDescent="0.2">
      <c r="A23" s="4">
        <v>44240</v>
      </c>
      <c r="B23" s="5">
        <v>2856</v>
      </c>
      <c r="C23" s="5">
        <v>0.48</v>
      </c>
      <c r="E23" s="17">
        <f t="shared" si="0"/>
        <v>2066.887962366372</v>
      </c>
      <c r="F23" s="17">
        <f t="shared" si="1"/>
        <v>789.11203763362801</v>
      </c>
      <c r="G23" s="17">
        <f t="shared" si="2"/>
        <v>622697.80793829635</v>
      </c>
    </row>
    <row r="24" spans="1:24" ht="18" customHeight="1" x14ac:dyDescent="0.2">
      <c r="A24" s="4">
        <v>44241</v>
      </c>
      <c r="B24" s="5">
        <v>1677</v>
      </c>
      <c r="C24" s="5">
        <v>0.48</v>
      </c>
      <c r="E24" s="17">
        <f t="shared" si="0"/>
        <v>2066.887962366372</v>
      </c>
      <c r="F24" s="17">
        <f t="shared" si="1"/>
        <v>-389.88796236637199</v>
      </c>
      <c r="G24" s="17">
        <f t="shared" si="2"/>
        <v>152012.6231982015</v>
      </c>
    </row>
    <row r="25" spans="1:24" ht="18" customHeight="1" x14ac:dyDescent="0.2">
      <c r="A25" s="4">
        <v>44242</v>
      </c>
      <c r="B25" s="5">
        <v>1303</v>
      </c>
      <c r="C25" s="5">
        <v>0.48</v>
      </c>
      <c r="E25" s="17">
        <f t="shared" si="0"/>
        <v>2066.887962366372</v>
      </c>
      <c r="F25" s="17">
        <f t="shared" si="1"/>
        <v>-763.88796236637199</v>
      </c>
      <c r="G25" s="17">
        <f t="shared" si="2"/>
        <v>583524.81904824777</v>
      </c>
    </row>
    <row r="26" spans="1:24" ht="18" customHeight="1" x14ac:dyDescent="0.2">
      <c r="A26" s="4">
        <v>44243</v>
      </c>
      <c r="B26" s="5">
        <v>1502</v>
      </c>
      <c r="C26" s="5">
        <v>0.47</v>
      </c>
      <c r="E26" s="17">
        <f t="shared" si="0"/>
        <v>2095.1333053514663</v>
      </c>
      <c r="F26" s="17">
        <f t="shared" si="1"/>
        <v>-593.13330535146633</v>
      </c>
      <c r="G26" s="17">
        <f t="shared" si="2"/>
        <v>351807.11791715579</v>
      </c>
    </row>
    <row r="27" spans="1:24" ht="18" customHeight="1" x14ac:dyDescent="0.2">
      <c r="A27" s="4">
        <v>44244</v>
      </c>
      <c r="B27" s="5">
        <v>2324</v>
      </c>
      <c r="C27" s="5">
        <v>0.47</v>
      </c>
      <c r="E27" s="17">
        <f t="shared" si="0"/>
        <v>2095.1333053514663</v>
      </c>
      <c r="F27" s="17">
        <f t="shared" si="1"/>
        <v>228.86669464853367</v>
      </c>
      <c r="G27" s="17">
        <f t="shared" si="2"/>
        <v>52379.963919345151</v>
      </c>
    </row>
    <row r="28" spans="1:24" ht="18" customHeight="1" x14ac:dyDescent="0.2">
      <c r="A28" s="4">
        <v>44245</v>
      </c>
      <c r="B28" s="5">
        <v>1944</v>
      </c>
      <c r="C28" s="5">
        <v>0.47</v>
      </c>
      <c r="E28" s="17">
        <f t="shared" si="0"/>
        <v>2095.1333053514663</v>
      </c>
      <c r="F28" s="17">
        <f t="shared" si="1"/>
        <v>-151.13330535146633</v>
      </c>
      <c r="G28" s="17">
        <f t="shared" si="2"/>
        <v>22841.275986459561</v>
      </c>
    </row>
    <row r="29" spans="1:24" ht="18" customHeight="1" x14ac:dyDescent="0.2">
      <c r="A29" s="4">
        <v>44246</v>
      </c>
      <c r="B29" s="5">
        <v>1940</v>
      </c>
      <c r="C29" s="5">
        <v>0.48</v>
      </c>
      <c r="E29" s="17">
        <f t="shared" si="0"/>
        <v>2066.887962366372</v>
      </c>
      <c r="F29" s="17">
        <f t="shared" si="1"/>
        <v>-126.88796236637199</v>
      </c>
      <c r="G29" s="17">
        <f t="shared" si="2"/>
        <v>16100.554993489835</v>
      </c>
    </row>
    <row r="30" spans="1:24" ht="18" customHeight="1" x14ac:dyDescent="0.2">
      <c r="A30" s="4">
        <v>44247</v>
      </c>
      <c r="B30" s="5">
        <v>1570</v>
      </c>
      <c r="C30" s="5">
        <v>0.48</v>
      </c>
      <c r="E30" s="17">
        <f t="shared" si="0"/>
        <v>2066.887962366372</v>
      </c>
      <c r="F30" s="17">
        <f t="shared" si="1"/>
        <v>-496.88796236637199</v>
      </c>
      <c r="G30" s="17">
        <f t="shared" si="2"/>
        <v>246897.64714460511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0.49</v>
      </c>
      <c r="E31" s="17">
        <f t="shared" si="0"/>
        <v>2038.6426193812774</v>
      </c>
      <c r="F31" s="17">
        <f t="shared" si="1"/>
        <v>-852.64261938127743</v>
      </c>
      <c r="G31" s="17">
        <f t="shared" si="2"/>
        <v>726999.4363853659</v>
      </c>
    </row>
    <row r="32" spans="1:24" ht="18" customHeight="1" x14ac:dyDescent="0.2">
      <c r="A32" s="4">
        <v>44249</v>
      </c>
      <c r="B32" s="5">
        <v>549</v>
      </c>
      <c r="C32" s="5">
        <v>0.49</v>
      </c>
      <c r="E32" s="17">
        <f t="shared" si="0"/>
        <v>2038.6426193812774</v>
      </c>
      <c r="F32" s="17">
        <f t="shared" si="1"/>
        <v>-1489.6426193812774</v>
      </c>
      <c r="G32" s="17">
        <f t="shared" si="2"/>
        <v>2219035.1334771132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17">
        <f t="shared" si="0"/>
        <v>2038.6426193812774</v>
      </c>
      <c r="F33" s="17">
        <f t="shared" si="1"/>
        <v>-1006.6426193812774</v>
      </c>
      <c r="G33" s="17">
        <f t="shared" si="2"/>
        <v>1013329.3631547993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1480</v>
      </c>
      <c r="C34" s="5">
        <v>0.5</v>
      </c>
      <c r="E34" s="17">
        <f t="shared" si="0"/>
        <v>2010.3972763961829</v>
      </c>
      <c r="F34" s="17">
        <f t="shared" si="1"/>
        <v>-530.39727639618286</v>
      </c>
      <c r="G34" s="17">
        <f t="shared" si="2"/>
        <v>281321.27080848877</v>
      </c>
      <c r="O34" s="14"/>
      <c r="P34" s="130">
        <f>AVERAGE(C11:C130)</f>
        <v>0.83241666666666658</v>
      </c>
      <c r="Q34" s="130"/>
    </row>
    <row r="35" spans="1:24" ht="18" customHeight="1" x14ac:dyDescent="0.2">
      <c r="A35" s="4">
        <v>44252</v>
      </c>
      <c r="B35" s="5">
        <v>1160</v>
      </c>
      <c r="C35" s="5">
        <v>0.5</v>
      </c>
      <c r="E35" s="17">
        <f t="shared" si="0"/>
        <v>2010.3972763961829</v>
      </c>
      <c r="F35" s="17">
        <f t="shared" si="1"/>
        <v>-850.39727639618286</v>
      </c>
      <c r="G35" s="17">
        <f t="shared" si="2"/>
        <v>723175.52770204586</v>
      </c>
      <c r="O35" s="14"/>
      <c r="P35" s="130">
        <f>AVERAGE(B11:B130)</f>
        <v>1071.4749999999999</v>
      </c>
      <c r="Q35" s="130"/>
    </row>
    <row r="36" spans="1:24" ht="18" customHeight="1" x14ac:dyDescent="0.2">
      <c r="A36" s="4">
        <v>44253</v>
      </c>
      <c r="B36" s="5">
        <v>1027</v>
      </c>
      <c r="C36" s="5">
        <v>0.51</v>
      </c>
      <c r="E36" s="17">
        <f t="shared" si="0"/>
        <v>1982.1519334110883</v>
      </c>
      <c r="F36" s="17">
        <f t="shared" si="1"/>
        <v>-955.15193341108829</v>
      </c>
      <c r="G36" s="17">
        <f t="shared" si="2"/>
        <v>912315.21589893999</v>
      </c>
      <c r="O36" s="14"/>
      <c r="P36" s="130">
        <f>SUMPRODUCT(POWER(C11:C130-P34,2))</f>
        <v>5.7437991666666681</v>
      </c>
      <c r="Q36" s="130"/>
    </row>
    <row r="37" spans="1:24" ht="18" customHeight="1" x14ac:dyDescent="0.2">
      <c r="A37" s="4">
        <v>44254</v>
      </c>
      <c r="B37" s="5">
        <v>1071</v>
      </c>
      <c r="C37" s="5">
        <v>0.53</v>
      </c>
      <c r="E37" s="17">
        <f t="shared" si="0"/>
        <v>1925.6612474408992</v>
      </c>
      <c r="F37" s="17">
        <f t="shared" si="1"/>
        <v>-854.66124744089916</v>
      </c>
      <c r="G37" s="17">
        <f t="shared" si="2"/>
        <v>730445.84787723387</v>
      </c>
      <c r="O37" s="14"/>
      <c r="P37" s="130">
        <f>SUMPRODUCT(POWER(B11:B130-P35,2))</f>
        <v>285780855.92500037</v>
      </c>
      <c r="Q37" s="130"/>
    </row>
    <row r="38" spans="1:24" ht="18" customHeight="1" x14ac:dyDescent="0.2">
      <c r="A38" s="4">
        <v>44255</v>
      </c>
      <c r="B38" s="5">
        <v>718</v>
      </c>
      <c r="C38" s="5">
        <v>0.54</v>
      </c>
      <c r="E38" s="17">
        <f t="shared" si="0"/>
        <v>1897.4159044558048</v>
      </c>
      <c r="F38" s="17">
        <f t="shared" si="1"/>
        <v>-1179.4159044558048</v>
      </c>
      <c r="G38" s="17">
        <f t="shared" si="2"/>
        <v>1391021.8756833042</v>
      </c>
      <c r="O38" s="14"/>
      <c r="P38" s="130">
        <f xml:space="preserve"> SUMPRODUCT( (B11:B130-P35) * (C11:C130-P34))</f>
        <v>-16223.557750000009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17">
        <f t="shared" si="0"/>
        <v>1840.9252184856157</v>
      </c>
      <c r="F39" s="17">
        <f t="shared" si="1"/>
        <v>-1446.9252184856157</v>
      </c>
      <c r="G39" s="17">
        <f t="shared" si="2"/>
        <v>2093592.5878896466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17">
        <f t="shared" si="0"/>
        <v>1812.6798755005213</v>
      </c>
      <c r="F40" s="17">
        <f t="shared" si="1"/>
        <v>-1121.6798755005213</v>
      </c>
      <c r="G40" s="17">
        <f t="shared" si="2"/>
        <v>1258165.7431028651</v>
      </c>
      <c r="O40" s="16"/>
      <c r="P40" s="120">
        <f>P35 - P34*P41</f>
        <v>3422.6644256509085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0.59</v>
      </c>
      <c r="E41" s="17">
        <f t="shared" si="0"/>
        <v>1756.1891895303324</v>
      </c>
      <c r="F41" s="17">
        <f t="shared" si="1"/>
        <v>-777.18918953033244</v>
      </c>
      <c r="G41" s="17">
        <f t="shared" si="2"/>
        <v>604023.03632281499</v>
      </c>
      <c r="O41" s="13"/>
      <c r="P41" s="122">
        <f>P38/P36</f>
        <v>-2824.5342985094512</v>
      </c>
      <c r="Q41" s="122"/>
    </row>
    <row r="42" spans="1:24" ht="18" customHeight="1" x14ac:dyDescent="0.2">
      <c r="A42" s="4">
        <v>44259</v>
      </c>
      <c r="B42" s="5">
        <v>830</v>
      </c>
      <c r="C42" s="5">
        <v>0.61</v>
      </c>
      <c r="E42" s="17">
        <f t="shared" si="0"/>
        <v>1699.6985035601433</v>
      </c>
      <c r="F42" s="17">
        <f t="shared" si="1"/>
        <v>-869.69850356014331</v>
      </c>
      <c r="G42" s="17">
        <f t="shared" si="2"/>
        <v>756375.48709475261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17">
        <f t="shared" si="0"/>
        <v>1614.9624746048596</v>
      </c>
      <c r="F43" s="17">
        <f t="shared" si="1"/>
        <v>-665.96247460485961</v>
      </c>
      <c r="G43" s="17">
        <f t="shared" si="2"/>
        <v>443506.01758182829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17">
        <f t="shared" si="0"/>
        <v>1558.4717886346705</v>
      </c>
      <c r="F44" s="17">
        <f t="shared" si="1"/>
        <v>-551.47178863467047</v>
      </c>
      <c r="G44" s="17">
        <f t="shared" si="2"/>
        <v>304121.13365992269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17">
        <f t="shared" si="0"/>
        <v>1530.2264456495761</v>
      </c>
      <c r="F45" s="17">
        <f t="shared" si="1"/>
        <v>-848.22644564957614</v>
      </c>
      <c r="G45" s="17">
        <f t="shared" si="2"/>
        <v>719488.10309931333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0.67</v>
      </c>
      <c r="E46" s="17">
        <f t="shared" si="0"/>
        <v>1530.2264456495761</v>
      </c>
      <c r="F46" s="17">
        <f t="shared" si="1"/>
        <v>-1165.2264456495761</v>
      </c>
      <c r="G46" s="17">
        <f t="shared" si="2"/>
        <v>1357752.6696411446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17">
        <f t="shared" si="0"/>
        <v>1530.2264456495761</v>
      </c>
      <c r="F47" s="17">
        <f t="shared" si="1"/>
        <v>-683.22644564957614</v>
      </c>
      <c r="G47" s="17">
        <f t="shared" si="2"/>
        <v>466798.37603495322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17">
        <f t="shared" si="0"/>
        <v>1586.717131619765</v>
      </c>
      <c r="F48" s="17">
        <f t="shared" si="1"/>
        <v>-944.71713161976504</v>
      </c>
      <c r="G48" s="17">
        <f t="shared" si="2"/>
        <v>892490.45877587644</v>
      </c>
    </row>
    <row r="49" spans="1:24" ht="18" customHeight="1" x14ac:dyDescent="0.2">
      <c r="A49" s="4">
        <v>44266</v>
      </c>
      <c r="B49" s="5">
        <v>627</v>
      </c>
      <c r="C49" s="5">
        <v>0.65</v>
      </c>
      <c r="E49" s="17">
        <f t="shared" si="0"/>
        <v>1586.717131619765</v>
      </c>
      <c r="F49" s="17">
        <f t="shared" si="1"/>
        <v>-959.71713161976504</v>
      </c>
      <c r="G49" s="17">
        <f t="shared" si="2"/>
        <v>921056.97272446938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577</v>
      </c>
      <c r="C50" s="5">
        <v>0.66</v>
      </c>
      <c r="E50" s="17">
        <f t="shared" si="0"/>
        <v>1558.4717886346705</v>
      </c>
      <c r="F50" s="17">
        <f t="shared" si="1"/>
        <v>-981.47178863467047</v>
      </c>
      <c r="G50" s="17">
        <f t="shared" si="2"/>
        <v>963286.87188573927</v>
      </c>
      <c r="O50" s="15"/>
      <c r="P50" s="120">
        <f>(POWER(P38,2)/(P36*P37))</f>
        <v>0.16034662350073506</v>
      </c>
      <c r="Q50" s="120"/>
    </row>
    <row r="51" spans="1:24" ht="18" customHeight="1" x14ac:dyDescent="0.2">
      <c r="A51" s="4">
        <v>44268</v>
      </c>
      <c r="B51" s="5">
        <v>564</v>
      </c>
      <c r="C51" s="5">
        <v>0.68</v>
      </c>
      <c r="E51" s="17">
        <f t="shared" si="0"/>
        <v>1501.9811026644816</v>
      </c>
      <c r="F51" s="17">
        <f t="shared" si="1"/>
        <v>-937.98110266448157</v>
      </c>
      <c r="G51" s="17">
        <f t="shared" si="2"/>
        <v>879808.54895567673</v>
      </c>
      <c r="O51" s="32"/>
      <c r="P51" s="122">
        <f>P38 / (SQRT(P36) * SQRT(P37))</f>
        <v>-0.40043304496599064</v>
      </c>
      <c r="Q51" s="122"/>
    </row>
    <row r="52" spans="1:24" ht="18" customHeight="1" x14ac:dyDescent="0.2">
      <c r="A52" s="4">
        <v>44269</v>
      </c>
      <c r="B52" s="5">
        <v>541</v>
      </c>
      <c r="C52" s="5">
        <v>0.69</v>
      </c>
      <c r="E52" s="17">
        <f t="shared" si="0"/>
        <v>1473.7357596793872</v>
      </c>
      <c r="F52" s="17">
        <f t="shared" si="1"/>
        <v>-932.73575967938723</v>
      </c>
      <c r="G52" s="17">
        <f t="shared" si="2"/>
        <v>869995.99738468358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0.7</v>
      </c>
      <c r="E53" s="17">
        <f t="shared" si="0"/>
        <v>1445.4904166942927</v>
      </c>
      <c r="F53" s="17">
        <f t="shared" si="1"/>
        <v>-1189.4904166942927</v>
      </c>
      <c r="G53" s="17">
        <f t="shared" si="2"/>
        <v>1414887.451407562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0.71</v>
      </c>
      <c r="E54" s="17">
        <f t="shared" si="0"/>
        <v>1417.2450737091981</v>
      </c>
      <c r="F54" s="17">
        <f t="shared" si="1"/>
        <v>-1033.2450737091981</v>
      </c>
      <c r="G54" s="17">
        <f t="shared" si="2"/>
        <v>1067595.3823443262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0.72</v>
      </c>
      <c r="E55" s="17">
        <f t="shared" si="0"/>
        <v>1388.9997307241038</v>
      </c>
      <c r="F55" s="17">
        <f t="shared" si="1"/>
        <v>-715.99973072410376</v>
      </c>
      <c r="G55" s="17">
        <f t="shared" si="2"/>
        <v>512655.61439698911</v>
      </c>
    </row>
    <row r="56" spans="1:24" ht="18" customHeight="1" x14ac:dyDescent="0.2">
      <c r="A56" s="4">
        <v>44273</v>
      </c>
      <c r="B56" s="5">
        <v>485</v>
      </c>
      <c r="C56" s="5">
        <v>0.74</v>
      </c>
      <c r="E56" s="17">
        <f t="shared" si="0"/>
        <v>1332.5090447539146</v>
      </c>
      <c r="F56" s="17">
        <f t="shared" si="1"/>
        <v>-847.50904475391462</v>
      </c>
      <c r="G56" s="17">
        <f t="shared" si="2"/>
        <v>718271.58093969291</v>
      </c>
    </row>
    <row r="57" spans="1:24" ht="18" customHeight="1" x14ac:dyDescent="0.2">
      <c r="A57" s="4">
        <v>44274</v>
      </c>
      <c r="B57" s="5">
        <v>568</v>
      </c>
      <c r="C57" s="5">
        <v>0.76</v>
      </c>
      <c r="E57" s="17">
        <f t="shared" si="0"/>
        <v>1276.0183587837255</v>
      </c>
      <c r="F57" s="17">
        <f t="shared" si="1"/>
        <v>-708.01835878372549</v>
      </c>
      <c r="G57" s="17">
        <f t="shared" si="2"/>
        <v>501289.99637480022</v>
      </c>
    </row>
    <row r="58" spans="1:24" ht="18" customHeight="1" x14ac:dyDescent="0.2">
      <c r="A58" s="4">
        <v>44275</v>
      </c>
      <c r="B58" s="5">
        <v>457</v>
      </c>
      <c r="C58" s="5">
        <v>0.77</v>
      </c>
      <c r="E58" s="17">
        <f t="shared" si="0"/>
        <v>1247.7730157986311</v>
      </c>
      <c r="F58" s="17">
        <f t="shared" si="1"/>
        <v>-790.77301579863115</v>
      </c>
      <c r="G58" s="17">
        <f t="shared" si="2"/>
        <v>625321.96251526219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0.79</v>
      </c>
      <c r="E59" s="17">
        <f t="shared" si="0"/>
        <v>1191.282329828442</v>
      </c>
      <c r="F59" s="17">
        <f t="shared" si="1"/>
        <v>-741.28232982844202</v>
      </c>
      <c r="G59" s="17">
        <f t="shared" si="2"/>
        <v>549499.49251588306</v>
      </c>
    </row>
    <row r="60" spans="1:24" ht="18" customHeight="1" x14ac:dyDescent="0.2">
      <c r="A60" s="4">
        <v>44277</v>
      </c>
      <c r="B60" s="5">
        <v>248</v>
      </c>
      <c r="C60" s="5">
        <v>0.8</v>
      </c>
      <c r="E60" s="17">
        <f t="shared" si="0"/>
        <v>1163.0369868433472</v>
      </c>
      <c r="F60" s="17">
        <f t="shared" si="1"/>
        <v>-915.03698684334722</v>
      </c>
      <c r="G60" s="17">
        <f t="shared" si="2"/>
        <v>837292.68729135196</v>
      </c>
    </row>
    <row r="61" spans="1:24" ht="18" customHeight="1" x14ac:dyDescent="0.2">
      <c r="A61" s="4">
        <v>44278</v>
      </c>
      <c r="B61" s="5">
        <v>434</v>
      </c>
      <c r="C61" s="5">
        <v>0.81</v>
      </c>
      <c r="E61" s="17">
        <f t="shared" si="0"/>
        <v>1134.7916438582529</v>
      </c>
      <c r="F61" s="17">
        <f t="shared" si="1"/>
        <v>-700.79164385825288</v>
      </c>
      <c r="G61" s="17">
        <f t="shared" si="2"/>
        <v>491108.92810155236</v>
      </c>
    </row>
    <row r="62" spans="1:24" ht="18" customHeight="1" x14ac:dyDescent="0.2">
      <c r="A62" s="4">
        <v>44279</v>
      </c>
      <c r="B62" s="5">
        <v>575</v>
      </c>
      <c r="C62" s="5">
        <v>0.82</v>
      </c>
      <c r="E62" s="17">
        <f t="shared" si="0"/>
        <v>1106.5463008731585</v>
      </c>
      <c r="F62" s="17">
        <f t="shared" si="1"/>
        <v>-531.54630087315854</v>
      </c>
      <c r="G62" s="17">
        <f t="shared" si="2"/>
        <v>282541.46997193841</v>
      </c>
    </row>
    <row r="63" spans="1:24" ht="18" customHeight="1" x14ac:dyDescent="0.2">
      <c r="A63" s="4">
        <v>44280</v>
      </c>
      <c r="B63" s="5">
        <v>423</v>
      </c>
      <c r="C63" s="5">
        <v>0.83</v>
      </c>
      <c r="E63" s="17">
        <f t="shared" si="0"/>
        <v>1078.3009578880642</v>
      </c>
      <c r="F63" s="17">
        <f t="shared" si="1"/>
        <v>-655.3009578880642</v>
      </c>
      <c r="G63" s="17">
        <f t="shared" si="2"/>
        <v>429419.3454090145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0.84</v>
      </c>
      <c r="E64" s="17">
        <f t="shared" si="0"/>
        <v>1050.0556149029694</v>
      </c>
      <c r="F64" s="17">
        <f t="shared" si="1"/>
        <v>-562.05561490296941</v>
      </c>
      <c r="G64" s="17">
        <f t="shared" si="2"/>
        <v>315906.51424395503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17">
        <f t="shared" si="0"/>
        <v>993.56492893278028</v>
      </c>
      <c r="F65" s="17">
        <f t="shared" si="1"/>
        <v>-649.56492893278028</v>
      </c>
      <c r="G65" s="17">
        <f t="shared" si="2"/>
        <v>421934.5968994479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17">
        <f t="shared" si="0"/>
        <v>908.8288999774968</v>
      </c>
      <c r="F66" s="17">
        <f t="shared" si="1"/>
        <v>-543.8288999774968</v>
      </c>
      <c r="G66" s="17">
        <f t="shared" si="2"/>
        <v>295749.8724507342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309</v>
      </c>
      <c r="C67" s="5">
        <v>0.92</v>
      </c>
      <c r="E67" s="17">
        <f t="shared" si="0"/>
        <v>824.09287102221333</v>
      </c>
      <c r="F67" s="17">
        <f t="shared" si="1"/>
        <v>-515.09287102221333</v>
      </c>
      <c r="G67" s="17">
        <f t="shared" si="2"/>
        <v>265320.66577790648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17">
        <f t="shared" si="0"/>
        <v>767.60218505202465</v>
      </c>
      <c r="F68" s="17">
        <f t="shared" si="1"/>
        <v>-379.60218505202465</v>
      </c>
      <c r="G68" s="17">
        <f t="shared" si="2"/>
        <v>144097.81889627158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618</v>
      </c>
      <c r="C69" s="5">
        <v>0.97</v>
      </c>
      <c r="E69" s="17">
        <f t="shared" si="0"/>
        <v>682.86615609674072</v>
      </c>
      <c r="F69" s="17">
        <f t="shared" si="1"/>
        <v>-64.866156096740724</v>
      </c>
      <c r="G69" s="17">
        <f t="shared" si="2"/>
        <v>4207.6182067667341</v>
      </c>
      <c r="O69" s="96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592</v>
      </c>
      <c r="C70" s="5">
        <v>0.98</v>
      </c>
      <c r="E70" s="17">
        <f t="shared" si="0"/>
        <v>654.62081311164638</v>
      </c>
      <c r="F70" s="17">
        <f t="shared" si="1"/>
        <v>-62.620813111646385</v>
      </c>
      <c r="G70" s="17">
        <f t="shared" si="2"/>
        <v>3921.3662347637437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548</v>
      </c>
      <c r="C71" s="5">
        <v>0.98</v>
      </c>
      <c r="E71" s="17">
        <f t="shared" si="0"/>
        <v>654.62081311164638</v>
      </c>
      <c r="F71" s="17">
        <f t="shared" si="1"/>
        <v>-106.62081311164638</v>
      </c>
      <c r="G71" s="17">
        <f t="shared" si="2"/>
        <v>11367.997788588626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280</v>
      </c>
      <c r="C72" s="5">
        <v>0.97</v>
      </c>
      <c r="E72" s="17">
        <f t="shared" si="0"/>
        <v>682.86615609674072</v>
      </c>
      <c r="F72" s="17">
        <f t="shared" si="1"/>
        <v>-402.86615609674072</v>
      </c>
      <c r="G72" s="17">
        <f t="shared" si="2"/>
        <v>162301.13972816346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17">
        <f t="shared" si="0"/>
        <v>598.13012714145725</v>
      </c>
      <c r="F73" s="17">
        <f t="shared" si="1"/>
        <v>-405.13012714145725</v>
      </c>
      <c r="G73" s="17">
        <f t="shared" si="2"/>
        <v>164130.41991765331</v>
      </c>
      <c r="O73" s="98" t="s">
        <v>35</v>
      </c>
      <c r="P73" s="119">
        <f xml:space="preserve"> SQRT((1/ (B133-2)) * SUM(G11:G130))</f>
        <v>1426.0198866380113</v>
      </c>
      <c r="Q73" s="119"/>
    </row>
    <row r="74" spans="1:23" ht="18" customHeight="1" x14ac:dyDescent="0.2">
      <c r="A74" s="4">
        <v>44291</v>
      </c>
      <c r="B74" s="5">
        <v>159</v>
      </c>
      <c r="C74" s="5">
        <v>1.06</v>
      </c>
      <c r="E74" s="17">
        <f t="shared" si="0"/>
        <v>428.65806923088985</v>
      </c>
      <c r="F74" s="17">
        <f t="shared" si="1"/>
        <v>-269.65806923088985</v>
      </c>
      <c r="G74" s="17">
        <f t="shared" si="2"/>
        <v>72715.474301331386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17">
        <f t="shared" si="0"/>
        <v>202.69532535013423</v>
      </c>
      <c r="F75" s="17">
        <f t="shared" si="1"/>
        <v>671.30467464986577</v>
      </c>
      <c r="G75" s="17">
        <f t="shared" si="2"/>
        <v>450649.96620676212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17">
        <f t="shared" ref="E76:E130" si="3">$P$40 + $P$41*C76</f>
        <v>202.69532535013423</v>
      </c>
      <c r="F76" s="17">
        <f t="shared" ref="F76:F130" si="4">B76-E76</f>
        <v>460.30467464986577</v>
      </c>
      <c r="G76" s="17">
        <f t="shared" ref="G76:G130" si="5">POWER(F76,2)</f>
        <v>211880.39350451878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17">
        <f t="shared" si="3"/>
        <v>230.94066833522902</v>
      </c>
      <c r="F77" s="17">
        <f t="shared" si="4"/>
        <v>371.05933166477098</v>
      </c>
      <c r="G77" s="17">
        <f t="shared" si="5"/>
        <v>137685.02761550652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17">
        <f t="shared" si="3"/>
        <v>259.1860113203229</v>
      </c>
      <c r="F78" s="17">
        <f t="shared" si="4"/>
        <v>434.8139886796771</v>
      </c>
      <c r="G78" s="17">
        <f t="shared" si="5"/>
        <v>189063.20475153037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17">
        <f t="shared" si="3"/>
        <v>315.67669729051204</v>
      </c>
      <c r="F79" s="17">
        <f t="shared" si="4"/>
        <v>285.32330270948796</v>
      </c>
      <c r="G79" s="17">
        <f t="shared" si="5"/>
        <v>81409.387069050106</v>
      </c>
      <c r="O79" s="16"/>
      <c r="P79" s="127">
        <f xml:space="preserve"> SQRT( (1/B133) + (POWER(P34,2) / P36))</f>
        <v>0.35912507850684838</v>
      </c>
      <c r="Q79" s="127"/>
      <c r="T79" s="16"/>
      <c r="U79" s="127">
        <f xml:space="preserve"> SQRT( 1/P36 )</f>
        <v>0.4172538733009396</v>
      </c>
      <c r="V79" s="127"/>
    </row>
    <row r="80" spans="1:23" ht="18" customHeight="1" x14ac:dyDescent="0.2">
      <c r="A80" s="4">
        <v>44297</v>
      </c>
      <c r="B80" s="5">
        <v>566</v>
      </c>
      <c r="C80" s="5">
        <v>1.07</v>
      </c>
      <c r="E80" s="17">
        <f t="shared" si="3"/>
        <v>400.41272624579551</v>
      </c>
      <c r="F80" s="17">
        <f t="shared" si="4"/>
        <v>165.58727375420449</v>
      </c>
      <c r="G80" s="17">
        <f t="shared" si="5"/>
        <v>27419.145229349859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271</v>
      </c>
      <c r="C81" s="5">
        <v>1.04</v>
      </c>
      <c r="E81" s="17">
        <f t="shared" si="3"/>
        <v>485.14875520107898</v>
      </c>
      <c r="F81" s="17">
        <f t="shared" si="4"/>
        <v>-214.14875520107898</v>
      </c>
      <c r="G81" s="17">
        <f t="shared" si="5"/>
        <v>45859.689354171656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17">
        <f t="shared" si="3"/>
        <v>569.88478415636291</v>
      </c>
      <c r="F82" s="17">
        <f t="shared" si="4"/>
        <v>-161.88478415636291</v>
      </c>
      <c r="G82" s="17">
        <f t="shared" si="5"/>
        <v>26206.683341352207</v>
      </c>
      <c r="O82" s="19" t="s">
        <v>36</v>
      </c>
      <c r="P82" s="119">
        <f>P71*P73*P79</f>
        <v>849.02731693099304</v>
      </c>
      <c r="Q82" s="119"/>
      <c r="T82" s="19" t="s">
        <v>36</v>
      </c>
      <c r="U82" s="119">
        <f>P71*P73*U79</f>
        <v>986.45279243845857</v>
      </c>
      <c r="V82" s="119"/>
    </row>
    <row r="83" spans="1:23" ht="18" customHeight="1" x14ac:dyDescent="0.2">
      <c r="A83" s="4">
        <v>44300</v>
      </c>
      <c r="B83" s="5">
        <v>684</v>
      </c>
      <c r="C83" s="5">
        <v>1.01</v>
      </c>
      <c r="E83" s="17">
        <f t="shared" si="3"/>
        <v>569.88478415636291</v>
      </c>
      <c r="F83" s="17">
        <f t="shared" si="4"/>
        <v>114.11521584363709</v>
      </c>
      <c r="G83" s="17">
        <f t="shared" si="5"/>
        <v>13022.282487039882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17">
        <f t="shared" si="3"/>
        <v>598.13012714145725</v>
      </c>
      <c r="F84" s="17">
        <f t="shared" si="4"/>
        <v>-97.130127141457251</v>
      </c>
      <c r="G84" s="17">
        <f t="shared" si="5"/>
        <v>9434.2615985156499</v>
      </c>
      <c r="O84" s="16" t="s">
        <v>37</v>
      </c>
      <c r="P84" s="120">
        <f>ROUND(P40-P82,4)</f>
        <v>2573.6370999999999</v>
      </c>
      <c r="Q84" s="120"/>
      <c r="T84" s="16" t="s">
        <v>37</v>
      </c>
      <c r="U84" s="120">
        <f>ROUND(P41-U82,4)</f>
        <v>-3810.9870999999998</v>
      </c>
      <c r="V84" s="120"/>
    </row>
    <row r="85" spans="1:23" ht="18" customHeight="1" x14ac:dyDescent="0.2">
      <c r="A85" s="4">
        <v>44302</v>
      </c>
      <c r="B85" s="5">
        <v>553</v>
      </c>
      <c r="C85" s="5">
        <v>1</v>
      </c>
      <c r="E85" s="17">
        <f t="shared" si="3"/>
        <v>598.13012714145725</v>
      </c>
      <c r="F85" s="17">
        <f t="shared" si="4"/>
        <v>-45.130127141457251</v>
      </c>
      <c r="G85" s="17">
        <f t="shared" si="5"/>
        <v>2036.7283758040965</v>
      </c>
      <c r="O85" s="13" t="s">
        <v>38</v>
      </c>
      <c r="P85" s="122">
        <f>ROUND(P40+P82,4)</f>
        <v>4271.6917000000003</v>
      </c>
      <c r="Q85" s="122"/>
      <c r="T85" s="13" t="s">
        <v>38</v>
      </c>
      <c r="U85" s="122">
        <f>ROUND(P41+U82,4)</f>
        <v>-1838.0815</v>
      </c>
      <c r="V85" s="122"/>
    </row>
    <row r="86" spans="1:23" ht="18" customHeight="1" x14ac:dyDescent="0.2">
      <c r="A86" s="4">
        <v>44303</v>
      </c>
      <c r="B86" s="5">
        <v>649</v>
      </c>
      <c r="C86" s="5">
        <v>1</v>
      </c>
      <c r="E86" s="17">
        <f t="shared" si="3"/>
        <v>598.13012714145725</v>
      </c>
      <c r="F86" s="17">
        <f t="shared" si="4"/>
        <v>50.869872858542749</v>
      </c>
      <c r="G86" s="17">
        <f t="shared" si="5"/>
        <v>2587.743964644304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17">
        <f t="shared" si="3"/>
        <v>626.37547012655159</v>
      </c>
      <c r="F87" s="17">
        <f t="shared" si="4"/>
        <v>-185.37547012655159</v>
      </c>
      <c r="G87" s="17">
        <f t="shared" si="5"/>
        <v>34364.064924640021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17">
        <f t="shared" si="3"/>
        <v>654.62081311164638</v>
      </c>
      <c r="F88" s="17">
        <f t="shared" si="4"/>
        <v>-434.62081311164638</v>
      </c>
      <c r="G88" s="17">
        <f t="shared" si="5"/>
        <v>188895.25118982865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17">
        <f t="shared" si="3"/>
        <v>682.86615609674072</v>
      </c>
      <c r="F89" s="17">
        <f t="shared" si="4"/>
        <v>-258.86615609674072</v>
      </c>
      <c r="G89" s="17">
        <f t="shared" si="5"/>
        <v>67011.686772302128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17">
        <f t="shared" si="3"/>
        <v>682.86615609674072</v>
      </c>
      <c r="F90" s="17">
        <f t="shared" si="4"/>
        <v>-72.866156096740724</v>
      </c>
      <c r="G90" s="17">
        <f t="shared" si="5"/>
        <v>5309.4767043145857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636</v>
      </c>
      <c r="C91" s="5">
        <v>0.97</v>
      </c>
      <c r="E91" s="17">
        <f t="shared" si="3"/>
        <v>682.86615609674072</v>
      </c>
      <c r="F91" s="17">
        <f t="shared" si="4"/>
        <v>-46.866156096740724</v>
      </c>
      <c r="G91" s="17">
        <f t="shared" si="5"/>
        <v>2196.4365872840676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17">
        <f t="shared" si="3"/>
        <v>711.11149908183552</v>
      </c>
      <c r="F92" s="17">
        <f t="shared" si="4"/>
        <v>-205.11149908183552</v>
      </c>
      <c r="G92" s="17">
        <f t="shared" si="5"/>
        <v>42070.72705559781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567</v>
      </c>
      <c r="C93" s="5">
        <v>0.96</v>
      </c>
      <c r="E93" s="17">
        <f t="shared" si="3"/>
        <v>711.11149908183552</v>
      </c>
      <c r="F93" s="17">
        <f t="shared" si="4"/>
        <v>-144.11149908183552</v>
      </c>
      <c r="G93" s="17">
        <f t="shared" si="5"/>
        <v>20768.124167613878</v>
      </c>
      <c r="O93" s="96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478</v>
      </c>
      <c r="C94" s="5">
        <v>0.94</v>
      </c>
      <c r="E94" s="17">
        <f t="shared" si="3"/>
        <v>767.60218505202465</v>
      </c>
      <c r="F94" s="17">
        <f t="shared" si="4"/>
        <v>-289.60218505202465</v>
      </c>
      <c r="G94" s="17">
        <f t="shared" si="5"/>
        <v>83869.425586907135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196</v>
      </c>
      <c r="C95" s="5">
        <v>0.92</v>
      </c>
      <c r="E95" s="17">
        <f t="shared" si="3"/>
        <v>824.09287102221333</v>
      </c>
      <c r="F95" s="17">
        <f t="shared" si="4"/>
        <v>-628.09287102221333</v>
      </c>
      <c r="G95" s="17">
        <f t="shared" si="5"/>
        <v>394500.65462892671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353</v>
      </c>
      <c r="C96" s="5">
        <v>0.91</v>
      </c>
      <c r="E96" s="17">
        <f t="shared" si="3"/>
        <v>852.33821400730767</v>
      </c>
      <c r="F96" s="17">
        <f t="shared" si="4"/>
        <v>-499.33821400730767</v>
      </c>
      <c r="G96" s="17">
        <f t="shared" si="5"/>
        <v>249338.65196800779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17">
        <f t="shared" si="3"/>
        <v>880.58355699240246</v>
      </c>
      <c r="F97" s="17">
        <f t="shared" si="4"/>
        <v>-308.58355699240246</v>
      </c>
      <c r="G97" s="17">
        <f t="shared" si="5"/>
        <v>95223.811646083297</v>
      </c>
      <c r="O97" s="98" t="s">
        <v>35</v>
      </c>
      <c r="P97" s="119">
        <f xml:space="preserve"> SQRT((1/ (B133-2)) * SUM(G11:G130))</f>
        <v>1426.0198866380113</v>
      </c>
      <c r="Q97" s="119"/>
    </row>
    <row r="98" spans="1:22" ht="18" customHeight="1" x14ac:dyDescent="0.2">
      <c r="A98" s="4">
        <v>44315</v>
      </c>
      <c r="B98" s="5">
        <v>470</v>
      </c>
      <c r="C98" s="5">
        <v>0.89</v>
      </c>
      <c r="E98" s="17">
        <f t="shared" si="3"/>
        <v>908.8288999774968</v>
      </c>
      <c r="F98" s="17">
        <f t="shared" si="4"/>
        <v>-438.8288999774968</v>
      </c>
      <c r="G98" s="17">
        <f t="shared" si="5"/>
        <v>192570.80345545989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17">
        <f t="shared" si="3"/>
        <v>937.0742429625916</v>
      </c>
      <c r="F99" s="17">
        <f t="shared" si="4"/>
        <v>-477.0742429625916</v>
      </c>
      <c r="G99" s="17">
        <f t="shared" si="5"/>
        <v>227599.83329832988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17">
        <f t="shared" si="3"/>
        <v>965.31958594768594</v>
      </c>
      <c r="F100" s="17">
        <f t="shared" si="4"/>
        <v>-511.31958594768594</v>
      </c>
      <c r="G100" s="17">
        <f t="shared" si="5"/>
        <v>261447.718973713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17">
        <f t="shared" si="3"/>
        <v>993.56492893278028</v>
      </c>
      <c r="F101" s="17">
        <f t="shared" si="4"/>
        <v>-663.56492893278028</v>
      </c>
      <c r="G101" s="17">
        <f t="shared" si="5"/>
        <v>440318.41490956576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17">
        <f t="shared" si="3"/>
        <v>993.56492893278028</v>
      </c>
      <c r="F102" s="17">
        <f t="shared" si="4"/>
        <v>-813.56492893278028</v>
      </c>
      <c r="G102" s="17">
        <f t="shared" si="5"/>
        <v>661887.89358939987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17">
        <f t="shared" si="3"/>
        <v>1021.8102719178751</v>
      </c>
      <c r="F103" s="17">
        <f t="shared" si="4"/>
        <v>-763.81027191787507</v>
      </c>
      <c r="G103" s="17">
        <f t="shared" si="5"/>
        <v>583406.13148725824</v>
      </c>
      <c r="O103" s="16"/>
      <c r="P103" s="127">
        <f>SQRT( (1/B133) + (POWER(P34,2) / P36))</f>
        <v>0.35912507850684838</v>
      </c>
      <c r="Q103" s="127"/>
      <c r="T103" s="16"/>
      <c r="U103" s="127">
        <f>SQRT( 1/P36 )</f>
        <v>0.4172538733009396</v>
      </c>
      <c r="V103" s="127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17">
        <f t="shared" si="3"/>
        <v>1021.8102719178751</v>
      </c>
      <c r="F104" s="17">
        <f t="shared" si="4"/>
        <v>-634.81027191787507</v>
      </c>
      <c r="G104" s="17">
        <f t="shared" si="5"/>
        <v>402984.08133244648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17">
        <f t="shared" si="3"/>
        <v>965.31958594768594</v>
      </c>
      <c r="F105" s="17">
        <f t="shared" si="4"/>
        <v>-592.31958594768594</v>
      </c>
      <c r="G105" s="17">
        <f t="shared" si="5"/>
        <v>350842.49189723813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17">
        <f t="shared" si="3"/>
        <v>908.8288999774968</v>
      </c>
      <c r="F106" s="17">
        <f t="shared" si="4"/>
        <v>-531.8288999774968</v>
      </c>
      <c r="G106" s="17">
        <f t="shared" si="5"/>
        <v>282841.9788512743</v>
      </c>
      <c r="O106" s="19" t="s">
        <v>36</v>
      </c>
      <c r="P106" s="119">
        <f>P95*P97*P103</f>
        <v>1014.1360415701497</v>
      </c>
      <c r="Q106" s="119"/>
      <c r="T106" s="19" t="s">
        <v>36</v>
      </c>
      <c r="U106" s="119">
        <f>P95*P97*U103</f>
        <v>1178.2863874575062</v>
      </c>
      <c r="V106" s="119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17">
        <f t="shared" si="3"/>
        <v>852.33821400730767</v>
      </c>
      <c r="F107" s="17">
        <f t="shared" si="4"/>
        <v>-446.33821400730767</v>
      </c>
      <c r="G107" s="17">
        <f t="shared" si="5"/>
        <v>199217.80128323319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17">
        <f t="shared" si="3"/>
        <v>795.84752803711854</v>
      </c>
      <c r="F108" s="17">
        <f t="shared" si="4"/>
        <v>-471.84752803711854</v>
      </c>
      <c r="G108" s="17">
        <f t="shared" si="5"/>
        <v>222640.08971473936</v>
      </c>
      <c r="O108" s="16" t="s">
        <v>37</v>
      </c>
      <c r="P108" s="120">
        <f>ROUND(P40-P106,4)</f>
        <v>2408.5284000000001</v>
      </c>
      <c r="Q108" s="120"/>
      <c r="T108" s="16" t="s">
        <v>37</v>
      </c>
      <c r="U108" s="120">
        <f>ROUND(P41-U106,4)</f>
        <v>-4002.8207000000002</v>
      </c>
      <c r="V108" s="120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17">
        <f t="shared" si="3"/>
        <v>739.35684206692986</v>
      </c>
      <c r="F109" s="17">
        <f t="shared" si="4"/>
        <v>-581.35684206692986</v>
      </c>
      <c r="G109" s="17">
        <f t="shared" si="5"/>
        <v>337975.77781803324</v>
      </c>
      <c r="O109" s="13" t="s">
        <v>38</v>
      </c>
      <c r="P109" s="122">
        <f>ROUND(P40+P106,4)</f>
        <v>4436.8005000000003</v>
      </c>
      <c r="Q109" s="122"/>
      <c r="T109" s="13" t="s">
        <v>38</v>
      </c>
      <c r="U109" s="122">
        <f>ROUND(P41+U106,4)</f>
        <v>-1646.2479000000001</v>
      </c>
      <c r="V109" s="122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17">
        <f t="shared" si="3"/>
        <v>682.86615609674072</v>
      </c>
      <c r="F110" s="17">
        <f t="shared" si="4"/>
        <v>-414.86615609674072</v>
      </c>
      <c r="G110" s="17">
        <f t="shared" si="5"/>
        <v>172113.92747448524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17">
        <f t="shared" si="3"/>
        <v>598.13012714145725</v>
      </c>
      <c r="F111" s="17">
        <f t="shared" si="4"/>
        <v>-113.13012714145725</v>
      </c>
      <c r="G111" s="17">
        <f t="shared" si="5"/>
        <v>12798.425667042282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17">
        <f t="shared" si="3"/>
        <v>541.63944117126812</v>
      </c>
      <c r="F112" s="17">
        <f t="shared" si="4"/>
        <v>-105.63944117126812</v>
      </c>
      <c r="G112" s="17">
        <f t="shared" si="5"/>
        <v>11159.691530977818</v>
      </c>
    </row>
    <row r="113" spans="1:25" ht="18" customHeight="1" x14ac:dyDescent="0.2">
      <c r="A113" s="4">
        <v>44330</v>
      </c>
      <c r="B113" s="5">
        <v>450</v>
      </c>
      <c r="C113" s="5">
        <v>1.04</v>
      </c>
      <c r="E113" s="17">
        <f t="shared" si="3"/>
        <v>485.14875520107898</v>
      </c>
      <c r="F113" s="17">
        <f t="shared" si="4"/>
        <v>-35.148755201078984</v>
      </c>
      <c r="G113" s="17">
        <f t="shared" si="5"/>
        <v>1235.434992185377</v>
      </c>
    </row>
    <row r="114" spans="1:25" ht="18" customHeight="1" x14ac:dyDescent="0.2">
      <c r="A114" s="4">
        <v>44331</v>
      </c>
      <c r="B114" s="5">
        <v>469</v>
      </c>
      <c r="C114" s="5">
        <v>1.05</v>
      </c>
      <c r="E114" s="17">
        <f t="shared" si="3"/>
        <v>456.90341221598464</v>
      </c>
      <c r="F114" s="17">
        <f t="shared" si="4"/>
        <v>12.096587784015355</v>
      </c>
      <c r="G114" s="17">
        <f t="shared" si="5"/>
        <v>146.32743601638953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1.06</v>
      </c>
      <c r="E115" s="17">
        <f t="shared" si="3"/>
        <v>428.65806923088985</v>
      </c>
      <c r="F115" s="17">
        <f t="shared" si="4"/>
        <v>-94.658069230889851</v>
      </c>
      <c r="G115" s="17">
        <f t="shared" si="5"/>
        <v>8960.150070519936</v>
      </c>
    </row>
    <row r="116" spans="1:25" ht="18" customHeight="1" x14ac:dyDescent="0.2">
      <c r="A116" s="4">
        <v>44333</v>
      </c>
      <c r="B116" s="5">
        <v>199</v>
      </c>
      <c r="C116" s="5">
        <v>1.07</v>
      </c>
      <c r="E116" s="17">
        <f t="shared" si="3"/>
        <v>400.41272624579551</v>
      </c>
      <c r="F116" s="17">
        <f t="shared" si="4"/>
        <v>-201.41272624579551</v>
      </c>
      <c r="G116" s="17">
        <f t="shared" si="5"/>
        <v>40567.086293763765</v>
      </c>
    </row>
    <row r="117" spans="1:25" ht="18" customHeight="1" x14ac:dyDescent="0.2">
      <c r="A117" s="4">
        <v>44334</v>
      </c>
      <c r="B117" s="5">
        <v>386</v>
      </c>
      <c r="C117" s="5">
        <v>1.08</v>
      </c>
      <c r="E117" s="17">
        <f t="shared" si="3"/>
        <v>372.16738326070117</v>
      </c>
      <c r="F117" s="17">
        <f t="shared" si="4"/>
        <v>13.832616739298828</v>
      </c>
      <c r="G117" s="17">
        <f t="shared" si="5"/>
        <v>191.34128585633013</v>
      </c>
    </row>
    <row r="118" spans="1:25" ht="18" customHeight="1" x14ac:dyDescent="0.2">
      <c r="A118" s="4">
        <v>44335</v>
      </c>
      <c r="B118" s="5">
        <v>511</v>
      </c>
      <c r="C118" s="5">
        <v>1.0900000000000001</v>
      </c>
      <c r="E118" s="17">
        <f t="shared" si="3"/>
        <v>343.92204027560638</v>
      </c>
      <c r="F118" s="17">
        <f t="shared" si="4"/>
        <v>167.07795972439362</v>
      </c>
      <c r="G118" s="17">
        <f t="shared" si="5"/>
        <v>27915.044625666098</v>
      </c>
    </row>
    <row r="119" spans="1:25" ht="18" customHeight="1" x14ac:dyDescent="0.2">
      <c r="A119" s="4">
        <v>44336</v>
      </c>
      <c r="B119" s="5">
        <v>451</v>
      </c>
      <c r="C119" s="5">
        <v>1.1000000000000001</v>
      </c>
      <c r="E119" s="17">
        <f t="shared" si="3"/>
        <v>315.67669729051204</v>
      </c>
      <c r="F119" s="17">
        <f t="shared" si="4"/>
        <v>135.32330270948796</v>
      </c>
      <c r="G119" s="17">
        <f t="shared" si="5"/>
        <v>18312.396256203712</v>
      </c>
    </row>
    <row r="120" spans="1:25" ht="18" customHeight="1" x14ac:dyDescent="0.2">
      <c r="A120" s="4">
        <v>44337</v>
      </c>
      <c r="B120" s="5">
        <v>559</v>
      </c>
      <c r="C120" s="5">
        <v>1.1200000000000001</v>
      </c>
      <c r="E120" s="17">
        <f t="shared" si="3"/>
        <v>259.1860113203229</v>
      </c>
      <c r="F120" s="17">
        <f t="shared" si="4"/>
        <v>299.8139886796771</v>
      </c>
      <c r="G120" s="17">
        <f t="shared" si="5"/>
        <v>89888.427808017543</v>
      </c>
    </row>
    <row r="121" spans="1:25" ht="18" customHeight="1" x14ac:dyDescent="0.25">
      <c r="A121" s="4">
        <v>44338</v>
      </c>
      <c r="B121" s="5">
        <v>523</v>
      </c>
      <c r="C121" s="5">
        <v>1.1200000000000001</v>
      </c>
      <c r="E121" s="17">
        <f t="shared" si="3"/>
        <v>259.1860113203229</v>
      </c>
      <c r="F121" s="17">
        <f t="shared" si="4"/>
        <v>263.8139886796771</v>
      </c>
      <c r="G121" s="17">
        <f t="shared" si="5"/>
        <v>69597.820623080799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413</v>
      </c>
      <c r="C122" s="5">
        <v>1.1200000000000001</v>
      </c>
      <c r="E122" s="17">
        <f t="shared" si="3"/>
        <v>259.1860113203229</v>
      </c>
      <c r="F122" s="17">
        <f t="shared" si="4"/>
        <v>153.8139886796771</v>
      </c>
      <c r="G122" s="17">
        <f t="shared" si="5"/>
        <v>23658.743113551835</v>
      </c>
    </row>
    <row r="123" spans="1:25" ht="18" customHeight="1" x14ac:dyDescent="0.2">
      <c r="A123" s="4">
        <v>44340</v>
      </c>
      <c r="B123" s="5">
        <v>241</v>
      </c>
      <c r="C123" s="5">
        <v>1.1100000000000001</v>
      </c>
      <c r="E123" s="17">
        <f t="shared" si="3"/>
        <v>287.43135430541724</v>
      </c>
      <c r="F123" s="17">
        <f t="shared" si="4"/>
        <v>-46.431354305417244</v>
      </c>
      <c r="G123" s="17">
        <f t="shared" si="5"/>
        <v>2155.8706626351886</v>
      </c>
    </row>
    <row r="124" spans="1:25" ht="18" customHeight="1" x14ac:dyDescent="0.2">
      <c r="A124" s="4">
        <v>44341</v>
      </c>
      <c r="B124" s="5">
        <v>375</v>
      </c>
      <c r="C124" s="5">
        <v>1.1200000000000001</v>
      </c>
      <c r="E124" s="17">
        <f t="shared" si="3"/>
        <v>259.1860113203229</v>
      </c>
      <c r="F124" s="17">
        <f t="shared" si="4"/>
        <v>115.8139886796771</v>
      </c>
      <c r="G124" s="17">
        <f t="shared" si="5"/>
        <v>13412.879973896373</v>
      </c>
    </row>
    <row r="125" spans="1:25" ht="18" customHeight="1" x14ac:dyDescent="0.2">
      <c r="A125" s="4">
        <v>44342</v>
      </c>
      <c r="B125" s="5">
        <v>594</v>
      </c>
      <c r="C125" s="5">
        <v>1.1299999999999999</v>
      </c>
      <c r="E125" s="17">
        <f t="shared" si="3"/>
        <v>230.94066833522902</v>
      </c>
      <c r="F125" s="17">
        <f t="shared" si="4"/>
        <v>363.05933166477098</v>
      </c>
      <c r="G125" s="17">
        <f t="shared" si="5"/>
        <v>131812.07830887017</v>
      </c>
    </row>
    <row r="126" spans="1:25" ht="18" customHeight="1" x14ac:dyDescent="0.25">
      <c r="A126" s="4">
        <v>44343</v>
      </c>
      <c r="B126" s="5">
        <v>572</v>
      </c>
      <c r="C126" s="5">
        <v>1.1399999999999999</v>
      </c>
      <c r="E126" s="17">
        <f t="shared" si="3"/>
        <v>202.69532535013423</v>
      </c>
      <c r="F126" s="17">
        <f t="shared" si="4"/>
        <v>369.30467464986577</v>
      </c>
      <c r="G126" s="17">
        <f t="shared" si="5"/>
        <v>136385.94271824323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1.1599999999999999</v>
      </c>
      <c r="E127" s="17">
        <f t="shared" si="3"/>
        <v>146.20463937994509</v>
      </c>
      <c r="F127" s="17">
        <f t="shared" si="4"/>
        <v>451.79536062005491</v>
      </c>
      <c r="G127" s="17">
        <f t="shared" si="5"/>
        <v>204119.04787780545</v>
      </c>
    </row>
    <row r="128" spans="1:25" ht="18" customHeight="1" x14ac:dyDescent="0.2">
      <c r="A128" s="4">
        <v>44345</v>
      </c>
      <c r="B128" s="5">
        <v>609</v>
      </c>
      <c r="C128" s="5">
        <v>1.1599999999999999</v>
      </c>
      <c r="E128" s="17">
        <f t="shared" si="3"/>
        <v>146.20463937994509</v>
      </c>
      <c r="F128" s="17">
        <f t="shared" si="4"/>
        <v>462.79536062005491</v>
      </c>
      <c r="G128" s="17">
        <f t="shared" si="5"/>
        <v>214179.54581144667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17">
        <f t="shared" si="3"/>
        <v>146.20463937994509</v>
      </c>
      <c r="F129" s="17">
        <f t="shared" si="4"/>
        <v>298.79536062005491</v>
      </c>
      <c r="G129" s="17">
        <f t="shared" si="5"/>
        <v>89278.667528068661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17">
        <f t="shared" si="3"/>
        <v>146.20463937994509</v>
      </c>
      <c r="F130" s="17">
        <f t="shared" si="4"/>
        <v>288.79536062005491</v>
      </c>
      <c r="G130" s="17">
        <f t="shared" si="5"/>
        <v>83402.760315667561</v>
      </c>
    </row>
    <row r="132" spans="1:24" ht="18" customHeight="1" x14ac:dyDescent="0.35">
      <c r="O132" s="21" t="s">
        <v>48</v>
      </c>
      <c r="P132">
        <f>ROUND((P40-0) / (P73 * SQRT( (1/B133) + (POWER(P34,2) / P36))),4)</f>
        <v>6.6833</v>
      </c>
      <c r="U132" s="21" t="s">
        <v>49</v>
      </c>
      <c r="V132">
        <f xml:space="preserve"> ROUND((P41-0) / (P73 / SQRT(P36)),4)</f>
        <v>-4.7469999999999999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99" t="s">
        <v>60</v>
      </c>
      <c r="N178" s="120" cm="1">
        <f t="array" ref="N178">SUMPRODUCT(B11:B130-P35)</f>
        <v>1.2369127944111824E-10</v>
      </c>
      <c r="O178" s="120"/>
    </row>
    <row r="179" spans="13:19" ht="18" customHeight="1" x14ac:dyDescent="0.2">
      <c r="M179" s="99" t="s">
        <v>61</v>
      </c>
      <c r="N179" s="121">
        <f>SUMPRODUCT(POWER(E11:E130-P35,2))</f>
        <v>45823995.308723822</v>
      </c>
      <c r="O179" s="121"/>
    </row>
    <row r="180" spans="13:19" ht="18" customHeight="1" x14ac:dyDescent="0.2">
      <c r="M180" s="97" t="s">
        <v>62</v>
      </c>
      <c r="N180" s="122">
        <f>SUM(G11:G130)</f>
        <v>239956860.61627617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16">
        <f>N179</f>
        <v>45823995.308723822</v>
      </c>
      <c r="P188" s="117"/>
      <c r="Q188" s="117">
        <f>O188/N188</f>
        <v>45823995.308723822</v>
      </c>
      <c r="R188" s="117"/>
      <c r="S188" s="77">
        <f>Q188/Q189</f>
        <v>22.534181488048024</v>
      </c>
    </row>
    <row r="189" spans="13:19" ht="18" customHeight="1" x14ac:dyDescent="0.25">
      <c r="M189" s="25" t="s">
        <v>58</v>
      </c>
      <c r="N189" s="95">
        <f>B133-2</f>
        <v>118</v>
      </c>
      <c r="O189" s="116">
        <f>N180</f>
        <v>239956860.61627617</v>
      </c>
      <c r="P189" s="117"/>
      <c r="Q189" s="117">
        <f>O189/N189</f>
        <v>2033532.7170870863</v>
      </c>
      <c r="R189" s="117"/>
    </row>
    <row r="190" spans="13:19" ht="18" customHeight="1" x14ac:dyDescent="0.25">
      <c r="M190" s="25" t="s">
        <v>59</v>
      </c>
      <c r="N190" s="95">
        <f>B133-1</f>
        <v>119</v>
      </c>
      <c r="O190" s="117">
        <f>N178</f>
        <v>1.2369127944111824E-10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4.8099999999999996</v>
      </c>
      <c r="E208" s="17">
        <f>$P$234 + $P$235*C208</f>
        <v>10475.887059522162</v>
      </c>
      <c r="F208" s="17">
        <f>B208-E208</f>
        <v>34422.11294047784</v>
      </c>
      <c r="G208" s="17">
        <f>POWER(F208,2)</f>
        <v>1184881859.2870121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3.53</v>
      </c>
      <c r="E209" s="17">
        <f t="shared" ref="E209:E224" si="6">$P$234 + $P$235*C209</f>
        <v>14245.553475512856</v>
      </c>
      <c r="F209" s="17">
        <f t="shared" ref="F209:F224" si="7">B209-E209</f>
        <v>6096.4465244871444</v>
      </c>
      <c r="G209" s="17">
        <f t="shared" ref="G209:G224" si="8">POWER(F209,2)</f>
        <v>37166660.225931384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3.34</v>
      </c>
      <c r="E210" s="17">
        <f t="shared" si="6"/>
        <v>14805.113334136473</v>
      </c>
      <c r="F210" s="17">
        <f t="shared" si="7"/>
        <v>-3036.113334136473</v>
      </c>
      <c r="G210" s="17">
        <f t="shared" si="8"/>
        <v>9217984.1777212899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3.5600000000000005</v>
      </c>
      <c r="E211" s="17">
        <f t="shared" si="6"/>
        <v>14157.201918888071</v>
      </c>
      <c r="F211" s="17">
        <f t="shared" si="7"/>
        <v>-7120.2019188880713</v>
      </c>
      <c r="G211" s="17">
        <f t="shared" si="8"/>
        <v>50697275.365737371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4.3</v>
      </c>
      <c r="E212" s="17">
        <f t="shared" si="6"/>
        <v>11977.863522143452</v>
      </c>
      <c r="F212" s="17">
        <f t="shared" si="7"/>
        <v>-6445.8635221434524</v>
      </c>
      <c r="G212" s="17">
        <f t="shared" si="8"/>
        <v>41549156.546099596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4.67</v>
      </c>
      <c r="E213" s="17">
        <f t="shared" si="6"/>
        <v>10888.194323771142</v>
      </c>
      <c r="F213" s="17">
        <f t="shared" si="7"/>
        <v>-6725.1943237711421</v>
      </c>
      <c r="G213" s="17">
        <f t="shared" si="8"/>
        <v>45228238.692483589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5.19</v>
      </c>
      <c r="E214" s="17">
        <f t="shared" si="6"/>
        <v>9356.7673422749212</v>
      </c>
      <c r="F214" s="17">
        <f t="shared" si="7"/>
        <v>-6083.7673422749212</v>
      </c>
      <c r="G214" s="17">
        <f t="shared" si="8"/>
        <v>37012225.074930862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5.8500000000000005</v>
      </c>
      <c r="E215" s="17">
        <f t="shared" si="6"/>
        <v>7413.0330965297217</v>
      </c>
      <c r="F215" s="17">
        <f t="shared" si="7"/>
        <v>-4536.0330965297217</v>
      </c>
      <c r="G215" s="17">
        <f t="shared" si="8"/>
        <v>20575596.252813015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6.76</v>
      </c>
      <c r="E216" s="17">
        <f t="shared" si="6"/>
        <v>4733.0358789113379</v>
      </c>
      <c r="F216" s="17">
        <f t="shared" si="7"/>
        <v>-1805.0358789113379</v>
      </c>
      <c r="G216" s="17">
        <f t="shared" si="8"/>
        <v>3258154.5241572261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7.76</v>
      </c>
      <c r="E217" s="17">
        <f t="shared" si="6"/>
        <v>1787.9839914186086</v>
      </c>
      <c r="F217" s="17">
        <f t="shared" si="7"/>
        <v>2371.0160085813914</v>
      </c>
      <c r="G217" s="17">
        <f t="shared" si="8"/>
        <v>5621716.9129492324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7.05</v>
      </c>
      <c r="E218" s="17">
        <f t="shared" si="6"/>
        <v>3878.9708315384451</v>
      </c>
      <c r="F218" s="17">
        <f t="shared" si="7"/>
        <v>-371.97083153844505</v>
      </c>
      <c r="G218" s="17">
        <f t="shared" si="8"/>
        <v>138362.29951540226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6.75</v>
      </c>
      <c r="E219" s="17">
        <f t="shared" si="6"/>
        <v>4762.486397786266</v>
      </c>
      <c r="F219" s="17">
        <f t="shared" si="7"/>
        <v>-1321.486397786266</v>
      </c>
      <c r="G219" s="17">
        <f t="shared" si="8"/>
        <v>1746326.2995341213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6.23</v>
      </c>
      <c r="E220" s="17">
        <f t="shared" si="6"/>
        <v>6293.9133792824832</v>
      </c>
      <c r="F220" s="17">
        <f t="shared" si="7"/>
        <v>-3458.9133792824832</v>
      </c>
      <c r="G220" s="17">
        <f t="shared" si="8"/>
        <v>11964081.765379367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6.16</v>
      </c>
      <c r="E221" s="17">
        <f t="shared" si="6"/>
        <v>6500.0670114069762</v>
      </c>
      <c r="F221" s="17">
        <f t="shared" si="7"/>
        <v>-4195.0670114069762</v>
      </c>
      <c r="G221" s="17">
        <f t="shared" si="8"/>
        <v>17598587.23019506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7.09</v>
      </c>
      <c r="E222" s="17">
        <f t="shared" si="6"/>
        <v>3761.1687560387363</v>
      </c>
      <c r="F222" s="17">
        <f t="shared" si="7"/>
        <v>-1161.1687560387363</v>
      </c>
      <c r="G222" s="17">
        <f t="shared" si="8"/>
        <v>1348312.8800005463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7.7</v>
      </c>
      <c r="E223" s="17">
        <f t="shared" si="6"/>
        <v>1964.6871046681699</v>
      </c>
      <c r="F223" s="17">
        <f t="shared" si="7"/>
        <v>1077.3128953318301</v>
      </c>
      <c r="G223" s="81">
        <f t="shared" si="8"/>
        <v>1160603.0744482507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7.98</v>
      </c>
      <c r="D224" s="31"/>
      <c r="E224" s="17">
        <f t="shared" si="6"/>
        <v>1140.0725761702051</v>
      </c>
      <c r="F224" s="17">
        <f t="shared" si="7"/>
        <v>2293.9274238297949</v>
      </c>
      <c r="G224" s="17">
        <f t="shared" si="8"/>
        <v>5262103.025798399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5.8076470588235294</v>
      </c>
      <c r="Q228" s="130"/>
    </row>
    <row r="229" spans="1:25" ht="18" customHeight="1" x14ac:dyDescent="0.2">
      <c r="A229" s="1"/>
      <c r="O229" s="14"/>
      <c r="P229" s="130">
        <f>AVERAGE(B208:B224)</f>
        <v>7537.7647058823532</v>
      </c>
      <c r="Q229" s="130"/>
    </row>
    <row r="230" spans="1:25" ht="18" customHeight="1" x14ac:dyDescent="0.2">
      <c r="A230" s="1"/>
      <c r="O230" s="14"/>
      <c r="P230" s="130">
        <f>SUMPRODUCT(POWER(C208:C224-P228,2))</f>
        <v>38.671905882352945</v>
      </c>
      <c r="Q230" s="130"/>
    </row>
    <row r="231" spans="1:25" ht="18" customHeight="1" x14ac:dyDescent="0.2">
      <c r="A231" s="1"/>
      <c r="O231" s="14"/>
      <c r="P231" s="130">
        <f>SUMPRODUCT(POWER(B208:B224-P229,2))</f>
        <v>1809841469.0588241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-113890.76941176475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24641.586638362191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-2945.0518874927297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0.18532795891705545</v>
      </c>
      <c r="Q244" s="120"/>
    </row>
    <row r="245" spans="1:25" ht="18" customHeight="1" x14ac:dyDescent="0.2">
      <c r="A245" s="1"/>
      <c r="O245" s="32"/>
      <c r="P245" s="122">
        <f>P232 / (SQRT(P230) * SQRT(P231))</f>
        <v>-0.43049733903597526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96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19">
        <f>SQRT((1/ (B226-2)) * SUM(G208:G224))</f>
        <v>9914.3910340296316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0.96488392152478164</v>
      </c>
      <c r="Q266" s="127"/>
      <c r="T266" s="16"/>
      <c r="U266" s="127">
        <f xml:space="preserve"> SQRT( 1/P230 )</f>
        <v>0.16080598623374892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16770.094299743752</v>
      </c>
      <c r="Q269" s="119"/>
      <c r="T269" s="19" t="s">
        <v>36</v>
      </c>
      <c r="U269" s="119">
        <f>P258*P260*U266</f>
        <v>2794.8766612689415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7871.4922999999999</v>
      </c>
      <c r="Q271" s="120"/>
      <c r="T271" s="16" t="s">
        <v>37</v>
      </c>
      <c r="U271" s="120">
        <f>ROUND(P235-U269,4)</f>
        <v>-5739.9285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41411.680899999999</v>
      </c>
      <c r="Q272" s="122"/>
      <c r="T272" s="13" t="s">
        <v>38</v>
      </c>
      <c r="U272" s="122">
        <f>ROUND(P235+U269,4)</f>
        <v>-150.17519999999999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96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19">
        <f xml:space="preserve"> SQRT((1/ (B226-2)) * SUM(G208:G224))</f>
        <v>9914.3910340296316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0.96488392152478164</v>
      </c>
      <c r="Q290" s="127"/>
      <c r="T290" s="16"/>
      <c r="U290" s="127">
        <f xml:space="preserve"> SQRT( 1/P230 )</f>
        <v>0.16080598623374892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20389.950441590063</v>
      </c>
      <c r="Q293" s="119"/>
      <c r="T293" s="19" t="s">
        <v>36</v>
      </c>
      <c r="U293" s="119">
        <f>P282*P284*U290</f>
        <v>3398.1560028855165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4251.6361999999999</v>
      </c>
      <c r="Q295" s="120"/>
      <c r="T295" s="16" t="s">
        <v>37</v>
      </c>
      <c r="U295" s="120">
        <f>ROUND(P235-U293,4)</f>
        <v>-6343.2079000000003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45031.537100000001</v>
      </c>
      <c r="Q296" s="122"/>
      <c r="T296" s="13" t="s">
        <v>38</v>
      </c>
      <c r="U296" s="122">
        <f>ROUND(P235+U293,4)</f>
        <v>453.10410000000002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2.5758999999999999</v>
      </c>
      <c r="T319" s="21" t="s">
        <v>49</v>
      </c>
      <c r="U319">
        <f>ROUND( (P235-0) / (P284 / SQRT(P230)),4)</f>
        <v>-1.8472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99" t="s">
        <v>60</v>
      </c>
      <c r="N361" s="120" cm="1">
        <f t="array" ref="N361">SUMPRODUCT(B208:B228-P229)</f>
        <v>-30134.058823529384</v>
      </c>
      <c r="O361" s="120"/>
    </row>
    <row r="362" spans="1:25" ht="18" customHeight="1" x14ac:dyDescent="0.2">
      <c r="A362" s="1"/>
      <c r="M362" s="99" t="s">
        <v>61</v>
      </c>
      <c r="N362" s="121" cm="1">
        <f t="array" ref="N362">SUMPRODUCT(POWER(E208:E225-P229,2))</f>
        <v>392232122.18536264</v>
      </c>
      <c r="O362" s="121"/>
    </row>
    <row r="363" spans="1:25" ht="18" customHeight="1" x14ac:dyDescent="0.2">
      <c r="A363" s="1"/>
      <c r="M363" s="97" t="s">
        <v>62</v>
      </c>
      <c r="N363" s="122">
        <f>SUM(G208:G225)</f>
        <v>1474427243.6347075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16">
        <f>N362</f>
        <v>392232122.18536264</v>
      </c>
      <c r="P371" s="117"/>
      <c r="Q371" s="117">
        <f>O371/N371</f>
        <v>392232122.18536264</v>
      </c>
      <c r="R371" s="117"/>
      <c r="S371" s="77">
        <f>Q371/Q372</f>
        <v>3.9903507332628241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16">
        <f>N363</f>
        <v>1474427243.6347075</v>
      </c>
      <c r="P372" s="117"/>
      <c r="Q372" s="117">
        <f>O372/N372</f>
        <v>98295149.57564716</v>
      </c>
      <c r="R372" s="117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17">
        <f>N361</f>
        <v>-30134.058823529384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707B-6C9E-481C-9A55-88887E7AA037}">
  <dimension ref="A3:AD444"/>
  <sheetViews>
    <sheetView topLeftCell="H84" zoomScale="112" zoomScaleNormal="112" workbookViewId="0">
      <selection activeCell="Z347" sqref="Z347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63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865</v>
      </c>
      <c r="E11" s="17">
        <f>$P$40 + $P$41*C11</f>
        <v>3606.5414363595655</v>
      </c>
      <c r="F11" s="17">
        <f>B11-E11</f>
        <v>2198.4585636404345</v>
      </c>
      <c r="G11" s="17">
        <f>POWER(F11,2)</f>
        <v>4833220.056043962</v>
      </c>
    </row>
    <row r="12" spans="1:30" ht="18" customHeight="1" x14ac:dyDescent="0.2">
      <c r="A12" s="4">
        <v>44229</v>
      </c>
      <c r="B12" s="5">
        <v>5540</v>
      </c>
      <c r="C12" s="5">
        <v>852</v>
      </c>
      <c r="E12" s="17">
        <f t="shared" ref="E12:E75" si="0">$P$40 + $P$41*C12</f>
        <v>3550.1230438589819</v>
      </c>
      <c r="F12" s="17">
        <f t="shared" ref="F12:F75" si="1">B12-E12</f>
        <v>1989.8769561410181</v>
      </c>
      <c r="G12" s="17">
        <f t="shared" ref="G12:G75" si="2">POWER(F12,2)</f>
        <v>3959610.3005810436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877</v>
      </c>
      <c r="E13" s="17">
        <f t="shared" si="0"/>
        <v>3658.6199525139509</v>
      </c>
      <c r="F13" s="17">
        <f t="shared" si="1"/>
        <v>5424.3800474860491</v>
      </c>
      <c r="G13" s="17">
        <f t="shared" si="2"/>
        <v>29423898.89956475</v>
      </c>
    </row>
    <row r="14" spans="1:30" ht="18" customHeight="1" x14ac:dyDescent="0.2">
      <c r="A14" s="4">
        <v>44231</v>
      </c>
      <c r="B14" s="5">
        <v>7914</v>
      </c>
      <c r="C14" s="5">
        <v>863</v>
      </c>
      <c r="E14" s="17">
        <f t="shared" si="0"/>
        <v>3597.8616836671681</v>
      </c>
      <c r="F14" s="17">
        <f t="shared" si="1"/>
        <v>4316.1383163328319</v>
      </c>
      <c r="G14" s="17">
        <f t="shared" si="2"/>
        <v>18629049.965716414</v>
      </c>
    </row>
    <row r="15" spans="1:30" ht="18" customHeight="1" x14ac:dyDescent="0.2">
      <c r="A15" s="4">
        <v>44232</v>
      </c>
      <c r="B15" s="5">
        <v>6916</v>
      </c>
      <c r="C15" s="5">
        <v>904</v>
      </c>
      <c r="E15" s="17">
        <f t="shared" si="0"/>
        <v>3775.7966138613174</v>
      </c>
      <c r="F15" s="17">
        <f t="shared" si="1"/>
        <v>3140.2033861386826</v>
      </c>
      <c r="G15" s="17">
        <f t="shared" si="2"/>
        <v>9860877.3063168488</v>
      </c>
    </row>
    <row r="16" spans="1:30" ht="18" customHeight="1" x14ac:dyDescent="0.2">
      <c r="A16" s="4">
        <v>44233</v>
      </c>
      <c r="B16" s="5">
        <v>6132</v>
      </c>
      <c r="C16" s="5">
        <v>891</v>
      </c>
      <c r="E16" s="17">
        <f t="shared" si="0"/>
        <v>3719.3782213607328</v>
      </c>
      <c r="F16" s="17">
        <f t="shared" si="1"/>
        <v>2412.6217786392672</v>
      </c>
      <c r="G16" s="17">
        <f t="shared" si="2"/>
        <v>5820743.8467645012</v>
      </c>
    </row>
    <row r="17" spans="1:24" ht="18" customHeight="1" x14ac:dyDescent="0.2">
      <c r="A17" s="4">
        <v>44234</v>
      </c>
      <c r="B17" s="5">
        <v>3508</v>
      </c>
      <c r="C17" s="5">
        <v>865</v>
      </c>
      <c r="E17" s="17">
        <f t="shared" si="0"/>
        <v>3606.5414363595655</v>
      </c>
      <c r="F17" s="17">
        <f t="shared" si="1"/>
        <v>-98.541436359565523</v>
      </c>
      <c r="G17" s="17">
        <f t="shared" si="2"/>
        <v>9710.414679806303</v>
      </c>
    </row>
    <row r="18" spans="1:24" ht="18" customHeight="1" x14ac:dyDescent="0.2">
      <c r="A18" s="4">
        <v>44235</v>
      </c>
      <c r="B18" s="5">
        <v>2505</v>
      </c>
      <c r="C18" s="5">
        <v>877</v>
      </c>
      <c r="E18" s="17">
        <f t="shared" si="0"/>
        <v>3658.6199525139509</v>
      </c>
      <c r="F18" s="17">
        <f t="shared" si="1"/>
        <v>-1153.6199525139509</v>
      </c>
      <c r="G18" s="17">
        <f t="shared" si="2"/>
        <v>1330838.9948382904</v>
      </c>
    </row>
    <row r="19" spans="1:24" ht="18" customHeight="1" x14ac:dyDescent="0.2">
      <c r="A19" s="4">
        <v>44236</v>
      </c>
      <c r="B19" s="5">
        <v>2583</v>
      </c>
      <c r="C19" s="5">
        <v>862</v>
      </c>
      <c r="E19" s="17">
        <f t="shared" si="0"/>
        <v>3593.5218073209689</v>
      </c>
      <c r="F19" s="17">
        <f t="shared" si="1"/>
        <v>-1010.5218073209689</v>
      </c>
      <c r="G19" s="17">
        <f t="shared" si="2"/>
        <v>1021154.3230712375</v>
      </c>
    </row>
    <row r="20" spans="1:24" ht="18" customHeight="1" x14ac:dyDescent="0.2">
      <c r="A20" s="4">
        <v>44237</v>
      </c>
      <c r="B20" s="5">
        <v>4387</v>
      </c>
      <c r="C20" s="5">
        <v>853</v>
      </c>
      <c r="E20" s="17">
        <f t="shared" si="0"/>
        <v>3554.4629202051801</v>
      </c>
      <c r="F20" s="17">
        <f t="shared" si="1"/>
        <v>832.53707979481987</v>
      </c>
      <c r="G20" s="17">
        <f t="shared" si="2"/>
        <v>693117.98923328624</v>
      </c>
    </row>
    <row r="21" spans="1:24" ht="18" customHeight="1" x14ac:dyDescent="0.2">
      <c r="A21" s="4">
        <v>44238</v>
      </c>
      <c r="B21" s="5">
        <v>3480</v>
      </c>
      <c r="C21" s="5">
        <v>836</v>
      </c>
      <c r="E21" s="17">
        <f t="shared" si="0"/>
        <v>3480.6850223198016</v>
      </c>
      <c r="F21" s="17">
        <f t="shared" si="1"/>
        <v>-0.68502231980164652</v>
      </c>
      <c r="G21" s="17">
        <f t="shared" si="2"/>
        <v>0.46925557862642925</v>
      </c>
    </row>
    <row r="22" spans="1:24" ht="18" customHeight="1" x14ac:dyDescent="0.2">
      <c r="A22" s="4">
        <v>44239</v>
      </c>
      <c r="B22" s="5">
        <v>2854</v>
      </c>
      <c r="C22" s="5">
        <v>846</v>
      </c>
      <c r="E22" s="17">
        <f t="shared" si="0"/>
        <v>3524.0837857817896</v>
      </c>
      <c r="F22" s="17">
        <f t="shared" si="1"/>
        <v>-670.08378578178963</v>
      </c>
      <c r="G22" s="17">
        <f t="shared" si="2"/>
        <v>449012.27996765531</v>
      </c>
    </row>
    <row r="23" spans="1:24" ht="18" customHeight="1" x14ac:dyDescent="0.2">
      <c r="A23" s="4">
        <v>44240</v>
      </c>
      <c r="B23" s="5">
        <v>2856</v>
      </c>
      <c r="C23" s="5">
        <v>803</v>
      </c>
      <c r="E23" s="17">
        <f t="shared" si="0"/>
        <v>3337.4691028952429</v>
      </c>
      <c r="F23" s="17">
        <f t="shared" si="1"/>
        <v>-481.46910289524294</v>
      </c>
      <c r="G23" s="17">
        <f t="shared" si="2"/>
        <v>231812.49704275004</v>
      </c>
    </row>
    <row r="24" spans="1:24" ht="18" customHeight="1" x14ac:dyDescent="0.2">
      <c r="A24" s="4">
        <v>44241</v>
      </c>
      <c r="B24" s="5">
        <v>1677</v>
      </c>
      <c r="C24" s="5">
        <v>795</v>
      </c>
      <c r="E24" s="17">
        <f t="shared" si="0"/>
        <v>3302.7500921256524</v>
      </c>
      <c r="F24" s="17">
        <f t="shared" si="1"/>
        <v>-1625.7500921256524</v>
      </c>
      <c r="G24" s="17">
        <f t="shared" si="2"/>
        <v>2643063.3620465673</v>
      </c>
    </row>
    <row r="25" spans="1:24" ht="18" customHeight="1" x14ac:dyDescent="0.2">
      <c r="A25" s="4">
        <v>44242</v>
      </c>
      <c r="B25" s="5">
        <v>1303</v>
      </c>
      <c r="C25" s="5">
        <v>784</v>
      </c>
      <c r="E25" s="17">
        <f t="shared" si="0"/>
        <v>3255.0114523174661</v>
      </c>
      <c r="F25" s="17">
        <f t="shared" si="1"/>
        <v>-1952.0114523174661</v>
      </c>
      <c r="G25" s="17">
        <f t="shared" si="2"/>
        <v>3810348.7099785432</v>
      </c>
    </row>
    <row r="26" spans="1:24" ht="18" customHeight="1" x14ac:dyDescent="0.2">
      <c r="A26" s="4">
        <v>44243</v>
      </c>
      <c r="B26" s="5">
        <v>1502</v>
      </c>
      <c r="C26" s="5">
        <v>752</v>
      </c>
      <c r="E26" s="17">
        <f t="shared" si="0"/>
        <v>3116.1354092391066</v>
      </c>
      <c r="F26" s="17">
        <f t="shared" si="1"/>
        <v>-1614.1354092391066</v>
      </c>
      <c r="G26" s="17">
        <f t="shared" si="2"/>
        <v>2605433.1193594979</v>
      </c>
    </row>
    <row r="27" spans="1:24" ht="18" customHeight="1" x14ac:dyDescent="0.2">
      <c r="A27" s="4">
        <v>44244</v>
      </c>
      <c r="B27" s="5">
        <v>2324</v>
      </c>
      <c r="C27" s="5">
        <v>719</v>
      </c>
      <c r="E27" s="17">
        <f t="shared" si="0"/>
        <v>2972.919489814547</v>
      </c>
      <c r="F27" s="17">
        <f t="shared" si="1"/>
        <v>-648.91948981454698</v>
      </c>
      <c r="G27" s="17">
        <f t="shared" si="2"/>
        <v>421096.50426117191</v>
      </c>
    </row>
    <row r="28" spans="1:24" ht="18" customHeight="1" x14ac:dyDescent="0.2">
      <c r="A28" s="4">
        <v>44245</v>
      </c>
      <c r="B28" s="5">
        <v>1944</v>
      </c>
      <c r="C28" s="5">
        <v>688</v>
      </c>
      <c r="E28" s="17">
        <f t="shared" si="0"/>
        <v>2838.3833230823857</v>
      </c>
      <c r="F28" s="17">
        <f t="shared" si="1"/>
        <v>-894.38332308238569</v>
      </c>
      <c r="G28" s="17">
        <f t="shared" si="2"/>
        <v>799921.52860789106</v>
      </c>
    </row>
    <row r="29" spans="1:24" ht="18" customHeight="1" x14ac:dyDescent="0.2">
      <c r="A29" s="4">
        <v>44246</v>
      </c>
      <c r="B29" s="5">
        <v>1940</v>
      </c>
      <c r="C29" s="5">
        <v>669</v>
      </c>
      <c r="E29" s="17">
        <f t="shared" si="0"/>
        <v>2755.9256725046098</v>
      </c>
      <c r="F29" s="17">
        <f t="shared" si="1"/>
        <v>-815.92567250460979</v>
      </c>
      <c r="G29" s="17">
        <f t="shared" si="2"/>
        <v>665734.70305209979</v>
      </c>
    </row>
    <row r="30" spans="1:24" ht="18" customHeight="1" x14ac:dyDescent="0.2">
      <c r="A30" s="4">
        <v>44247</v>
      </c>
      <c r="B30" s="5">
        <v>1570</v>
      </c>
      <c r="C30" s="5">
        <v>656</v>
      </c>
      <c r="E30" s="17">
        <f t="shared" si="0"/>
        <v>2699.5072800040261</v>
      </c>
      <c r="F30" s="17">
        <f t="shared" si="1"/>
        <v>-1129.5072800040261</v>
      </c>
      <c r="G30" s="17">
        <f t="shared" si="2"/>
        <v>1275786.6955820934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638</v>
      </c>
      <c r="E31" s="17">
        <f t="shared" si="0"/>
        <v>2621.3895057724485</v>
      </c>
      <c r="F31" s="17">
        <f t="shared" si="1"/>
        <v>-1435.3895057724485</v>
      </c>
      <c r="G31" s="17">
        <f t="shared" si="2"/>
        <v>2060343.0332816739</v>
      </c>
    </row>
    <row r="32" spans="1:24" ht="18" customHeight="1" x14ac:dyDescent="0.2">
      <c r="A32" s="4">
        <v>44249</v>
      </c>
      <c r="B32" s="5">
        <v>549</v>
      </c>
      <c r="C32" s="5">
        <v>627</v>
      </c>
      <c r="E32" s="17">
        <f t="shared" si="0"/>
        <v>2573.6508659642623</v>
      </c>
      <c r="F32" s="17">
        <f t="shared" si="1"/>
        <v>-2024.6508659642623</v>
      </c>
      <c r="G32" s="17">
        <f t="shared" si="2"/>
        <v>4099211.1290498371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17">
        <f t="shared" si="0"/>
        <v>2443.4545755782992</v>
      </c>
      <c r="F33" s="17">
        <f t="shared" si="1"/>
        <v>-1411.4545755782992</v>
      </c>
      <c r="G33" s="17">
        <f t="shared" si="2"/>
        <v>1992204.0189209168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1480</v>
      </c>
      <c r="C34" s="5">
        <v>567</v>
      </c>
      <c r="E34" s="17">
        <f t="shared" si="0"/>
        <v>2313.2582851923371</v>
      </c>
      <c r="F34" s="17">
        <f t="shared" si="1"/>
        <v>-833.2582851923371</v>
      </c>
      <c r="G34" s="17">
        <f t="shared" si="2"/>
        <v>694319.36984167423</v>
      </c>
      <c r="O34" s="14"/>
      <c r="P34" s="130">
        <f>AVERAGE(C11:C130)</f>
        <v>280.86666666666667</v>
      </c>
      <c r="Q34" s="130"/>
    </row>
    <row r="35" spans="1:24" ht="18" customHeight="1" x14ac:dyDescent="0.2">
      <c r="A35" s="4">
        <v>44252</v>
      </c>
      <c r="B35" s="5">
        <v>1160</v>
      </c>
      <c r="C35" s="5">
        <v>536</v>
      </c>
      <c r="E35" s="17">
        <f t="shared" si="0"/>
        <v>2178.7221184601749</v>
      </c>
      <c r="F35" s="17">
        <f t="shared" si="1"/>
        <v>-1018.7221184601749</v>
      </c>
      <c r="G35" s="17">
        <f t="shared" si="2"/>
        <v>1037794.7546399867</v>
      </c>
      <c r="O35" s="14"/>
      <c r="P35" s="130">
        <f>AVERAGE(B11:B130)</f>
        <v>1071.4749999999999</v>
      </c>
      <c r="Q35" s="130"/>
    </row>
    <row r="36" spans="1:24" ht="18" customHeight="1" x14ac:dyDescent="0.2">
      <c r="A36" s="4">
        <v>44253</v>
      </c>
      <c r="B36" s="5">
        <v>1027</v>
      </c>
      <c r="C36" s="5">
        <v>522</v>
      </c>
      <c r="E36" s="17">
        <f t="shared" si="0"/>
        <v>2117.963849613393</v>
      </c>
      <c r="F36" s="17">
        <f t="shared" si="1"/>
        <v>-1090.963849613393</v>
      </c>
      <c r="G36" s="17">
        <f t="shared" si="2"/>
        <v>1190202.1211632739</v>
      </c>
      <c r="O36" s="14"/>
      <c r="P36" s="130">
        <f>SUMPRODUCT(POWER(C11:C130-P34,2))</f>
        <v>9081979.8666666709</v>
      </c>
      <c r="Q36" s="130"/>
    </row>
    <row r="37" spans="1:24" ht="18" customHeight="1" x14ac:dyDescent="0.2">
      <c r="A37" s="4">
        <v>44254</v>
      </c>
      <c r="B37" s="5">
        <v>1071</v>
      </c>
      <c r="C37" s="5">
        <v>492</v>
      </c>
      <c r="E37" s="17">
        <f t="shared" si="0"/>
        <v>1987.7675592274302</v>
      </c>
      <c r="F37" s="17">
        <f t="shared" si="1"/>
        <v>-916.76755922743018</v>
      </c>
      <c r="G37" s="17">
        <f t="shared" si="2"/>
        <v>840462.75765181973</v>
      </c>
      <c r="O37" s="14"/>
      <c r="P37" s="130">
        <f>SUMPRODUCT(POWER(B11:B130-P35,2))</f>
        <v>285780855.92500037</v>
      </c>
      <c r="Q37" s="130"/>
    </row>
    <row r="38" spans="1:24" ht="18" customHeight="1" x14ac:dyDescent="0.2">
      <c r="A38" s="4">
        <v>44255</v>
      </c>
      <c r="B38" s="5">
        <v>718</v>
      </c>
      <c r="C38" s="5">
        <v>484</v>
      </c>
      <c r="E38" s="17">
        <f t="shared" si="0"/>
        <v>1953.0485484578401</v>
      </c>
      <c r="F38" s="17">
        <f t="shared" si="1"/>
        <v>-1235.0485484578401</v>
      </c>
      <c r="G38" s="17">
        <f t="shared" si="2"/>
        <v>1525344.9170478177</v>
      </c>
      <c r="O38" s="14"/>
      <c r="P38" s="130">
        <f xml:space="preserve"> SUMPRODUCT( (B11:B130-P35) * (C11:C130-P34))</f>
        <v>39414669.600000001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394</v>
      </c>
      <c r="C39" s="5">
        <v>469</v>
      </c>
      <c r="E39" s="17">
        <f t="shared" si="0"/>
        <v>1887.9504032648588</v>
      </c>
      <c r="F39" s="17">
        <f t="shared" si="1"/>
        <v>-1493.9504032648588</v>
      </c>
      <c r="G39" s="17">
        <f t="shared" si="2"/>
        <v>2231887.8074152344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446</v>
      </c>
      <c r="E40" s="17">
        <f t="shared" si="0"/>
        <v>1788.1332473022874</v>
      </c>
      <c r="F40" s="17">
        <f t="shared" si="1"/>
        <v>-1097.1332473022874</v>
      </c>
      <c r="G40" s="17">
        <f t="shared" si="2"/>
        <v>1203701.3623360621</v>
      </c>
      <c r="O40" s="16"/>
      <c r="P40" s="120">
        <f>P35 - P34*P41</f>
        <v>-147.45160310235701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415</v>
      </c>
      <c r="E41" s="17">
        <f t="shared" si="0"/>
        <v>1653.5970805701261</v>
      </c>
      <c r="F41" s="17">
        <f t="shared" si="1"/>
        <v>-674.59708057012608</v>
      </c>
      <c r="G41" s="17">
        <f t="shared" si="2"/>
        <v>455081.22111373721</v>
      </c>
      <c r="O41" s="13"/>
      <c r="P41" s="122">
        <f>P38/P36</f>
        <v>4.3398763461987544</v>
      </c>
      <c r="Q41" s="122"/>
    </row>
    <row r="42" spans="1:24" ht="18" customHeight="1" x14ac:dyDescent="0.2">
      <c r="A42" s="4">
        <v>44259</v>
      </c>
      <c r="B42" s="5">
        <v>830</v>
      </c>
      <c r="C42" s="5">
        <v>399</v>
      </c>
      <c r="E42" s="17">
        <f t="shared" si="0"/>
        <v>1584.1590590309461</v>
      </c>
      <c r="F42" s="17">
        <f t="shared" si="1"/>
        <v>-754.15905903094608</v>
      </c>
      <c r="G42" s="17">
        <f t="shared" si="2"/>
        <v>568755.88631844206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17">
        <f t="shared" si="0"/>
        <v>1514.7210374917659</v>
      </c>
      <c r="F43" s="17">
        <f t="shared" si="1"/>
        <v>-565.72103749176586</v>
      </c>
      <c r="G43" s="17">
        <f t="shared" si="2"/>
        <v>320040.29226075998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17">
        <f t="shared" si="0"/>
        <v>1427.9235105677908</v>
      </c>
      <c r="F44" s="17">
        <f t="shared" si="1"/>
        <v>-420.9235105677908</v>
      </c>
      <c r="G44" s="17">
        <f t="shared" si="2"/>
        <v>177176.60174871309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17">
        <f t="shared" si="0"/>
        <v>1388.864623452002</v>
      </c>
      <c r="F45" s="17">
        <f t="shared" si="1"/>
        <v>-706.86462345200198</v>
      </c>
      <c r="G45" s="17">
        <f t="shared" si="2"/>
        <v>499657.59588794055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342</v>
      </c>
      <c r="E46" s="17">
        <f t="shared" si="0"/>
        <v>1336.786107297617</v>
      </c>
      <c r="F46" s="17">
        <f t="shared" si="1"/>
        <v>-971.78610729761704</v>
      </c>
      <c r="G46" s="17">
        <f t="shared" si="2"/>
        <v>944368.23833665566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17">
        <f t="shared" si="0"/>
        <v>1206.5898169116545</v>
      </c>
      <c r="F47" s="17">
        <f t="shared" si="1"/>
        <v>-359.58981691165445</v>
      </c>
      <c r="G47" s="17">
        <f t="shared" si="2"/>
        <v>129304.83642655717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17">
        <f t="shared" si="0"/>
        <v>1080.7334028718906</v>
      </c>
      <c r="F48" s="17">
        <f t="shared" si="1"/>
        <v>-438.73340287189058</v>
      </c>
      <c r="G48" s="17">
        <f t="shared" si="2"/>
        <v>192486.99879554863</v>
      </c>
    </row>
    <row r="49" spans="1:24" ht="18" customHeight="1" x14ac:dyDescent="0.2">
      <c r="A49" s="4">
        <v>44266</v>
      </c>
      <c r="B49" s="5">
        <v>627</v>
      </c>
      <c r="C49" s="5">
        <v>273</v>
      </c>
      <c r="E49" s="17">
        <f t="shared" si="0"/>
        <v>1037.334639409903</v>
      </c>
      <c r="F49" s="17">
        <f t="shared" si="1"/>
        <v>-410.33463940990305</v>
      </c>
      <c r="G49" s="17">
        <f t="shared" si="2"/>
        <v>168374.51629965517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577</v>
      </c>
      <c r="C50" s="5">
        <v>266</v>
      </c>
      <c r="E50" s="17">
        <f t="shared" si="0"/>
        <v>1006.9555049865116</v>
      </c>
      <c r="F50" s="17">
        <f t="shared" si="1"/>
        <v>-429.95550498651164</v>
      </c>
      <c r="G50" s="17">
        <f t="shared" si="2"/>
        <v>184861.73626820624</v>
      </c>
      <c r="O50" s="15"/>
      <c r="P50" s="120">
        <f>POWER(P38,2) / (P36*P37)</f>
        <v>0.59855231287840471</v>
      </c>
      <c r="Q50" s="120"/>
    </row>
    <row r="51" spans="1:24" ht="18" customHeight="1" x14ac:dyDescent="0.2">
      <c r="A51" s="4">
        <v>44268</v>
      </c>
      <c r="B51" s="5">
        <v>564</v>
      </c>
      <c r="C51" s="5">
        <v>253</v>
      </c>
      <c r="E51" s="17">
        <f t="shared" si="0"/>
        <v>950.53711248592776</v>
      </c>
      <c r="F51" s="17">
        <f t="shared" si="1"/>
        <v>-386.53711248592776</v>
      </c>
      <c r="G51" s="17">
        <f t="shared" si="2"/>
        <v>149410.93932895878</v>
      </c>
      <c r="O51" s="32"/>
      <c r="P51" s="122">
        <f>P38 / (SQRT(P36) * SQRT(P37))</f>
        <v>0.77366162686177253</v>
      </c>
      <c r="Q51" s="122"/>
    </row>
    <row r="52" spans="1:24" ht="18" customHeight="1" x14ac:dyDescent="0.2">
      <c r="A52" s="4">
        <v>44269</v>
      </c>
      <c r="B52" s="5">
        <v>541</v>
      </c>
      <c r="C52" s="5">
        <v>242</v>
      </c>
      <c r="E52" s="17">
        <f t="shared" si="0"/>
        <v>902.79847267774153</v>
      </c>
      <c r="F52" s="17">
        <f t="shared" si="1"/>
        <v>-361.79847267774153</v>
      </c>
      <c r="G52" s="17">
        <f t="shared" si="2"/>
        <v>130898.13483194649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231</v>
      </c>
      <c r="E53" s="17">
        <f t="shared" si="0"/>
        <v>855.05983286955529</v>
      </c>
      <c r="F53" s="17">
        <f t="shared" si="1"/>
        <v>-599.05983286955529</v>
      </c>
      <c r="G53" s="17">
        <f t="shared" si="2"/>
        <v>358872.68335769954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213</v>
      </c>
      <c r="E54" s="17">
        <f t="shared" si="0"/>
        <v>776.94205863797765</v>
      </c>
      <c r="F54" s="17">
        <f t="shared" si="1"/>
        <v>-392.94205863797765</v>
      </c>
      <c r="G54" s="17">
        <f t="shared" si="2"/>
        <v>154403.46144665187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205</v>
      </c>
      <c r="E55" s="17">
        <f t="shared" si="0"/>
        <v>742.22304786838765</v>
      </c>
      <c r="F55" s="17">
        <f t="shared" si="1"/>
        <v>-69.223047868387653</v>
      </c>
      <c r="G55" s="17">
        <f t="shared" si="2"/>
        <v>4791.830356189088</v>
      </c>
    </row>
    <row r="56" spans="1:24" ht="18" customHeight="1" x14ac:dyDescent="0.2">
      <c r="A56" s="4">
        <v>44273</v>
      </c>
      <c r="B56" s="5">
        <v>485</v>
      </c>
      <c r="C56" s="5">
        <v>187</v>
      </c>
      <c r="E56" s="17">
        <f t="shared" si="0"/>
        <v>664.10527363681001</v>
      </c>
      <c r="F56" s="17">
        <f t="shared" si="1"/>
        <v>-179.10527363681001</v>
      </c>
      <c r="G56" s="17">
        <f t="shared" si="2"/>
        <v>32078.69904451659</v>
      </c>
    </row>
    <row r="57" spans="1:24" ht="18" customHeight="1" x14ac:dyDescent="0.2">
      <c r="A57" s="4">
        <v>44274</v>
      </c>
      <c r="B57" s="5">
        <v>568</v>
      </c>
      <c r="C57" s="5">
        <v>182</v>
      </c>
      <c r="E57" s="17">
        <f t="shared" si="0"/>
        <v>642.40589190581625</v>
      </c>
      <c r="F57" s="17">
        <f t="shared" si="1"/>
        <v>-74.405891905816247</v>
      </c>
      <c r="G57" s="17">
        <f t="shared" si="2"/>
        <v>5536.2367503000114</v>
      </c>
    </row>
    <row r="58" spans="1:24" ht="18" customHeight="1" x14ac:dyDescent="0.2">
      <c r="A58" s="4">
        <v>44275</v>
      </c>
      <c r="B58" s="5">
        <v>457</v>
      </c>
      <c r="C58" s="5">
        <v>170</v>
      </c>
      <c r="E58" s="17">
        <f t="shared" si="0"/>
        <v>590.32737575143119</v>
      </c>
      <c r="F58" s="17">
        <f t="shared" si="1"/>
        <v>-133.32737575143119</v>
      </c>
      <c r="G58" s="17">
        <f t="shared" si="2"/>
        <v>17776.189124763321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170</v>
      </c>
      <c r="E59" s="17">
        <f t="shared" si="0"/>
        <v>590.32737575143119</v>
      </c>
      <c r="F59" s="17">
        <f t="shared" si="1"/>
        <v>-140.32737575143119</v>
      </c>
      <c r="G59" s="17">
        <f t="shared" si="2"/>
        <v>19691.772385283359</v>
      </c>
    </row>
    <row r="60" spans="1:24" ht="18" customHeight="1" x14ac:dyDescent="0.2">
      <c r="A60" s="4">
        <v>44277</v>
      </c>
      <c r="B60" s="5">
        <v>248</v>
      </c>
      <c r="C60" s="5">
        <v>165</v>
      </c>
      <c r="E60" s="17">
        <f t="shared" si="0"/>
        <v>568.62799402043743</v>
      </c>
      <c r="F60" s="17">
        <f t="shared" si="1"/>
        <v>-320.62799402043743</v>
      </c>
      <c r="G60" s="17">
        <f t="shared" si="2"/>
        <v>102802.31054956967</v>
      </c>
    </row>
    <row r="61" spans="1:24" ht="18" customHeight="1" x14ac:dyDescent="0.2">
      <c r="A61" s="4">
        <v>44278</v>
      </c>
      <c r="B61" s="5">
        <v>434</v>
      </c>
      <c r="C61" s="5">
        <v>159</v>
      </c>
      <c r="E61" s="17">
        <f t="shared" si="0"/>
        <v>542.58873594324496</v>
      </c>
      <c r="F61" s="17">
        <f t="shared" si="1"/>
        <v>-108.58873594324496</v>
      </c>
      <c r="G61" s="17">
        <f t="shared" si="2"/>
        <v>11791.513573751779</v>
      </c>
    </row>
    <row r="62" spans="1:24" ht="18" customHeight="1" x14ac:dyDescent="0.2">
      <c r="A62" s="4">
        <v>44279</v>
      </c>
      <c r="B62" s="5">
        <v>575</v>
      </c>
      <c r="C62" s="5">
        <v>155</v>
      </c>
      <c r="E62" s="17">
        <f t="shared" si="0"/>
        <v>525.2292305584499</v>
      </c>
      <c r="F62" s="17">
        <f t="shared" si="1"/>
        <v>49.770769441550101</v>
      </c>
      <c r="G62" s="17">
        <f t="shared" si="2"/>
        <v>2477.1294908039372</v>
      </c>
    </row>
    <row r="63" spans="1:24" ht="18" customHeight="1" x14ac:dyDescent="0.2">
      <c r="A63" s="4">
        <v>44280</v>
      </c>
      <c r="B63" s="5">
        <v>423</v>
      </c>
      <c r="C63" s="5">
        <v>154</v>
      </c>
      <c r="E63" s="17">
        <f t="shared" si="0"/>
        <v>520.88935421225119</v>
      </c>
      <c r="F63" s="17">
        <f t="shared" si="1"/>
        <v>-97.889354212251192</v>
      </c>
      <c r="G63" s="17">
        <f t="shared" si="2"/>
        <v>9582.3256680915802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155</v>
      </c>
      <c r="E64" s="17">
        <f t="shared" si="0"/>
        <v>525.2292305584499</v>
      </c>
      <c r="F64" s="17">
        <f t="shared" si="1"/>
        <v>-37.229230558449899</v>
      </c>
      <c r="G64" s="17">
        <f t="shared" si="2"/>
        <v>1386.0156079742198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17">
        <f t="shared" si="0"/>
        <v>494.85009613505861</v>
      </c>
      <c r="F65" s="17">
        <f t="shared" si="1"/>
        <v>-150.85009613505861</v>
      </c>
      <c r="G65" s="17">
        <f t="shared" si="2"/>
        <v>22755.751503956424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17">
        <f t="shared" si="0"/>
        <v>468.81083805786614</v>
      </c>
      <c r="F66" s="17">
        <f t="shared" si="1"/>
        <v>-103.81083805786614</v>
      </c>
      <c r="G66" s="17">
        <f t="shared" si="2"/>
        <v>10776.690098276507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309</v>
      </c>
      <c r="C67" s="5">
        <v>136</v>
      </c>
      <c r="E67" s="17">
        <f t="shared" si="0"/>
        <v>442.77157998067355</v>
      </c>
      <c r="F67" s="17">
        <f t="shared" si="1"/>
        <v>-133.77157998067355</v>
      </c>
      <c r="G67" s="17">
        <f t="shared" si="2"/>
        <v>17894.835610525741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17">
        <f t="shared" si="0"/>
        <v>412.39244555728226</v>
      </c>
      <c r="F68" s="17">
        <f t="shared" si="1"/>
        <v>-24.392445557282258</v>
      </c>
      <c r="G68" s="17">
        <f t="shared" si="2"/>
        <v>594.99140026497901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618</v>
      </c>
      <c r="C69" s="5">
        <v>127</v>
      </c>
      <c r="E69" s="17">
        <f t="shared" si="0"/>
        <v>403.71269286488484</v>
      </c>
      <c r="F69" s="17">
        <f t="shared" si="1"/>
        <v>214.28730713511516</v>
      </c>
      <c r="G69" s="17">
        <f t="shared" si="2"/>
        <v>45919.049999219176</v>
      </c>
      <c r="O69" s="96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592</v>
      </c>
      <c r="C70" s="5">
        <v>129</v>
      </c>
      <c r="E70" s="17">
        <f t="shared" si="0"/>
        <v>412.39244555728226</v>
      </c>
      <c r="F70" s="17">
        <f t="shared" si="1"/>
        <v>179.60755444271774</v>
      </c>
      <c r="G70" s="17">
        <f t="shared" si="2"/>
        <v>32258.873612893818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548</v>
      </c>
      <c r="C71" s="5">
        <v>131</v>
      </c>
      <c r="E71" s="17">
        <f t="shared" si="0"/>
        <v>421.07219824967979</v>
      </c>
      <c r="F71" s="17">
        <f t="shared" si="1"/>
        <v>126.92780175032021</v>
      </c>
      <c r="G71" s="17">
        <f t="shared" si="2"/>
        <v>16110.666857168591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280</v>
      </c>
      <c r="C72" s="5">
        <v>126</v>
      </c>
      <c r="E72" s="17">
        <f t="shared" si="0"/>
        <v>399.37281651868602</v>
      </c>
      <c r="F72" s="17">
        <f t="shared" si="1"/>
        <v>-119.37281651868602</v>
      </c>
      <c r="G72" s="17">
        <f t="shared" si="2"/>
        <v>14249.869323603878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17">
        <f t="shared" si="0"/>
        <v>360.31392940289726</v>
      </c>
      <c r="F73" s="17">
        <f t="shared" si="1"/>
        <v>-167.31392940289726</v>
      </c>
      <c r="G73" s="17">
        <f t="shared" si="2"/>
        <v>27993.950972237686</v>
      </c>
      <c r="O73" s="98" t="s">
        <v>35</v>
      </c>
      <c r="P73" s="119">
        <f xml:space="preserve"> SQRT((1/ (B133-2)) * SUM(G11:G130))</f>
        <v>986.02980511008468</v>
      </c>
      <c r="Q73" s="119"/>
    </row>
    <row r="74" spans="1:23" ht="18" customHeight="1" x14ac:dyDescent="0.2">
      <c r="A74" s="4">
        <v>44291</v>
      </c>
      <c r="B74" s="5">
        <v>159</v>
      </c>
      <c r="C74" s="5">
        <v>112</v>
      </c>
      <c r="E74" s="17">
        <f t="shared" si="0"/>
        <v>338.61454767190349</v>
      </c>
      <c r="F74" s="17">
        <f t="shared" si="1"/>
        <v>-179.61454767190349</v>
      </c>
      <c r="G74" s="17">
        <f t="shared" si="2"/>
        <v>32261.385735382493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17">
        <f t="shared" si="0"/>
        <v>342.95442401810226</v>
      </c>
      <c r="F75" s="17">
        <f t="shared" si="1"/>
        <v>531.04557598189774</v>
      </c>
      <c r="G75" s="17">
        <f t="shared" si="2"/>
        <v>282009.40376994555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17">
        <f t="shared" ref="E76:E130" si="3">$P$40 + $P$41*C76</f>
        <v>355.97405305669849</v>
      </c>
      <c r="F76" s="17">
        <f t="shared" ref="F76:F130" si="4">B76-E76</f>
        <v>307.02594694330151</v>
      </c>
      <c r="G76" s="17">
        <f t="shared" ref="G76:G130" si="5">POWER(F76,2)</f>
        <v>94264.932096430988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17">
        <f t="shared" si="3"/>
        <v>382.01331113389108</v>
      </c>
      <c r="F77" s="17">
        <f t="shared" si="4"/>
        <v>219.98668886610892</v>
      </c>
      <c r="G77" s="17">
        <f t="shared" si="5"/>
        <v>48394.143278274212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694</v>
      </c>
      <c r="C78" s="5">
        <v>128</v>
      </c>
      <c r="E78" s="17">
        <f t="shared" si="3"/>
        <v>408.05256921108355</v>
      </c>
      <c r="F78" s="17">
        <f t="shared" si="4"/>
        <v>285.94743078891645</v>
      </c>
      <c r="G78" s="17">
        <f t="shared" si="5"/>
        <v>81765.933174782156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17">
        <f t="shared" si="3"/>
        <v>368.99368209529473</v>
      </c>
      <c r="F79" s="17">
        <f t="shared" si="4"/>
        <v>232.00631790470527</v>
      </c>
      <c r="G79" s="17">
        <f t="shared" si="5"/>
        <v>53826.931547699169</v>
      </c>
      <c r="O79" s="16"/>
      <c r="P79" s="127">
        <f xml:space="preserve"> SQRT( (1/B133) + (POWER(P34,2) / P36))</f>
        <v>0.13045817007611604</v>
      </c>
      <c r="Q79" s="127"/>
      <c r="T79" s="16"/>
      <c r="U79" s="127">
        <f xml:space="preserve"> SQRT( 1/P36 )</f>
        <v>3.318254809982079E-4</v>
      </c>
      <c r="V79" s="127"/>
    </row>
    <row r="80" spans="1:23" ht="18" customHeight="1" x14ac:dyDescent="0.2">
      <c r="A80" s="4">
        <v>44297</v>
      </c>
      <c r="B80" s="5">
        <v>566</v>
      </c>
      <c r="C80" s="5">
        <v>113</v>
      </c>
      <c r="E80" s="17">
        <f t="shared" si="3"/>
        <v>342.95442401810226</v>
      </c>
      <c r="F80" s="17">
        <f t="shared" si="4"/>
        <v>223.04557598189774</v>
      </c>
      <c r="G80" s="17">
        <f t="shared" si="5"/>
        <v>49749.328965096516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271</v>
      </c>
      <c r="C81" s="5">
        <v>119</v>
      </c>
      <c r="E81" s="17">
        <f t="shared" si="3"/>
        <v>368.99368209529473</v>
      </c>
      <c r="F81" s="17">
        <f t="shared" si="4"/>
        <v>-97.99368209529473</v>
      </c>
      <c r="G81" s="17">
        <f t="shared" si="5"/>
        <v>9602.7617305936874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17">
        <f t="shared" si="3"/>
        <v>364.65380574909602</v>
      </c>
      <c r="F82" s="17">
        <f t="shared" si="4"/>
        <v>43.346194250903977</v>
      </c>
      <c r="G82" s="17">
        <f t="shared" si="5"/>
        <v>1878.892556037101</v>
      </c>
      <c r="O82" s="19" t="s">
        <v>36</v>
      </c>
      <c r="P82" s="119">
        <f>P71*P73*P79</f>
        <v>213.2611136698327</v>
      </c>
      <c r="Q82" s="119"/>
      <c r="T82" s="19" t="s">
        <v>36</v>
      </c>
      <c r="U82" s="119">
        <f>P71*P73*U79</f>
        <v>0.54243802117121132</v>
      </c>
      <c r="V82" s="119"/>
    </row>
    <row r="83" spans="1:23" ht="18" customHeight="1" x14ac:dyDescent="0.2">
      <c r="A83" s="4">
        <v>44300</v>
      </c>
      <c r="B83" s="5">
        <v>684</v>
      </c>
      <c r="C83" s="5">
        <v>116</v>
      </c>
      <c r="E83" s="17">
        <f t="shared" si="3"/>
        <v>355.97405305669849</v>
      </c>
      <c r="F83" s="17">
        <f t="shared" si="4"/>
        <v>328.02594694330151</v>
      </c>
      <c r="G83" s="17">
        <f t="shared" si="5"/>
        <v>107601.02186804965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17">
        <f t="shared" si="3"/>
        <v>325.5949186333072</v>
      </c>
      <c r="F84" s="17">
        <f t="shared" si="4"/>
        <v>175.4050813666928</v>
      </c>
      <c r="G84" s="17">
        <f t="shared" si="5"/>
        <v>30766.94256925612</v>
      </c>
      <c r="O84" s="16" t="s">
        <v>37</v>
      </c>
      <c r="P84" s="120">
        <f>ROUND(P40-P82,4)</f>
        <v>-360.71269999999998</v>
      </c>
      <c r="Q84" s="120"/>
      <c r="T84" s="16" t="s">
        <v>37</v>
      </c>
      <c r="U84" s="120">
        <f>ROUND(P41-U82,4)</f>
        <v>3.7974000000000001</v>
      </c>
      <c r="V84" s="120"/>
    </row>
    <row r="85" spans="1:23" ht="18" customHeight="1" x14ac:dyDescent="0.2">
      <c r="A85" s="4">
        <v>44302</v>
      </c>
      <c r="B85" s="5">
        <v>553</v>
      </c>
      <c r="C85" s="5">
        <v>101</v>
      </c>
      <c r="E85" s="17">
        <f t="shared" si="3"/>
        <v>290.8759078637172</v>
      </c>
      <c r="F85" s="17">
        <f t="shared" si="4"/>
        <v>262.1240921362828</v>
      </c>
      <c r="G85" s="17">
        <f t="shared" si="5"/>
        <v>68709.039678270477</v>
      </c>
      <c r="O85" s="13" t="s">
        <v>38</v>
      </c>
      <c r="P85" s="122">
        <f>ROUND(P40+P82,4)</f>
        <v>65.8095</v>
      </c>
      <c r="Q85" s="122"/>
      <c r="T85" s="13" t="s">
        <v>38</v>
      </c>
      <c r="U85" s="122">
        <f>ROUND(P41+U82,4)</f>
        <v>4.8822999999999999</v>
      </c>
      <c r="V85" s="122"/>
    </row>
    <row r="86" spans="1:23" ht="18" customHeight="1" x14ac:dyDescent="0.2">
      <c r="A86" s="4">
        <v>44303</v>
      </c>
      <c r="B86" s="5">
        <v>649</v>
      </c>
      <c r="C86" s="5">
        <v>103</v>
      </c>
      <c r="E86" s="17">
        <f t="shared" si="3"/>
        <v>299.55566055611467</v>
      </c>
      <c r="F86" s="17">
        <f t="shared" si="4"/>
        <v>349.44433944388533</v>
      </c>
      <c r="G86" s="17">
        <f t="shared" si="5"/>
        <v>122111.34636937335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17">
        <f t="shared" si="3"/>
        <v>325.5949186333072</v>
      </c>
      <c r="F87" s="17">
        <f t="shared" si="4"/>
        <v>115.4050813666928</v>
      </c>
      <c r="G87" s="17">
        <f t="shared" si="5"/>
        <v>13318.332805252985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17">
        <f t="shared" si="3"/>
        <v>338.61454767190349</v>
      </c>
      <c r="F88" s="17">
        <f t="shared" si="4"/>
        <v>-118.61454767190349</v>
      </c>
      <c r="G88" s="17">
        <f t="shared" si="5"/>
        <v>14069.410919410268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17">
        <f t="shared" si="3"/>
        <v>342.95442401810226</v>
      </c>
      <c r="F89" s="17">
        <f t="shared" si="4"/>
        <v>81.045575981897741</v>
      </c>
      <c r="G89" s="17">
        <f t="shared" si="5"/>
        <v>6568.3853862375599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17">
        <f t="shared" si="3"/>
        <v>329.93479497950597</v>
      </c>
      <c r="F90" s="17">
        <f t="shared" si="4"/>
        <v>280.06520502049403</v>
      </c>
      <c r="G90" s="17">
        <f t="shared" si="5"/>
        <v>78436.519063171363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636</v>
      </c>
      <c r="C91" s="5">
        <v>104</v>
      </c>
      <c r="E91" s="17">
        <f t="shared" si="3"/>
        <v>303.89553690231344</v>
      </c>
      <c r="F91" s="17">
        <f t="shared" si="4"/>
        <v>332.10446309768656</v>
      </c>
      <c r="G91" s="17">
        <f t="shared" si="5"/>
        <v>110293.37440940266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17">
        <f t="shared" si="3"/>
        <v>277.85627882512091</v>
      </c>
      <c r="F92" s="17">
        <f t="shared" si="4"/>
        <v>228.14372117487909</v>
      </c>
      <c r="G92" s="17">
        <f t="shared" si="5"/>
        <v>52049.557511520972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567</v>
      </c>
      <c r="C93" s="5">
        <v>98</v>
      </c>
      <c r="E93" s="17">
        <f t="shared" si="3"/>
        <v>277.85627882512091</v>
      </c>
      <c r="F93" s="17">
        <f t="shared" si="4"/>
        <v>289.14372117487909</v>
      </c>
      <c r="G93" s="17">
        <f t="shared" si="5"/>
        <v>83604.091494856228</v>
      </c>
      <c r="O93" s="96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478</v>
      </c>
      <c r="C94" s="5">
        <v>98</v>
      </c>
      <c r="E94" s="17">
        <f t="shared" si="3"/>
        <v>277.85627882512091</v>
      </c>
      <c r="F94" s="17">
        <f t="shared" si="4"/>
        <v>200.14372117487909</v>
      </c>
      <c r="G94" s="17">
        <f t="shared" si="5"/>
        <v>40057.509125727745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196</v>
      </c>
      <c r="C95" s="5">
        <v>91</v>
      </c>
      <c r="E95" s="17">
        <f t="shared" si="3"/>
        <v>247.47714440172962</v>
      </c>
      <c r="F95" s="17">
        <f t="shared" si="4"/>
        <v>-51.477144401729618</v>
      </c>
      <c r="G95" s="17">
        <f t="shared" si="5"/>
        <v>2649.8963957565229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353</v>
      </c>
      <c r="C96" s="5">
        <v>86</v>
      </c>
      <c r="E96" s="17">
        <f t="shared" si="3"/>
        <v>225.77776267073585</v>
      </c>
      <c r="F96" s="17">
        <f t="shared" si="4"/>
        <v>127.22223732926415</v>
      </c>
      <c r="G96" s="17">
        <f t="shared" si="5"/>
        <v>16185.497671063611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17">
        <f t="shared" si="3"/>
        <v>234.45751536313338</v>
      </c>
      <c r="F97" s="17">
        <f t="shared" si="4"/>
        <v>337.54248463686662</v>
      </c>
      <c r="G97" s="17">
        <f t="shared" si="5"/>
        <v>113934.92893482934</v>
      </c>
      <c r="O97" s="98" t="s">
        <v>35</v>
      </c>
      <c r="P97" s="119">
        <f xml:space="preserve"> SQRT((1/ (B133-2)) * SUM(G11:G130))</f>
        <v>986.02980511008468</v>
      </c>
      <c r="Q97" s="119"/>
    </row>
    <row r="98" spans="1:22" ht="18" customHeight="1" x14ac:dyDescent="0.2">
      <c r="A98" s="4">
        <v>44315</v>
      </c>
      <c r="B98" s="5">
        <v>470</v>
      </c>
      <c r="C98" s="5">
        <v>89</v>
      </c>
      <c r="E98" s="17">
        <f t="shared" si="3"/>
        <v>238.79739170933215</v>
      </c>
      <c r="F98" s="17">
        <f t="shared" si="4"/>
        <v>231.20260829066785</v>
      </c>
      <c r="G98" s="17">
        <f t="shared" si="5"/>
        <v>53454.646080407998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17">
        <f t="shared" si="3"/>
        <v>238.79739170933215</v>
      </c>
      <c r="F99" s="17">
        <f t="shared" si="4"/>
        <v>221.20260829066785</v>
      </c>
      <c r="G99" s="17">
        <f t="shared" si="5"/>
        <v>48930.59391459464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17">
        <f t="shared" si="3"/>
        <v>217.09800997833838</v>
      </c>
      <c r="F100" s="17">
        <f t="shared" si="4"/>
        <v>236.90199002166162</v>
      </c>
      <c r="G100" s="17">
        <f t="shared" si="5"/>
        <v>56122.552876223461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17">
        <f t="shared" si="3"/>
        <v>221.43788632453709</v>
      </c>
      <c r="F101" s="17">
        <f t="shared" si="4"/>
        <v>108.56211367546291</v>
      </c>
      <c r="G101" s="17">
        <f t="shared" si="5"/>
        <v>11785.73252568413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17">
        <f t="shared" si="3"/>
        <v>243.13726805553091</v>
      </c>
      <c r="F102" s="17">
        <f t="shared" si="4"/>
        <v>-63.13726805553091</v>
      </c>
      <c r="G102" s="17">
        <f t="shared" si="5"/>
        <v>3986.3146175159641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17">
        <f t="shared" si="3"/>
        <v>230.11763901693462</v>
      </c>
      <c r="F103" s="17">
        <f t="shared" si="4"/>
        <v>27.882360983065382</v>
      </c>
      <c r="G103" s="17">
        <f t="shared" si="5"/>
        <v>777.4260539899667</v>
      </c>
      <c r="O103" s="16"/>
      <c r="P103" s="127">
        <f>SQRT( (1/B133) + (POWER(P34,2) / P36))</f>
        <v>0.13045817007611604</v>
      </c>
      <c r="Q103" s="127"/>
      <c r="T103" s="16"/>
      <c r="U103" s="127">
        <f>SQRT( 1/P36 )</f>
        <v>3.318254809982079E-4</v>
      </c>
      <c r="V103" s="127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17">
        <f t="shared" si="3"/>
        <v>212.75813363213962</v>
      </c>
      <c r="F104" s="17">
        <f t="shared" si="4"/>
        <v>174.24186636786038</v>
      </c>
      <c r="G104" s="17">
        <f t="shared" si="5"/>
        <v>30360.227995355315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17">
        <f t="shared" si="3"/>
        <v>186.71887555494709</v>
      </c>
      <c r="F105" s="17">
        <f t="shared" si="4"/>
        <v>186.28112444505291</v>
      </c>
      <c r="G105" s="17">
        <f t="shared" si="5"/>
        <v>34700.657324513289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17">
        <f t="shared" si="3"/>
        <v>178.03912286254956</v>
      </c>
      <c r="F106" s="17">
        <f t="shared" si="4"/>
        <v>198.96087713745044</v>
      </c>
      <c r="G106" s="17">
        <f t="shared" si="5"/>
        <v>39585.43063130365</v>
      </c>
      <c r="O106" s="19" t="s">
        <v>36</v>
      </c>
      <c r="P106" s="119">
        <f>P95*P97*P103</f>
        <v>254.73359611059993</v>
      </c>
      <c r="Q106" s="119"/>
      <c r="T106" s="19" t="s">
        <v>36</v>
      </c>
      <c r="U106" s="119">
        <f>P95*P97*U103</f>
        <v>0.64792490962034466</v>
      </c>
      <c r="V106" s="119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17">
        <f t="shared" si="3"/>
        <v>173.6992465163508</v>
      </c>
      <c r="F107" s="17">
        <f t="shared" si="4"/>
        <v>232.3007534836492</v>
      </c>
      <c r="G107" s="17">
        <f t="shared" si="5"/>
        <v>53963.64006907116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17">
        <f t="shared" si="3"/>
        <v>173.6992465163508</v>
      </c>
      <c r="F108" s="17">
        <f t="shared" si="4"/>
        <v>150.3007534836492</v>
      </c>
      <c r="G108" s="17">
        <f t="shared" si="5"/>
        <v>22590.316497752687</v>
      </c>
      <c r="O108" s="16" t="s">
        <v>37</v>
      </c>
      <c r="P108" s="120">
        <f>ROUND(P40-P106,4)</f>
        <v>-402.18520000000001</v>
      </c>
      <c r="Q108" s="120"/>
      <c r="T108" s="16" t="s">
        <v>37</v>
      </c>
      <c r="U108" s="120">
        <f>ROUND(P41-U106,4)</f>
        <v>3.6920000000000002</v>
      </c>
      <c r="V108" s="120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17">
        <f t="shared" si="3"/>
        <v>169.35937017015203</v>
      </c>
      <c r="F109" s="17">
        <f t="shared" si="4"/>
        <v>-11.359370170152033</v>
      </c>
      <c r="G109" s="17">
        <f t="shared" si="5"/>
        <v>129.03529066253984</v>
      </c>
      <c r="O109" s="13" t="s">
        <v>38</v>
      </c>
      <c r="P109" s="122">
        <f>ROUND(P40+P106,4)</f>
        <v>107.282</v>
      </c>
      <c r="Q109" s="122"/>
      <c r="T109" s="13" t="s">
        <v>38</v>
      </c>
      <c r="U109" s="122">
        <f>ROUND(P41+U106,4)</f>
        <v>4.9878</v>
      </c>
      <c r="V109" s="122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17">
        <f t="shared" si="3"/>
        <v>160.67961747775456</v>
      </c>
      <c r="F110" s="17">
        <f t="shared" si="4"/>
        <v>107.32038252224544</v>
      </c>
      <c r="G110" s="17">
        <f t="shared" si="5"/>
        <v>11517.664504721084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17">
        <f t="shared" si="3"/>
        <v>160.67961747775456</v>
      </c>
      <c r="F111" s="17">
        <f t="shared" si="4"/>
        <v>324.32038252224544</v>
      </c>
      <c r="G111" s="17">
        <f t="shared" si="5"/>
        <v>105183.7105193756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17">
        <f t="shared" si="3"/>
        <v>156.3397411315558</v>
      </c>
      <c r="F112" s="17">
        <f t="shared" si="4"/>
        <v>279.6602588684442</v>
      </c>
      <c r="G112" s="17">
        <f t="shared" si="5"/>
        <v>78209.860390365226</v>
      </c>
    </row>
    <row r="113" spans="1:25" ht="18" customHeight="1" x14ac:dyDescent="0.2">
      <c r="A113" s="4">
        <v>44330</v>
      </c>
      <c r="B113" s="5">
        <v>450</v>
      </c>
      <c r="C113" s="5">
        <v>72</v>
      </c>
      <c r="E113" s="17">
        <f t="shared" si="3"/>
        <v>165.01949382395333</v>
      </c>
      <c r="F113" s="17">
        <f t="shared" si="4"/>
        <v>284.98050617604667</v>
      </c>
      <c r="G113" s="17">
        <f t="shared" si="5"/>
        <v>81213.888900355771</v>
      </c>
    </row>
    <row r="114" spans="1:25" ht="18" customHeight="1" x14ac:dyDescent="0.2">
      <c r="A114" s="4">
        <v>44331</v>
      </c>
      <c r="B114" s="5">
        <v>469</v>
      </c>
      <c r="C114" s="5">
        <v>71</v>
      </c>
      <c r="E114" s="17">
        <f t="shared" si="3"/>
        <v>160.67961747775456</v>
      </c>
      <c r="F114" s="17">
        <f t="shared" si="4"/>
        <v>308.32038252224544</v>
      </c>
      <c r="G114" s="17">
        <f t="shared" si="5"/>
        <v>95061.458278663747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76</v>
      </c>
      <c r="E115" s="17">
        <f t="shared" si="3"/>
        <v>182.37899920874833</v>
      </c>
      <c r="F115" s="17">
        <f t="shared" si="4"/>
        <v>151.62100079125167</v>
      </c>
      <c r="G115" s="17">
        <f t="shared" si="5"/>
        <v>22988.927880940741</v>
      </c>
    </row>
    <row r="116" spans="1:25" ht="18" customHeight="1" x14ac:dyDescent="0.2">
      <c r="A116" s="4">
        <v>44333</v>
      </c>
      <c r="B116" s="5">
        <v>199</v>
      </c>
      <c r="C116" s="5">
        <v>72</v>
      </c>
      <c r="E116" s="17">
        <f t="shared" si="3"/>
        <v>165.01949382395333</v>
      </c>
      <c r="F116" s="17">
        <f t="shared" si="4"/>
        <v>33.980506176046674</v>
      </c>
      <c r="G116" s="17">
        <f t="shared" si="5"/>
        <v>1154.6747999803463</v>
      </c>
    </row>
    <row r="117" spans="1:25" ht="18" customHeight="1" x14ac:dyDescent="0.2">
      <c r="A117" s="4">
        <v>44334</v>
      </c>
      <c r="B117" s="5">
        <v>386</v>
      </c>
      <c r="C117" s="5">
        <v>66</v>
      </c>
      <c r="E117" s="17">
        <f t="shared" si="3"/>
        <v>138.9802357467608</v>
      </c>
      <c r="F117" s="17">
        <f t="shared" si="4"/>
        <v>247.0197642532392</v>
      </c>
      <c r="G117" s="17">
        <f t="shared" si="5"/>
        <v>61018.763931725873</v>
      </c>
    </row>
    <row r="118" spans="1:25" ht="18" customHeight="1" x14ac:dyDescent="0.2">
      <c r="A118" s="4">
        <v>44335</v>
      </c>
      <c r="B118" s="5">
        <v>511</v>
      </c>
      <c r="C118" s="5">
        <v>56</v>
      </c>
      <c r="E118" s="17">
        <f t="shared" si="3"/>
        <v>95.581472284773241</v>
      </c>
      <c r="F118" s="17">
        <f t="shared" si="4"/>
        <v>415.41852771522679</v>
      </c>
      <c r="G118" s="17">
        <f t="shared" si="5"/>
        <v>172572.55316908663</v>
      </c>
    </row>
    <row r="119" spans="1:25" ht="18" customHeight="1" x14ac:dyDescent="0.2">
      <c r="A119" s="4">
        <v>44336</v>
      </c>
      <c r="B119" s="5">
        <v>451</v>
      </c>
      <c r="C119" s="5">
        <v>58</v>
      </c>
      <c r="E119" s="17">
        <f t="shared" si="3"/>
        <v>104.26122497717074</v>
      </c>
      <c r="F119" s="17">
        <f t="shared" si="4"/>
        <v>346.73877502282926</v>
      </c>
      <c r="G119" s="17">
        <f t="shared" si="5"/>
        <v>120227.7781043322</v>
      </c>
    </row>
    <row r="120" spans="1:25" ht="18" customHeight="1" x14ac:dyDescent="0.2">
      <c r="A120" s="4">
        <v>44337</v>
      </c>
      <c r="B120" s="5">
        <v>559</v>
      </c>
      <c r="C120" s="5">
        <v>55</v>
      </c>
      <c r="E120" s="17">
        <f t="shared" si="3"/>
        <v>91.241595938574477</v>
      </c>
      <c r="F120" s="17">
        <f t="shared" si="4"/>
        <v>467.75840406142549</v>
      </c>
      <c r="G120" s="17">
        <f t="shared" si="5"/>
        <v>218797.9245700918</v>
      </c>
    </row>
    <row r="121" spans="1:25" ht="18" customHeight="1" x14ac:dyDescent="0.25">
      <c r="A121" s="4">
        <v>44338</v>
      </c>
      <c r="B121" s="5">
        <v>523</v>
      </c>
      <c r="C121" s="5">
        <v>59</v>
      </c>
      <c r="E121" s="17">
        <f t="shared" si="3"/>
        <v>108.60110132336951</v>
      </c>
      <c r="F121" s="17">
        <f t="shared" si="4"/>
        <v>414.39889867663049</v>
      </c>
      <c r="G121" s="17">
        <f t="shared" si="5"/>
        <v>171726.44722440426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413</v>
      </c>
      <c r="C122" s="5">
        <v>58</v>
      </c>
      <c r="E122" s="17">
        <f t="shared" si="3"/>
        <v>104.26122497717074</v>
      </c>
      <c r="F122" s="17">
        <f t="shared" si="4"/>
        <v>308.73877502282926</v>
      </c>
      <c r="G122" s="17">
        <f t="shared" si="5"/>
        <v>95319.631202597186</v>
      </c>
    </row>
    <row r="123" spans="1:25" ht="18" customHeight="1" x14ac:dyDescent="0.2">
      <c r="A123" s="4">
        <v>44340</v>
      </c>
      <c r="B123" s="5">
        <v>241</v>
      </c>
      <c r="C123" s="5">
        <v>57</v>
      </c>
      <c r="E123" s="17">
        <f t="shared" si="3"/>
        <v>99.921348630971977</v>
      </c>
      <c r="F123" s="17">
        <f t="shared" si="4"/>
        <v>141.07865136902802</v>
      </c>
      <c r="G123" s="17">
        <f t="shared" si="5"/>
        <v>19903.185872103753</v>
      </c>
    </row>
    <row r="124" spans="1:25" ht="18" customHeight="1" x14ac:dyDescent="0.2">
      <c r="A124" s="4">
        <v>44341</v>
      </c>
      <c r="B124" s="5">
        <v>375</v>
      </c>
      <c r="C124" s="5">
        <v>52</v>
      </c>
      <c r="E124" s="17">
        <f t="shared" si="3"/>
        <v>78.221966899978213</v>
      </c>
      <c r="F124" s="17">
        <f t="shared" si="4"/>
        <v>296.77803310002179</v>
      </c>
      <c r="G124" s="17">
        <f t="shared" si="5"/>
        <v>88077.200930717634</v>
      </c>
    </row>
    <row r="125" spans="1:25" ht="18" customHeight="1" x14ac:dyDescent="0.2">
      <c r="A125" s="4">
        <v>44342</v>
      </c>
      <c r="B125" s="5">
        <v>594</v>
      </c>
      <c r="C125" s="5">
        <v>53</v>
      </c>
      <c r="E125" s="17">
        <f t="shared" si="3"/>
        <v>82.561843246176977</v>
      </c>
      <c r="F125" s="17">
        <f t="shared" si="4"/>
        <v>511.43815675382302</v>
      </c>
      <c r="G125" s="17">
        <f t="shared" si="5"/>
        <v>261568.98818374806</v>
      </c>
    </row>
    <row r="126" spans="1:25" ht="18" customHeight="1" x14ac:dyDescent="0.25">
      <c r="A126" s="4">
        <v>44343</v>
      </c>
      <c r="B126" s="5">
        <v>572</v>
      </c>
      <c r="C126" s="5">
        <v>53</v>
      </c>
      <c r="E126" s="17">
        <f t="shared" si="3"/>
        <v>82.561843246176977</v>
      </c>
      <c r="F126" s="17">
        <f t="shared" si="4"/>
        <v>489.43815675382302</v>
      </c>
      <c r="G126" s="17">
        <f t="shared" si="5"/>
        <v>239549.70928657983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52</v>
      </c>
      <c r="E127" s="17">
        <f t="shared" si="3"/>
        <v>78.221966899978213</v>
      </c>
      <c r="F127" s="17">
        <f t="shared" si="4"/>
        <v>519.77803310002173</v>
      </c>
      <c r="G127" s="17">
        <f t="shared" si="5"/>
        <v>270169.20369332726</v>
      </c>
    </row>
    <row r="128" spans="1:25" ht="18" customHeight="1" x14ac:dyDescent="0.2">
      <c r="A128" s="4">
        <v>44345</v>
      </c>
      <c r="B128" s="5">
        <v>609</v>
      </c>
      <c r="C128" s="5">
        <v>49</v>
      </c>
      <c r="E128" s="17">
        <f t="shared" si="3"/>
        <v>65.202337861381949</v>
      </c>
      <c r="F128" s="17">
        <f t="shared" si="4"/>
        <v>543.79766213861808</v>
      </c>
      <c r="G128" s="17">
        <f t="shared" si="5"/>
        <v>295715.89734742662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17">
        <f t="shared" si="3"/>
        <v>86.901719592375713</v>
      </c>
      <c r="F129" s="17">
        <f t="shared" si="4"/>
        <v>358.09828040762432</v>
      </c>
      <c r="G129" s="17">
        <f t="shared" si="5"/>
        <v>128234.37843089753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17">
        <f t="shared" si="3"/>
        <v>78.221966899978213</v>
      </c>
      <c r="F130" s="17">
        <f t="shared" si="4"/>
        <v>356.77803310002179</v>
      </c>
      <c r="G130" s="17">
        <f t="shared" si="5"/>
        <v>127290.56490272025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-1.1463000000000001</v>
      </c>
      <c r="U132" s="21" t="s">
        <v>49</v>
      </c>
      <c r="V132">
        <f xml:space="preserve"> ROUND((P41-0) / (P73 / SQRT(P36)),4)</f>
        <v>13.264099999999999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99" t="s">
        <v>60</v>
      </c>
      <c r="N178" s="120" cm="1">
        <f t="array" ref="N178">SUMPRODUCT(B11:B130-P35)</f>
        <v>1.2369127944111824E-10</v>
      </c>
      <c r="O178" s="120"/>
    </row>
    <row r="179" spans="13:19" ht="18" customHeight="1" x14ac:dyDescent="0.2">
      <c r="M179" s="99" t="s">
        <v>61</v>
      </c>
      <c r="N179" s="121">
        <f>SUMPRODUCT(POWER(E11:E130-P35,2))</f>
        <v>171054792.29027903</v>
      </c>
      <c r="O179" s="121"/>
    </row>
    <row r="180" spans="13:19" ht="18" customHeight="1" x14ac:dyDescent="0.2">
      <c r="M180" s="97" t="s">
        <v>62</v>
      </c>
      <c r="N180" s="122">
        <f>SUM(G11:G130)</f>
        <v>114726063.63472092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16">
        <f>N179</f>
        <v>171054792.29027903</v>
      </c>
      <c r="P188" s="117"/>
      <c r="Q188" s="117">
        <f>O188/N188</f>
        <v>171054792.29027903</v>
      </c>
      <c r="R188" s="117"/>
      <c r="S188" s="77">
        <f>Q188/Q189</f>
        <v>175.93618094070351</v>
      </c>
    </row>
    <row r="189" spans="13:19" ht="18" customHeight="1" x14ac:dyDescent="0.25">
      <c r="M189" s="25" t="s">
        <v>58</v>
      </c>
      <c r="N189" s="95">
        <f>B133-2</f>
        <v>118</v>
      </c>
      <c r="O189" s="116">
        <f>N180</f>
        <v>114726063.63472092</v>
      </c>
      <c r="P189" s="117"/>
      <c r="Q189" s="117">
        <f>O189/N189</f>
        <v>972254.7765654315</v>
      </c>
      <c r="R189" s="117"/>
    </row>
    <row r="190" spans="13:19" ht="18" customHeight="1" x14ac:dyDescent="0.25">
      <c r="M190" s="25" t="s">
        <v>59</v>
      </c>
      <c r="N190" s="95">
        <f>B133-1</f>
        <v>119</v>
      </c>
      <c r="O190" s="117">
        <f>N178</f>
        <v>1.2369127944111824E-10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6117</v>
      </c>
      <c r="E208" s="17">
        <f>$P$234 + $P$235*C208</f>
        <v>25647.505969366626</v>
      </c>
      <c r="F208" s="17">
        <f>B208-E208</f>
        <v>19250.494030633374</v>
      </c>
      <c r="G208" s="17">
        <f>POWER(F208,2)</f>
        <v>370581520.42345119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5872</v>
      </c>
      <c r="E209" s="17">
        <f t="shared" ref="E209:E224" si="6">$P$234 + $P$235*C209</f>
        <v>24575.139044953983</v>
      </c>
      <c r="F209" s="17">
        <f t="shared" ref="F209:F224" si="7">B209-E209</f>
        <v>-4233.1390449539831</v>
      </c>
      <c r="G209" s="17">
        <f t="shared" ref="G209:G224" si="8">POWER(F209,2)</f>
        <v>17919466.173913918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4906</v>
      </c>
      <c r="E210" s="17">
        <f t="shared" si="6"/>
        <v>20346.949457269853</v>
      </c>
      <c r="F210" s="17">
        <f t="shared" si="7"/>
        <v>-8577.9494572698532</v>
      </c>
      <c r="G210" s="17">
        <f t="shared" si="8"/>
        <v>73581216.891476169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3825</v>
      </c>
      <c r="E211" s="17">
        <f t="shared" si="6"/>
        <v>15615.40396628999</v>
      </c>
      <c r="F211" s="17">
        <f t="shared" si="7"/>
        <v>-8578.4039662899904</v>
      </c>
      <c r="G211" s="17">
        <f t="shared" si="8"/>
        <v>73589014.608859837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2829</v>
      </c>
      <c r="E212" s="17">
        <f t="shared" si="6"/>
        <v>11255.904142963496</v>
      </c>
      <c r="F212" s="17">
        <f t="shared" si="7"/>
        <v>-5723.9041429634963</v>
      </c>
      <c r="G212" s="17">
        <f t="shared" si="8"/>
        <v>32763078.637834676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1971</v>
      </c>
      <c r="E213" s="17">
        <f t="shared" si="6"/>
        <v>7500.4314035918778</v>
      </c>
      <c r="F213" s="17">
        <f t="shared" si="7"/>
        <v>-3337.4314035918778</v>
      </c>
      <c r="G213" s="17">
        <f t="shared" si="8"/>
        <v>11138448.373681251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1358</v>
      </c>
      <c r="E214" s="17">
        <f t="shared" si="6"/>
        <v>4817.3255886328998</v>
      </c>
      <c r="F214" s="17">
        <f t="shared" si="7"/>
        <v>-1544.3255886328998</v>
      </c>
      <c r="G214" s="17">
        <f t="shared" si="8"/>
        <v>2384941.5237063523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1078</v>
      </c>
      <c r="E215" s="17">
        <f t="shared" si="6"/>
        <v>3591.7633893041666</v>
      </c>
      <c r="F215" s="17">
        <f t="shared" si="7"/>
        <v>-714.76338930416659</v>
      </c>
      <c r="G215" s="17">
        <f t="shared" si="8"/>
        <v>510886.70268957963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895</v>
      </c>
      <c r="E216" s="17">
        <f t="shared" si="6"/>
        <v>2790.7709518857441</v>
      </c>
      <c r="F216" s="17">
        <f t="shared" si="7"/>
        <v>137.22904811425587</v>
      </c>
      <c r="G216" s="17">
        <f t="shared" si="8"/>
        <v>18831.811646344755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823</v>
      </c>
      <c r="E217" s="17">
        <f t="shared" si="6"/>
        <v>2475.6263863440699</v>
      </c>
      <c r="F217" s="17">
        <f t="shared" si="7"/>
        <v>1683.3736136559301</v>
      </c>
      <c r="G217" s="17">
        <f t="shared" si="8"/>
        <v>2833746.7231530244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775</v>
      </c>
      <c r="E218" s="17">
        <f t="shared" si="6"/>
        <v>2265.5300093162873</v>
      </c>
      <c r="F218" s="17">
        <f t="shared" si="7"/>
        <v>1241.4699906837127</v>
      </c>
      <c r="G218" s="17">
        <f t="shared" si="8"/>
        <v>1541247.7377682177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733</v>
      </c>
      <c r="E219" s="17">
        <f t="shared" si="6"/>
        <v>2081.6956794169769</v>
      </c>
      <c r="F219" s="17">
        <f t="shared" si="7"/>
        <v>1359.3043205830231</v>
      </c>
      <c r="G219" s="17">
        <f t="shared" si="8"/>
        <v>1847708.2359556742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612</v>
      </c>
      <c r="E220" s="17">
        <f t="shared" si="6"/>
        <v>1552.0777289927742</v>
      </c>
      <c r="F220" s="17">
        <f t="shared" si="7"/>
        <v>1282.9222710072258</v>
      </c>
      <c r="G220" s="17">
        <f t="shared" si="8"/>
        <v>1645889.5534463378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560</v>
      </c>
      <c r="E221" s="17">
        <f t="shared" si="6"/>
        <v>1324.4733205460097</v>
      </c>
      <c r="F221" s="17">
        <f t="shared" si="7"/>
        <v>980.52667945399025</v>
      </c>
      <c r="G221" s="17">
        <f t="shared" si="8"/>
        <v>961432.56912106811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504</v>
      </c>
      <c r="E222" s="17">
        <f t="shared" si="6"/>
        <v>1079.3608806802627</v>
      </c>
      <c r="F222" s="17">
        <f t="shared" si="7"/>
        <v>1520.6391193197373</v>
      </c>
      <c r="G222" s="17">
        <f t="shared" si="8"/>
        <v>2312343.3312055063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424</v>
      </c>
      <c r="E223" s="17">
        <f t="shared" si="6"/>
        <v>729.2002523006247</v>
      </c>
      <c r="F223" s="17">
        <f t="shared" si="7"/>
        <v>2312.7997476993751</v>
      </c>
      <c r="G223" s="81">
        <f t="shared" si="8"/>
        <v>5349042.672958293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370</v>
      </c>
      <c r="D224" s="31"/>
      <c r="E224" s="17">
        <f t="shared" si="6"/>
        <v>492.84182814436895</v>
      </c>
      <c r="F224" s="17">
        <f t="shared" si="7"/>
        <v>2941.1581718556308</v>
      </c>
      <c r="G224" s="17">
        <f t="shared" si="8"/>
        <v>8650411.3918731567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1979.5294117647059</v>
      </c>
      <c r="Q228" s="130"/>
    </row>
    <row r="229" spans="1:25" ht="18" customHeight="1" x14ac:dyDescent="0.2">
      <c r="A229" s="1"/>
      <c r="O229" s="14"/>
      <c r="P229" s="130">
        <f>AVERAGE(B208:B224)</f>
        <v>7537.7647058823532</v>
      </c>
      <c r="Q229" s="130"/>
    </row>
    <row r="230" spans="1:25" ht="18" customHeight="1" x14ac:dyDescent="0.2">
      <c r="A230" s="1"/>
      <c r="O230" s="14"/>
      <c r="P230" s="130">
        <f>SUMPRODUCT(POWER(C208:C224-P228,2))</f>
        <v>62751844.235294133</v>
      </c>
      <c r="Q230" s="130"/>
    </row>
    <row r="231" spans="1:25" ht="18" customHeight="1" x14ac:dyDescent="0.2">
      <c r="A231" s="1"/>
      <c r="O231" s="14"/>
      <c r="P231" s="130">
        <f>SUMPRODUCT(POWER(B208:B224-P229,2))</f>
        <v>1809841469.0588241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274665315.11764711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-1126.6510781114575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4.3770078547454769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0.66426383871139394</v>
      </c>
      <c r="Q244" s="120"/>
    </row>
    <row r="245" spans="1:25" ht="18" customHeight="1" x14ac:dyDescent="0.2">
      <c r="A245" s="1"/>
      <c r="O245" s="32"/>
      <c r="P245" s="122">
        <f>P232 / (SQRT(P230) * SQRT(P231))</f>
        <v>0.81502382708200261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96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19">
        <f>SQRT((1/ (B226-2)) * SUM(G208:G224))</f>
        <v>6364.637865386846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0.34823626177452394</v>
      </c>
      <c r="Q266" s="127"/>
      <c r="T266" s="16"/>
      <c r="U266" s="127">
        <f xml:space="preserve"> SQRT( 1/P230 )</f>
        <v>1.2623702556723064E-4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3885.4567724685376</v>
      </c>
      <c r="Q269" s="119"/>
      <c r="T269" s="19" t="s">
        <v>36</v>
      </c>
      <c r="U269" s="119">
        <f>P258*P260*U266</f>
        <v>1.4084934849319677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-5012.1079</v>
      </c>
      <c r="Q271" s="120"/>
      <c r="T271" s="16" t="s">
        <v>37</v>
      </c>
      <c r="U271" s="120">
        <f>ROUND(P235-U269,4)</f>
        <v>2.9685000000000001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2758.8056999999999</v>
      </c>
      <c r="Q272" s="122"/>
      <c r="T272" s="13" t="s">
        <v>38</v>
      </c>
      <c r="U272" s="122">
        <f>ROUND(P235+U269,4)</f>
        <v>5.7854999999999999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96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19">
        <f xml:space="preserve"> SQRT((1/ (B226-2)) * SUM(G208:G224))</f>
        <v>6364.637865386846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0.34823626177452394</v>
      </c>
      <c r="Q290" s="127"/>
      <c r="T290" s="16"/>
      <c r="U290" s="127">
        <f xml:space="preserve"> SQRT( 1/P230 )</f>
        <v>1.2623702556723064E-4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4724.139865736146</v>
      </c>
      <c r="Q293" s="119"/>
      <c r="T293" s="19" t="s">
        <v>36</v>
      </c>
      <c r="U293" s="119">
        <f>P282*P284*U290</f>
        <v>1.7125194314204977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-5850.7909</v>
      </c>
      <c r="Q295" s="120"/>
      <c r="T295" s="16" t="s">
        <v>37</v>
      </c>
      <c r="U295" s="120">
        <f>ROUND(P235-U293,4)</f>
        <v>2.6644999999999999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3597.4888000000001</v>
      </c>
      <c r="Q296" s="122"/>
      <c r="T296" s="13" t="s">
        <v>38</v>
      </c>
      <c r="U296" s="122">
        <f>ROUND(P235+U293,4)</f>
        <v>6.0895000000000001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-0.50829999999999997</v>
      </c>
      <c r="T319" s="21" t="s">
        <v>49</v>
      </c>
      <c r="U319">
        <f>ROUND( (P235-0) / (P284 / SQRT(P230)),4)</f>
        <v>5.4477000000000002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99" t="s">
        <v>60</v>
      </c>
      <c r="N361" s="120" cm="1">
        <f t="array" ref="N361">SUMPRODUCT(B208:B228-P229)</f>
        <v>-30134.058823529384</v>
      </c>
      <c r="O361" s="120"/>
    </row>
    <row r="362" spans="1:25" ht="18" customHeight="1" x14ac:dyDescent="0.2">
      <c r="A362" s="1"/>
      <c r="M362" s="99" t="s">
        <v>61</v>
      </c>
      <c r="N362" s="121" cm="1">
        <f t="array" ref="N362">SUMPRODUCT(POWER(E208:E225-P229,2))</f>
        <v>1259030138.4573283</v>
      </c>
      <c r="O362" s="121"/>
    </row>
    <row r="363" spans="1:25" ht="18" customHeight="1" x14ac:dyDescent="0.2">
      <c r="A363" s="1"/>
      <c r="M363" s="97" t="s">
        <v>62</v>
      </c>
      <c r="N363" s="122">
        <f>SUM(G208:G225)</f>
        <v>607629227.3627404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16">
        <f>N362</f>
        <v>1259030138.4573283</v>
      </c>
      <c r="P371" s="117"/>
      <c r="Q371" s="117">
        <f>O371/N371</f>
        <v>1259030138.4573283</v>
      </c>
      <c r="R371" s="117"/>
      <c r="S371" s="77">
        <f>Q371/Q372</f>
        <v>31.080552459313736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16">
        <f>N363</f>
        <v>607629227.3627404</v>
      </c>
      <c r="P372" s="117"/>
      <c r="Q372" s="117">
        <f>O372/N372</f>
        <v>40508615.157516025</v>
      </c>
      <c r="R372" s="117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17">
        <f>N361</f>
        <v>-30134.058823529384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C3:AB3"/>
    <mergeCell ref="D6:AA6"/>
    <mergeCell ref="A8:G8"/>
    <mergeCell ref="L12:X12"/>
    <mergeCell ref="L30:X30"/>
    <mergeCell ref="P33:Q33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M154:X154"/>
    <mergeCell ref="R157:S157"/>
    <mergeCell ref="U157:V157"/>
    <mergeCell ref="R161:S161"/>
    <mergeCell ref="M167:Q169"/>
    <mergeCell ref="M135:X135"/>
    <mergeCell ref="R138:S138"/>
    <mergeCell ref="U138:V138"/>
    <mergeCell ref="R142:S142"/>
    <mergeCell ref="M148:Q150"/>
    <mergeCell ref="T148:X150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P228:Q228"/>
    <mergeCell ref="P229:Q229"/>
    <mergeCell ref="P230:Q230"/>
    <mergeCell ref="P231:Q231"/>
    <mergeCell ref="P232:Q232"/>
    <mergeCell ref="T232:U232"/>
    <mergeCell ref="D202:AA202"/>
    <mergeCell ref="A205:G205"/>
    <mergeCell ref="L207:Y207"/>
    <mergeCell ref="L224:Y224"/>
    <mergeCell ref="P227:Q227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N322:W322"/>
    <mergeCell ref="R325:S325"/>
    <mergeCell ref="T325:U325"/>
    <mergeCell ref="R329:S329"/>
    <mergeCell ref="P296:Q296"/>
    <mergeCell ref="U296:V296"/>
    <mergeCell ref="L301:Y301"/>
    <mergeCell ref="N308:O308"/>
    <mergeCell ref="T308:U308"/>
    <mergeCell ref="N313:O313"/>
    <mergeCell ref="T313:U313"/>
    <mergeCell ref="S381:X383"/>
    <mergeCell ref="M335:Q337"/>
    <mergeCell ref="M354:Q356"/>
    <mergeCell ref="T335:X337"/>
    <mergeCell ref="S197:X199"/>
    <mergeCell ref="T167:X169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T354:X356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A0CA-D17E-46A3-BBCE-F1345BC7CFED}">
  <dimension ref="A3:AD444"/>
  <sheetViews>
    <sheetView topLeftCell="G268" zoomScaleNormal="100" workbookViewId="0">
      <selection activeCell="P52" sqref="P5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64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6869</v>
      </c>
      <c r="E11" s="17">
        <f>$P$40 + $P$41*C11</f>
        <v>4751.8820121889157</v>
      </c>
      <c r="F11" s="17">
        <f>B11-E11</f>
        <v>1053.1179878110843</v>
      </c>
      <c r="G11" s="17">
        <f>POWER(F11,2)</f>
        <v>1109057.4962512671</v>
      </c>
    </row>
    <row r="12" spans="1:30" ht="18" customHeight="1" x14ac:dyDescent="0.2">
      <c r="A12" s="4">
        <v>44229</v>
      </c>
      <c r="B12" s="5">
        <v>5540</v>
      </c>
      <c r="C12" s="5">
        <v>6775</v>
      </c>
      <c r="E12" s="17">
        <f t="shared" ref="E12:E75" si="0">$P$40 + $P$41*C12</f>
        <v>4687.060821131493</v>
      </c>
      <c r="F12" s="17">
        <f t="shared" ref="F12:F75" si="1">B12-E12</f>
        <v>852.93917886850704</v>
      </c>
      <c r="G12" s="17">
        <f t="shared" ref="G12:G75" si="2">POWER(F12,2)</f>
        <v>727505.24284888303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6684</v>
      </c>
      <c r="E13" s="17">
        <f t="shared" si="0"/>
        <v>4624.3083914907957</v>
      </c>
      <c r="F13" s="17">
        <f t="shared" si="1"/>
        <v>4458.6916085092043</v>
      </c>
      <c r="G13" s="17">
        <f t="shared" si="2"/>
        <v>19879930.859790396</v>
      </c>
    </row>
    <row r="14" spans="1:30" ht="18" customHeight="1" x14ac:dyDescent="0.2">
      <c r="A14" s="4">
        <v>44231</v>
      </c>
      <c r="B14" s="5">
        <v>7914</v>
      </c>
      <c r="C14" s="5">
        <v>6496</v>
      </c>
      <c r="E14" s="17">
        <f t="shared" si="0"/>
        <v>4494.6660093759492</v>
      </c>
      <c r="F14" s="17">
        <f t="shared" si="1"/>
        <v>3419.3339906240508</v>
      </c>
      <c r="G14" s="17">
        <f t="shared" si="2"/>
        <v>11691844.939436996</v>
      </c>
    </row>
    <row r="15" spans="1:30" ht="18" customHeight="1" x14ac:dyDescent="0.2">
      <c r="A15" s="4">
        <v>44232</v>
      </c>
      <c r="B15" s="5">
        <v>6916</v>
      </c>
      <c r="C15" s="5">
        <v>6412</v>
      </c>
      <c r="E15" s="17">
        <f t="shared" si="0"/>
        <v>4436.7406897076135</v>
      </c>
      <c r="F15" s="17">
        <f t="shared" si="1"/>
        <v>2479.2593102923865</v>
      </c>
      <c r="G15" s="17">
        <f t="shared" si="2"/>
        <v>6146726.7276714798</v>
      </c>
    </row>
    <row r="16" spans="1:30" ht="18" customHeight="1" x14ac:dyDescent="0.2">
      <c r="A16" s="4">
        <v>44233</v>
      </c>
      <c r="B16" s="5">
        <v>6132</v>
      </c>
      <c r="C16" s="5">
        <v>6158</v>
      </c>
      <c r="E16" s="17">
        <f t="shared" si="0"/>
        <v>4261.5855564247886</v>
      </c>
      <c r="F16" s="17">
        <f t="shared" si="1"/>
        <v>1870.4144435752114</v>
      </c>
      <c r="G16" s="17">
        <f t="shared" si="2"/>
        <v>3498450.1907347678</v>
      </c>
    </row>
    <row r="17" spans="1:24" ht="18" customHeight="1" x14ac:dyDescent="0.2">
      <c r="A17" s="4">
        <v>44234</v>
      </c>
      <c r="B17" s="5">
        <v>3508</v>
      </c>
      <c r="C17" s="5">
        <v>6248</v>
      </c>
      <c r="E17" s="17">
        <f t="shared" si="0"/>
        <v>4323.6483989265771</v>
      </c>
      <c r="F17" s="17">
        <f t="shared" si="1"/>
        <v>-815.6483989265771</v>
      </c>
      <c r="G17" s="17">
        <f t="shared" si="2"/>
        <v>665282.31067148864</v>
      </c>
    </row>
    <row r="18" spans="1:24" ht="18" customHeight="1" x14ac:dyDescent="0.2">
      <c r="A18" s="4">
        <v>44235</v>
      </c>
      <c r="B18" s="5">
        <v>2505</v>
      </c>
      <c r="C18" s="5">
        <v>6344</v>
      </c>
      <c r="E18" s="17">
        <f t="shared" si="0"/>
        <v>4389.8487642618175</v>
      </c>
      <c r="F18" s="17">
        <f t="shared" si="1"/>
        <v>-1884.8487642618175</v>
      </c>
      <c r="G18" s="17">
        <f t="shared" si="2"/>
        <v>3552654.8641393003</v>
      </c>
    </row>
    <row r="19" spans="1:24" ht="18" customHeight="1" x14ac:dyDescent="0.2">
      <c r="A19" s="4">
        <v>44236</v>
      </c>
      <c r="B19" s="5">
        <v>2583</v>
      </c>
      <c r="C19" s="5">
        <v>6070</v>
      </c>
      <c r="E19" s="17">
        <f t="shared" si="0"/>
        <v>4200.9018882008177</v>
      </c>
      <c r="F19" s="17">
        <f t="shared" si="1"/>
        <v>-1617.9018882008177</v>
      </c>
      <c r="G19" s="17">
        <f t="shared" si="2"/>
        <v>2617606.5198437711</v>
      </c>
    </row>
    <row r="20" spans="1:24" ht="18" customHeight="1" x14ac:dyDescent="0.2">
      <c r="A20" s="4">
        <v>44237</v>
      </c>
      <c r="B20" s="5">
        <v>4387</v>
      </c>
      <c r="C20" s="5">
        <v>5829</v>
      </c>
      <c r="E20" s="17">
        <f t="shared" si="0"/>
        <v>4034.7113877238071</v>
      </c>
      <c r="F20" s="17">
        <f t="shared" si="1"/>
        <v>352.28861227619291</v>
      </c>
      <c r="G20" s="17">
        <f t="shared" si="2"/>
        <v>124107.26633948578</v>
      </c>
    </row>
    <row r="21" spans="1:24" ht="18" customHeight="1" x14ac:dyDescent="0.2">
      <c r="A21" s="4">
        <v>44238</v>
      </c>
      <c r="B21" s="5">
        <v>3480</v>
      </c>
      <c r="C21" s="5">
        <v>5570</v>
      </c>
      <c r="E21" s="17">
        <f t="shared" si="0"/>
        <v>3856.1083187464383</v>
      </c>
      <c r="F21" s="17">
        <f t="shared" si="1"/>
        <v>-376.10831874643827</v>
      </c>
      <c r="G21" s="17">
        <f t="shared" si="2"/>
        <v>141457.4674302724</v>
      </c>
    </row>
    <row r="22" spans="1:24" ht="18" customHeight="1" x14ac:dyDescent="0.2">
      <c r="A22" s="4">
        <v>44239</v>
      </c>
      <c r="B22" s="5">
        <v>2854</v>
      </c>
      <c r="C22" s="5">
        <v>5230</v>
      </c>
      <c r="E22" s="17">
        <f t="shared" si="0"/>
        <v>3621.648691517461</v>
      </c>
      <c r="F22" s="17">
        <f t="shared" si="1"/>
        <v>-767.64869151746097</v>
      </c>
      <c r="G22" s="17">
        <f t="shared" si="2"/>
        <v>589284.51358846994</v>
      </c>
    </row>
    <row r="23" spans="1:24" ht="18" customHeight="1" x14ac:dyDescent="0.2">
      <c r="A23" s="4">
        <v>44240</v>
      </c>
      <c r="B23" s="5">
        <v>2856</v>
      </c>
      <c r="C23" s="5">
        <v>4850</v>
      </c>
      <c r="E23" s="17">
        <f t="shared" si="0"/>
        <v>3359.6055787321329</v>
      </c>
      <c r="F23" s="17">
        <f t="shared" si="1"/>
        <v>-503.60557873213293</v>
      </c>
      <c r="G23" s="17">
        <f t="shared" si="2"/>
        <v>253618.57893012653</v>
      </c>
    </row>
    <row r="24" spans="1:24" ht="18" customHeight="1" x14ac:dyDescent="0.2">
      <c r="A24" s="4">
        <v>44241</v>
      </c>
      <c r="B24" s="5">
        <v>1677</v>
      </c>
      <c r="C24" s="5">
        <v>4826</v>
      </c>
      <c r="E24" s="17">
        <f t="shared" si="0"/>
        <v>3343.0554873983228</v>
      </c>
      <c r="F24" s="17">
        <f t="shared" si="1"/>
        <v>-1666.0554873983228</v>
      </c>
      <c r="G24" s="17">
        <f t="shared" si="2"/>
        <v>2775740.8870900632</v>
      </c>
    </row>
    <row r="25" spans="1:24" ht="18" customHeight="1" x14ac:dyDescent="0.2">
      <c r="A25" s="4">
        <v>44242</v>
      </c>
      <c r="B25" s="5">
        <v>1303</v>
      </c>
      <c r="C25" s="5">
        <v>4832</v>
      </c>
      <c r="E25" s="17">
        <f t="shared" si="0"/>
        <v>3347.1930102317747</v>
      </c>
      <c r="F25" s="17">
        <f t="shared" si="1"/>
        <v>-2044.1930102317747</v>
      </c>
      <c r="G25" s="17">
        <f t="shared" si="2"/>
        <v>4178725.0630804445</v>
      </c>
    </row>
    <row r="26" spans="1:24" ht="18" customHeight="1" x14ac:dyDescent="0.2">
      <c r="A26" s="4">
        <v>44243</v>
      </c>
      <c r="B26" s="5">
        <v>1502</v>
      </c>
      <c r="C26" s="5">
        <v>4482</v>
      </c>
      <c r="E26" s="17">
        <f t="shared" si="0"/>
        <v>3105.8375116137095</v>
      </c>
      <c r="F26" s="17">
        <f t="shared" si="1"/>
        <v>-1603.8375116137095</v>
      </c>
      <c r="G26" s="17">
        <f t="shared" si="2"/>
        <v>2572294.7636592556</v>
      </c>
    </row>
    <row r="27" spans="1:24" ht="18" customHeight="1" x14ac:dyDescent="0.2">
      <c r="A27" s="4">
        <v>44244</v>
      </c>
      <c r="B27" s="5">
        <v>2324</v>
      </c>
      <c r="C27" s="5">
        <v>4137</v>
      </c>
      <c r="E27" s="17">
        <f t="shared" si="0"/>
        <v>2867.9299486901882</v>
      </c>
      <c r="F27" s="17">
        <f t="shared" si="1"/>
        <v>-543.92994869018821</v>
      </c>
      <c r="G27" s="17">
        <f t="shared" si="2"/>
        <v>295859.7890821108</v>
      </c>
    </row>
    <row r="28" spans="1:24" ht="18" customHeight="1" x14ac:dyDescent="0.2">
      <c r="A28" s="4">
        <v>44245</v>
      </c>
      <c r="B28" s="5">
        <v>1944</v>
      </c>
      <c r="C28" s="5">
        <v>3819</v>
      </c>
      <c r="E28" s="17">
        <f t="shared" si="0"/>
        <v>2648.6412385172025</v>
      </c>
      <c r="F28" s="17">
        <f t="shared" si="1"/>
        <v>-704.64123851720251</v>
      </c>
      <c r="G28" s="17">
        <f t="shared" si="2"/>
        <v>496519.2750190571</v>
      </c>
    </row>
    <row r="29" spans="1:24" ht="18" customHeight="1" x14ac:dyDescent="0.2">
      <c r="A29" s="4">
        <v>44246</v>
      </c>
      <c r="B29" s="5">
        <v>1940</v>
      </c>
      <c r="C29" s="5">
        <v>3584</v>
      </c>
      <c r="E29" s="17">
        <f t="shared" si="0"/>
        <v>2486.5882608736447</v>
      </c>
      <c r="F29" s="17">
        <f t="shared" si="1"/>
        <v>-546.58826087364469</v>
      </c>
      <c r="G29" s="17">
        <f t="shared" si="2"/>
        <v>298758.72692487546</v>
      </c>
    </row>
    <row r="30" spans="1:24" ht="18" customHeight="1" x14ac:dyDescent="0.2">
      <c r="A30" s="4">
        <v>44247</v>
      </c>
      <c r="B30" s="5">
        <v>1570</v>
      </c>
      <c r="C30" s="5">
        <v>3284</v>
      </c>
      <c r="E30" s="17">
        <f t="shared" si="0"/>
        <v>2279.7121192010172</v>
      </c>
      <c r="F30" s="17">
        <f t="shared" si="1"/>
        <v>-709.71211920101723</v>
      </c>
      <c r="G30" s="17">
        <f t="shared" si="2"/>
        <v>503691.29214079888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3316</v>
      </c>
      <c r="E31" s="17">
        <f t="shared" si="0"/>
        <v>2301.7789076460977</v>
      </c>
      <c r="F31" s="17">
        <f t="shared" si="1"/>
        <v>-1115.7789076460977</v>
      </c>
      <c r="G31" s="17">
        <f t="shared" si="2"/>
        <v>1244962.5707479189</v>
      </c>
    </row>
    <row r="32" spans="1:24" ht="18" customHeight="1" x14ac:dyDescent="0.2">
      <c r="A32" s="4">
        <v>44249</v>
      </c>
      <c r="B32" s="5">
        <v>549</v>
      </c>
      <c r="C32" s="5">
        <v>3322</v>
      </c>
      <c r="E32" s="17">
        <f t="shared" si="0"/>
        <v>2305.9164304795504</v>
      </c>
      <c r="F32" s="17">
        <f t="shared" si="1"/>
        <v>-1756.9164304795504</v>
      </c>
      <c r="G32" s="17">
        <f t="shared" si="2"/>
        <v>3086755.3436890049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17">
        <f t="shared" si="0"/>
        <v>2092.144417417835</v>
      </c>
      <c r="F33" s="17">
        <f t="shared" si="1"/>
        <v>-1060.144417417835</v>
      </c>
      <c r="G33" s="17">
        <f t="shared" si="2"/>
        <v>1123906.1857822009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1480</v>
      </c>
      <c r="C34" s="5">
        <v>2767</v>
      </c>
      <c r="E34" s="17">
        <f t="shared" si="0"/>
        <v>1923.1955683851891</v>
      </c>
      <c r="F34" s="17">
        <f t="shared" si="1"/>
        <v>-443.19556838518906</v>
      </c>
      <c r="G34" s="17">
        <f t="shared" si="2"/>
        <v>196422.31183627079</v>
      </c>
      <c r="O34" s="14"/>
      <c r="P34" s="130">
        <f>AVERAGE(C11:C130)</f>
        <v>1531.8833333333334</v>
      </c>
      <c r="Q34" s="130"/>
    </row>
    <row r="35" spans="1:24" ht="18" customHeight="1" x14ac:dyDescent="0.2">
      <c r="A35" s="4">
        <v>44252</v>
      </c>
      <c r="B35" s="5">
        <v>1160</v>
      </c>
      <c r="C35" s="5">
        <v>2613</v>
      </c>
      <c r="E35" s="17">
        <f t="shared" si="0"/>
        <v>1816.9991489932404</v>
      </c>
      <c r="F35" s="17">
        <f t="shared" si="1"/>
        <v>-656.9991489932404</v>
      </c>
      <c r="G35" s="17">
        <f t="shared" si="2"/>
        <v>431647.88177784212</v>
      </c>
      <c r="O35" s="14"/>
      <c r="P35" s="130">
        <f>AVERAGE(B11:B130)</f>
        <v>1071.4749999999999</v>
      </c>
      <c r="Q35" s="130"/>
    </row>
    <row r="36" spans="1:24" ht="18" customHeight="1" x14ac:dyDescent="0.2">
      <c r="A36" s="4">
        <v>44253</v>
      </c>
      <c r="B36" s="5">
        <v>1027</v>
      </c>
      <c r="C36" s="5">
        <v>2404</v>
      </c>
      <c r="E36" s="17">
        <f t="shared" si="0"/>
        <v>1672.8754369613098</v>
      </c>
      <c r="F36" s="17">
        <f t="shared" si="1"/>
        <v>-645.87543696130979</v>
      </c>
      <c r="G36" s="17">
        <f t="shared" si="2"/>
        <v>417155.08006996283</v>
      </c>
      <c r="O36" s="14"/>
      <c r="P36" s="130">
        <f>SUMPRODUCT(POWER(C11:C130-P34,2))</f>
        <v>440292938.36666679</v>
      </c>
      <c r="Q36" s="130"/>
    </row>
    <row r="37" spans="1:24" ht="18" customHeight="1" x14ac:dyDescent="0.2">
      <c r="A37" s="4">
        <v>44254</v>
      </c>
      <c r="B37" s="5">
        <v>1071</v>
      </c>
      <c r="C37" s="5">
        <v>2180</v>
      </c>
      <c r="E37" s="17">
        <f t="shared" si="0"/>
        <v>1518.407917845748</v>
      </c>
      <c r="F37" s="17">
        <f t="shared" si="1"/>
        <v>-447.40791784574799</v>
      </c>
      <c r="G37" s="17">
        <f t="shared" si="2"/>
        <v>200173.84495106759</v>
      </c>
      <c r="O37" s="14"/>
      <c r="P37" s="130">
        <f>SUMPRODUCT(POWER(B11:B130-P35,2))</f>
        <v>285780855.92500037</v>
      </c>
      <c r="Q37" s="130"/>
    </row>
    <row r="38" spans="1:24" ht="18" customHeight="1" x14ac:dyDescent="0.2">
      <c r="A38" s="4">
        <v>44255</v>
      </c>
      <c r="B38" s="5">
        <v>718</v>
      </c>
      <c r="C38" s="5">
        <v>2165</v>
      </c>
      <c r="E38" s="17">
        <f t="shared" si="0"/>
        <v>1508.0641107621166</v>
      </c>
      <c r="F38" s="17">
        <f t="shared" si="1"/>
        <v>-790.06411076211657</v>
      </c>
      <c r="G38" s="17">
        <f t="shared" si="2"/>
        <v>624201.29911433405</v>
      </c>
      <c r="O38" s="14"/>
      <c r="P38" s="130">
        <f xml:space="preserve"> SUMPRODUCT( (B11:B130-P35) * (C11:C130-P34))</f>
        <v>303620347.65000004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394</v>
      </c>
      <c r="C39" s="5">
        <v>2167</v>
      </c>
      <c r="E39" s="17">
        <f t="shared" si="0"/>
        <v>1509.4432850399342</v>
      </c>
      <c r="F39" s="17">
        <f t="shared" si="1"/>
        <v>-1115.4432850399342</v>
      </c>
      <c r="G39" s="17">
        <f t="shared" si="2"/>
        <v>1244213.7221406798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1997</v>
      </c>
      <c r="E40" s="17">
        <f t="shared" si="0"/>
        <v>1392.2134714254451</v>
      </c>
      <c r="F40" s="17">
        <f t="shared" si="1"/>
        <v>-701.21347142544505</v>
      </c>
      <c r="G40" s="17">
        <f t="shared" si="2"/>
        <v>491700.33250852342</v>
      </c>
      <c r="O40" s="16"/>
      <c r="P40" s="120">
        <f>P35 - P34*P41</f>
        <v>15.107955024654757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1827</v>
      </c>
      <c r="E41" s="17">
        <f t="shared" si="0"/>
        <v>1274.9836578109562</v>
      </c>
      <c r="F41" s="17">
        <f t="shared" si="1"/>
        <v>-295.98365781095617</v>
      </c>
      <c r="G41" s="17">
        <f t="shared" si="2"/>
        <v>87606.325691153193</v>
      </c>
      <c r="O41" s="13"/>
      <c r="P41" s="122">
        <f>P38/P36</f>
        <v>0.68958713890875833</v>
      </c>
      <c r="Q41" s="122"/>
    </row>
    <row r="42" spans="1:24" ht="18" customHeight="1" x14ac:dyDescent="0.2">
      <c r="A42" s="4">
        <v>44259</v>
      </c>
      <c r="B42" s="5">
        <v>830</v>
      </c>
      <c r="C42" s="5">
        <v>1708</v>
      </c>
      <c r="E42" s="17">
        <f t="shared" si="0"/>
        <v>1192.9227882808141</v>
      </c>
      <c r="F42" s="17">
        <f t="shared" si="1"/>
        <v>-362.92278828081407</v>
      </c>
      <c r="G42" s="17">
        <f t="shared" si="2"/>
        <v>131712.9502535206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17">
        <f t="shared" si="0"/>
        <v>1106.7243959172192</v>
      </c>
      <c r="F43" s="17">
        <f t="shared" si="1"/>
        <v>-157.72439591721923</v>
      </c>
      <c r="G43" s="17">
        <f t="shared" si="2"/>
        <v>24876.985067451722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17">
        <f t="shared" si="0"/>
        <v>991.56334371945661</v>
      </c>
      <c r="F44" s="17">
        <f t="shared" si="1"/>
        <v>15.436656280543389</v>
      </c>
      <c r="G44" s="17">
        <f t="shared" si="2"/>
        <v>238.29035712363964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17">
        <f t="shared" si="0"/>
        <v>990.18416944163903</v>
      </c>
      <c r="F45" s="17">
        <f t="shared" si="1"/>
        <v>-308.18416944163903</v>
      </c>
      <c r="G45" s="17">
        <f t="shared" si="2"/>
        <v>94977.482294432877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1403</v>
      </c>
      <c r="E46" s="17">
        <f t="shared" si="0"/>
        <v>982.59871091364266</v>
      </c>
      <c r="F46" s="17">
        <f t="shared" si="1"/>
        <v>-617.59871091364266</v>
      </c>
      <c r="G46" s="17">
        <f t="shared" si="2"/>
        <v>381428.16772219317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17">
        <f t="shared" si="0"/>
        <v>896.40031855004793</v>
      </c>
      <c r="F47" s="17">
        <f t="shared" si="1"/>
        <v>-49.400318550047928</v>
      </c>
      <c r="G47" s="17">
        <f t="shared" si="2"/>
        <v>2440.3914728462096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17">
        <f t="shared" si="0"/>
        <v>843.30210885407348</v>
      </c>
      <c r="F48" s="17">
        <f t="shared" si="1"/>
        <v>-201.30210885407348</v>
      </c>
      <c r="G48" s="17">
        <f t="shared" si="2"/>
        <v>40522.53902909725</v>
      </c>
    </row>
    <row r="49" spans="1:24" ht="18" customHeight="1" x14ac:dyDescent="0.2">
      <c r="A49" s="4">
        <v>44266</v>
      </c>
      <c r="B49" s="5">
        <v>627</v>
      </c>
      <c r="C49" s="5">
        <v>1102</v>
      </c>
      <c r="E49" s="17">
        <f t="shared" si="0"/>
        <v>775.03298210210642</v>
      </c>
      <c r="F49" s="17">
        <f t="shared" si="1"/>
        <v>-148.03298210210642</v>
      </c>
      <c r="G49" s="17">
        <f t="shared" si="2"/>
        <v>21913.763790042558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577</v>
      </c>
      <c r="C50" s="5">
        <v>1046</v>
      </c>
      <c r="E50" s="17">
        <f t="shared" si="0"/>
        <v>736.41610232321602</v>
      </c>
      <c r="F50" s="17">
        <f t="shared" si="1"/>
        <v>-159.41610232321602</v>
      </c>
      <c r="G50" s="17">
        <f t="shared" si="2"/>
        <v>25413.493679926079</v>
      </c>
      <c r="O50" s="15"/>
      <c r="P50" s="120">
        <f>POWER(P38,2) / (P36*P37)</f>
        <v>0.73263370344650847</v>
      </c>
      <c r="Q50" s="120"/>
    </row>
    <row r="51" spans="1:24" ht="18" customHeight="1" x14ac:dyDescent="0.2">
      <c r="A51" s="4">
        <v>44268</v>
      </c>
      <c r="B51" s="5">
        <v>564</v>
      </c>
      <c r="C51" s="5">
        <v>980</v>
      </c>
      <c r="E51" s="17">
        <f t="shared" si="0"/>
        <v>690.90335115523794</v>
      </c>
      <c r="F51" s="17">
        <f t="shared" si="1"/>
        <v>-126.90335115523794</v>
      </c>
      <c r="G51" s="17">
        <f t="shared" si="2"/>
        <v>16104.460534429631</v>
      </c>
      <c r="O51" s="32"/>
      <c r="P51" s="122">
        <f>P38 / (SQRT(P36) * SQRT(P37))</f>
        <v>0.85594024525460199</v>
      </c>
      <c r="Q51" s="122"/>
    </row>
    <row r="52" spans="1:24" ht="18" customHeight="1" x14ac:dyDescent="0.2">
      <c r="A52" s="4">
        <v>44269</v>
      </c>
      <c r="B52" s="5">
        <v>541</v>
      </c>
      <c r="C52" s="5">
        <v>976</v>
      </c>
      <c r="E52" s="17">
        <f t="shared" si="0"/>
        <v>688.14500259960289</v>
      </c>
      <c r="F52" s="17">
        <f t="shared" si="1"/>
        <v>-147.14500259960289</v>
      </c>
      <c r="G52" s="17">
        <f t="shared" si="2"/>
        <v>21651.65179003714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996</v>
      </c>
      <c r="E53" s="17">
        <f t="shared" si="0"/>
        <v>701.93674537777804</v>
      </c>
      <c r="F53" s="17">
        <f t="shared" si="1"/>
        <v>-445.93674537777804</v>
      </c>
      <c r="G53" s="17">
        <f t="shared" si="2"/>
        <v>198859.58087812524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955</v>
      </c>
      <c r="E54" s="17">
        <f t="shared" si="0"/>
        <v>673.66367268251895</v>
      </c>
      <c r="F54" s="17">
        <f t="shared" si="1"/>
        <v>-289.66367268251895</v>
      </c>
      <c r="G54" s="17">
        <f t="shared" si="2"/>
        <v>83905.043271925475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856</v>
      </c>
      <c r="E55" s="17">
        <f t="shared" si="0"/>
        <v>605.39454593055189</v>
      </c>
      <c r="F55" s="17">
        <f t="shared" si="1"/>
        <v>67.605454069448115</v>
      </c>
      <c r="G55" s="17">
        <f t="shared" si="2"/>
        <v>4570.4974199362587</v>
      </c>
    </row>
    <row r="56" spans="1:24" ht="18" customHeight="1" x14ac:dyDescent="0.2">
      <c r="A56" s="4">
        <v>44273</v>
      </c>
      <c r="B56" s="5">
        <v>485</v>
      </c>
      <c r="C56" s="5">
        <v>828</v>
      </c>
      <c r="E56" s="17">
        <f t="shared" si="0"/>
        <v>586.08610604110663</v>
      </c>
      <c r="F56" s="17">
        <f t="shared" si="1"/>
        <v>-101.08610604110663</v>
      </c>
      <c r="G56" s="17">
        <f t="shared" si="2"/>
        <v>10218.400834553855</v>
      </c>
    </row>
    <row r="57" spans="1:24" ht="18" customHeight="1" x14ac:dyDescent="0.2">
      <c r="A57" s="4">
        <v>44274</v>
      </c>
      <c r="B57" s="5">
        <v>568</v>
      </c>
      <c r="C57" s="5">
        <v>789</v>
      </c>
      <c r="E57" s="17">
        <f t="shared" si="0"/>
        <v>559.19220762366513</v>
      </c>
      <c r="F57" s="17">
        <f t="shared" si="1"/>
        <v>8.8077923763348736</v>
      </c>
      <c r="G57" s="17">
        <f t="shared" si="2"/>
        <v>77.577206544622726</v>
      </c>
    </row>
    <row r="58" spans="1:24" ht="18" customHeight="1" x14ac:dyDescent="0.2">
      <c r="A58" s="4">
        <v>44275</v>
      </c>
      <c r="B58" s="5">
        <v>457</v>
      </c>
      <c r="C58" s="5">
        <v>744</v>
      </c>
      <c r="E58" s="17">
        <f t="shared" si="0"/>
        <v>528.16078637277099</v>
      </c>
      <c r="F58" s="17">
        <f t="shared" si="1"/>
        <v>-71.160786372770986</v>
      </c>
      <c r="G58" s="17">
        <f t="shared" si="2"/>
        <v>5063.8575171911489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765</v>
      </c>
      <c r="E59" s="17">
        <f t="shared" si="0"/>
        <v>542.64211628985493</v>
      </c>
      <c r="F59" s="17">
        <f t="shared" si="1"/>
        <v>-92.642116289854926</v>
      </c>
      <c r="G59" s="17">
        <f t="shared" si="2"/>
        <v>8582.5617106630034</v>
      </c>
    </row>
    <row r="60" spans="1:24" ht="18" customHeight="1" x14ac:dyDescent="0.2">
      <c r="A60" s="4">
        <v>44277</v>
      </c>
      <c r="B60" s="5">
        <v>248</v>
      </c>
      <c r="C60" s="5">
        <v>771</v>
      </c>
      <c r="E60" s="17">
        <f t="shared" si="0"/>
        <v>546.77963912330745</v>
      </c>
      <c r="F60" s="17">
        <f t="shared" si="1"/>
        <v>-298.77963912330745</v>
      </c>
      <c r="G60" s="17">
        <f t="shared" si="2"/>
        <v>89269.272754653837</v>
      </c>
    </row>
    <row r="61" spans="1:24" ht="18" customHeight="1" x14ac:dyDescent="0.2">
      <c r="A61" s="4">
        <v>44278</v>
      </c>
      <c r="B61" s="5">
        <v>434</v>
      </c>
      <c r="C61" s="5">
        <v>743</v>
      </c>
      <c r="E61" s="17">
        <f t="shared" si="0"/>
        <v>527.47119923386219</v>
      </c>
      <c r="F61" s="17">
        <f t="shared" si="1"/>
        <v>-93.471199233862194</v>
      </c>
      <c r="G61" s="17">
        <f t="shared" si="2"/>
        <v>8736.8650862163613</v>
      </c>
    </row>
    <row r="62" spans="1:24" ht="18" customHeight="1" x14ac:dyDescent="0.2">
      <c r="A62" s="4">
        <v>44279</v>
      </c>
      <c r="B62" s="5">
        <v>575</v>
      </c>
      <c r="C62" s="5">
        <v>712</v>
      </c>
      <c r="E62" s="17">
        <f t="shared" si="0"/>
        <v>506.09399792769068</v>
      </c>
      <c r="F62" s="17">
        <f t="shared" si="1"/>
        <v>68.90600207230932</v>
      </c>
      <c r="G62" s="17">
        <f t="shared" si="2"/>
        <v>4748.0371215890964</v>
      </c>
    </row>
    <row r="63" spans="1:24" ht="18" customHeight="1" x14ac:dyDescent="0.2">
      <c r="A63" s="4">
        <v>44280</v>
      </c>
      <c r="B63" s="5">
        <v>423</v>
      </c>
      <c r="C63" s="5">
        <v>695</v>
      </c>
      <c r="E63" s="17">
        <f t="shared" si="0"/>
        <v>494.37101656624179</v>
      </c>
      <c r="F63" s="17">
        <f t="shared" si="1"/>
        <v>-71.371016566241792</v>
      </c>
      <c r="G63" s="17">
        <f t="shared" si="2"/>
        <v>5093.8220056987602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669</v>
      </c>
      <c r="E64" s="17">
        <f t="shared" si="0"/>
        <v>476.44175095461406</v>
      </c>
      <c r="F64" s="17">
        <f t="shared" si="1"/>
        <v>11.558249045385935</v>
      </c>
      <c r="G64" s="17">
        <f t="shared" si="2"/>
        <v>133.59312099516487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17">
        <f t="shared" si="0"/>
        <v>441.2728068702674</v>
      </c>
      <c r="F65" s="17">
        <f t="shared" si="1"/>
        <v>-97.272806870267402</v>
      </c>
      <c r="G65" s="17">
        <f t="shared" si="2"/>
        <v>9461.9989564203406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17">
        <f t="shared" si="0"/>
        <v>451.61661395389876</v>
      </c>
      <c r="F66" s="17">
        <f t="shared" si="1"/>
        <v>-86.616613953898764</v>
      </c>
      <c r="G66" s="17">
        <f t="shared" si="2"/>
        <v>7502.4378128387298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309</v>
      </c>
      <c r="C67" s="5">
        <v>623</v>
      </c>
      <c r="E67" s="17">
        <f t="shared" si="0"/>
        <v>444.72074256481119</v>
      </c>
      <c r="F67" s="17">
        <f t="shared" si="1"/>
        <v>-135.72074256481119</v>
      </c>
      <c r="G67" s="17">
        <f t="shared" si="2"/>
        <v>18420.119962343753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17">
        <f t="shared" si="0"/>
        <v>417.82684414736963</v>
      </c>
      <c r="F68" s="17">
        <f t="shared" si="1"/>
        <v>-29.826844147369627</v>
      </c>
      <c r="G68" s="17">
        <f t="shared" si="2"/>
        <v>889.64063179147774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618</v>
      </c>
      <c r="C69" s="5">
        <v>558</v>
      </c>
      <c r="E69" s="17">
        <f t="shared" si="0"/>
        <v>399.8975785357419</v>
      </c>
      <c r="F69" s="17">
        <f t="shared" si="1"/>
        <v>218.1024214642581</v>
      </c>
      <c r="G69" s="17">
        <f t="shared" si="2"/>
        <v>47568.666248572874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592</v>
      </c>
      <c r="C70" s="5">
        <v>538</v>
      </c>
      <c r="E70" s="17">
        <f t="shared" si="0"/>
        <v>386.10583575756675</v>
      </c>
      <c r="F70" s="17">
        <f t="shared" si="1"/>
        <v>205.89416424243325</v>
      </c>
      <c r="G70" s="17">
        <f t="shared" si="2"/>
        <v>42392.406869090075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548</v>
      </c>
      <c r="C71" s="5">
        <v>513</v>
      </c>
      <c r="E71" s="17">
        <f t="shared" si="0"/>
        <v>368.86615728484776</v>
      </c>
      <c r="F71" s="17">
        <f t="shared" si="1"/>
        <v>179.13384271515224</v>
      </c>
      <c r="G71" s="17">
        <f t="shared" si="2"/>
        <v>32088.933605896902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280</v>
      </c>
      <c r="C72" s="5">
        <v>512</v>
      </c>
      <c r="E72" s="17">
        <f t="shared" si="0"/>
        <v>368.17657014593902</v>
      </c>
      <c r="F72" s="17">
        <f t="shared" si="1"/>
        <v>-88.176570145939024</v>
      </c>
      <c r="G72" s="17">
        <f t="shared" si="2"/>
        <v>7775.1075227017054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17">
        <f t="shared" si="0"/>
        <v>371.62450584048281</v>
      </c>
      <c r="F73" s="17">
        <f t="shared" si="1"/>
        <v>-178.62450584048281</v>
      </c>
      <c r="G73" s="17">
        <f t="shared" si="2"/>
        <v>31906.714086756678</v>
      </c>
      <c r="O73" s="102" t="s">
        <v>35</v>
      </c>
      <c r="P73" s="119">
        <f xml:space="preserve"> SQRT((1/ (B133-2)) * SUM(G11:G130))</f>
        <v>804.69053465541435</v>
      </c>
      <c r="Q73" s="119"/>
    </row>
    <row r="74" spans="1:23" ht="18" customHeight="1" x14ac:dyDescent="0.2">
      <c r="A74" s="4">
        <v>44291</v>
      </c>
      <c r="B74" s="5">
        <v>159</v>
      </c>
      <c r="C74" s="5">
        <v>536</v>
      </c>
      <c r="E74" s="17">
        <f t="shared" si="0"/>
        <v>384.72666147974923</v>
      </c>
      <c r="F74" s="17">
        <f t="shared" si="1"/>
        <v>-225.72666147974923</v>
      </c>
      <c r="G74" s="17">
        <f t="shared" si="2"/>
        <v>50952.525702793304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17">
        <f t="shared" si="0"/>
        <v>362.65987303466898</v>
      </c>
      <c r="F75" s="17">
        <f t="shared" si="1"/>
        <v>511.34012696533102</v>
      </c>
      <c r="G75" s="17">
        <f t="shared" si="2"/>
        <v>261468.72544492086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17">
        <f t="shared" ref="E76:E130" si="3">$P$40 + $P$41*C76</f>
        <v>351.62647881212882</v>
      </c>
      <c r="F76" s="17">
        <f t="shared" ref="F76:F130" si="4">B76-E76</f>
        <v>311.37352118787118</v>
      </c>
      <c r="G76" s="17">
        <f t="shared" ref="G76:G130" si="5">POWER(F76,2)</f>
        <v>96953.469696933666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17">
        <f t="shared" si="3"/>
        <v>356.45358878449014</v>
      </c>
      <c r="F77" s="17">
        <f t="shared" si="4"/>
        <v>245.54641121550986</v>
      </c>
      <c r="G77" s="17">
        <f t="shared" si="5"/>
        <v>60293.040060816267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694</v>
      </c>
      <c r="C78" s="5">
        <v>486</v>
      </c>
      <c r="E78" s="17">
        <f t="shared" si="3"/>
        <v>350.2473045343113</v>
      </c>
      <c r="F78" s="17">
        <f t="shared" si="4"/>
        <v>343.7526954656887</v>
      </c>
      <c r="G78" s="17">
        <f t="shared" si="5"/>
        <v>118165.91563992652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17">
        <f t="shared" si="3"/>
        <v>336.45556175613615</v>
      </c>
      <c r="F79" s="17">
        <f t="shared" si="4"/>
        <v>264.54443824386385</v>
      </c>
      <c r="G79" s="17">
        <f t="shared" si="5"/>
        <v>69983.759805761496</v>
      </c>
      <c r="O79" s="16"/>
      <c r="P79" s="127">
        <f xml:space="preserve"> SQRT( (1/B133) + (POWER(P34,2) / P36))</f>
        <v>0.11688934078473312</v>
      </c>
      <c r="Q79" s="127"/>
      <c r="T79" s="16"/>
      <c r="U79" s="127">
        <f xml:space="preserve"> SQRT( 1/P36 )</f>
        <v>4.7657267735799203E-5</v>
      </c>
      <c r="V79" s="127"/>
    </row>
    <row r="80" spans="1:23" ht="18" customHeight="1" x14ac:dyDescent="0.2">
      <c r="A80" s="4">
        <v>44297</v>
      </c>
      <c r="B80" s="5">
        <v>566</v>
      </c>
      <c r="C80" s="5">
        <v>466</v>
      </c>
      <c r="E80" s="17">
        <f t="shared" si="3"/>
        <v>336.45556175613615</v>
      </c>
      <c r="F80" s="17">
        <f t="shared" si="4"/>
        <v>229.54443824386385</v>
      </c>
      <c r="G80" s="17">
        <f t="shared" si="5"/>
        <v>52690.649128691024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271</v>
      </c>
      <c r="C81" s="5">
        <v>479</v>
      </c>
      <c r="E81" s="17">
        <f t="shared" si="3"/>
        <v>345.42019456194998</v>
      </c>
      <c r="F81" s="17">
        <f t="shared" si="4"/>
        <v>-74.420194561949984</v>
      </c>
      <c r="G81" s="17">
        <f t="shared" si="5"/>
        <v>5538.3653586384899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17">
        <f t="shared" si="3"/>
        <v>331.62845178377484</v>
      </c>
      <c r="F82" s="17">
        <f t="shared" si="4"/>
        <v>76.371548216225165</v>
      </c>
      <c r="G82" s="17">
        <f t="shared" si="5"/>
        <v>5832.6133769432054</v>
      </c>
      <c r="O82" s="19" t="s">
        <v>36</v>
      </c>
      <c r="P82" s="119">
        <f>P71*P73*P79</f>
        <v>155.93878636902528</v>
      </c>
      <c r="Q82" s="119"/>
      <c r="T82" s="19" t="s">
        <v>36</v>
      </c>
      <c r="U82" s="119">
        <f>P71*P73*U79</f>
        <v>6.3578222295483031E-2</v>
      </c>
      <c r="V82" s="119"/>
    </row>
    <row r="83" spans="1:23" ht="18" customHeight="1" x14ac:dyDescent="0.2">
      <c r="A83" s="4">
        <v>44300</v>
      </c>
      <c r="B83" s="5">
        <v>684</v>
      </c>
      <c r="C83" s="5">
        <v>447</v>
      </c>
      <c r="E83" s="17">
        <f t="shared" si="3"/>
        <v>323.35340611686973</v>
      </c>
      <c r="F83" s="17">
        <f t="shared" si="4"/>
        <v>360.64659388313027</v>
      </c>
      <c r="G83" s="17">
        <f t="shared" si="5"/>
        <v>130065.9656795035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17">
        <f t="shared" si="3"/>
        <v>306.80331478305953</v>
      </c>
      <c r="F84" s="17">
        <f t="shared" si="4"/>
        <v>194.19668521694047</v>
      </c>
      <c r="G84" s="17">
        <f t="shared" si="5"/>
        <v>37712.352549247466</v>
      </c>
      <c r="O84" s="16" t="s">
        <v>37</v>
      </c>
      <c r="P84" s="120">
        <f>ROUND(P40-P82,4)</f>
        <v>-140.83080000000001</v>
      </c>
      <c r="Q84" s="120"/>
      <c r="T84" s="16" t="s">
        <v>37</v>
      </c>
      <c r="U84" s="120">
        <f>ROUND(P41-U82,4)</f>
        <v>0.626</v>
      </c>
      <c r="V84" s="120"/>
    </row>
    <row r="85" spans="1:23" ht="18" customHeight="1" x14ac:dyDescent="0.2">
      <c r="A85" s="4">
        <v>44302</v>
      </c>
      <c r="B85" s="5">
        <v>553</v>
      </c>
      <c r="C85" s="5">
        <v>429</v>
      </c>
      <c r="E85" s="17">
        <f t="shared" si="3"/>
        <v>310.94083761651206</v>
      </c>
      <c r="F85" s="17">
        <f t="shared" si="4"/>
        <v>242.05916238348794</v>
      </c>
      <c r="G85" s="17">
        <f t="shared" si="5"/>
        <v>58592.638093795787</v>
      </c>
      <c r="O85" s="13" t="s">
        <v>38</v>
      </c>
      <c r="P85" s="122">
        <f>ROUND(P40+P82,4)</f>
        <v>171.04669999999999</v>
      </c>
      <c r="Q85" s="122"/>
      <c r="T85" s="13" t="s">
        <v>38</v>
      </c>
      <c r="U85" s="122">
        <f>ROUND(P41+U82,4)</f>
        <v>0.75319999999999998</v>
      </c>
      <c r="V85" s="122"/>
    </row>
    <row r="86" spans="1:23" ht="18" customHeight="1" x14ac:dyDescent="0.2">
      <c r="A86" s="4">
        <v>44303</v>
      </c>
      <c r="B86" s="5">
        <v>649</v>
      </c>
      <c r="C86" s="5">
        <v>415</v>
      </c>
      <c r="E86" s="17">
        <f t="shared" si="3"/>
        <v>301.28661767178949</v>
      </c>
      <c r="F86" s="17">
        <f t="shared" si="4"/>
        <v>347.71338232821051</v>
      </c>
      <c r="G86" s="17">
        <f t="shared" si="5"/>
        <v>120904.5962501243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17">
        <f t="shared" si="3"/>
        <v>310.25125047760332</v>
      </c>
      <c r="F87" s="17">
        <f t="shared" si="4"/>
        <v>130.74874952239668</v>
      </c>
      <c r="G87" s="17">
        <f t="shared" si="5"/>
        <v>17095.235501670424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17">
        <f t="shared" si="3"/>
        <v>328.18051608923105</v>
      </c>
      <c r="F88" s="17">
        <f t="shared" si="4"/>
        <v>-108.18051608923105</v>
      </c>
      <c r="G88" s="17">
        <f t="shared" si="5"/>
        <v>11703.024061332379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17">
        <f t="shared" si="3"/>
        <v>310.94083761651206</v>
      </c>
      <c r="F89" s="17">
        <f t="shared" si="4"/>
        <v>113.05916238348794</v>
      </c>
      <c r="G89" s="17">
        <f t="shared" si="5"/>
        <v>12782.374198855896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17">
        <f t="shared" si="3"/>
        <v>288.87404917143181</v>
      </c>
      <c r="F90" s="17">
        <f t="shared" si="4"/>
        <v>321.12595082856819</v>
      </c>
      <c r="G90" s="17">
        <f t="shared" si="5"/>
        <v>103121.87629555199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636</v>
      </c>
      <c r="C91" s="5">
        <v>395</v>
      </c>
      <c r="E91" s="17">
        <f t="shared" si="3"/>
        <v>287.49487489361428</v>
      </c>
      <c r="F91" s="17">
        <f t="shared" si="4"/>
        <v>348.50512510638572</v>
      </c>
      <c r="G91" s="17">
        <f t="shared" si="5"/>
        <v>121455.82222541756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17">
        <f t="shared" si="3"/>
        <v>279.90941636561797</v>
      </c>
      <c r="F92" s="17">
        <f t="shared" si="4"/>
        <v>226.09058363438203</v>
      </c>
      <c r="G92" s="17">
        <f t="shared" si="5"/>
        <v>51116.952008135493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567</v>
      </c>
      <c r="C93" s="5">
        <v>342</v>
      </c>
      <c r="E93" s="17">
        <f t="shared" si="3"/>
        <v>250.94675653145012</v>
      </c>
      <c r="F93" s="17">
        <f t="shared" si="4"/>
        <v>316.05324346854991</v>
      </c>
      <c r="G93" s="17">
        <f t="shared" si="5"/>
        <v>99889.652706990484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478</v>
      </c>
      <c r="C94" s="5">
        <v>348</v>
      </c>
      <c r="E94" s="17">
        <f t="shared" si="3"/>
        <v>255.08427936490267</v>
      </c>
      <c r="F94" s="17">
        <f t="shared" si="4"/>
        <v>222.91572063509733</v>
      </c>
      <c r="G94" s="17">
        <f t="shared" si="5"/>
        <v>49691.418506264759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196</v>
      </c>
      <c r="C95" s="5">
        <v>365</v>
      </c>
      <c r="E95" s="17">
        <f t="shared" si="3"/>
        <v>266.80726072635156</v>
      </c>
      <c r="F95" s="17">
        <f t="shared" si="4"/>
        <v>-70.807260726351558</v>
      </c>
      <c r="G95" s="17">
        <f t="shared" si="5"/>
        <v>5013.6681715695277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353</v>
      </c>
      <c r="C96" s="5">
        <v>346</v>
      </c>
      <c r="E96" s="17">
        <f t="shared" si="3"/>
        <v>253.70510508708514</v>
      </c>
      <c r="F96" s="17">
        <f t="shared" si="4"/>
        <v>99.294894912914856</v>
      </c>
      <c r="G96" s="17">
        <f t="shared" si="5"/>
        <v>9859.4761557668044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17">
        <f t="shared" si="3"/>
        <v>244.05088514236252</v>
      </c>
      <c r="F97" s="17">
        <f t="shared" si="4"/>
        <v>327.94911485763748</v>
      </c>
      <c r="G97" s="17">
        <f t="shared" si="5"/>
        <v>107550.6219359079</v>
      </c>
      <c r="O97" s="102" t="s">
        <v>35</v>
      </c>
      <c r="P97" s="119">
        <f xml:space="preserve"> SQRT((1/ (B133-2)) * SUM(G11:G130))</f>
        <v>804.69053465541435</v>
      </c>
      <c r="Q97" s="119"/>
    </row>
    <row r="98" spans="1:22" ht="18" customHeight="1" x14ac:dyDescent="0.2">
      <c r="A98" s="4">
        <v>44315</v>
      </c>
      <c r="B98" s="5">
        <v>470</v>
      </c>
      <c r="C98" s="5">
        <v>324</v>
      </c>
      <c r="E98" s="17">
        <f t="shared" si="3"/>
        <v>238.53418803109247</v>
      </c>
      <c r="F98" s="17">
        <f t="shared" si="4"/>
        <v>231.46581196890753</v>
      </c>
      <c r="G98" s="17">
        <f t="shared" si="5"/>
        <v>53576.422110425658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17">
        <f t="shared" si="3"/>
        <v>238.53418803109247</v>
      </c>
      <c r="F99" s="17">
        <f t="shared" si="4"/>
        <v>221.46581196890753</v>
      </c>
      <c r="G99" s="17">
        <f t="shared" si="5"/>
        <v>49047.105871047504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17">
        <f t="shared" si="3"/>
        <v>223.36327097509977</v>
      </c>
      <c r="F100" s="17">
        <f t="shared" si="4"/>
        <v>230.63672902490023</v>
      </c>
      <c r="G100" s="17">
        <f t="shared" si="5"/>
        <v>53193.300775305259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17">
        <f t="shared" si="3"/>
        <v>229.56955522527861</v>
      </c>
      <c r="F101" s="17">
        <f t="shared" si="4"/>
        <v>100.43044477472139</v>
      </c>
      <c r="G101" s="17">
        <f t="shared" si="5"/>
        <v>10086.274237648364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17">
        <f t="shared" si="3"/>
        <v>237.15501375327494</v>
      </c>
      <c r="F102" s="17">
        <f t="shared" si="4"/>
        <v>-57.155013753274943</v>
      </c>
      <c r="G102" s="17">
        <f t="shared" si="5"/>
        <v>3266.695597137048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17">
        <f t="shared" si="3"/>
        <v>219.22574814164722</v>
      </c>
      <c r="F103" s="17">
        <f t="shared" si="4"/>
        <v>38.774251858352784</v>
      </c>
      <c r="G103" s="17">
        <f t="shared" si="5"/>
        <v>1503.4426071749742</v>
      </c>
      <c r="O103" s="16"/>
      <c r="P103" s="127">
        <f>SQRT( (1/B133) + (POWER(P34,2) / P36))</f>
        <v>0.11688934078473312</v>
      </c>
      <c r="Q103" s="127"/>
      <c r="T103" s="16"/>
      <c r="U103" s="127">
        <f>SQRT( 1/P36 )</f>
        <v>4.7657267735799203E-5</v>
      </c>
      <c r="V103" s="127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17">
        <f t="shared" si="3"/>
        <v>219.91533528055598</v>
      </c>
      <c r="F104" s="17">
        <f t="shared" si="4"/>
        <v>167.08466471944402</v>
      </c>
      <c r="G104" s="17">
        <f t="shared" si="5"/>
        <v>27917.285184409022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17">
        <f t="shared" si="3"/>
        <v>210.26111533583335</v>
      </c>
      <c r="F105" s="17">
        <f t="shared" si="4"/>
        <v>162.73888466416665</v>
      </c>
      <c r="G105" s="17">
        <f t="shared" si="5"/>
        <v>26483.944581736934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17">
        <f t="shared" si="3"/>
        <v>208.19235391910709</v>
      </c>
      <c r="F106" s="17">
        <f t="shared" si="4"/>
        <v>168.80764608089291</v>
      </c>
      <c r="G106" s="17">
        <f t="shared" si="5"/>
        <v>28496.021375371998</v>
      </c>
      <c r="O106" s="19" t="s">
        <v>36</v>
      </c>
      <c r="P106" s="119">
        <f>P95*P97*P103</f>
        <v>186.26390503804015</v>
      </c>
      <c r="Q106" s="119"/>
      <c r="T106" s="19" t="s">
        <v>36</v>
      </c>
      <c r="U106" s="119">
        <f>P95*P97*U103</f>
        <v>7.5942158047252475E-2</v>
      </c>
      <c r="V106" s="119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17">
        <f t="shared" si="3"/>
        <v>194.40061114093191</v>
      </c>
      <c r="F107" s="17">
        <f t="shared" si="4"/>
        <v>211.59938885906809</v>
      </c>
      <c r="G107" s="17">
        <f t="shared" si="5"/>
        <v>44774.301365531108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17">
        <f t="shared" si="3"/>
        <v>199.91730825220199</v>
      </c>
      <c r="F108" s="17">
        <f t="shared" si="4"/>
        <v>124.08269174779801</v>
      </c>
      <c r="G108" s="17">
        <f t="shared" si="5"/>
        <v>15396.51439137906</v>
      </c>
      <c r="O108" s="16" t="s">
        <v>37</v>
      </c>
      <c r="P108" s="120">
        <f>ROUND(P40-P106,4)</f>
        <v>-171.15600000000001</v>
      </c>
      <c r="Q108" s="120"/>
      <c r="T108" s="16" t="s">
        <v>37</v>
      </c>
      <c r="U108" s="120">
        <f>ROUND(P41-U106,4)</f>
        <v>0.61360000000000003</v>
      </c>
      <c r="V108" s="120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17">
        <f t="shared" si="3"/>
        <v>206.1235925023808</v>
      </c>
      <c r="F109" s="17">
        <f t="shared" si="4"/>
        <v>-48.123592502380802</v>
      </c>
      <c r="G109" s="17">
        <f t="shared" si="5"/>
        <v>2315.8801553352018</v>
      </c>
      <c r="O109" s="13" t="s">
        <v>38</v>
      </c>
      <c r="P109" s="122">
        <f>ROUND(P40+P106,4)</f>
        <v>201.37190000000001</v>
      </c>
      <c r="Q109" s="122"/>
      <c r="T109" s="13" t="s">
        <v>38</v>
      </c>
      <c r="U109" s="122">
        <f>ROUND(P41+U106,4)</f>
        <v>0.76549999999999996</v>
      </c>
      <c r="V109" s="122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17">
        <f t="shared" si="3"/>
        <v>192.33184972420565</v>
      </c>
      <c r="F110" s="17">
        <f t="shared" si="4"/>
        <v>75.668150275794346</v>
      </c>
      <c r="G110" s="17">
        <f t="shared" si="5"/>
        <v>5725.6689661601959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17">
        <f t="shared" si="3"/>
        <v>186.12556547402681</v>
      </c>
      <c r="F111" s="17">
        <f t="shared" si="4"/>
        <v>298.87443452597319</v>
      </c>
      <c r="G111" s="17">
        <f t="shared" si="5"/>
        <v>89325.927613220236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17">
        <f t="shared" si="3"/>
        <v>183.36721691839179</v>
      </c>
      <c r="F112" s="17">
        <f t="shared" si="4"/>
        <v>252.63278308160821</v>
      </c>
      <c r="G112" s="17">
        <f t="shared" si="5"/>
        <v>63823.323087558907</v>
      </c>
    </row>
    <row r="113" spans="1:25" ht="18" customHeight="1" x14ac:dyDescent="0.2">
      <c r="A113" s="4">
        <v>44330</v>
      </c>
      <c r="B113" s="5">
        <v>450</v>
      </c>
      <c r="C113" s="5">
        <v>236</v>
      </c>
      <c r="E113" s="17">
        <f t="shared" si="3"/>
        <v>177.85051980712171</v>
      </c>
      <c r="F113" s="17">
        <f t="shared" si="4"/>
        <v>272.14948019287829</v>
      </c>
      <c r="G113" s="17">
        <f t="shared" si="5"/>
        <v>74065.339569253847</v>
      </c>
    </row>
    <row r="114" spans="1:25" ht="18" customHeight="1" x14ac:dyDescent="0.2">
      <c r="A114" s="4">
        <v>44331</v>
      </c>
      <c r="B114" s="5">
        <v>469</v>
      </c>
      <c r="C114" s="5">
        <v>223</v>
      </c>
      <c r="E114" s="17">
        <f t="shared" si="3"/>
        <v>168.88588700130788</v>
      </c>
      <c r="F114" s="17">
        <f t="shared" si="4"/>
        <v>300.11411299869212</v>
      </c>
      <c r="G114" s="17">
        <f t="shared" si="5"/>
        <v>90068.480820991739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245</v>
      </c>
      <c r="E115" s="17">
        <f t="shared" si="3"/>
        <v>184.05680405730055</v>
      </c>
      <c r="F115" s="17">
        <f t="shared" si="4"/>
        <v>149.94319594269945</v>
      </c>
      <c r="G115" s="17">
        <f t="shared" si="5"/>
        <v>22482.96200951076</v>
      </c>
    </row>
    <row r="116" spans="1:25" ht="18" customHeight="1" x14ac:dyDescent="0.2">
      <c r="A116" s="4">
        <v>44333</v>
      </c>
      <c r="B116" s="5">
        <v>199</v>
      </c>
      <c r="C116" s="5">
        <v>246</v>
      </c>
      <c r="E116" s="17">
        <f t="shared" si="3"/>
        <v>184.74639119620932</v>
      </c>
      <c r="F116" s="17">
        <f t="shared" si="4"/>
        <v>14.253608803790684</v>
      </c>
      <c r="G116" s="17">
        <f t="shared" si="5"/>
        <v>203.16536393149929</v>
      </c>
    </row>
    <row r="117" spans="1:25" ht="18" customHeight="1" x14ac:dyDescent="0.2">
      <c r="A117" s="4">
        <v>44334</v>
      </c>
      <c r="B117" s="5">
        <v>386</v>
      </c>
      <c r="C117" s="5">
        <v>233</v>
      </c>
      <c r="E117" s="17">
        <f t="shared" si="3"/>
        <v>175.78175839039545</v>
      </c>
      <c r="F117" s="17">
        <f t="shared" si="4"/>
        <v>210.21824160960455</v>
      </c>
      <c r="G117" s="17">
        <f t="shared" si="5"/>
        <v>44191.709105434071</v>
      </c>
    </row>
    <row r="118" spans="1:25" ht="18" customHeight="1" x14ac:dyDescent="0.2">
      <c r="A118" s="4">
        <v>44335</v>
      </c>
      <c r="B118" s="5">
        <v>511</v>
      </c>
      <c r="C118" s="5">
        <v>211</v>
      </c>
      <c r="E118" s="17">
        <f t="shared" si="3"/>
        <v>160.61084133440278</v>
      </c>
      <c r="F118" s="17">
        <f t="shared" si="4"/>
        <v>350.38915866559722</v>
      </c>
      <c r="G118" s="17">
        <f t="shared" si="5"/>
        <v>122772.56251038506</v>
      </c>
    </row>
    <row r="119" spans="1:25" ht="18" customHeight="1" x14ac:dyDescent="0.2">
      <c r="A119" s="4">
        <v>44336</v>
      </c>
      <c r="B119" s="5">
        <v>451</v>
      </c>
      <c r="C119" s="5">
        <v>208</v>
      </c>
      <c r="E119" s="17">
        <f t="shared" si="3"/>
        <v>158.54207991767649</v>
      </c>
      <c r="F119" s="17">
        <f t="shared" si="4"/>
        <v>292.45792008232354</v>
      </c>
      <c r="G119" s="17">
        <f t="shared" si="5"/>
        <v>85531.635018878747</v>
      </c>
    </row>
    <row r="120" spans="1:25" ht="18" customHeight="1" x14ac:dyDescent="0.2">
      <c r="A120" s="4">
        <v>44337</v>
      </c>
      <c r="B120" s="5">
        <v>559</v>
      </c>
      <c r="C120" s="5">
        <v>207</v>
      </c>
      <c r="E120" s="17">
        <f t="shared" si="3"/>
        <v>157.85249277876773</v>
      </c>
      <c r="F120" s="17">
        <f t="shared" si="4"/>
        <v>401.14750722123227</v>
      </c>
      <c r="G120" s="17">
        <f t="shared" si="5"/>
        <v>160919.3225498086</v>
      </c>
    </row>
    <row r="121" spans="1:25" ht="18" customHeight="1" x14ac:dyDescent="0.25">
      <c r="A121" s="4">
        <v>44338</v>
      </c>
      <c r="B121" s="5">
        <v>523</v>
      </c>
      <c r="C121" s="5">
        <v>210</v>
      </c>
      <c r="E121" s="17">
        <f t="shared" si="3"/>
        <v>159.92125419549401</v>
      </c>
      <c r="F121" s="17">
        <f t="shared" si="4"/>
        <v>363.07874580450596</v>
      </c>
      <c r="G121" s="17">
        <f t="shared" si="5"/>
        <v>131826.17565497305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413</v>
      </c>
      <c r="C122" s="5">
        <v>220</v>
      </c>
      <c r="E122" s="17">
        <f t="shared" si="3"/>
        <v>166.81712558458159</v>
      </c>
      <c r="F122" s="17">
        <f t="shared" si="4"/>
        <v>246.18287441541841</v>
      </c>
      <c r="G122" s="17">
        <f t="shared" si="5"/>
        <v>60606.007655437672</v>
      </c>
    </row>
    <row r="123" spans="1:25" ht="18" customHeight="1" x14ac:dyDescent="0.2">
      <c r="A123" s="4">
        <v>44340</v>
      </c>
      <c r="B123" s="5">
        <v>241</v>
      </c>
      <c r="C123" s="5">
        <v>239</v>
      </c>
      <c r="E123" s="17">
        <f t="shared" si="3"/>
        <v>179.919281223848</v>
      </c>
      <c r="F123" s="17">
        <f t="shared" si="4"/>
        <v>61.080718776151997</v>
      </c>
      <c r="G123" s="17">
        <f t="shared" si="5"/>
        <v>3730.854206211367</v>
      </c>
    </row>
    <row r="124" spans="1:25" ht="18" customHeight="1" x14ac:dyDescent="0.2">
      <c r="A124" s="4">
        <v>44341</v>
      </c>
      <c r="B124" s="5">
        <v>375</v>
      </c>
      <c r="C124" s="5">
        <v>237</v>
      </c>
      <c r="E124" s="17">
        <f t="shared" si="3"/>
        <v>178.54010694603048</v>
      </c>
      <c r="F124" s="17">
        <f t="shared" si="4"/>
        <v>196.45989305396952</v>
      </c>
      <c r="G124" s="17">
        <f t="shared" si="5"/>
        <v>38596.489578777146</v>
      </c>
    </row>
    <row r="125" spans="1:25" ht="18" customHeight="1" x14ac:dyDescent="0.2">
      <c r="A125" s="4">
        <v>44342</v>
      </c>
      <c r="B125" s="5">
        <v>594</v>
      </c>
      <c r="C125" s="5">
        <v>233</v>
      </c>
      <c r="E125" s="17">
        <f t="shared" si="3"/>
        <v>175.78175839039545</v>
      </c>
      <c r="F125" s="17">
        <f t="shared" si="4"/>
        <v>418.21824160960455</v>
      </c>
      <c r="G125" s="17">
        <f t="shared" si="5"/>
        <v>174906.49761502957</v>
      </c>
    </row>
    <row r="126" spans="1:25" ht="18" customHeight="1" x14ac:dyDescent="0.25">
      <c r="A126" s="4">
        <v>44343</v>
      </c>
      <c r="B126" s="5">
        <v>572</v>
      </c>
      <c r="C126" s="5">
        <v>233</v>
      </c>
      <c r="E126" s="17">
        <f t="shared" si="3"/>
        <v>175.78175839039545</v>
      </c>
      <c r="F126" s="17">
        <f t="shared" si="4"/>
        <v>396.21824160960455</v>
      </c>
      <c r="G126" s="17">
        <f t="shared" si="5"/>
        <v>156988.89498420697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246</v>
      </c>
      <c r="E127" s="17">
        <f t="shared" si="3"/>
        <v>184.74639119620932</v>
      </c>
      <c r="F127" s="17">
        <f t="shared" si="4"/>
        <v>413.25360880379071</v>
      </c>
      <c r="G127" s="17">
        <f t="shared" si="5"/>
        <v>170778.54518935649</v>
      </c>
    </row>
    <row r="128" spans="1:25" ht="18" customHeight="1" x14ac:dyDescent="0.2">
      <c r="A128" s="4">
        <v>44345</v>
      </c>
      <c r="B128" s="5">
        <v>609</v>
      </c>
      <c r="C128" s="5">
        <v>244</v>
      </c>
      <c r="E128" s="17">
        <f t="shared" si="3"/>
        <v>183.36721691839179</v>
      </c>
      <c r="F128" s="17">
        <f t="shared" si="4"/>
        <v>425.63278308160818</v>
      </c>
      <c r="G128" s="17">
        <f t="shared" si="5"/>
        <v>181163.26603379531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17">
        <f t="shared" si="3"/>
        <v>201.98606966892825</v>
      </c>
      <c r="F129" s="17">
        <f t="shared" si="4"/>
        <v>243.01393033107175</v>
      </c>
      <c r="G129" s="17">
        <f t="shared" si="5"/>
        <v>59055.770334954992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17">
        <f t="shared" si="3"/>
        <v>210.26111533583335</v>
      </c>
      <c r="F130" s="17">
        <f t="shared" si="4"/>
        <v>224.73888466416665</v>
      </c>
      <c r="G130" s="17">
        <f t="shared" si="5"/>
        <v>50507.566280093597</v>
      </c>
    </row>
    <row r="132" spans="1:24" ht="18" customHeight="1" x14ac:dyDescent="0.35">
      <c r="O132" s="21" t="s">
        <v>48</v>
      </c>
      <c r="P132">
        <f>ROUND((P40-0) / (P73 * SQRT( (1/B133) + (POWER(P34,2) / P36))),4)</f>
        <v>0.16059999999999999</v>
      </c>
      <c r="U132" s="21" t="s">
        <v>49</v>
      </c>
      <c r="V132">
        <f xml:space="preserve"> ROUND((P41-0) / (P73 / SQRT(P36)),4)</f>
        <v>17.9817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1.2369127944111824E-10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209372686.85044613</v>
      </c>
      <c r="O179" s="121"/>
    </row>
    <row r="180" spans="13:19" ht="18" customHeight="1" x14ac:dyDescent="0.2">
      <c r="M180" s="105" t="s">
        <v>62</v>
      </c>
      <c r="N180" s="122">
        <f>SUM(G11:G130)</f>
        <v>76408169.074553952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209372686.85044613</v>
      </c>
      <c r="P188" s="117"/>
      <c r="Q188" s="117">
        <f>O188/N188</f>
        <v>209372686.85044613</v>
      </c>
      <c r="R188" s="117"/>
      <c r="S188" s="77">
        <f>Q188/Q189</f>
        <v>323.34208956435293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76408169.074553952</v>
      </c>
      <c r="P189" s="117"/>
      <c r="Q189" s="117">
        <f>O189/N189</f>
        <v>647526.85656401655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1.2369127944111824E-10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45642</v>
      </c>
      <c r="E208" s="17">
        <f>$P$234 + $P$235*C208</f>
        <v>31860.528728093974</v>
      </c>
      <c r="F208" s="17">
        <f>B208-E208</f>
        <v>13037.471271906026</v>
      </c>
      <c r="G208" s="17">
        <f>POWER(F208,2)</f>
        <v>169975657.16577494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38719</v>
      </c>
      <c r="E209" s="17">
        <f t="shared" ref="E209:E224" si="6">$P$234 + $P$235*C209</f>
        <v>27028.134129880847</v>
      </c>
      <c r="F209" s="17">
        <f t="shared" ref="F209:F224" si="7">B209-E209</f>
        <v>-6686.1341298808475</v>
      </c>
      <c r="G209" s="17">
        <f t="shared" ref="G209:G224" si="8">POWER(F209,2)</f>
        <v>44704389.602757521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27454</v>
      </c>
      <c r="E210" s="17">
        <f t="shared" si="6"/>
        <v>19164.935350613065</v>
      </c>
      <c r="F210" s="17">
        <f t="shared" si="7"/>
        <v>-7395.9353506130647</v>
      </c>
      <c r="G210" s="17">
        <f t="shared" si="8"/>
        <v>54699859.710447997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18463</v>
      </c>
      <c r="E211" s="17">
        <f t="shared" si="6"/>
        <v>12889.034753684822</v>
      </c>
      <c r="F211" s="17">
        <f t="shared" si="7"/>
        <v>-5852.0347536848221</v>
      </c>
      <c r="G211" s="17">
        <f t="shared" si="8"/>
        <v>34246310.758334979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12112</v>
      </c>
      <c r="E212" s="17">
        <f t="shared" si="6"/>
        <v>8455.9077721375779</v>
      </c>
      <c r="F212" s="17">
        <f t="shared" si="7"/>
        <v>-2923.9077721375779</v>
      </c>
      <c r="G212" s="17">
        <f t="shared" si="8"/>
        <v>8549236.659966534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7986</v>
      </c>
      <c r="E213" s="17">
        <f t="shared" si="6"/>
        <v>5575.8759777959112</v>
      </c>
      <c r="F213" s="17">
        <f t="shared" si="7"/>
        <v>-1412.8759777959112</v>
      </c>
      <c r="G213" s="17">
        <f t="shared" si="8"/>
        <v>1996218.5286327524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5933</v>
      </c>
      <c r="E214" s="17">
        <f t="shared" si="6"/>
        <v>4142.8402837136427</v>
      </c>
      <c r="F214" s="17">
        <f t="shared" si="7"/>
        <v>-869.84028371364275</v>
      </c>
      <c r="G214" s="17">
        <f t="shared" si="8"/>
        <v>756622.11917103047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4841</v>
      </c>
      <c r="E215" s="17">
        <f t="shared" si="6"/>
        <v>3380.6021064424117</v>
      </c>
      <c r="F215" s="17">
        <f t="shared" si="7"/>
        <v>-503.6021064424117</v>
      </c>
      <c r="G215" s="17">
        <f t="shared" si="8"/>
        <v>253615.08161323416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3845</v>
      </c>
      <c r="E216" s="17">
        <f t="shared" si="6"/>
        <v>2685.3738788213982</v>
      </c>
      <c r="F216" s="17">
        <f t="shared" si="7"/>
        <v>242.62612117860181</v>
      </c>
      <c r="G216" s="17">
        <f t="shared" si="8"/>
        <v>58867.434678173566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3441</v>
      </c>
      <c r="E217" s="17">
        <f t="shared" si="6"/>
        <v>2403.3736740433969</v>
      </c>
      <c r="F217" s="17">
        <f t="shared" si="7"/>
        <v>1755.6263259566031</v>
      </c>
      <c r="G217" s="17">
        <f t="shared" si="8"/>
        <v>3082223.7963918806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3080</v>
      </c>
      <c r="E218" s="17">
        <f t="shared" si="6"/>
        <v>2151.3883425462227</v>
      </c>
      <c r="F218" s="17">
        <f t="shared" si="7"/>
        <v>1355.6116574537773</v>
      </c>
      <c r="G218" s="17">
        <f t="shared" si="8"/>
        <v>1837682.9658245773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2749</v>
      </c>
      <c r="E219" s="17">
        <f t="shared" si="6"/>
        <v>1920.3436203147414</v>
      </c>
      <c r="F219" s="17">
        <f t="shared" si="7"/>
        <v>1520.6563796852586</v>
      </c>
      <c r="G219" s="17">
        <f t="shared" si="8"/>
        <v>2312395.8250774774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2304</v>
      </c>
      <c r="E220" s="17">
        <f t="shared" si="6"/>
        <v>1609.7245828736261</v>
      </c>
      <c r="F220" s="17">
        <f t="shared" si="7"/>
        <v>1225.2754171263739</v>
      </c>
      <c r="G220" s="17">
        <f t="shared" si="8"/>
        <v>1501299.8478142095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2006</v>
      </c>
      <c r="E221" s="17">
        <f t="shared" si="6"/>
        <v>1401.7145308344075</v>
      </c>
      <c r="F221" s="17">
        <f t="shared" si="7"/>
        <v>903.28546916559253</v>
      </c>
      <c r="G221" s="17">
        <f t="shared" si="8"/>
        <v>815924.63880570466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1730</v>
      </c>
      <c r="E222" s="17">
        <f t="shared" si="6"/>
        <v>1209.0609255900301</v>
      </c>
      <c r="F222" s="17">
        <f t="shared" si="7"/>
        <v>1390.9390744099699</v>
      </c>
      <c r="G222" s="17">
        <f t="shared" si="8"/>
        <v>1934711.5087204636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1535</v>
      </c>
      <c r="E223" s="17">
        <f t="shared" si="6"/>
        <v>1072.9469653630247</v>
      </c>
      <c r="F223" s="17">
        <f t="shared" si="7"/>
        <v>1969.0530346369753</v>
      </c>
      <c r="G223" s="81">
        <f t="shared" si="8"/>
        <v>3877169.8532130816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1703</v>
      </c>
      <c r="D224" s="31"/>
      <c r="E224" s="17">
        <f t="shared" si="6"/>
        <v>1190.2143772509064</v>
      </c>
      <c r="F224" s="17">
        <f t="shared" si="7"/>
        <v>2243.7856227490938</v>
      </c>
      <c r="G224" s="17">
        <f t="shared" si="8"/>
        <v>5034573.9208555389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10796.64705882353</v>
      </c>
      <c r="Q228" s="130"/>
    </row>
    <row r="229" spans="1:25" ht="18" customHeight="1" x14ac:dyDescent="0.2">
      <c r="A229" s="1"/>
      <c r="O229" s="14"/>
      <c r="P229" s="130">
        <f>AVERAGE(B208:B224)</f>
        <v>7537.7647058823532</v>
      </c>
      <c r="Q229" s="130"/>
    </row>
    <row r="230" spans="1:25" ht="18" customHeight="1" x14ac:dyDescent="0.2">
      <c r="A230" s="1"/>
      <c r="O230" s="14"/>
      <c r="P230" s="130">
        <f>SUMPRODUCT(POWER(C208:C224-P228,2))</f>
        <v>3025670821.8823528</v>
      </c>
      <c r="Q230" s="130"/>
    </row>
    <row r="231" spans="1:25" ht="18" customHeight="1" x14ac:dyDescent="0.2">
      <c r="A231" s="1"/>
      <c r="O231" s="14"/>
      <c r="P231" s="130">
        <f>SUMPRODUCT(POWER(B208:B224-P229,2))</f>
        <v>1809841469.0588241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2111979681.5882351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1.4857912683910399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0.69802030885643884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0.81454908335555898</v>
      </c>
      <c r="Q244" s="120"/>
    </row>
    <row r="245" spans="1:25" ht="18" customHeight="1" x14ac:dyDescent="0.2">
      <c r="A245" s="1"/>
      <c r="O245" s="32"/>
      <c r="P245" s="122">
        <f>P232 / (SQRT(P230) * SQRT(P231))</f>
        <v>0.9025237300789154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4730.3048486546131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0.31200917552090623</v>
      </c>
      <c r="Q266" s="127"/>
      <c r="T266" s="16"/>
      <c r="U266" s="127">
        <f xml:space="preserve"> SQRT( 1/P230 )</f>
        <v>1.8179802523419314E-5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2587.3244180740271</v>
      </c>
      <c r="Q269" s="119"/>
      <c r="T269" s="19" t="s">
        <v>36</v>
      </c>
      <c r="U269" s="119">
        <f>P258*P260*U266</f>
        <v>0.15075533245481393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-2585.8386</v>
      </c>
      <c r="Q271" s="120"/>
      <c r="T271" s="16" t="s">
        <v>37</v>
      </c>
      <c r="U271" s="120">
        <f>ROUND(P235-U269,4)</f>
        <v>0.54730000000000001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2588.8101999999999</v>
      </c>
      <c r="Q272" s="122"/>
      <c r="T272" s="13" t="s">
        <v>38</v>
      </c>
      <c r="U272" s="122">
        <f>ROUND(P235+U269,4)</f>
        <v>0.8488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4730.3048486546131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0.31200917552090623</v>
      </c>
      <c r="Q290" s="127"/>
      <c r="T290" s="16"/>
      <c r="U290" s="127">
        <f xml:space="preserve"> SQRT( 1/P230 )</f>
        <v>1.8179802523419314E-5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3145.8032207756501</v>
      </c>
      <c r="Q293" s="119"/>
      <c r="T293" s="19" t="s">
        <v>36</v>
      </c>
      <c r="U293" s="119">
        <f>P282*P284*U290</f>
        <v>0.18329615222295195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-3144.3173999999999</v>
      </c>
      <c r="Q295" s="120"/>
      <c r="T295" s="16" t="s">
        <v>37</v>
      </c>
      <c r="U295" s="120">
        <f>ROUND(P235-U293,4)</f>
        <v>0.51470000000000005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3147.2890000000002</v>
      </c>
      <c r="Q296" s="122"/>
      <c r="T296" s="13" t="s">
        <v>38</v>
      </c>
      <c r="U296" s="122">
        <f>ROUND(P235+U293,4)</f>
        <v>0.88129999999999997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1E-3</v>
      </c>
      <c r="T319" s="21" t="s">
        <v>49</v>
      </c>
      <c r="U319">
        <f>ROUND( (P235-0) / (P284 / SQRT(P230)),4)</f>
        <v>8.1168999999999993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-30134.058823529384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1531022606.4019892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335636759.41808009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1531022606.4019892</v>
      </c>
      <c r="P371" s="117"/>
      <c r="Q371" s="117">
        <f>O371/N371</f>
        <v>1531022606.4019892</v>
      </c>
      <c r="R371" s="117"/>
      <c r="S371" s="77">
        <f>Q371/Q372</f>
        <v>68.42319397865316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335636759.41808009</v>
      </c>
      <c r="P372" s="117"/>
      <c r="Q372" s="117">
        <f>O372/N372</f>
        <v>22375783.961205341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-30134.058823529384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CE7-54BC-473C-B26B-40622D696307}">
  <dimension ref="A3:AD444"/>
  <sheetViews>
    <sheetView topLeftCell="E267" zoomScaleNormal="100" workbookViewId="0">
      <selection activeCell="V172" sqref="V17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65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47369</v>
      </c>
      <c r="E11" s="17">
        <f>$P$40 + $P$41*C11</f>
        <v>1120.1281041599154</v>
      </c>
      <c r="F11" s="17">
        <f>B11-E11</f>
        <v>4684.8718958400841</v>
      </c>
      <c r="G11" s="17">
        <f>POWER(F11,2)</f>
        <v>21948024.680432264</v>
      </c>
    </row>
    <row r="12" spans="1:30" ht="18" customHeight="1" x14ac:dyDescent="0.2">
      <c r="A12" s="4">
        <v>44229</v>
      </c>
      <c r="B12" s="5">
        <v>5540</v>
      </c>
      <c r="C12" s="5">
        <v>57995</v>
      </c>
      <c r="E12" s="17">
        <f t="shared" ref="E12:E75" si="0">$P$40 + $P$41*C12</f>
        <v>1172.655334609821</v>
      </c>
      <c r="F12" s="17">
        <f t="shared" ref="F12:F75" si="1">B12-E12</f>
        <v>4367.3446653901792</v>
      </c>
      <c r="G12" s="17">
        <f t="shared" ref="G12:G75" si="2">POWER(F12,2)</f>
        <v>19073699.426312055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53401</v>
      </c>
      <c r="E13" s="17">
        <f t="shared" si="0"/>
        <v>1149.945933453519</v>
      </c>
      <c r="F13" s="17">
        <f t="shared" si="1"/>
        <v>7933.0540665464814</v>
      </c>
      <c r="G13" s="17">
        <f t="shared" si="2"/>
        <v>62933346.822749667</v>
      </c>
    </row>
    <row r="14" spans="1:30" ht="18" customHeight="1" x14ac:dyDescent="0.2">
      <c r="A14" s="4">
        <v>44231</v>
      </c>
      <c r="B14" s="5">
        <v>7914</v>
      </c>
      <c r="C14" s="5">
        <v>50384</v>
      </c>
      <c r="E14" s="17">
        <f t="shared" si="0"/>
        <v>1135.0320755326302</v>
      </c>
      <c r="F14" s="17">
        <f t="shared" si="1"/>
        <v>6778.9679244673698</v>
      </c>
      <c r="G14" s="17">
        <f t="shared" si="2"/>
        <v>45954406.120957442</v>
      </c>
    </row>
    <row r="15" spans="1:30" ht="18" customHeight="1" x14ac:dyDescent="0.2">
      <c r="A15" s="4">
        <v>44232</v>
      </c>
      <c r="B15" s="5">
        <v>6916</v>
      </c>
      <c r="C15" s="5">
        <v>49625</v>
      </c>
      <c r="E15" s="17">
        <f t="shared" si="0"/>
        <v>1131.2801305004941</v>
      </c>
      <c r="F15" s="17">
        <f t="shared" si="1"/>
        <v>5784.7198694995059</v>
      </c>
      <c r="G15" s="17">
        <f t="shared" si="2"/>
        <v>33462983.968582381</v>
      </c>
    </row>
    <row r="16" spans="1:30" ht="18" customHeight="1" x14ac:dyDescent="0.2">
      <c r="A16" s="4">
        <v>44233</v>
      </c>
      <c r="B16" s="5">
        <v>6132</v>
      </c>
      <c r="C16" s="5">
        <v>30356</v>
      </c>
      <c r="E16" s="17">
        <f t="shared" si="0"/>
        <v>1036.0281821154736</v>
      </c>
      <c r="F16" s="17">
        <f t="shared" si="1"/>
        <v>5095.9718178845269</v>
      </c>
      <c r="G16" s="17">
        <f t="shared" si="2"/>
        <v>25968928.768673331</v>
      </c>
    </row>
    <row r="17" spans="1:24" ht="18" customHeight="1" x14ac:dyDescent="0.2">
      <c r="A17" s="4">
        <v>44234</v>
      </c>
      <c r="B17" s="5">
        <v>3508</v>
      </c>
      <c r="C17" s="5">
        <v>15085</v>
      </c>
      <c r="E17" s="17">
        <f t="shared" si="0"/>
        <v>960.53944353082204</v>
      </c>
      <c r="F17" s="17">
        <f t="shared" si="1"/>
        <v>2547.4605564691778</v>
      </c>
      <c r="G17" s="17">
        <f t="shared" si="2"/>
        <v>6489555.2867662534</v>
      </c>
    </row>
    <row r="18" spans="1:24" ht="18" customHeight="1" x14ac:dyDescent="0.2">
      <c r="A18" s="4">
        <v>44235</v>
      </c>
      <c r="B18" s="5">
        <v>2505</v>
      </c>
      <c r="C18" s="5">
        <v>34923</v>
      </c>
      <c r="E18" s="17">
        <f t="shared" si="0"/>
        <v>1058.6041148714228</v>
      </c>
      <c r="F18" s="17">
        <f t="shared" si="1"/>
        <v>1446.3958851285772</v>
      </c>
      <c r="G18" s="17">
        <f t="shared" si="2"/>
        <v>2092061.0565168804</v>
      </c>
    </row>
    <row r="19" spans="1:24" ht="18" customHeight="1" x14ac:dyDescent="0.2">
      <c r="A19" s="4">
        <v>44236</v>
      </c>
      <c r="B19" s="5">
        <v>2583</v>
      </c>
      <c r="C19" s="5">
        <v>38694</v>
      </c>
      <c r="E19" s="17">
        <f t="shared" si="0"/>
        <v>1077.2452014540122</v>
      </c>
      <c r="F19" s="17">
        <f t="shared" si="1"/>
        <v>1505.7547985459878</v>
      </c>
      <c r="G19" s="17">
        <f t="shared" si="2"/>
        <v>2267297.5133442683</v>
      </c>
    </row>
    <row r="20" spans="1:24" ht="18" customHeight="1" x14ac:dyDescent="0.2">
      <c r="A20" s="4">
        <v>44237</v>
      </c>
      <c r="B20" s="5">
        <v>4387</v>
      </c>
      <c r="C20" s="5">
        <v>37621</v>
      </c>
      <c r="E20" s="17">
        <f t="shared" si="0"/>
        <v>1071.9410683585154</v>
      </c>
      <c r="F20" s="17">
        <f t="shared" si="1"/>
        <v>3315.0589316414844</v>
      </c>
      <c r="G20" s="17">
        <f t="shared" si="2"/>
        <v>10989615.72025598</v>
      </c>
    </row>
    <row r="21" spans="1:24" ht="18" customHeight="1" x14ac:dyDescent="0.2">
      <c r="A21" s="4">
        <v>44238</v>
      </c>
      <c r="B21" s="5">
        <v>3480</v>
      </c>
      <c r="C21" s="5">
        <v>37347</v>
      </c>
      <c r="E21" s="17">
        <f t="shared" si="0"/>
        <v>1070.5866112586402</v>
      </c>
      <c r="F21" s="17">
        <f t="shared" si="1"/>
        <v>2409.41338874136</v>
      </c>
      <c r="G21" s="17">
        <f t="shared" si="2"/>
        <v>5805272.8778461237</v>
      </c>
    </row>
    <row r="22" spans="1:24" ht="18" customHeight="1" x14ac:dyDescent="0.2">
      <c r="A22" s="4">
        <v>44239</v>
      </c>
      <c r="B22" s="5">
        <v>2854</v>
      </c>
      <c r="C22" s="5">
        <v>38752</v>
      </c>
      <c r="E22" s="17">
        <f t="shared" si="0"/>
        <v>1077.5319113510659</v>
      </c>
      <c r="F22" s="17">
        <f t="shared" si="1"/>
        <v>1776.4680886489341</v>
      </c>
      <c r="G22" s="17">
        <f t="shared" si="2"/>
        <v>3155838.8699879972</v>
      </c>
    </row>
    <row r="23" spans="1:24" ht="18" customHeight="1" x14ac:dyDescent="0.2">
      <c r="A23" s="4">
        <v>44240</v>
      </c>
      <c r="B23" s="5">
        <v>2856</v>
      </c>
      <c r="C23" s="5">
        <v>21483</v>
      </c>
      <c r="E23" s="17">
        <f t="shared" si="0"/>
        <v>992.1665111403172</v>
      </c>
      <c r="F23" s="17">
        <f t="shared" si="1"/>
        <v>1863.8334888596828</v>
      </c>
      <c r="G23" s="17">
        <f t="shared" si="2"/>
        <v>3473875.2741948571</v>
      </c>
    </row>
    <row r="24" spans="1:24" ht="18" customHeight="1" x14ac:dyDescent="0.2">
      <c r="A24" s="4">
        <v>44241</v>
      </c>
      <c r="B24" s="5">
        <v>1677</v>
      </c>
      <c r="C24" s="5">
        <v>12100</v>
      </c>
      <c r="E24" s="17">
        <f t="shared" si="0"/>
        <v>945.78377038072153</v>
      </c>
      <c r="F24" s="17">
        <f t="shared" si="1"/>
        <v>731.21622961927847</v>
      </c>
      <c r="G24" s="17">
        <f t="shared" si="2"/>
        <v>534677.17445863341</v>
      </c>
    </row>
    <row r="25" spans="1:24" ht="18" customHeight="1" x14ac:dyDescent="0.2">
      <c r="A25" s="4">
        <v>44242</v>
      </c>
      <c r="B25" s="5">
        <v>1303</v>
      </c>
      <c r="C25" s="5">
        <v>33135</v>
      </c>
      <c r="E25" s="17">
        <f t="shared" si="0"/>
        <v>1049.7655408036239</v>
      </c>
      <c r="F25" s="17">
        <f t="shared" si="1"/>
        <v>253.23445919637606</v>
      </c>
      <c r="G25" s="17">
        <f t="shared" si="2"/>
        <v>64127.691324481057</v>
      </c>
    </row>
    <row r="26" spans="1:24" ht="18" customHeight="1" x14ac:dyDescent="0.2">
      <c r="A26" s="4">
        <v>44243</v>
      </c>
      <c r="B26" s="5">
        <v>1502</v>
      </c>
      <c r="C26" s="5">
        <v>32083</v>
      </c>
      <c r="E26" s="17">
        <f t="shared" si="0"/>
        <v>1044.5652164639571</v>
      </c>
      <c r="F26" s="17">
        <f t="shared" si="1"/>
        <v>457.43478353604291</v>
      </c>
      <c r="G26" s="17">
        <f t="shared" si="2"/>
        <v>209246.58118866643</v>
      </c>
    </row>
    <row r="27" spans="1:24" ht="18" customHeight="1" x14ac:dyDescent="0.2">
      <c r="A27" s="4">
        <v>44244</v>
      </c>
      <c r="B27" s="5">
        <v>2324</v>
      </c>
      <c r="C27" s="5">
        <v>34354</v>
      </c>
      <c r="E27" s="17">
        <f t="shared" si="0"/>
        <v>1055.7913919158425</v>
      </c>
      <c r="F27" s="17">
        <f t="shared" si="1"/>
        <v>1268.2086080841575</v>
      </c>
      <c r="G27" s="17">
        <f t="shared" si="2"/>
        <v>1608353.0736187561</v>
      </c>
    </row>
    <row r="28" spans="1:24" ht="18" customHeight="1" x14ac:dyDescent="0.2">
      <c r="A28" s="4">
        <v>44245</v>
      </c>
      <c r="B28" s="5">
        <v>1944</v>
      </c>
      <c r="C28" s="5">
        <v>33985</v>
      </c>
      <c r="E28" s="17">
        <f t="shared" si="0"/>
        <v>1053.9673237776894</v>
      </c>
      <c r="F28" s="17">
        <f t="shared" si="1"/>
        <v>890.03267622231056</v>
      </c>
      <c r="G28" s="17">
        <f t="shared" si="2"/>
        <v>792158.16474344826</v>
      </c>
    </row>
    <row r="29" spans="1:24" ht="18" customHeight="1" x14ac:dyDescent="0.2">
      <c r="A29" s="4">
        <v>44246</v>
      </c>
      <c r="B29" s="5">
        <v>1940</v>
      </c>
      <c r="C29" s="5">
        <v>33887</v>
      </c>
      <c r="E29" s="17">
        <f t="shared" si="0"/>
        <v>1053.4828829171502</v>
      </c>
      <c r="F29" s="17">
        <f t="shared" si="1"/>
        <v>886.51711708284984</v>
      </c>
      <c r="G29" s="17">
        <f t="shared" si="2"/>
        <v>785912.59888088726</v>
      </c>
    </row>
    <row r="30" spans="1:24" ht="18" customHeight="1" x14ac:dyDescent="0.2">
      <c r="A30" s="4">
        <v>44247</v>
      </c>
      <c r="B30" s="5">
        <v>1570</v>
      </c>
      <c r="C30" s="5">
        <v>21848</v>
      </c>
      <c r="E30" s="17">
        <f t="shared" si="0"/>
        <v>993.97080618212169</v>
      </c>
      <c r="F30" s="17">
        <f t="shared" si="1"/>
        <v>576.02919381787831</v>
      </c>
      <c r="G30" s="17">
        <f t="shared" si="2"/>
        <v>331809.63213047484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10854</v>
      </c>
      <c r="E31" s="17">
        <f t="shared" si="0"/>
        <v>939.62445086815023</v>
      </c>
      <c r="F31" s="17">
        <f t="shared" si="1"/>
        <v>246.37554913184977</v>
      </c>
      <c r="G31" s="17">
        <f t="shared" si="2"/>
        <v>60700.911210020517</v>
      </c>
    </row>
    <row r="32" spans="1:24" ht="18" customHeight="1" x14ac:dyDescent="0.2">
      <c r="A32" s="4">
        <v>44249</v>
      </c>
      <c r="B32" s="5">
        <v>549</v>
      </c>
      <c r="C32" s="5">
        <v>31296</v>
      </c>
      <c r="E32" s="17">
        <f t="shared" si="0"/>
        <v>1040.6748597573812</v>
      </c>
      <c r="F32" s="17">
        <f t="shared" si="1"/>
        <v>-491.67485975738123</v>
      </c>
      <c r="G32" s="17">
        <f t="shared" si="2"/>
        <v>241744.16771744049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17">
        <f t="shared" si="0"/>
        <v>1042.0639197758665</v>
      </c>
      <c r="F33" s="17">
        <f t="shared" si="1"/>
        <v>-10.063919775866452</v>
      </c>
      <c r="G33" s="17">
        <f t="shared" si="2"/>
        <v>101.28248125507587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1480</v>
      </c>
      <c r="C34" s="5">
        <v>31235</v>
      </c>
      <c r="E34" s="17">
        <f t="shared" si="0"/>
        <v>1040.3733200380659</v>
      </c>
      <c r="F34" s="17">
        <f t="shared" si="1"/>
        <v>439.62667996193409</v>
      </c>
      <c r="G34" s="17">
        <f t="shared" si="2"/>
        <v>193271.61773435283</v>
      </c>
      <c r="O34" s="14"/>
      <c r="P34" s="130">
        <f>AVERAGE(C11:C130)</f>
        <v>37526.716666666667</v>
      </c>
      <c r="Q34" s="130"/>
    </row>
    <row r="35" spans="1:24" ht="18" customHeight="1" x14ac:dyDescent="0.2">
      <c r="A35" s="4">
        <v>44252</v>
      </c>
      <c r="B35" s="5">
        <v>1160</v>
      </c>
      <c r="C35" s="5">
        <v>30974</v>
      </c>
      <c r="E35" s="17">
        <f t="shared" si="0"/>
        <v>1039.0831255013234</v>
      </c>
      <c r="F35" s="17">
        <f t="shared" si="1"/>
        <v>120.91687449867663</v>
      </c>
      <c r="G35" s="17">
        <f t="shared" si="2"/>
        <v>14620.890538528716</v>
      </c>
      <c r="O35" s="14"/>
      <c r="P35" s="130">
        <f>AVERAGE(B11:B130)</f>
        <v>1071.4749999999999</v>
      </c>
      <c r="Q35" s="130"/>
    </row>
    <row r="36" spans="1:24" ht="18" customHeight="1" x14ac:dyDescent="0.2">
      <c r="A36" s="4">
        <v>44253</v>
      </c>
      <c r="B36" s="5">
        <v>1027</v>
      </c>
      <c r="C36" s="5">
        <v>32910</v>
      </c>
      <c r="E36" s="17">
        <f t="shared" si="0"/>
        <v>1048.6533041340185</v>
      </c>
      <c r="F36" s="17">
        <f t="shared" si="1"/>
        <v>-21.653304134018526</v>
      </c>
      <c r="G36" s="17">
        <f t="shared" si="2"/>
        <v>468.86557992030379</v>
      </c>
      <c r="O36" s="14"/>
      <c r="P36" s="130">
        <f>SUMPRODUCT(POWER(C11:C130-P34,2))</f>
        <v>38761835126.366646</v>
      </c>
      <c r="Q36" s="130"/>
    </row>
    <row r="37" spans="1:24" ht="18" customHeight="1" x14ac:dyDescent="0.2">
      <c r="A37" s="4">
        <v>44254</v>
      </c>
      <c r="B37" s="5">
        <v>1071</v>
      </c>
      <c r="C37" s="5">
        <v>20380</v>
      </c>
      <c r="E37" s="17">
        <f t="shared" si="0"/>
        <v>986.71407982220626</v>
      </c>
      <c r="F37" s="17">
        <f t="shared" si="1"/>
        <v>84.285920177793741</v>
      </c>
      <c r="G37" s="17">
        <f t="shared" si="2"/>
        <v>7104.1163402174179</v>
      </c>
      <c r="O37" s="14"/>
      <c r="P37" s="130">
        <f>SUMPRODUCT(POWER(B11:B130-P35,2))</f>
        <v>285780855.92500037</v>
      </c>
      <c r="Q37" s="130"/>
    </row>
    <row r="38" spans="1:24" ht="18" customHeight="1" x14ac:dyDescent="0.2">
      <c r="A38" s="4">
        <v>44255</v>
      </c>
      <c r="B38" s="5">
        <v>718</v>
      </c>
      <c r="C38" s="5">
        <v>11439</v>
      </c>
      <c r="E38" s="17">
        <f t="shared" si="0"/>
        <v>942.51626620912475</v>
      </c>
      <c r="F38" s="17">
        <f t="shared" si="1"/>
        <v>-224.51626620912475</v>
      </c>
      <c r="G38" s="17">
        <f t="shared" si="2"/>
        <v>50407.553792486571</v>
      </c>
      <c r="O38" s="14"/>
      <c r="P38" s="130">
        <f xml:space="preserve"> SUMPRODUCT( (B11:B130-P35) * (C11:C130-P34))</f>
        <v>191610375.1500001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394</v>
      </c>
      <c r="C39" s="5">
        <v>26639</v>
      </c>
      <c r="E39" s="17">
        <f t="shared" si="0"/>
        <v>1017.6540323335896</v>
      </c>
      <c r="F39" s="17">
        <f t="shared" si="1"/>
        <v>-623.65403233358961</v>
      </c>
      <c r="G39" s="17">
        <f t="shared" si="2"/>
        <v>388944.35204594606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29735</v>
      </c>
      <c r="E40" s="17">
        <f t="shared" si="0"/>
        <v>1032.9584089073621</v>
      </c>
      <c r="F40" s="17">
        <f t="shared" si="1"/>
        <v>-341.95840890736213</v>
      </c>
      <c r="G40" s="17">
        <f t="shared" si="2"/>
        <v>116935.55342245469</v>
      </c>
      <c r="O40" s="16"/>
      <c r="P40" s="120">
        <f>P35 - P34*P41</f>
        <v>885.97015392637786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29388</v>
      </c>
      <c r="E41" s="17">
        <f t="shared" si="0"/>
        <v>1031.2430927991259</v>
      </c>
      <c r="F41" s="17">
        <f t="shared" si="1"/>
        <v>-52.243092799125861</v>
      </c>
      <c r="G41" s="17">
        <f t="shared" si="2"/>
        <v>2729.3407452180763</v>
      </c>
      <c r="O41" s="13"/>
      <c r="P41" s="122">
        <f>P38/P36</f>
        <v>4.9432740871358421E-3</v>
      </c>
      <c r="Q41" s="122"/>
    </row>
    <row r="42" spans="1:24" ht="18" customHeight="1" x14ac:dyDescent="0.2">
      <c r="A42" s="4">
        <v>44259</v>
      </c>
      <c r="B42" s="5">
        <v>830</v>
      </c>
      <c r="C42" s="5">
        <v>28081</v>
      </c>
      <c r="E42" s="17">
        <f t="shared" si="0"/>
        <v>1024.7822335672395</v>
      </c>
      <c r="F42" s="17">
        <f t="shared" si="1"/>
        <v>-194.78223356723947</v>
      </c>
      <c r="G42" s="17">
        <f t="shared" si="2"/>
        <v>37940.118513442634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17">
        <f t="shared" si="0"/>
        <v>1027.5257506855999</v>
      </c>
      <c r="F43" s="17">
        <f t="shared" si="1"/>
        <v>-78.52575068559986</v>
      </c>
      <c r="G43" s="17">
        <f t="shared" si="2"/>
        <v>6166.2935207369865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17">
        <f t="shared" si="0"/>
        <v>984.29681879359691</v>
      </c>
      <c r="F44" s="17">
        <f t="shared" si="1"/>
        <v>22.703181206403087</v>
      </c>
      <c r="G44" s="17">
        <f t="shared" si="2"/>
        <v>515.43443689077435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17">
        <f t="shared" si="0"/>
        <v>932.41715724910625</v>
      </c>
      <c r="F45" s="17">
        <f t="shared" si="1"/>
        <v>-250.41715724910625</v>
      </c>
      <c r="G45" s="17">
        <f t="shared" si="2"/>
        <v>62708.752644723609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25303</v>
      </c>
      <c r="E46" s="17">
        <f t="shared" si="0"/>
        <v>1011.049818153176</v>
      </c>
      <c r="F46" s="17">
        <f t="shared" si="1"/>
        <v>-646.04981815317603</v>
      </c>
      <c r="G46" s="17">
        <f t="shared" si="2"/>
        <v>417380.36753575184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17">
        <f t="shared" si="0"/>
        <v>1007.1446316243388</v>
      </c>
      <c r="F47" s="17">
        <f t="shared" si="1"/>
        <v>-160.14463162433879</v>
      </c>
      <c r="G47" s="17">
        <f t="shared" si="2"/>
        <v>25646.303038095171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17">
        <f t="shared" si="0"/>
        <v>1017.5947130445439</v>
      </c>
      <c r="F48" s="17">
        <f t="shared" si="1"/>
        <v>-375.59471304454394</v>
      </c>
      <c r="G48" s="17">
        <f t="shared" si="2"/>
        <v>141071.38846701331</v>
      </c>
    </row>
    <row r="49" spans="1:24" ht="18" customHeight="1" x14ac:dyDescent="0.2">
      <c r="A49" s="4">
        <v>44266</v>
      </c>
      <c r="B49" s="5">
        <v>627</v>
      </c>
      <c r="C49" s="5">
        <v>24313</v>
      </c>
      <c r="E49" s="17">
        <f t="shared" si="0"/>
        <v>1006.1559768069116</v>
      </c>
      <c r="F49" s="17">
        <f t="shared" si="1"/>
        <v>-379.15597680691155</v>
      </c>
      <c r="G49" s="17">
        <f t="shared" si="2"/>
        <v>143759.25474840324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577</v>
      </c>
      <c r="C50" s="5">
        <v>27281</v>
      </c>
      <c r="E50" s="17">
        <f t="shared" si="0"/>
        <v>1020.8276142975308</v>
      </c>
      <c r="F50" s="17">
        <f t="shared" si="1"/>
        <v>-443.82761429753077</v>
      </c>
      <c r="G50" s="17">
        <f t="shared" si="2"/>
        <v>196982.95121303774</v>
      </c>
      <c r="O50" s="15"/>
      <c r="P50" s="120">
        <f>POWER(P38,2) / (P36*P37)</f>
        <v>3.3143668747144814E-3</v>
      </c>
      <c r="Q50" s="120"/>
    </row>
    <row r="51" spans="1:24" ht="18" customHeight="1" x14ac:dyDescent="0.2">
      <c r="A51" s="4">
        <v>44268</v>
      </c>
      <c r="B51" s="5">
        <v>564</v>
      </c>
      <c r="C51" s="5">
        <v>21016</v>
      </c>
      <c r="E51" s="17">
        <f t="shared" si="0"/>
        <v>989.85800214162475</v>
      </c>
      <c r="F51" s="17">
        <f t="shared" si="1"/>
        <v>-425.85800214162475</v>
      </c>
      <c r="G51" s="17">
        <f t="shared" si="2"/>
        <v>181355.03798805608</v>
      </c>
      <c r="O51" s="32"/>
      <c r="P51" s="122">
        <f>P38 / (SQRT(P36) * SQRT(P37))</f>
        <v>5.7570538252777193E-2</v>
      </c>
      <c r="Q51" s="122"/>
    </row>
    <row r="52" spans="1:24" ht="18" customHeight="1" x14ac:dyDescent="0.2">
      <c r="A52" s="4">
        <v>44269</v>
      </c>
      <c r="B52" s="5">
        <v>541</v>
      </c>
      <c r="C52" s="5">
        <v>9709</v>
      </c>
      <c r="E52" s="17">
        <f t="shared" si="0"/>
        <v>933.96440203837972</v>
      </c>
      <c r="F52" s="17">
        <f t="shared" si="1"/>
        <v>-392.96440203837972</v>
      </c>
      <c r="G52" s="17">
        <f t="shared" si="2"/>
        <v>154421.02126938134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26427</v>
      </c>
      <c r="E53" s="17">
        <f t="shared" si="0"/>
        <v>1016.6060582271168</v>
      </c>
      <c r="F53" s="17">
        <f t="shared" si="1"/>
        <v>-760.60605822711682</v>
      </c>
      <c r="G53" s="17">
        <f t="shared" si="2"/>
        <v>578521.57581179217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41394</v>
      </c>
      <c r="E54" s="17">
        <f t="shared" si="0"/>
        <v>1090.5920414892789</v>
      </c>
      <c r="F54" s="17">
        <f t="shared" si="1"/>
        <v>-706.59204148927893</v>
      </c>
      <c r="G54" s="17">
        <f t="shared" si="2"/>
        <v>499272.31309598684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48102</v>
      </c>
      <c r="E55" s="17">
        <f t="shared" si="0"/>
        <v>1123.751524065786</v>
      </c>
      <c r="F55" s="17">
        <f t="shared" si="1"/>
        <v>-450.75152406578604</v>
      </c>
      <c r="G55" s="17">
        <f t="shared" si="2"/>
        <v>203176.93644762889</v>
      </c>
    </row>
    <row r="56" spans="1:24" ht="18" customHeight="1" x14ac:dyDescent="0.2">
      <c r="A56" s="4">
        <v>44273</v>
      </c>
      <c r="B56" s="5">
        <v>485</v>
      </c>
      <c r="C56" s="5">
        <v>52896</v>
      </c>
      <c r="E56" s="17">
        <f t="shared" si="0"/>
        <v>1147.4495800395152</v>
      </c>
      <c r="F56" s="17">
        <f t="shared" si="1"/>
        <v>-662.44958003951524</v>
      </c>
      <c r="G56" s="17">
        <f t="shared" si="2"/>
        <v>438839.44609453011</v>
      </c>
    </row>
    <row r="57" spans="1:24" ht="18" customHeight="1" x14ac:dyDescent="0.2">
      <c r="A57" s="4">
        <v>44274</v>
      </c>
      <c r="B57" s="5">
        <v>568</v>
      </c>
      <c r="C57" s="5">
        <v>53485</v>
      </c>
      <c r="E57" s="17">
        <f t="shared" si="0"/>
        <v>1150.3611684768384</v>
      </c>
      <c r="F57" s="17">
        <f t="shared" si="1"/>
        <v>-582.36116847683843</v>
      </c>
      <c r="G57" s="17">
        <f t="shared" si="2"/>
        <v>339144.53054970858</v>
      </c>
    </row>
    <row r="58" spans="1:24" ht="18" customHeight="1" x14ac:dyDescent="0.2">
      <c r="A58" s="4">
        <v>44275</v>
      </c>
      <c r="B58" s="5">
        <v>457</v>
      </c>
      <c r="C58" s="5">
        <v>33514</v>
      </c>
      <c r="E58" s="17">
        <f t="shared" si="0"/>
        <v>1051.6390416826484</v>
      </c>
      <c r="F58" s="17">
        <f t="shared" si="1"/>
        <v>-594.63904168264844</v>
      </c>
      <c r="G58" s="17">
        <f t="shared" si="2"/>
        <v>353595.58989325853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10254</v>
      </c>
      <c r="E59" s="17">
        <f t="shared" si="0"/>
        <v>936.65848641586877</v>
      </c>
      <c r="F59" s="17">
        <f t="shared" si="1"/>
        <v>-486.65848641586877</v>
      </c>
      <c r="G59" s="17">
        <f t="shared" si="2"/>
        <v>236836.48240058433</v>
      </c>
    </row>
    <row r="60" spans="1:24" ht="18" customHeight="1" x14ac:dyDescent="0.2">
      <c r="A60" s="4">
        <v>44277</v>
      </c>
      <c r="B60" s="5">
        <v>248</v>
      </c>
      <c r="C60" s="5">
        <v>30283</v>
      </c>
      <c r="E60" s="17">
        <f t="shared" si="0"/>
        <v>1035.6673231071127</v>
      </c>
      <c r="F60" s="17">
        <f t="shared" si="1"/>
        <v>-787.66732310711268</v>
      </c>
      <c r="G60" s="17">
        <f t="shared" si="2"/>
        <v>620419.8118907247</v>
      </c>
    </row>
    <row r="61" spans="1:24" ht="18" customHeight="1" x14ac:dyDescent="0.2">
      <c r="A61" s="4">
        <v>44278</v>
      </c>
      <c r="B61" s="5">
        <v>434</v>
      </c>
      <c r="C61" s="5">
        <v>31200</v>
      </c>
      <c r="E61" s="17">
        <f t="shared" si="0"/>
        <v>1040.2003054450161</v>
      </c>
      <c r="F61" s="17">
        <f t="shared" si="1"/>
        <v>-606.20030544501606</v>
      </c>
      <c r="G61" s="17">
        <f t="shared" si="2"/>
        <v>367478.81032163074</v>
      </c>
    </row>
    <row r="62" spans="1:24" ht="18" customHeight="1" x14ac:dyDescent="0.2">
      <c r="A62" s="4">
        <v>44279</v>
      </c>
      <c r="B62" s="5">
        <v>575</v>
      </c>
      <c r="C62" s="5">
        <v>29256</v>
      </c>
      <c r="E62" s="17">
        <f t="shared" si="0"/>
        <v>1030.590580619624</v>
      </c>
      <c r="F62" s="17">
        <f t="shared" si="1"/>
        <v>-455.59058061962401</v>
      </c>
      <c r="G62" s="17">
        <f t="shared" si="2"/>
        <v>207562.77714932611</v>
      </c>
    </row>
    <row r="63" spans="1:24" ht="18" customHeight="1" x14ac:dyDescent="0.2">
      <c r="A63" s="4">
        <v>44280</v>
      </c>
      <c r="B63" s="5">
        <v>423</v>
      </c>
      <c r="C63" s="5">
        <v>27478</v>
      </c>
      <c r="E63" s="17">
        <f t="shared" si="0"/>
        <v>1021.8014392926965</v>
      </c>
      <c r="F63" s="17">
        <f t="shared" si="1"/>
        <v>-598.8014392926965</v>
      </c>
      <c r="G63" s="17">
        <f t="shared" si="2"/>
        <v>358563.16369900492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30147</v>
      </c>
      <c r="E64" s="17">
        <f t="shared" si="0"/>
        <v>1034.9950378312622</v>
      </c>
      <c r="F64" s="17">
        <f t="shared" si="1"/>
        <v>-546.99503783126215</v>
      </c>
      <c r="G64" s="17">
        <f t="shared" si="2"/>
        <v>299203.57141202391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17">
        <f t="shared" si="0"/>
        <v>995.50322114913388</v>
      </c>
      <c r="F65" s="17">
        <f t="shared" si="1"/>
        <v>-651.50322114913388</v>
      </c>
      <c r="G65" s="17">
        <f t="shared" si="2"/>
        <v>424456.44716769725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17">
        <f t="shared" si="0"/>
        <v>939.57996140136606</v>
      </c>
      <c r="F66" s="17">
        <f t="shared" si="1"/>
        <v>-574.57996140136606</v>
      </c>
      <c r="G66" s="17">
        <f t="shared" si="2"/>
        <v>330142.13204399531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309</v>
      </c>
      <c r="C67" s="5">
        <v>30192</v>
      </c>
      <c r="E67" s="17">
        <f t="shared" si="0"/>
        <v>1035.2174851651832</v>
      </c>
      <c r="F67" s="17">
        <f t="shared" si="1"/>
        <v>-726.21748516518323</v>
      </c>
      <c r="G67" s="17">
        <f t="shared" si="2"/>
        <v>527391.83575964312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17">
        <f t="shared" si="0"/>
        <v>1030.5312613305784</v>
      </c>
      <c r="F68" s="17">
        <f t="shared" si="1"/>
        <v>-642.53126133057845</v>
      </c>
      <c r="G68" s="17">
        <f t="shared" si="2"/>
        <v>412846.42178706412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618</v>
      </c>
      <c r="C69" s="5">
        <v>28880</v>
      </c>
      <c r="E69" s="17">
        <f t="shared" si="0"/>
        <v>1028.7319095628609</v>
      </c>
      <c r="F69" s="17">
        <f t="shared" si="1"/>
        <v>-410.73190956286089</v>
      </c>
      <c r="G69" s="17">
        <f t="shared" si="2"/>
        <v>168700.70153315415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592</v>
      </c>
      <c r="C70" s="5">
        <v>28742</v>
      </c>
      <c r="E70" s="17">
        <f t="shared" si="0"/>
        <v>1028.0497377388363</v>
      </c>
      <c r="F70" s="17">
        <f t="shared" si="1"/>
        <v>-436.04973773883626</v>
      </c>
      <c r="G70" s="17">
        <f t="shared" si="2"/>
        <v>190139.37378210787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548</v>
      </c>
      <c r="C71" s="5">
        <v>14921</v>
      </c>
      <c r="E71" s="17">
        <f t="shared" si="0"/>
        <v>959.72874658053172</v>
      </c>
      <c r="F71" s="17">
        <f t="shared" si="1"/>
        <v>-411.72874658053172</v>
      </c>
      <c r="G71" s="17">
        <f t="shared" si="2"/>
        <v>169520.5607607757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280</v>
      </c>
      <c r="C72" s="5">
        <v>23135</v>
      </c>
      <c r="E72" s="17">
        <f t="shared" si="0"/>
        <v>1000.3327999322655</v>
      </c>
      <c r="F72" s="17">
        <f t="shared" si="1"/>
        <v>-720.33279993226552</v>
      </c>
      <c r="G72" s="17">
        <f t="shared" si="2"/>
        <v>518879.34265825729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17">
        <f t="shared" si="0"/>
        <v>947.28652570321083</v>
      </c>
      <c r="F73" s="17">
        <f t="shared" si="1"/>
        <v>-754.28652570321083</v>
      </c>
      <c r="G73" s="17">
        <f t="shared" si="2"/>
        <v>568948.16285742051</v>
      </c>
      <c r="O73" s="102" t="s">
        <v>35</v>
      </c>
      <c r="P73" s="119">
        <f xml:space="preserve"> SQRT((1/ (B133-2)) * SUM(G11:G130))</f>
        <v>1553.6552671604402</v>
      </c>
      <c r="Q73" s="119"/>
    </row>
    <row r="74" spans="1:23" ht="18" customHeight="1" x14ac:dyDescent="0.2">
      <c r="A74" s="4">
        <v>44291</v>
      </c>
      <c r="B74" s="5">
        <v>159</v>
      </c>
      <c r="C74" s="5">
        <v>59246</v>
      </c>
      <c r="E74" s="17">
        <f t="shared" si="0"/>
        <v>1178.839370492828</v>
      </c>
      <c r="F74" s="17">
        <f t="shared" si="1"/>
        <v>-1019.839370492828</v>
      </c>
      <c r="G74" s="17">
        <f t="shared" si="2"/>
        <v>1040072.3416072078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17">
        <f t="shared" si="0"/>
        <v>1200.7677343433625</v>
      </c>
      <c r="F75" s="17">
        <f t="shared" si="1"/>
        <v>-326.76773434336246</v>
      </c>
      <c r="G75" s="17">
        <f t="shared" si="2"/>
        <v>106777.15220789431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17">
        <f t="shared" ref="E76:E130" si="3">$P$40 + $P$41*C76</f>
        <v>1199.0672480573878</v>
      </c>
      <c r="F76" s="17">
        <f t="shared" ref="F76:F130" si="4">B76-E76</f>
        <v>-536.06724805738781</v>
      </c>
      <c r="G76" s="17">
        <f t="shared" ref="G76:G130" si="5">POWER(F76,2)</f>
        <v>287368.09443982097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17">
        <f t="shared" si="3"/>
        <v>1174.1086571914389</v>
      </c>
      <c r="F77" s="17">
        <f t="shared" si="4"/>
        <v>-572.10865719143885</v>
      </c>
      <c r="G77" s="17">
        <f t="shared" si="5"/>
        <v>327308.31563339132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694</v>
      </c>
      <c r="C78" s="5">
        <v>60156</v>
      </c>
      <c r="E78" s="17">
        <f t="shared" si="3"/>
        <v>1183.3377499121216</v>
      </c>
      <c r="F78" s="17">
        <f t="shared" si="4"/>
        <v>-489.33774991212158</v>
      </c>
      <c r="G78" s="17">
        <f t="shared" si="5"/>
        <v>239451.43348905805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17">
        <f t="shared" si="3"/>
        <v>1043.1662698972978</v>
      </c>
      <c r="F79" s="17">
        <f t="shared" si="4"/>
        <v>-442.16626989729775</v>
      </c>
      <c r="G79" s="17">
        <f t="shared" si="5"/>
        <v>195511.01023488995</v>
      </c>
      <c r="O79" s="16"/>
      <c r="P79" s="127">
        <f xml:space="preserve"> SQRT( (1/B133) + (POWER(P34,2) / P36))</f>
        <v>0.21133927159051091</v>
      </c>
      <c r="Q79" s="127"/>
      <c r="T79" s="16"/>
      <c r="U79" s="127">
        <f xml:space="preserve"> SQRT( 1/P36 )</f>
        <v>5.0792294834464523E-6</v>
      </c>
      <c r="V79" s="127"/>
    </row>
    <row r="80" spans="1:23" ht="18" customHeight="1" x14ac:dyDescent="0.2">
      <c r="A80" s="4">
        <v>44297</v>
      </c>
      <c r="B80" s="5">
        <v>566</v>
      </c>
      <c r="C80" s="5">
        <v>12842</v>
      </c>
      <c r="E80" s="17">
        <f t="shared" si="3"/>
        <v>949.45167975337631</v>
      </c>
      <c r="F80" s="17">
        <f t="shared" si="4"/>
        <v>-383.45167975337631</v>
      </c>
      <c r="G80" s="17">
        <f t="shared" si="5"/>
        <v>147035.19070568588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271</v>
      </c>
      <c r="C81" s="5">
        <v>38795</v>
      </c>
      <c r="E81" s="17">
        <f t="shared" si="3"/>
        <v>1077.7444721368129</v>
      </c>
      <c r="F81" s="17">
        <f t="shared" si="4"/>
        <v>-806.74447213681287</v>
      </c>
      <c r="G81" s="17">
        <f t="shared" si="5"/>
        <v>650836.64332330483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17">
        <f t="shared" si="3"/>
        <v>1091.0369361571211</v>
      </c>
      <c r="F82" s="17">
        <f t="shared" si="4"/>
        <v>-683.03693615712109</v>
      </c>
      <c r="G82" s="17">
        <f t="shared" si="5"/>
        <v>466539.45615490712</v>
      </c>
      <c r="O82" s="19" t="s">
        <v>36</v>
      </c>
      <c r="P82" s="119">
        <f>P71*P73*P79</f>
        <v>544.35875934345825</v>
      </c>
      <c r="Q82" s="119"/>
      <c r="T82" s="19" t="s">
        <v>36</v>
      </c>
      <c r="U82" s="119">
        <f>P71*P73*U79</f>
        <v>1.3082864529725999E-2</v>
      </c>
      <c r="V82" s="119"/>
    </row>
    <row r="83" spans="1:23" ht="18" customHeight="1" x14ac:dyDescent="0.2">
      <c r="A83" s="4">
        <v>44300</v>
      </c>
      <c r="B83" s="5">
        <v>684</v>
      </c>
      <c r="C83" s="5">
        <v>41634</v>
      </c>
      <c r="E83" s="17">
        <f t="shared" si="3"/>
        <v>1091.7784272701915</v>
      </c>
      <c r="F83" s="17">
        <f t="shared" si="4"/>
        <v>-407.77842727019151</v>
      </c>
      <c r="G83" s="17">
        <f t="shared" si="5"/>
        <v>166283.24574695088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17">
        <f t="shared" si="3"/>
        <v>1093.9930140612285</v>
      </c>
      <c r="F84" s="17">
        <f t="shared" si="4"/>
        <v>-592.99301406122845</v>
      </c>
      <c r="G84" s="17">
        <f t="shared" si="5"/>
        <v>351640.71472542029</v>
      </c>
      <c r="O84" s="16" t="s">
        <v>37</v>
      </c>
      <c r="P84" s="120">
        <f>ROUND(P40-P82,4)</f>
        <v>341.6114</v>
      </c>
      <c r="Q84" s="120"/>
      <c r="T84" s="16" t="s">
        <v>37</v>
      </c>
      <c r="U84" s="120">
        <f>ROUND(P41-U82,4)</f>
        <v>-8.0999999999999996E-3</v>
      </c>
      <c r="V84" s="120"/>
    </row>
    <row r="85" spans="1:23" ht="18" customHeight="1" x14ac:dyDescent="0.2">
      <c r="A85" s="4">
        <v>44302</v>
      </c>
      <c r="B85" s="5">
        <v>553</v>
      </c>
      <c r="C85" s="5">
        <v>47052</v>
      </c>
      <c r="E85" s="17">
        <f t="shared" si="3"/>
        <v>1118.5610862742935</v>
      </c>
      <c r="F85" s="17">
        <f t="shared" si="4"/>
        <v>-565.56108627429353</v>
      </c>
      <c r="G85" s="17">
        <f t="shared" si="5"/>
        <v>319859.34230775887</v>
      </c>
      <c r="O85" s="13" t="s">
        <v>38</v>
      </c>
      <c r="P85" s="122">
        <f>ROUND(P40+P82,4)</f>
        <v>1430.3289</v>
      </c>
      <c r="Q85" s="122"/>
      <c r="T85" s="13" t="s">
        <v>38</v>
      </c>
      <c r="U85" s="122">
        <f>ROUND(P41+U82,4)</f>
        <v>1.7999999999999999E-2</v>
      </c>
      <c r="V85" s="122"/>
    </row>
    <row r="86" spans="1:23" ht="18" customHeight="1" x14ac:dyDescent="0.2">
      <c r="A86" s="4">
        <v>44303</v>
      </c>
      <c r="B86" s="5">
        <v>649</v>
      </c>
      <c r="C86" s="5">
        <v>31461</v>
      </c>
      <c r="E86" s="17">
        <f t="shared" si="3"/>
        <v>1041.4904999817586</v>
      </c>
      <c r="F86" s="17">
        <f t="shared" si="4"/>
        <v>-392.4904999817586</v>
      </c>
      <c r="G86" s="17">
        <f t="shared" si="5"/>
        <v>154048.79257593086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17">
        <f t="shared" si="3"/>
        <v>957.29665572966087</v>
      </c>
      <c r="F87" s="17">
        <f t="shared" si="4"/>
        <v>-516.29665572966087</v>
      </c>
      <c r="G87" s="17">
        <f t="shared" si="5"/>
        <v>266562.23671763198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17">
        <f t="shared" si="3"/>
        <v>1275.0849169693629</v>
      </c>
      <c r="F88" s="17">
        <f t="shared" si="4"/>
        <v>-1055.0849169693629</v>
      </c>
      <c r="G88" s="17">
        <f t="shared" si="5"/>
        <v>1113204.1820162474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17">
        <f t="shared" si="3"/>
        <v>1365.1414842888034</v>
      </c>
      <c r="F89" s="17">
        <f t="shared" si="4"/>
        <v>-941.14148428880344</v>
      </c>
      <c r="G89" s="17">
        <f t="shared" si="5"/>
        <v>885747.29344933201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17">
        <f t="shared" si="3"/>
        <v>1374.0888103865195</v>
      </c>
      <c r="F90" s="17">
        <f t="shared" si="4"/>
        <v>-764.08881038651953</v>
      </c>
      <c r="G90" s="17">
        <f t="shared" si="5"/>
        <v>583831.71015788661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636</v>
      </c>
      <c r="C91" s="5">
        <v>98063</v>
      </c>
      <c r="E91" s="17">
        <f t="shared" si="3"/>
        <v>1370.7224407331801</v>
      </c>
      <c r="F91" s="17">
        <f t="shared" si="4"/>
        <v>-734.72244073318006</v>
      </c>
      <c r="G91" s="17">
        <f t="shared" si="5"/>
        <v>539817.06491692131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17">
        <f t="shared" si="3"/>
        <v>1323.6773012459082</v>
      </c>
      <c r="F92" s="17">
        <f t="shared" si="4"/>
        <v>-817.67730124590821</v>
      </c>
      <c r="G92" s="17">
        <f t="shared" si="5"/>
        <v>668596.16897279175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567</v>
      </c>
      <c r="C93" s="5">
        <v>41386</v>
      </c>
      <c r="E93" s="17">
        <f t="shared" si="3"/>
        <v>1090.5524952965818</v>
      </c>
      <c r="F93" s="17">
        <f t="shared" si="4"/>
        <v>-523.55249529658181</v>
      </c>
      <c r="G93" s="17">
        <f t="shared" si="5"/>
        <v>274107.21533127734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478</v>
      </c>
      <c r="C94" s="5">
        <v>14485</v>
      </c>
      <c r="E94" s="17">
        <f t="shared" si="3"/>
        <v>957.57347907854057</v>
      </c>
      <c r="F94" s="17">
        <f t="shared" si="4"/>
        <v>-479.57347907854057</v>
      </c>
      <c r="G94" s="17">
        <f t="shared" si="5"/>
        <v>229990.72183549538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196</v>
      </c>
      <c r="C95" s="5">
        <v>53464</v>
      </c>
      <c r="E95" s="17">
        <f t="shared" si="3"/>
        <v>1150.2573597210085</v>
      </c>
      <c r="F95" s="17">
        <f t="shared" si="4"/>
        <v>-954.25735972100847</v>
      </c>
      <c r="G95" s="17">
        <f t="shared" si="5"/>
        <v>910607.10858171014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353</v>
      </c>
      <c r="C96" s="5">
        <v>57452</v>
      </c>
      <c r="E96" s="17">
        <f t="shared" si="3"/>
        <v>1169.9711367805062</v>
      </c>
      <c r="F96" s="17">
        <f t="shared" si="4"/>
        <v>-816.97113678050619</v>
      </c>
      <c r="G96" s="17">
        <f t="shared" si="5"/>
        <v>667441.83833243256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17">
        <f t="shared" si="3"/>
        <v>1149.6691101046395</v>
      </c>
      <c r="F97" s="17">
        <f t="shared" si="4"/>
        <v>-577.66911010463946</v>
      </c>
      <c r="G97" s="17">
        <f t="shared" si="5"/>
        <v>333701.60076908604</v>
      </c>
      <c r="O97" s="102" t="s">
        <v>35</v>
      </c>
      <c r="P97" s="119">
        <f xml:space="preserve"> SQRT((1/ (B133-2)) * SUM(G11:G130))</f>
        <v>1553.6552671604402</v>
      </c>
      <c r="Q97" s="119"/>
    </row>
    <row r="98" spans="1:22" ht="18" customHeight="1" x14ac:dyDescent="0.2">
      <c r="A98" s="4">
        <v>44315</v>
      </c>
      <c r="B98" s="5">
        <v>470</v>
      </c>
      <c r="C98" s="5">
        <v>54101</v>
      </c>
      <c r="E98" s="17">
        <f t="shared" si="3"/>
        <v>1153.4062253145141</v>
      </c>
      <c r="F98" s="17">
        <f t="shared" si="4"/>
        <v>-683.40622531451413</v>
      </c>
      <c r="G98" s="17">
        <f t="shared" si="5"/>
        <v>467044.06879863248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17">
        <f t="shared" si="3"/>
        <v>1203.1751088237977</v>
      </c>
      <c r="F99" s="17">
        <f t="shared" si="4"/>
        <v>-743.1751088237977</v>
      </c>
      <c r="G99" s="17">
        <f t="shared" si="5"/>
        <v>552309.2423752636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17">
        <f t="shared" si="3"/>
        <v>1041.4558970631485</v>
      </c>
      <c r="F100" s="17">
        <f t="shared" si="4"/>
        <v>-587.45589706314854</v>
      </c>
      <c r="G100" s="17">
        <f t="shared" si="5"/>
        <v>345104.43099426856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17">
        <f t="shared" si="3"/>
        <v>970.69787177988621</v>
      </c>
      <c r="F101" s="17">
        <f t="shared" si="4"/>
        <v>-640.69787177988621</v>
      </c>
      <c r="G101" s="17">
        <f t="shared" si="5"/>
        <v>410493.76290327549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17">
        <f t="shared" si="3"/>
        <v>1143.0747824724001</v>
      </c>
      <c r="F102" s="17">
        <f t="shared" si="4"/>
        <v>-963.0747824724001</v>
      </c>
      <c r="G102" s="17">
        <f t="shared" si="5"/>
        <v>927513.03663426079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17">
        <f t="shared" si="3"/>
        <v>1145.7886399462377</v>
      </c>
      <c r="F103" s="17">
        <f t="shared" si="4"/>
        <v>-887.78863994623771</v>
      </c>
      <c r="G103" s="17">
        <f t="shared" si="5"/>
        <v>788168.66921759048</v>
      </c>
      <c r="O103" s="16"/>
      <c r="P103" s="127">
        <f>SQRT( (1/B133) + (POWER(P34,2) / P36))</f>
        <v>0.21133927159051091</v>
      </c>
      <c r="Q103" s="127"/>
      <c r="T103" s="16"/>
      <c r="U103" s="127">
        <f>SQRT( 1/P36 )</f>
        <v>5.0792294834464523E-6</v>
      </c>
      <c r="V103" s="127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17">
        <f t="shared" si="3"/>
        <v>1129.4511190882538</v>
      </c>
      <c r="F104" s="17">
        <f t="shared" si="4"/>
        <v>-742.45111908825379</v>
      </c>
      <c r="G104" s="17">
        <f t="shared" si="5"/>
        <v>551233.66423540039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17">
        <f t="shared" si="3"/>
        <v>1126.1292389016985</v>
      </c>
      <c r="F105" s="17">
        <f t="shared" si="4"/>
        <v>-753.1292389016985</v>
      </c>
      <c r="G105" s="17">
        <f t="shared" si="5"/>
        <v>567203.65048865171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17">
        <f t="shared" si="3"/>
        <v>1122.5008757217408</v>
      </c>
      <c r="F106" s="17">
        <f t="shared" si="4"/>
        <v>-745.50087572174084</v>
      </c>
      <c r="G106" s="17">
        <f t="shared" si="5"/>
        <v>555771.55570188246</v>
      </c>
      <c r="O106" s="19" t="s">
        <v>36</v>
      </c>
      <c r="P106" s="119">
        <f>P95*P97*P103</f>
        <v>650.21917008529203</v>
      </c>
      <c r="Q106" s="119"/>
      <c r="T106" s="19" t="s">
        <v>36</v>
      </c>
      <c r="U106" s="119">
        <f>P95*P97*U103</f>
        <v>1.5627064267536659E-2</v>
      </c>
      <c r="V106" s="119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17">
        <f t="shared" si="3"/>
        <v>1041.6734011229826</v>
      </c>
      <c r="F107" s="17">
        <f t="shared" si="4"/>
        <v>-635.67340112298257</v>
      </c>
      <c r="G107" s="17">
        <f t="shared" si="5"/>
        <v>404080.67289526027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17">
        <f t="shared" si="3"/>
        <v>964.76594287532316</v>
      </c>
      <c r="F108" s="17">
        <f t="shared" si="4"/>
        <v>-640.76594287532316</v>
      </c>
      <c r="G108" s="17">
        <f t="shared" si="5"/>
        <v>410580.99354890193</v>
      </c>
      <c r="O108" s="16" t="s">
        <v>37</v>
      </c>
      <c r="P108" s="120">
        <f>ROUND(P40-P106,4)</f>
        <v>235.751</v>
      </c>
      <c r="Q108" s="120"/>
      <c r="T108" s="16" t="s">
        <v>37</v>
      </c>
      <c r="U108" s="120">
        <f>ROUND(P41-U106,4)</f>
        <v>-1.0699999999999999E-2</v>
      </c>
      <c r="V108" s="120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17">
        <f t="shared" si="3"/>
        <v>1080.9081675525797</v>
      </c>
      <c r="F109" s="17">
        <f t="shared" si="4"/>
        <v>-922.9081675525797</v>
      </c>
      <c r="G109" s="17">
        <f t="shared" si="5"/>
        <v>851759.48573526053</v>
      </c>
      <c r="O109" s="13" t="s">
        <v>38</v>
      </c>
      <c r="P109" s="122">
        <f>ROUND(P40+P106,4)</f>
        <v>1536.1893</v>
      </c>
      <c r="Q109" s="122"/>
      <c r="T109" s="13" t="s">
        <v>38</v>
      </c>
      <c r="U109" s="122">
        <f>ROUND(P41+U106,4)</f>
        <v>2.06E-2</v>
      </c>
      <c r="V109" s="122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17">
        <f t="shared" si="3"/>
        <v>1092.959869777017</v>
      </c>
      <c r="F110" s="17">
        <f t="shared" si="4"/>
        <v>-824.95986977701705</v>
      </c>
      <c r="G110" s="17">
        <f t="shared" si="5"/>
        <v>680558.78674251295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17">
        <f t="shared" si="3"/>
        <v>1102.5498215060604</v>
      </c>
      <c r="F111" s="17">
        <f t="shared" si="4"/>
        <v>-617.54982150606043</v>
      </c>
      <c r="G111" s="17">
        <f t="shared" si="5"/>
        <v>381367.78204216709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17">
        <f t="shared" si="3"/>
        <v>1084.9319926595083</v>
      </c>
      <c r="F112" s="17">
        <f t="shared" si="4"/>
        <v>-648.9319926595083</v>
      </c>
      <c r="G112" s="17">
        <f t="shared" si="5"/>
        <v>421112.73109704012</v>
      </c>
    </row>
    <row r="113" spans="1:25" ht="18" customHeight="1" x14ac:dyDescent="0.2">
      <c r="A113" s="4">
        <v>44330</v>
      </c>
      <c r="B113" s="5">
        <v>450</v>
      </c>
      <c r="C113" s="5">
        <v>46370</v>
      </c>
      <c r="E113" s="17">
        <f t="shared" si="3"/>
        <v>1115.1897733468668</v>
      </c>
      <c r="F113" s="17">
        <f t="shared" si="4"/>
        <v>-665.18977334686679</v>
      </c>
      <c r="G113" s="17">
        <f t="shared" si="5"/>
        <v>442477.434565256</v>
      </c>
    </row>
    <row r="114" spans="1:25" ht="18" customHeight="1" x14ac:dyDescent="0.2">
      <c r="A114" s="4">
        <v>44331</v>
      </c>
      <c r="B114" s="5">
        <v>469</v>
      </c>
      <c r="C114" s="5">
        <v>30962</v>
      </c>
      <c r="E114" s="17">
        <f t="shared" si="3"/>
        <v>1039.0238062122778</v>
      </c>
      <c r="F114" s="17">
        <f t="shared" si="4"/>
        <v>-570.0238062122778</v>
      </c>
      <c r="G114" s="17">
        <f t="shared" si="5"/>
        <v>324927.13964873244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15707</v>
      </c>
      <c r="E115" s="17">
        <f t="shared" si="3"/>
        <v>963.61416001302052</v>
      </c>
      <c r="F115" s="17">
        <f t="shared" si="4"/>
        <v>-629.61416001302052</v>
      </c>
      <c r="G115" s="17">
        <f t="shared" si="5"/>
        <v>396413.99048890139</v>
      </c>
    </row>
    <row r="116" spans="1:25" ht="18" customHeight="1" x14ac:dyDescent="0.2">
      <c r="A116" s="4">
        <v>44333</v>
      </c>
      <c r="B116" s="5">
        <v>199</v>
      </c>
      <c r="C116" s="5">
        <v>43293</v>
      </c>
      <c r="E116" s="17">
        <f t="shared" si="3"/>
        <v>1099.9793189807499</v>
      </c>
      <c r="F116" s="17">
        <f t="shared" si="4"/>
        <v>-900.97931898074989</v>
      </c>
      <c r="G116" s="17">
        <f t="shared" si="5"/>
        <v>811763.73323101585</v>
      </c>
    </row>
    <row r="117" spans="1:25" ht="18" customHeight="1" x14ac:dyDescent="0.2">
      <c r="A117" s="4">
        <v>44334</v>
      </c>
      <c r="B117" s="5">
        <v>386</v>
      </c>
      <c r="C117" s="5">
        <v>41470</v>
      </c>
      <c r="E117" s="17">
        <f t="shared" si="3"/>
        <v>1090.9677303199012</v>
      </c>
      <c r="F117" s="17">
        <f t="shared" si="4"/>
        <v>-704.96773031990119</v>
      </c>
      <c r="G117" s="17">
        <f t="shared" si="5"/>
        <v>496979.50079239294</v>
      </c>
    </row>
    <row r="118" spans="1:25" ht="18" customHeight="1" x14ac:dyDescent="0.2">
      <c r="A118" s="4">
        <v>44335</v>
      </c>
      <c r="B118" s="5">
        <v>511</v>
      </c>
      <c r="C118" s="5">
        <v>44399</v>
      </c>
      <c r="E118" s="17">
        <f t="shared" si="3"/>
        <v>1105.4465801211222</v>
      </c>
      <c r="F118" s="17">
        <f t="shared" si="4"/>
        <v>-594.44658012112222</v>
      </c>
      <c r="G118" s="17">
        <f t="shared" si="5"/>
        <v>353366.73661769781</v>
      </c>
    </row>
    <row r="119" spans="1:25" ht="18" customHeight="1" x14ac:dyDescent="0.2">
      <c r="A119" s="4">
        <v>44336</v>
      </c>
      <c r="B119" s="5">
        <v>451</v>
      </c>
      <c r="C119" s="5">
        <v>44577</v>
      </c>
      <c r="E119" s="17">
        <f t="shared" si="3"/>
        <v>1106.3264829086322</v>
      </c>
      <c r="F119" s="17">
        <f t="shared" si="4"/>
        <v>-655.32648290863222</v>
      </c>
      <c r="G119" s="17">
        <f t="shared" si="5"/>
        <v>429452.79920139781</v>
      </c>
    </row>
    <row r="120" spans="1:25" ht="18" customHeight="1" x14ac:dyDescent="0.2">
      <c r="A120" s="4">
        <v>44337</v>
      </c>
      <c r="B120" s="5">
        <v>559</v>
      </c>
      <c r="C120" s="5">
        <v>45378</v>
      </c>
      <c r="E120" s="17">
        <f t="shared" si="3"/>
        <v>1110.2860454524282</v>
      </c>
      <c r="F120" s="17">
        <f t="shared" si="4"/>
        <v>-551.2860454524282</v>
      </c>
      <c r="G120" s="17">
        <f t="shared" si="5"/>
        <v>303916.30391057674</v>
      </c>
    </row>
    <row r="121" spans="1:25" ht="18" customHeight="1" x14ac:dyDescent="0.25">
      <c r="A121" s="4">
        <v>44338</v>
      </c>
      <c r="B121" s="5">
        <v>523</v>
      </c>
      <c r="C121" s="5">
        <v>33560</v>
      </c>
      <c r="E121" s="17">
        <f t="shared" si="3"/>
        <v>1051.8664322906568</v>
      </c>
      <c r="F121" s="17">
        <f t="shared" si="4"/>
        <v>-528.8664322906568</v>
      </c>
      <c r="G121" s="17">
        <f t="shared" si="5"/>
        <v>279699.70320384786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413</v>
      </c>
      <c r="C122" s="5">
        <v>16152</v>
      </c>
      <c r="E122" s="17">
        <f t="shared" si="3"/>
        <v>965.81391698179596</v>
      </c>
      <c r="F122" s="17">
        <f t="shared" si="4"/>
        <v>-552.81391698179596</v>
      </c>
      <c r="G122" s="17">
        <f t="shared" si="5"/>
        <v>305603.22680875601</v>
      </c>
    </row>
    <row r="123" spans="1:25" ht="18" customHeight="1" x14ac:dyDescent="0.2">
      <c r="A123" s="4">
        <v>44340</v>
      </c>
      <c r="B123" s="5">
        <v>241</v>
      </c>
      <c r="C123" s="5">
        <v>42680</v>
      </c>
      <c r="E123" s="17">
        <f t="shared" si="3"/>
        <v>1096.9490919653356</v>
      </c>
      <c r="F123" s="17">
        <f t="shared" si="4"/>
        <v>-855.94909196533558</v>
      </c>
      <c r="G123" s="17">
        <f t="shared" si="5"/>
        <v>732648.84803628246</v>
      </c>
    </row>
    <row r="124" spans="1:25" ht="18" customHeight="1" x14ac:dyDescent="0.2">
      <c r="A124" s="4">
        <v>44341</v>
      </c>
      <c r="B124" s="5">
        <v>375</v>
      </c>
      <c r="C124" s="5">
        <v>43590</v>
      </c>
      <c r="E124" s="17">
        <f t="shared" si="3"/>
        <v>1101.4474713846291</v>
      </c>
      <c r="F124" s="17">
        <f t="shared" si="4"/>
        <v>-726.44747138462913</v>
      </c>
      <c r="G124" s="17">
        <f t="shared" si="5"/>
        <v>527725.92868112156</v>
      </c>
    </row>
    <row r="125" spans="1:25" ht="18" customHeight="1" x14ac:dyDescent="0.2">
      <c r="A125" s="4">
        <v>44342</v>
      </c>
      <c r="B125" s="5">
        <v>594</v>
      </c>
      <c r="C125" s="5">
        <v>50409</v>
      </c>
      <c r="E125" s="17">
        <f t="shared" si="3"/>
        <v>1135.1556573848086</v>
      </c>
      <c r="F125" s="17">
        <f t="shared" si="4"/>
        <v>-541.15565738480859</v>
      </c>
      <c r="G125" s="17">
        <f t="shared" si="5"/>
        <v>292849.44551958435</v>
      </c>
    </row>
    <row r="126" spans="1:25" ht="18" customHeight="1" x14ac:dyDescent="0.25">
      <c r="A126" s="4">
        <v>44343</v>
      </c>
      <c r="B126" s="5">
        <v>572</v>
      </c>
      <c r="C126" s="5">
        <v>53947</v>
      </c>
      <c r="E126" s="17">
        <f t="shared" si="3"/>
        <v>1152.6449611050953</v>
      </c>
      <c r="F126" s="17">
        <f t="shared" si="4"/>
        <v>-580.64496110509526</v>
      </c>
      <c r="G126" s="17">
        <f t="shared" si="5"/>
        <v>337148.57085673761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59275</v>
      </c>
      <c r="E127" s="17">
        <f t="shared" si="3"/>
        <v>1178.9827254413549</v>
      </c>
      <c r="F127" s="17">
        <f t="shared" si="4"/>
        <v>-580.98272544135489</v>
      </c>
      <c r="G127" s="17">
        <f t="shared" si="5"/>
        <v>337540.92726126476</v>
      </c>
    </row>
    <row r="128" spans="1:25" ht="18" customHeight="1" x14ac:dyDescent="0.2">
      <c r="A128" s="4">
        <v>44345</v>
      </c>
      <c r="B128" s="5">
        <v>609</v>
      </c>
      <c r="C128" s="5">
        <v>43319</v>
      </c>
      <c r="E128" s="17">
        <f t="shared" si="3"/>
        <v>1100.1078441070154</v>
      </c>
      <c r="F128" s="17">
        <f t="shared" si="4"/>
        <v>-491.10784410701535</v>
      </c>
      <c r="G128" s="17">
        <f t="shared" si="5"/>
        <v>241186.91454344051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17">
        <f t="shared" si="3"/>
        <v>986.65970380724787</v>
      </c>
      <c r="F129" s="17">
        <f t="shared" si="4"/>
        <v>-541.65970380724787</v>
      </c>
      <c r="G129" s="17">
        <f t="shared" si="5"/>
        <v>293395.23472855549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17">
        <f t="shared" si="3"/>
        <v>1132.229239125224</v>
      </c>
      <c r="F130" s="17">
        <f t="shared" si="4"/>
        <v>-697.22923912522401</v>
      </c>
      <c r="G130" s="17">
        <f t="shared" si="5"/>
        <v>486128.61189113883</v>
      </c>
    </row>
    <row r="132" spans="1:24" ht="18" customHeight="1" x14ac:dyDescent="0.35">
      <c r="O132" s="21" t="s">
        <v>48</v>
      </c>
      <c r="P132">
        <f>ROUND((P40-0) / (P73 * SQRT( (1/B133) + (POWER(P34,2) / P36))),4)</f>
        <v>2.6983000000000001</v>
      </c>
      <c r="U132" s="21" t="s">
        <v>49</v>
      </c>
      <c r="V132">
        <f xml:space="preserve"> ROUND((P41-0) / (P73 / SQRT(P36)),4)</f>
        <v>0.62639999999999996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1.2369127944111824E-10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947182.60230537376</v>
      </c>
      <c r="O179" s="121"/>
    </row>
    <row r="180" spans="13:19" ht="18" customHeight="1" x14ac:dyDescent="0.2">
      <c r="M180" s="105" t="s">
        <v>62</v>
      </c>
      <c r="N180" s="122">
        <f>SUM(G11:G130)</f>
        <v>284833673.32269466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947182.60230537376</v>
      </c>
      <c r="P188" s="117"/>
      <c r="Q188" s="117">
        <f>O188/N188</f>
        <v>947182.60230537376</v>
      </c>
      <c r="R188" s="117"/>
      <c r="S188" s="77">
        <f>Q188/Q189</f>
        <v>0.39239583497352176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284833673.32269466</v>
      </c>
      <c r="P189" s="117"/>
      <c r="Q189" s="117">
        <f>O189/N189</f>
        <v>2413844.6891753785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1.2369127944111824E-10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304215</v>
      </c>
      <c r="E208" s="17">
        <f>$P$234 + $P$235*C208</f>
        <v>7568.6031314242573</v>
      </c>
      <c r="F208" s="17">
        <f>B208-E208</f>
        <v>37329.396868575743</v>
      </c>
      <c r="G208" s="17">
        <f>POWER(F208,2)</f>
        <v>1393483870.5716324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220920</v>
      </c>
      <c r="E209" s="17">
        <f t="shared" ref="E209:E224" si="6">$P$234 + $P$235*C209</f>
        <v>7507.8071684471442</v>
      </c>
      <c r="F209" s="17">
        <f t="shared" ref="F209:F224" si="7">B209-E209</f>
        <v>12834.192831552857</v>
      </c>
      <c r="G209" s="17">
        <f t="shared" ref="G209:G224" si="8">POWER(F209,2)</f>
        <v>164716505.63748273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200146</v>
      </c>
      <c r="E210" s="17">
        <f t="shared" si="6"/>
        <v>7492.644489596235</v>
      </c>
      <c r="F210" s="17">
        <f t="shared" si="7"/>
        <v>4276.355510403765</v>
      </c>
      <c r="G210" s="17">
        <f t="shared" si="8"/>
        <v>18287216.451360647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189811</v>
      </c>
      <c r="E211" s="17">
        <f t="shared" si="6"/>
        <v>7485.1011043105818</v>
      </c>
      <c r="F211" s="17">
        <f t="shared" si="7"/>
        <v>-448.10110431058183</v>
      </c>
      <c r="G211" s="17">
        <f t="shared" si="8"/>
        <v>200794.59968436294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171766</v>
      </c>
      <c r="E212" s="17">
        <f t="shared" si="6"/>
        <v>7471.9302879119741</v>
      </c>
      <c r="F212" s="17">
        <f t="shared" si="7"/>
        <v>-1939.9302879119741</v>
      </c>
      <c r="G212" s="17">
        <f t="shared" si="8"/>
        <v>3763329.5219582347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158762</v>
      </c>
      <c r="E213" s="17">
        <f t="shared" si="6"/>
        <v>7462.4388334122523</v>
      </c>
      <c r="F213" s="17">
        <f t="shared" si="7"/>
        <v>-3299.4388334122523</v>
      </c>
      <c r="G213" s="17">
        <f t="shared" si="8"/>
        <v>10886296.615428803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266072</v>
      </c>
      <c r="E214" s="17">
        <f t="shared" si="6"/>
        <v>7540.7630399921663</v>
      </c>
      <c r="F214" s="17">
        <f t="shared" si="7"/>
        <v>-4267.7630399921663</v>
      </c>
      <c r="G214" s="17">
        <f t="shared" si="8"/>
        <v>18213801.365523178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181367</v>
      </c>
      <c r="E215" s="17">
        <f t="shared" si="6"/>
        <v>7478.937935916576</v>
      </c>
      <c r="F215" s="17">
        <f t="shared" si="7"/>
        <v>-4601.937935916576</v>
      </c>
      <c r="G215" s="17">
        <f t="shared" si="8"/>
        <v>21177832.766028114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167518</v>
      </c>
      <c r="E216" s="17">
        <f t="shared" si="6"/>
        <v>7468.82972664507</v>
      </c>
      <c r="F216" s="17">
        <f t="shared" si="7"/>
        <v>-4540.82972664507</v>
      </c>
      <c r="G216" s="17">
        <f t="shared" si="8"/>
        <v>20619134.60638354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349353</v>
      </c>
      <c r="E217" s="17">
        <f t="shared" si="6"/>
        <v>7601.5487845470243</v>
      </c>
      <c r="F217" s="17">
        <f t="shared" si="7"/>
        <v>-3442.5487845470243</v>
      </c>
      <c r="G217" s="17">
        <f t="shared" si="8"/>
        <v>11851142.133986194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256937</v>
      </c>
      <c r="E218" s="17">
        <f t="shared" si="6"/>
        <v>7534.0955194711751</v>
      </c>
      <c r="F218" s="17">
        <f t="shared" si="7"/>
        <v>-4027.0955194711751</v>
      </c>
      <c r="G218" s="17">
        <f t="shared" si="8"/>
        <v>16217498.322944812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516874</v>
      </c>
      <c r="E219" s="17">
        <f t="shared" si="6"/>
        <v>7723.8202355811663</v>
      </c>
      <c r="F219" s="17">
        <f t="shared" si="7"/>
        <v>-4282.8202355811663</v>
      </c>
      <c r="G219" s="17">
        <f t="shared" si="8"/>
        <v>18342549.170303516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331125</v>
      </c>
      <c r="E220" s="17">
        <f t="shared" si="6"/>
        <v>7588.2443987718061</v>
      </c>
      <c r="F220" s="17">
        <f t="shared" si="7"/>
        <v>-4753.2443987718061</v>
      </c>
      <c r="G220" s="17">
        <f t="shared" si="8"/>
        <v>22593332.31445555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297696</v>
      </c>
      <c r="E221" s="17">
        <f t="shared" si="6"/>
        <v>7563.8449960902299</v>
      </c>
      <c r="F221" s="17">
        <f t="shared" si="7"/>
        <v>-5258.8449960902299</v>
      </c>
      <c r="G221" s="17">
        <f t="shared" si="8"/>
        <v>27655450.69290325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258409</v>
      </c>
      <c r="E222" s="17">
        <f t="shared" si="6"/>
        <v>7535.1699135824947</v>
      </c>
      <c r="F222" s="17">
        <f t="shared" si="7"/>
        <v>-4935.1699135824947</v>
      </c>
      <c r="G222" s="17">
        <f t="shared" si="8"/>
        <v>24355902.075929847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268829</v>
      </c>
      <c r="E223" s="17">
        <f t="shared" si="6"/>
        <v>7542.7753392889772</v>
      </c>
      <c r="F223" s="17">
        <f t="shared" si="7"/>
        <v>-4500.7753392889772</v>
      </c>
      <c r="G223" s="81">
        <f t="shared" si="8"/>
        <v>20256978.654751807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313589</v>
      </c>
      <c r="D224" s="31"/>
      <c r="E224" s="17">
        <f t="shared" si="6"/>
        <v>7575.4450950108767</v>
      </c>
      <c r="F224" s="17">
        <f t="shared" si="7"/>
        <v>-4141.4450950108767</v>
      </c>
      <c r="G224" s="17">
        <f t="shared" si="8"/>
        <v>17151567.474989649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261964.0588235294</v>
      </c>
      <c r="Q228" s="130"/>
    </row>
    <row r="229" spans="1:25" ht="18" customHeight="1" x14ac:dyDescent="0.2">
      <c r="A229" s="1"/>
      <c r="O229" s="14"/>
      <c r="P229" s="130">
        <f>AVERAGE(B208:B224)</f>
        <v>7537.7647058823532</v>
      </c>
      <c r="Q229" s="130"/>
    </row>
    <row r="230" spans="1:25" ht="18" customHeight="1" x14ac:dyDescent="0.2">
      <c r="A230" s="1"/>
      <c r="O230" s="14"/>
      <c r="P230" s="130">
        <f>SUMPRODUCT(POWER(C208:C224-P228,2))</f>
        <v>128142551236.94116</v>
      </c>
      <c r="Q230" s="130"/>
    </row>
    <row r="231" spans="1:25" ht="18" customHeight="1" x14ac:dyDescent="0.2">
      <c r="A231" s="1"/>
      <c r="O231" s="14"/>
      <c r="P231" s="130">
        <f>SUMPRODUCT(POWER(B208:B224-P229,2))</f>
        <v>1809841469.0588241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93529621.235294133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7346.5604652728398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7.29887303885138E-4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3.7719371692995599E-5</v>
      </c>
      <c r="Q244" s="120"/>
    </row>
    <row r="245" spans="1:25" ht="18" customHeight="1" x14ac:dyDescent="0.2">
      <c r="A245" s="1"/>
      <c r="O245" s="32"/>
      <c r="P245" s="122">
        <f>P232 / (SQRT(P230) * SQRT(P231))</f>
        <v>6.1416098616727203E-3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10984.149801648273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0.77094827119238174</v>
      </c>
      <c r="Q266" s="127"/>
      <c r="T266" s="16"/>
      <c r="U266" s="127">
        <f xml:space="preserve"> SQRT( 1/P230 )</f>
        <v>2.7935298534182896E-6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14845.200831718199</v>
      </c>
      <c r="Q269" s="119"/>
      <c r="T269" s="19" t="s">
        <v>36</v>
      </c>
      <c r="U269" s="119">
        <f>P258*P260*U266</f>
        <v>5.37915619672572E-2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-7498.6404000000002</v>
      </c>
      <c r="Q271" s="120"/>
      <c r="T271" s="16" t="s">
        <v>37</v>
      </c>
      <c r="U271" s="120">
        <f>ROUND(P235-U269,4)</f>
        <v>-5.3100000000000001E-2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22191.761299999998</v>
      </c>
      <c r="Q272" s="122"/>
      <c r="T272" s="13" t="s">
        <v>38</v>
      </c>
      <c r="U272" s="122">
        <f>ROUND(P235+U269,4)</f>
        <v>5.45E-2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10984.149801648273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0.77094827119238174</v>
      </c>
      <c r="Q290" s="127"/>
      <c r="T290" s="16"/>
      <c r="U290" s="127">
        <f xml:space="preserve"> SQRT( 1/P230 )</f>
        <v>2.7935298534182896E-6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18049.565127299898</v>
      </c>
      <c r="Q293" s="119"/>
      <c r="T293" s="19" t="s">
        <v>36</v>
      </c>
      <c r="U293" s="119">
        <f>P282*P284*U290</f>
        <v>6.5402570974502777E-2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-10703.0047</v>
      </c>
      <c r="Q295" s="120"/>
      <c r="T295" s="16" t="s">
        <v>37</v>
      </c>
      <c r="U295" s="120">
        <f>ROUND(P235-U293,4)</f>
        <v>-6.4699999999999994E-2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25396.125599999999</v>
      </c>
      <c r="Q296" s="122"/>
      <c r="T296" s="13" t="s">
        <v>38</v>
      </c>
      <c r="U296" s="122">
        <f>ROUND(P235+U293,4)</f>
        <v>6.6100000000000006E-2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0.86750000000000005</v>
      </c>
      <c r="T319" s="21" t="s">
        <v>49</v>
      </c>
      <c r="U319">
        <f>ROUND( (P235-0) / (P284 / SQRT(P230)),4)</f>
        <v>2.3800000000000002E-2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-30134.058823529384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56886162.844322503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1809773202.9757469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56886162.844322503</v>
      </c>
      <c r="P371" s="117"/>
      <c r="Q371" s="117">
        <f>O371/N371</f>
        <v>56886162.844322503</v>
      </c>
      <c r="R371" s="117"/>
      <c r="S371" s="77">
        <f>Q371/Q372</f>
        <v>0.47149136768176175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1809773202.9757469</v>
      </c>
      <c r="P372" s="117"/>
      <c r="Q372" s="117">
        <f>O372/N372</f>
        <v>120651546.86504979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-30134.058823529384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25D-C746-4F0D-BD49-DB3E54D0C3CB}">
  <dimension ref="A3:AD444"/>
  <sheetViews>
    <sheetView topLeftCell="D268" zoomScale="93" zoomScaleNormal="93" workbookViewId="0">
      <selection activeCell="F348" sqref="F34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2" width="15.7109375" customWidth="1"/>
    <col min="13" max="13" width="16.2851562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78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0.2036</v>
      </c>
      <c r="E11" s="17">
        <f>$P$40 + $P$41*C11</f>
        <v>6271.7486750453172</v>
      </c>
      <c r="F11" s="17">
        <f>B11-E11</f>
        <v>-466.74867504531721</v>
      </c>
      <c r="G11" s="17">
        <f>POWER(F11,2)</f>
        <v>217854.32565655911</v>
      </c>
    </row>
    <row r="12" spans="1:30" ht="18" customHeight="1" x14ac:dyDescent="0.2">
      <c r="A12" s="4">
        <v>44229</v>
      </c>
      <c r="B12" s="5">
        <v>5540</v>
      </c>
      <c r="C12" s="5">
        <v>0.19889999999999999</v>
      </c>
      <c r="E12" s="17">
        <f t="shared" ref="E12:E75" si="0">$P$40 + $P$41*C12</f>
        <v>6126.1131244854305</v>
      </c>
      <c r="F12" s="17">
        <f t="shared" ref="F12:F75" si="1">B12-E12</f>
        <v>-586.11312448543049</v>
      </c>
      <c r="G12" s="17">
        <f t="shared" ref="G12:G75" si="2">POWER(F12,2)</f>
        <v>343528.59469407372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0.19259999999999999</v>
      </c>
      <c r="E13" s="17">
        <f t="shared" si="0"/>
        <v>5930.8995141604755</v>
      </c>
      <c r="F13" s="17">
        <f t="shared" si="1"/>
        <v>3152.1004858395245</v>
      </c>
      <c r="G13" s="17">
        <f t="shared" si="2"/>
        <v>9935737.4728297666</v>
      </c>
    </row>
    <row r="14" spans="1:30" ht="18" customHeight="1" x14ac:dyDescent="0.2">
      <c r="A14" s="4">
        <v>44231</v>
      </c>
      <c r="B14" s="5">
        <v>7914</v>
      </c>
      <c r="C14" s="5">
        <v>0.17910000000000001</v>
      </c>
      <c r="E14" s="17">
        <f t="shared" si="0"/>
        <v>5512.5846348927162</v>
      </c>
      <c r="F14" s="17">
        <f t="shared" si="1"/>
        <v>2401.4153651072838</v>
      </c>
      <c r="G14" s="17">
        <f t="shared" si="2"/>
        <v>5766795.7557733497</v>
      </c>
    </row>
    <row r="15" spans="1:30" ht="18" customHeight="1" x14ac:dyDescent="0.2">
      <c r="A15" s="4">
        <v>44232</v>
      </c>
      <c r="B15" s="5">
        <v>6916</v>
      </c>
      <c r="C15" s="5">
        <v>0.17030000000000001</v>
      </c>
      <c r="E15" s="17">
        <f t="shared" si="0"/>
        <v>5239.9053061848435</v>
      </c>
      <c r="F15" s="17">
        <f t="shared" si="1"/>
        <v>1676.0946938151565</v>
      </c>
      <c r="G15" s="17">
        <f t="shared" si="2"/>
        <v>2809293.4226353229</v>
      </c>
    </row>
    <row r="16" spans="1:30" ht="18" customHeight="1" x14ac:dyDescent="0.2">
      <c r="A16" s="4">
        <v>44233</v>
      </c>
      <c r="B16" s="5">
        <v>6132</v>
      </c>
      <c r="C16" s="5">
        <v>0.16170000000000001</v>
      </c>
      <c r="E16" s="17">
        <f t="shared" si="0"/>
        <v>4973.4232349476033</v>
      </c>
      <c r="F16" s="17">
        <f t="shared" si="1"/>
        <v>1158.5767650523967</v>
      </c>
      <c r="G16" s="17">
        <f t="shared" si="2"/>
        <v>1342300.1205192765</v>
      </c>
    </row>
    <row r="17" spans="1:24" ht="18" customHeight="1" x14ac:dyDescent="0.2">
      <c r="A17" s="4">
        <v>44234</v>
      </c>
      <c r="B17" s="5">
        <v>3508</v>
      </c>
      <c r="C17" s="5">
        <v>0.14760000000000001</v>
      </c>
      <c r="E17" s="17">
        <f t="shared" si="0"/>
        <v>4536.5165832679431</v>
      </c>
      <c r="F17" s="17">
        <f t="shared" si="1"/>
        <v>-1028.5165832679431</v>
      </c>
      <c r="G17" s="17">
        <f t="shared" si="2"/>
        <v>1057846.3620571638</v>
      </c>
    </row>
    <row r="18" spans="1:24" ht="18" customHeight="1" x14ac:dyDescent="0.2">
      <c r="A18" s="4">
        <v>44235</v>
      </c>
      <c r="B18" s="5">
        <v>2505</v>
      </c>
      <c r="C18" s="5">
        <v>0.1426</v>
      </c>
      <c r="E18" s="17">
        <f t="shared" si="0"/>
        <v>4381.585146502106</v>
      </c>
      <c r="F18" s="17">
        <f t="shared" si="1"/>
        <v>-1876.585146502106</v>
      </c>
      <c r="G18" s="17">
        <f t="shared" si="2"/>
        <v>3521571.8120723306</v>
      </c>
    </row>
    <row r="19" spans="1:24" ht="18" customHeight="1" x14ac:dyDescent="0.2">
      <c r="A19" s="4">
        <v>44236</v>
      </c>
      <c r="B19" s="5">
        <v>2583</v>
      </c>
      <c r="C19" s="5">
        <v>0.14180000000000001</v>
      </c>
      <c r="E19" s="17">
        <f t="shared" si="0"/>
        <v>4356.7961166195728</v>
      </c>
      <c r="F19" s="17">
        <f t="shared" si="1"/>
        <v>-1773.7961166195728</v>
      </c>
      <c r="G19" s="17">
        <f t="shared" si="2"/>
        <v>3146352.663334677</v>
      </c>
    </row>
    <row r="20" spans="1:24" ht="18" customHeight="1" x14ac:dyDescent="0.2">
      <c r="A20" s="4">
        <v>44237</v>
      </c>
      <c r="B20" s="5">
        <v>4387</v>
      </c>
      <c r="C20" s="5">
        <v>0.13220000000000001</v>
      </c>
      <c r="E20" s="17">
        <f t="shared" si="0"/>
        <v>4059.3277580291651</v>
      </c>
      <c r="F20" s="17">
        <f t="shared" si="1"/>
        <v>327.67224197083488</v>
      </c>
      <c r="G20" s="17">
        <f t="shared" si="2"/>
        <v>107369.09815819336</v>
      </c>
    </row>
    <row r="21" spans="1:24" ht="18" customHeight="1" x14ac:dyDescent="0.2">
      <c r="A21" s="4">
        <v>44238</v>
      </c>
      <c r="B21" s="5">
        <v>3480</v>
      </c>
      <c r="C21" s="5">
        <v>0.1211</v>
      </c>
      <c r="E21" s="17">
        <f t="shared" si="0"/>
        <v>3715.3799684090068</v>
      </c>
      <c r="F21" s="17">
        <f t="shared" si="1"/>
        <v>-235.37996840900678</v>
      </c>
      <c r="G21" s="17">
        <f t="shared" si="2"/>
        <v>55403.729528225027</v>
      </c>
    </row>
    <row r="22" spans="1:24" ht="18" customHeight="1" x14ac:dyDescent="0.2">
      <c r="A22" s="4">
        <v>44239</v>
      </c>
      <c r="B22" s="5">
        <v>2854</v>
      </c>
      <c r="C22" s="5">
        <v>0.10929999999999999</v>
      </c>
      <c r="E22" s="17">
        <f t="shared" si="0"/>
        <v>3349.7417776416314</v>
      </c>
      <c r="F22" s="17">
        <f t="shared" si="1"/>
        <v>-495.74177764163142</v>
      </c>
      <c r="G22" s="17">
        <f t="shared" si="2"/>
        <v>245759.91009928472</v>
      </c>
    </row>
    <row r="23" spans="1:24" ht="18" customHeight="1" x14ac:dyDescent="0.2">
      <c r="A23" s="4">
        <v>44240</v>
      </c>
      <c r="B23" s="5">
        <v>2856</v>
      </c>
      <c r="C23" s="5">
        <v>9.9000000000000005E-2</v>
      </c>
      <c r="E23" s="17">
        <f t="shared" si="0"/>
        <v>3030.5830179040076</v>
      </c>
      <c r="F23" s="17">
        <f t="shared" si="1"/>
        <v>-174.58301790400765</v>
      </c>
      <c r="G23" s="17">
        <f t="shared" si="2"/>
        <v>30479.230140471056</v>
      </c>
    </row>
    <row r="24" spans="1:24" ht="18" customHeight="1" x14ac:dyDescent="0.2">
      <c r="A24" s="4">
        <v>44241</v>
      </c>
      <c r="B24" s="5">
        <v>1677</v>
      </c>
      <c r="C24" s="5">
        <v>9.2100000000000001E-2</v>
      </c>
      <c r="E24" s="17">
        <f t="shared" si="0"/>
        <v>2816.7776351671523</v>
      </c>
      <c r="F24" s="17">
        <f t="shared" si="1"/>
        <v>-1139.7776351671523</v>
      </c>
      <c r="G24" s="17">
        <f t="shared" si="2"/>
        <v>1299093.0576272262</v>
      </c>
    </row>
    <row r="25" spans="1:24" ht="18" customHeight="1" x14ac:dyDescent="0.2">
      <c r="A25" s="4">
        <v>44242</v>
      </c>
      <c r="B25" s="5">
        <v>1303</v>
      </c>
      <c r="C25" s="5">
        <v>8.7300000000000003E-2</v>
      </c>
      <c r="E25" s="17">
        <f t="shared" si="0"/>
        <v>2668.0434558719489</v>
      </c>
      <c r="F25" s="17">
        <f t="shared" si="1"/>
        <v>-1365.0434558719489</v>
      </c>
      <c r="G25" s="17">
        <f t="shared" si="2"/>
        <v>1863343.6364188334</v>
      </c>
    </row>
    <row r="26" spans="1:24" ht="18" customHeight="1" x14ac:dyDescent="0.2">
      <c r="A26" s="4">
        <v>44243</v>
      </c>
      <c r="B26" s="5">
        <v>1502</v>
      </c>
      <c r="C26" s="5">
        <v>8.5000000000000006E-2</v>
      </c>
      <c r="E26" s="17">
        <f t="shared" si="0"/>
        <v>2596.7749949596641</v>
      </c>
      <c r="F26" s="17">
        <f t="shared" si="1"/>
        <v>-1094.7749949596641</v>
      </c>
      <c r="G26" s="17">
        <f t="shared" si="2"/>
        <v>1198532.2895889326</v>
      </c>
    </row>
    <row r="27" spans="1:24" ht="18" customHeight="1" x14ac:dyDescent="0.2">
      <c r="A27" s="4">
        <v>44244</v>
      </c>
      <c r="B27" s="5">
        <v>2324</v>
      </c>
      <c r="C27" s="5">
        <v>7.6399999999999996E-2</v>
      </c>
      <c r="E27" s="17">
        <f t="shared" si="0"/>
        <v>2330.2929237224243</v>
      </c>
      <c r="F27" s="17">
        <f t="shared" si="1"/>
        <v>-6.2929237224243479</v>
      </c>
      <c r="G27" s="17">
        <f t="shared" si="2"/>
        <v>39.600888976251113</v>
      </c>
    </row>
    <row r="28" spans="1:24" ht="18" customHeight="1" x14ac:dyDescent="0.2">
      <c r="A28" s="4">
        <v>44245</v>
      </c>
      <c r="B28" s="5">
        <v>1944</v>
      </c>
      <c r="C28" s="5">
        <v>7.0199999999999999E-2</v>
      </c>
      <c r="E28" s="17">
        <f t="shared" si="0"/>
        <v>2138.1779421327865</v>
      </c>
      <c r="F28" s="17">
        <f t="shared" si="1"/>
        <v>-194.17794213278648</v>
      </c>
      <c r="G28" s="17">
        <f t="shared" si="2"/>
        <v>37705.07321092378</v>
      </c>
    </row>
    <row r="29" spans="1:24" ht="18" customHeight="1" x14ac:dyDescent="0.2">
      <c r="A29" s="4">
        <v>44246</v>
      </c>
      <c r="B29" s="5">
        <v>1940</v>
      </c>
      <c r="C29" s="5">
        <v>6.7400000000000002E-2</v>
      </c>
      <c r="E29" s="17">
        <f t="shared" si="0"/>
        <v>2051.416337543918</v>
      </c>
      <c r="F29" s="17">
        <f t="shared" si="1"/>
        <v>-111.41633754391796</v>
      </c>
      <c r="G29" s="17">
        <f t="shared" si="2"/>
        <v>12413.600271700263</v>
      </c>
    </row>
    <row r="30" spans="1:24" ht="18" customHeight="1" x14ac:dyDescent="0.2">
      <c r="A30" s="4">
        <v>44247</v>
      </c>
      <c r="B30" s="5">
        <v>1570</v>
      </c>
      <c r="C30" s="5">
        <v>6.0900000000000003E-2</v>
      </c>
      <c r="E30" s="17">
        <f t="shared" si="0"/>
        <v>1850.0054697483297</v>
      </c>
      <c r="F30" s="17">
        <f t="shared" si="1"/>
        <v>-280.00546974832969</v>
      </c>
      <c r="G30" s="17">
        <f t="shared" si="2"/>
        <v>78403.063088982773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5.8799999999999998E-2</v>
      </c>
      <c r="E31" s="17">
        <f t="shared" si="0"/>
        <v>1784.934266306678</v>
      </c>
      <c r="F31" s="17">
        <f t="shared" si="1"/>
        <v>-598.93426630667796</v>
      </c>
      <c r="G31" s="17">
        <f t="shared" si="2"/>
        <v>358722.25535631861</v>
      </c>
    </row>
    <row r="32" spans="1:24" ht="18" customHeight="1" x14ac:dyDescent="0.2">
      <c r="A32" s="4">
        <v>44249</v>
      </c>
      <c r="B32" s="5">
        <v>549</v>
      </c>
      <c r="C32" s="5">
        <v>5.5500000000000001E-2</v>
      </c>
      <c r="E32" s="17">
        <f t="shared" si="0"/>
        <v>1682.6795180412257</v>
      </c>
      <c r="F32" s="17">
        <f t="shared" si="1"/>
        <v>-1133.6795180412257</v>
      </c>
      <c r="G32" s="17">
        <f t="shared" si="2"/>
        <v>1285229.2496261857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17">
        <f t="shared" si="0"/>
        <v>1614.5096858642573</v>
      </c>
      <c r="F33" s="17">
        <f t="shared" si="1"/>
        <v>-582.50968586425734</v>
      </c>
      <c r="G33" s="17">
        <f t="shared" si="2"/>
        <v>339317.53412567574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17">
        <f t="shared" si="0"/>
        <v>1506.0576801281713</v>
      </c>
      <c r="F34" s="17">
        <f t="shared" si="1"/>
        <v>-26.057680128171341</v>
      </c>
      <c r="G34" s="17">
        <f t="shared" si="2"/>
        <v>679.00269366209557</v>
      </c>
      <c r="O34" s="14"/>
      <c r="P34" s="130">
        <f>AVERAGE(C11:C130)</f>
        <v>3.5775000000000036E-2</v>
      </c>
      <c r="Q34" s="130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17">
        <f t="shared" si="0"/>
        <v>1403.8029318627191</v>
      </c>
      <c r="F35" s="17">
        <f t="shared" si="1"/>
        <v>-243.80293186271911</v>
      </c>
      <c r="G35" s="17">
        <f t="shared" si="2"/>
        <v>59439.869584857654</v>
      </c>
      <c r="O35" s="14"/>
      <c r="P35" s="130">
        <f>AVERAGE(B11:B130)</f>
        <v>1071.4749999999999</v>
      </c>
      <c r="Q35" s="130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17">
        <f t="shared" si="0"/>
        <v>1264.3646387734659</v>
      </c>
      <c r="F36" s="17">
        <f t="shared" si="1"/>
        <v>-237.36463877346591</v>
      </c>
      <c r="G36" s="17">
        <f t="shared" si="2"/>
        <v>56341.971740057954</v>
      </c>
      <c r="O36" s="14"/>
      <c r="P36" s="130">
        <f>SUMPRODUCT(POWER(C11:C130-P34,2))</f>
        <v>0.25541458500000003</v>
      </c>
      <c r="Q36" s="130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17">
        <f t="shared" si="0"/>
        <v>1193.0961778611809</v>
      </c>
      <c r="F37" s="17">
        <f t="shared" si="1"/>
        <v>-122.09617786118088</v>
      </c>
      <c r="G37" s="17">
        <f t="shared" si="2"/>
        <v>14907.476648309115</v>
      </c>
      <c r="O37" s="14"/>
      <c r="P37" s="130">
        <f>SUMPRODUCT(POWER(B11:B130-P35,2))</f>
        <v>285780855.92500037</v>
      </c>
      <c r="Q37" s="130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17">
        <f t="shared" si="0"/>
        <v>1112.5318307429457</v>
      </c>
      <c r="F38" s="17">
        <f t="shared" si="1"/>
        <v>-394.53183074294566</v>
      </c>
      <c r="G38" s="17">
        <f t="shared" si="2"/>
        <v>155655.36546938031</v>
      </c>
      <c r="O38" s="14"/>
      <c r="P38" s="130">
        <f xml:space="preserve"> SUMPRODUCT( (B11:B130-P35) * (C11:C130-P34))</f>
        <v>7914.349725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17">
        <f t="shared" si="0"/>
        <v>1115.6304594782623</v>
      </c>
      <c r="F39" s="17">
        <f t="shared" si="1"/>
        <v>-721.63045947826231</v>
      </c>
      <c r="G39" s="17">
        <f t="shared" si="2"/>
        <v>520750.520046808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17">
        <f t="shared" si="0"/>
        <v>1069.1510284485114</v>
      </c>
      <c r="F40" s="17">
        <f t="shared" si="1"/>
        <v>-378.1510284485114</v>
      </c>
      <c r="G40" s="17">
        <f t="shared" si="2"/>
        <v>142998.20031666689</v>
      </c>
      <c r="O40" s="16"/>
      <c r="P40" s="120">
        <f>P35 - P34*P41</f>
        <v>-37.059430059564875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17">
        <f t="shared" si="0"/>
        <v>994.78393880090948</v>
      </c>
      <c r="F41" s="17">
        <f t="shared" si="1"/>
        <v>-15.783938800909482</v>
      </c>
      <c r="G41" s="17">
        <f t="shared" si="2"/>
        <v>249.13272407085586</v>
      </c>
      <c r="O41" s="13"/>
      <c r="P41" s="122">
        <f>P38/P36</f>
        <v>30986.287353167398</v>
      </c>
      <c r="Q41" s="122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17">
        <f t="shared" si="0"/>
        <v>954.50176524179187</v>
      </c>
      <c r="F42" s="17">
        <f t="shared" si="1"/>
        <v>-124.50176524179187</v>
      </c>
      <c r="G42" s="17">
        <f t="shared" si="2"/>
        <v>15500.689548322254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17">
        <f t="shared" si="0"/>
        <v>963.79765144774217</v>
      </c>
      <c r="F43" s="17">
        <f t="shared" si="1"/>
        <v>-14.797651447742169</v>
      </c>
      <c r="G43" s="17">
        <f t="shared" si="2"/>
        <v>218.97048836886592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17">
        <f t="shared" si="0"/>
        <v>954.50176524179187</v>
      </c>
      <c r="F44" s="17">
        <f t="shared" si="1"/>
        <v>52.498234758208127</v>
      </c>
      <c r="G44" s="17">
        <f t="shared" si="2"/>
        <v>2756.0646527279318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17">
        <f t="shared" si="0"/>
        <v>960.69902271242529</v>
      </c>
      <c r="F45" s="17">
        <f t="shared" si="1"/>
        <v>-278.69902271242529</v>
      </c>
      <c r="G45" s="17">
        <f t="shared" si="2"/>
        <v>77673.145260860954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17">
        <f t="shared" si="0"/>
        <v>963.79765144774217</v>
      </c>
      <c r="F46" s="17">
        <f t="shared" si="1"/>
        <v>-598.79765144774217</v>
      </c>
      <c r="G46" s="17">
        <f t="shared" si="2"/>
        <v>358558.62737933174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17">
        <f t="shared" si="0"/>
        <v>1025.7702261540767</v>
      </c>
      <c r="F47" s="17">
        <f t="shared" si="1"/>
        <v>-178.77022615407668</v>
      </c>
      <c r="G47" s="17">
        <f t="shared" si="2"/>
        <v>31958.793759179724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17">
        <f t="shared" si="0"/>
        <v>979.29079512432588</v>
      </c>
      <c r="F48" s="17">
        <f t="shared" si="1"/>
        <v>-337.29079512432588</v>
      </c>
      <c r="G48" s="17">
        <f t="shared" si="2"/>
        <v>113765.08047559997</v>
      </c>
    </row>
    <row r="49" spans="1:24" ht="18" customHeight="1" x14ac:dyDescent="0.2">
      <c r="A49" s="4">
        <v>44266</v>
      </c>
      <c r="B49" s="5">
        <v>627</v>
      </c>
      <c r="C49" s="5">
        <v>3.2300000000000002E-2</v>
      </c>
      <c r="E49" s="17">
        <f t="shared" si="0"/>
        <v>963.79765144774217</v>
      </c>
      <c r="F49" s="17">
        <f t="shared" si="1"/>
        <v>-336.79765144774217</v>
      </c>
      <c r="G49" s="17">
        <f t="shared" si="2"/>
        <v>113432.65802071482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577</v>
      </c>
      <c r="C50" s="5">
        <v>3.0200000000000001E-2</v>
      </c>
      <c r="E50" s="17">
        <f t="shared" si="0"/>
        <v>898.72644800609055</v>
      </c>
      <c r="F50" s="17">
        <f t="shared" si="1"/>
        <v>-321.72644800609055</v>
      </c>
      <c r="G50" s="17">
        <f t="shared" si="2"/>
        <v>103507.90734661568</v>
      </c>
      <c r="O50" s="15"/>
      <c r="P50" s="120">
        <f>POWER(P38,2) / (P36*P37)</f>
        <v>0.85812716180215587</v>
      </c>
      <c r="Q50" s="120"/>
    </row>
    <row r="51" spans="1:24" ht="18" customHeight="1" x14ac:dyDescent="0.2">
      <c r="A51" s="4">
        <v>44268</v>
      </c>
      <c r="B51" s="5">
        <v>564</v>
      </c>
      <c r="C51" s="5">
        <v>2.7199999999999998E-2</v>
      </c>
      <c r="E51" s="17">
        <f t="shared" si="0"/>
        <v>805.76758594658827</v>
      </c>
      <c r="F51" s="17">
        <f t="shared" si="1"/>
        <v>-241.76758594658827</v>
      </c>
      <c r="G51" s="17">
        <f t="shared" si="2"/>
        <v>58451.565614440944</v>
      </c>
      <c r="O51" s="32"/>
      <c r="P51" s="122">
        <f>P38 / (SQRT(P36) * SQRT(P37))</f>
        <v>0.92635153252000157</v>
      </c>
      <c r="Q51" s="122"/>
    </row>
    <row r="52" spans="1:24" ht="18" customHeight="1" x14ac:dyDescent="0.2">
      <c r="A52" s="4">
        <v>44269</v>
      </c>
      <c r="B52" s="5">
        <v>541</v>
      </c>
      <c r="C52" s="5">
        <v>2.6200000000000001E-2</v>
      </c>
      <c r="E52" s="17">
        <f t="shared" si="0"/>
        <v>774.78129859342096</v>
      </c>
      <c r="F52" s="17">
        <f t="shared" si="1"/>
        <v>-233.78129859342096</v>
      </c>
      <c r="G52" s="17">
        <f t="shared" si="2"/>
        <v>54653.695572026249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2.5399999999999999E-2</v>
      </c>
      <c r="E53" s="17">
        <f t="shared" si="0"/>
        <v>749.99226871088695</v>
      </c>
      <c r="F53" s="17">
        <f t="shared" si="1"/>
        <v>-493.99226871088695</v>
      </c>
      <c r="G53" s="17">
        <f t="shared" si="2"/>
        <v>244028.36154612913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2.0299999999999999E-2</v>
      </c>
      <c r="E54" s="17">
        <f t="shared" si="0"/>
        <v>591.96220320973327</v>
      </c>
      <c r="F54" s="17">
        <f t="shared" si="1"/>
        <v>-207.96220320973327</v>
      </c>
      <c r="G54" s="17">
        <f t="shared" si="2"/>
        <v>43248.277963846398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1.83E-2</v>
      </c>
      <c r="E55" s="17">
        <f t="shared" si="0"/>
        <v>529.98962850339854</v>
      </c>
      <c r="F55" s="17">
        <f t="shared" si="1"/>
        <v>143.01037149660146</v>
      </c>
      <c r="G55" s="17">
        <f t="shared" si="2"/>
        <v>20451.96635559596</v>
      </c>
    </row>
    <row r="56" spans="1:24" ht="18" customHeight="1" x14ac:dyDescent="0.2">
      <c r="A56" s="4">
        <v>44273</v>
      </c>
      <c r="B56" s="5">
        <v>485</v>
      </c>
      <c r="C56" s="5">
        <v>1.5299999999999999E-2</v>
      </c>
      <c r="E56" s="17">
        <f t="shared" si="0"/>
        <v>437.03076644389631</v>
      </c>
      <c r="F56" s="17">
        <f t="shared" si="1"/>
        <v>47.969233556103688</v>
      </c>
      <c r="G56" s="17">
        <f t="shared" si="2"/>
        <v>2301.0473679600241</v>
      </c>
    </row>
    <row r="57" spans="1:24" ht="18" customHeight="1" x14ac:dyDescent="0.2">
      <c r="A57" s="4">
        <v>44274</v>
      </c>
      <c r="B57" s="5">
        <v>568</v>
      </c>
      <c r="C57" s="5">
        <v>1.37E-2</v>
      </c>
      <c r="E57" s="17">
        <f t="shared" si="0"/>
        <v>387.45270667882846</v>
      </c>
      <c r="F57" s="17">
        <f t="shared" si="1"/>
        <v>180.54729332117154</v>
      </c>
      <c r="G57" s="17">
        <f t="shared" si="2"/>
        <v>32597.325125601154</v>
      </c>
    </row>
    <row r="58" spans="1:24" ht="18" customHeight="1" x14ac:dyDescent="0.2">
      <c r="A58" s="4">
        <v>44275</v>
      </c>
      <c r="B58" s="5">
        <v>457</v>
      </c>
      <c r="C58" s="5">
        <v>1.2699999999999999E-2</v>
      </c>
      <c r="E58" s="17">
        <f t="shared" si="0"/>
        <v>356.46641932566104</v>
      </c>
      <c r="F58" s="17">
        <f t="shared" si="1"/>
        <v>100.53358067433896</v>
      </c>
      <c r="G58" s="17">
        <f t="shared" si="2"/>
        <v>10107.000843203821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1.23E-2</v>
      </c>
      <c r="E59" s="17">
        <f t="shared" si="0"/>
        <v>344.07190438439414</v>
      </c>
      <c r="F59" s="17">
        <f t="shared" si="1"/>
        <v>105.92809561560586</v>
      </c>
      <c r="G59" s="17">
        <f t="shared" si="2"/>
        <v>11220.761440748936</v>
      </c>
    </row>
    <row r="60" spans="1:24" ht="18" customHeight="1" x14ac:dyDescent="0.2">
      <c r="A60" s="4">
        <v>44277</v>
      </c>
      <c r="B60" s="5">
        <v>248</v>
      </c>
      <c r="C60" s="5">
        <v>1.21E-2</v>
      </c>
      <c r="E60" s="17">
        <f t="shared" si="0"/>
        <v>337.87464691376061</v>
      </c>
      <c r="F60" s="17">
        <f t="shared" si="1"/>
        <v>-89.874646913760614</v>
      </c>
      <c r="G60" s="17">
        <f t="shared" si="2"/>
        <v>8077.4521578731401</v>
      </c>
    </row>
    <row r="61" spans="1:24" ht="18" customHeight="1" x14ac:dyDescent="0.2">
      <c r="A61" s="4">
        <v>44278</v>
      </c>
      <c r="B61" s="5">
        <v>434</v>
      </c>
      <c r="C61" s="5">
        <v>1.2800000000000001E-2</v>
      </c>
      <c r="E61" s="17">
        <f t="shared" si="0"/>
        <v>359.56504806097786</v>
      </c>
      <c r="F61" s="17">
        <f t="shared" si="1"/>
        <v>74.434951939022142</v>
      </c>
      <c r="G61" s="17">
        <f t="shared" si="2"/>
        <v>5540.5620701645357</v>
      </c>
    </row>
    <row r="62" spans="1:24" ht="18" customHeight="1" x14ac:dyDescent="0.2">
      <c r="A62" s="4">
        <v>44279</v>
      </c>
      <c r="B62" s="5">
        <v>575</v>
      </c>
      <c r="C62" s="5">
        <v>1.34E-2</v>
      </c>
      <c r="E62" s="17">
        <f t="shared" si="0"/>
        <v>378.15682047287828</v>
      </c>
      <c r="F62" s="17">
        <f t="shared" si="1"/>
        <v>196.84317952712172</v>
      </c>
      <c r="G62" s="17">
        <f t="shared" si="2"/>
        <v>38747.237326346672</v>
      </c>
    </row>
    <row r="63" spans="1:24" ht="18" customHeight="1" x14ac:dyDescent="0.2">
      <c r="A63" s="4">
        <v>44280</v>
      </c>
      <c r="B63" s="5">
        <v>423</v>
      </c>
      <c r="C63" s="5">
        <v>1.46E-2</v>
      </c>
      <c r="E63" s="17">
        <f t="shared" si="0"/>
        <v>415.34036529667912</v>
      </c>
      <c r="F63" s="17">
        <f t="shared" si="1"/>
        <v>7.6596347033208758</v>
      </c>
      <c r="G63" s="17">
        <f t="shared" si="2"/>
        <v>58.67000378831748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1.6E-2</v>
      </c>
      <c r="E64" s="17">
        <f t="shared" si="0"/>
        <v>458.7211675911135</v>
      </c>
      <c r="F64" s="17">
        <f t="shared" si="1"/>
        <v>29.278832408886501</v>
      </c>
      <c r="G64" s="17">
        <f t="shared" si="2"/>
        <v>857.25002722766249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17">
        <f t="shared" si="0"/>
        <v>471.1156825323805</v>
      </c>
      <c r="F65" s="17">
        <f t="shared" si="1"/>
        <v>-127.1156825323805</v>
      </c>
      <c r="G65" s="17">
        <f t="shared" si="2"/>
        <v>16158.396745672946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17">
        <f t="shared" si="0"/>
        <v>455.62253885579679</v>
      </c>
      <c r="F66" s="17">
        <f t="shared" si="1"/>
        <v>-90.62253885579679</v>
      </c>
      <c r="G66" s="17">
        <f t="shared" si="2"/>
        <v>8212.4445486703989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17">
        <f t="shared" si="0"/>
        <v>464.91842506174692</v>
      </c>
      <c r="F67" s="17">
        <f t="shared" si="1"/>
        <v>-155.91842506174692</v>
      </c>
      <c r="G67" s="17">
        <f t="shared" si="2"/>
        <v>24310.55527373559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17">
        <f t="shared" si="0"/>
        <v>461.81979632643021</v>
      </c>
      <c r="F68" s="17">
        <f t="shared" si="1"/>
        <v>-73.819796326430208</v>
      </c>
      <c r="G68" s="17">
        <f t="shared" si="2"/>
        <v>5449.3623296756386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17">
        <f t="shared" si="0"/>
        <v>471.1156825323805</v>
      </c>
      <c r="F69" s="17">
        <f t="shared" si="1"/>
        <v>146.8843174676195</v>
      </c>
      <c r="G69" s="17">
        <f t="shared" si="2"/>
        <v>21575.00271792843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17">
        <f t="shared" si="0"/>
        <v>495.90471241491434</v>
      </c>
      <c r="F70" s="17">
        <f t="shared" si="1"/>
        <v>96.095287585085657</v>
      </c>
      <c r="G70" s="17">
        <f t="shared" si="2"/>
        <v>9234.3042960603179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17">
        <f t="shared" si="0"/>
        <v>557.87728712124908</v>
      </c>
      <c r="F71" s="17">
        <f t="shared" si="1"/>
        <v>-9.8772871212490827</v>
      </c>
      <c r="G71" s="17">
        <f t="shared" si="2"/>
        <v>97.560800875592989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17">
        <f t="shared" si="0"/>
        <v>542.38414344466548</v>
      </c>
      <c r="F72" s="17">
        <f t="shared" si="1"/>
        <v>-262.38414344466548</v>
      </c>
      <c r="G72" s="17">
        <f t="shared" si="2"/>
        <v>68845.438731190792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17">
        <f t="shared" si="0"/>
        <v>505.20059862086464</v>
      </c>
      <c r="F73" s="17">
        <f t="shared" si="1"/>
        <v>-312.20059862086464</v>
      </c>
      <c r="G73" s="17">
        <f t="shared" si="2"/>
        <v>97469.213779226222</v>
      </c>
      <c r="O73" s="102" t="s">
        <v>35</v>
      </c>
      <c r="P73" s="119">
        <f xml:space="preserve"> SQRT((1/ (B133-2)) * SUM(G11:G130))</f>
        <v>586.17216430774454</v>
      </c>
      <c r="Q73" s="119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17">
        <f t="shared" si="0"/>
        <v>399.84722162009541</v>
      </c>
      <c r="F74" s="17">
        <f t="shared" si="1"/>
        <v>-240.84722162009541</v>
      </c>
      <c r="G74" s="17">
        <f t="shared" si="2"/>
        <v>58007.384162119357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17">
        <f t="shared" si="0"/>
        <v>399.84722162009541</v>
      </c>
      <c r="F75" s="17">
        <f t="shared" si="1"/>
        <v>474.15277837990459</v>
      </c>
      <c r="G75" s="17">
        <f t="shared" si="2"/>
        <v>224820.85724538291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17">
        <f t="shared" ref="E76:E130" si="3">$P$40 + $P$41*C76</f>
        <v>350.26916185502762</v>
      </c>
      <c r="F76" s="17">
        <f t="shared" ref="F76:F130" si="4">B76-E76</f>
        <v>312.73083814497238</v>
      </c>
      <c r="G76" s="17">
        <f t="shared" ref="G76:G130" si="5">POWER(F76,2)</f>
        <v>97800.577126856908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17">
        <f t="shared" si="3"/>
        <v>313.08561703122672</v>
      </c>
      <c r="F77" s="17">
        <f t="shared" si="4"/>
        <v>288.91438296877328</v>
      </c>
      <c r="G77" s="17">
        <f t="shared" si="5"/>
        <v>83471.520686226999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17">
        <f t="shared" si="3"/>
        <v>279.00070094274258</v>
      </c>
      <c r="F78" s="17">
        <f t="shared" si="4"/>
        <v>414.99929905725742</v>
      </c>
      <c r="G78" s="17">
        <f t="shared" si="5"/>
        <v>172224.41821801497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17">
        <f t="shared" si="3"/>
        <v>300.69110208995977</v>
      </c>
      <c r="F79" s="17">
        <f t="shared" si="4"/>
        <v>300.30889791004023</v>
      </c>
      <c r="G79" s="17">
        <f t="shared" si="5"/>
        <v>90185.434163942962</v>
      </c>
      <c r="O79" s="16"/>
      <c r="P79" s="127">
        <f xml:space="preserve"> SQRT( (1/B133) + (POWER(P34,2) / P36))</f>
        <v>0.11551713549623858</v>
      </c>
      <c r="Q79" s="127"/>
      <c r="T79" s="16"/>
      <c r="U79" s="127">
        <f xml:space="preserve"> SQRT( 1/P36 )</f>
        <v>1.9786872410690108</v>
      </c>
      <c r="V79" s="127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17">
        <f t="shared" si="3"/>
        <v>331.6773894431272</v>
      </c>
      <c r="F80" s="17">
        <f t="shared" si="4"/>
        <v>234.3226105568728</v>
      </c>
      <c r="G80" s="17">
        <f t="shared" si="5"/>
        <v>54907.085818187879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17">
        <f t="shared" si="3"/>
        <v>365.76230553161128</v>
      </c>
      <c r="F81" s="17">
        <f t="shared" si="4"/>
        <v>-94.762305531611275</v>
      </c>
      <c r="G81" s="17">
        <f t="shared" si="5"/>
        <v>8979.8945496664455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17">
        <f t="shared" si="3"/>
        <v>347.17053311971085</v>
      </c>
      <c r="F82" s="17">
        <f t="shared" si="4"/>
        <v>60.829466880289147</v>
      </c>
      <c r="G82" s="17">
        <f t="shared" si="5"/>
        <v>3700.2240409401943</v>
      </c>
      <c r="O82" s="19" t="s">
        <v>36</v>
      </c>
      <c r="P82" s="119">
        <f>P71*P73*P79</f>
        <v>112.259201786491</v>
      </c>
      <c r="Q82" s="119"/>
      <c r="T82" s="19" t="s">
        <v>36</v>
      </c>
      <c r="U82" s="119">
        <f>P71*P73*U79</f>
        <v>1922.8822573665186</v>
      </c>
      <c r="V82" s="119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17">
        <f t="shared" si="3"/>
        <v>378.15682047287828</v>
      </c>
      <c r="F83" s="17">
        <f t="shared" si="4"/>
        <v>305.84317952712172</v>
      </c>
      <c r="G83" s="17">
        <f t="shared" si="5"/>
        <v>93540.050463259206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17">
        <f t="shared" si="3"/>
        <v>393.64996414946194</v>
      </c>
      <c r="F84" s="17">
        <f t="shared" si="4"/>
        <v>107.35003585053806</v>
      </c>
      <c r="G84" s="17">
        <f t="shared" si="5"/>
        <v>11524.030197111808</v>
      </c>
      <c r="O84" s="16" t="s">
        <v>37</v>
      </c>
      <c r="P84" s="120">
        <f>ROUND(P40-P82,4)</f>
        <v>-149.3186</v>
      </c>
      <c r="Q84" s="120"/>
      <c r="T84" s="16" t="s">
        <v>37</v>
      </c>
      <c r="U84" s="120">
        <f>ROUND(P41-U82,4)</f>
        <v>29063.4051</v>
      </c>
      <c r="V84" s="120"/>
    </row>
    <row r="85" spans="1:23" ht="18" customHeight="1" x14ac:dyDescent="0.2">
      <c r="A85" s="4">
        <v>44302</v>
      </c>
      <c r="B85" s="5">
        <v>553</v>
      </c>
      <c r="C85" s="5">
        <v>1.4E-2</v>
      </c>
      <c r="E85" s="17">
        <f t="shared" si="3"/>
        <v>396.7485928847787</v>
      </c>
      <c r="F85" s="17">
        <f t="shared" si="4"/>
        <v>156.2514071152213</v>
      </c>
      <c r="G85" s="17">
        <f t="shared" si="5"/>
        <v>24414.502225486627</v>
      </c>
      <c r="O85" s="13" t="s">
        <v>38</v>
      </c>
      <c r="P85" s="122">
        <f>ROUND(P40+P82,4)</f>
        <v>75.199799999999996</v>
      </c>
      <c r="Q85" s="122"/>
      <c r="T85" s="13" t="s">
        <v>38</v>
      </c>
      <c r="U85" s="122">
        <f>ROUND(P41+U82,4)</f>
        <v>32909.169600000001</v>
      </c>
      <c r="V85" s="122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17">
        <f t="shared" si="3"/>
        <v>402.94585035541218</v>
      </c>
      <c r="F86" s="17">
        <f t="shared" si="4"/>
        <v>246.05414964458782</v>
      </c>
      <c r="G86" s="17">
        <f t="shared" si="5"/>
        <v>60542.644557321219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17">
        <f t="shared" si="3"/>
        <v>384.3540779435117</v>
      </c>
      <c r="F87" s="17">
        <f t="shared" si="4"/>
        <v>56.645922056488303</v>
      </c>
      <c r="G87" s="17">
        <f t="shared" si="5"/>
        <v>3208.760485629748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17">
        <f t="shared" si="3"/>
        <v>322.3815032371769</v>
      </c>
      <c r="F88" s="17">
        <f t="shared" si="4"/>
        <v>-102.3815032371769</v>
      </c>
      <c r="G88" s="17">
        <f t="shared" si="5"/>
        <v>10481.972205104064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17">
        <f t="shared" si="3"/>
        <v>269.7048147367924</v>
      </c>
      <c r="F89" s="17">
        <f t="shared" si="4"/>
        <v>154.2951852632076</v>
      </c>
      <c r="G89" s="17">
        <f t="shared" si="5"/>
        <v>23807.004195407557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17">
        <f t="shared" si="3"/>
        <v>220.12675497172455</v>
      </c>
      <c r="F90" s="17">
        <f t="shared" si="4"/>
        <v>389.87324502827545</v>
      </c>
      <c r="G90" s="17">
        <f t="shared" si="5"/>
        <v>152001.14718887772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636</v>
      </c>
      <c r="C91" s="5">
        <v>7.6E-3</v>
      </c>
      <c r="E91" s="17">
        <f t="shared" si="3"/>
        <v>198.43635382450734</v>
      </c>
      <c r="F91" s="17">
        <f t="shared" si="4"/>
        <v>437.56364617549264</v>
      </c>
      <c r="G91" s="17">
        <f t="shared" si="5"/>
        <v>191461.94445439172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17">
        <f t="shared" si="3"/>
        <v>176.74595267729018</v>
      </c>
      <c r="F92" s="17">
        <f t="shared" si="4"/>
        <v>329.25404732270982</v>
      </c>
      <c r="G92" s="17">
        <f t="shared" si="5"/>
        <v>108408.22767838524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567</v>
      </c>
      <c r="C93" s="5">
        <v>6.6E-3</v>
      </c>
      <c r="E93" s="17">
        <f t="shared" si="3"/>
        <v>167.45006647133994</v>
      </c>
      <c r="F93" s="17">
        <f t="shared" si="4"/>
        <v>399.54993352866006</v>
      </c>
      <c r="G93" s="17">
        <f t="shared" si="5"/>
        <v>159640.14938275667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17">
        <f t="shared" si="3"/>
        <v>170.5486952066567</v>
      </c>
      <c r="F94" s="17">
        <f t="shared" si="4"/>
        <v>307.4513047933433</v>
      </c>
      <c r="G94" s="17">
        <f t="shared" si="5"/>
        <v>94526.304819129276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17">
        <f t="shared" si="3"/>
        <v>179.84458141260691</v>
      </c>
      <c r="F95" s="17">
        <f t="shared" si="4"/>
        <v>16.155418587393086</v>
      </c>
      <c r="G95" s="17">
        <f t="shared" si="5"/>
        <v>260.99754973388605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17">
        <f t="shared" si="3"/>
        <v>192.23909635387389</v>
      </c>
      <c r="F96" s="17">
        <f t="shared" si="4"/>
        <v>160.76090364612611</v>
      </c>
      <c r="G96" s="17">
        <f t="shared" si="5"/>
        <v>25844.068141119042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17">
        <f t="shared" si="3"/>
        <v>213.92949750109102</v>
      </c>
      <c r="F97" s="17">
        <f t="shared" si="4"/>
        <v>358.07050249890898</v>
      </c>
      <c r="G97" s="17">
        <f t="shared" si="5"/>
        <v>128214.48475982118</v>
      </c>
      <c r="O97" s="102" t="s">
        <v>35</v>
      </c>
      <c r="P97" s="119">
        <f xml:space="preserve"> SQRT((1/ (B133-2)) * SUM(G11:G130))</f>
        <v>586.17216430774454</v>
      </c>
      <c r="Q97" s="119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17">
        <f t="shared" si="3"/>
        <v>232.52126991299144</v>
      </c>
      <c r="F98" s="17">
        <f t="shared" si="4"/>
        <v>237.47873008700856</v>
      </c>
      <c r="G98" s="17">
        <f t="shared" si="5"/>
        <v>56396.147243738262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17">
        <f t="shared" si="3"/>
        <v>244.91578485425845</v>
      </c>
      <c r="F99" s="17">
        <f t="shared" si="4"/>
        <v>215.08421514574155</v>
      </c>
      <c r="G99" s="17">
        <f t="shared" si="5"/>
        <v>46261.219604859638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17">
        <f t="shared" si="3"/>
        <v>244.91578485425845</v>
      </c>
      <c r="F100" s="17">
        <f t="shared" si="4"/>
        <v>209.08421514574155</v>
      </c>
      <c r="G100" s="17">
        <f t="shared" si="5"/>
        <v>43716.209023110743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17">
        <f t="shared" si="3"/>
        <v>229.42264117767473</v>
      </c>
      <c r="F101" s="17">
        <f t="shared" si="4"/>
        <v>100.57735882232527</v>
      </c>
      <c r="G101" s="17">
        <f t="shared" si="5"/>
        <v>10115.805107674771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17">
        <f t="shared" si="3"/>
        <v>229.42264117767473</v>
      </c>
      <c r="F102" s="17">
        <f t="shared" si="4"/>
        <v>-49.422641177674734</v>
      </c>
      <c r="G102" s="17">
        <f t="shared" si="5"/>
        <v>2442.5974609771902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17">
        <f t="shared" si="3"/>
        <v>223.22538370704126</v>
      </c>
      <c r="F103" s="17">
        <f t="shared" si="4"/>
        <v>34.77461629295874</v>
      </c>
      <c r="G103" s="17">
        <f t="shared" si="5"/>
        <v>1209.2739383225114</v>
      </c>
      <c r="O103" s="16"/>
      <c r="P103" s="127">
        <f>SQRT( (1/B133) + (POWER(P34,2) / P36))</f>
        <v>0.11551713549623858</v>
      </c>
      <c r="Q103" s="127"/>
      <c r="T103" s="16"/>
      <c r="U103" s="127">
        <f>SQRT( 1/P36 )</f>
        <v>1.9786872410690108</v>
      </c>
      <c r="V103" s="127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17">
        <f t="shared" si="3"/>
        <v>207.7322400304576</v>
      </c>
      <c r="F104" s="17">
        <f t="shared" si="4"/>
        <v>179.2677599695424</v>
      </c>
      <c r="G104" s="17">
        <f t="shared" si="5"/>
        <v>32136.929764497469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17">
        <f t="shared" si="3"/>
        <v>201.5349825598241</v>
      </c>
      <c r="F105" s="17">
        <f t="shared" si="4"/>
        <v>171.4650174401759</v>
      </c>
      <c r="G105" s="17">
        <f t="shared" si="5"/>
        <v>29400.252205759825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17">
        <f t="shared" si="3"/>
        <v>207.7322400304576</v>
      </c>
      <c r="F106" s="17">
        <f t="shared" si="4"/>
        <v>169.2677599695424</v>
      </c>
      <c r="G106" s="17">
        <f t="shared" si="5"/>
        <v>28651.574565106621</v>
      </c>
      <c r="O106" s="19" t="s">
        <v>36</v>
      </c>
      <c r="P106" s="119">
        <f>P95*P97*P103</f>
        <v>134.09003486613352</v>
      </c>
      <c r="Q106" s="119"/>
      <c r="T106" s="19" t="s">
        <v>36</v>
      </c>
      <c r="U106" s="119">
        <f>P95*P97*U103</f>
        <v>2296.8215062150371</v>
      </c>
      <c r="V106" s="119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17">
        <f t="shared" si="3"/>
        <v>201.5349825598241</v>
      </c>
      <c r="F107" s="17">
        <f t="shared" si="4"/>
        <v>204.4650174401759</v>
      </c>
      <c r="G107" s="17">
        <f t="shared" si="5"/>
        <v>41805.943356811433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17">
        <f t="shared" si="3"/>
        <v>201.5349825598241</v>
      </c>
      <c r="F108" s="17">
        <f t="shared" si="4"/>
        <v>122.4650174401759</v>
      </c>
      <c r="G108" s="17">
        <f t="shared" si="5"/>
        <v>14997.680496622586</v>
      </c>
      <c r="O108" s="16" t="s">
        <v>37</v>
      </c>
      <c r="P108" s="120">
        <f>ROUND(P40-P106,4)</f>
        <v>-171.14949999999999</v>
      </c>
      <c r="Q108" s="120"/>
      <c r="T108" s="16" t="s">
        <v>37</v>
      </c>
      <c r="U108" s="120">
        <f>ROUND(P41-U106,4)</f>
        <v>28689.465800000002</v>
      </c>
      <c r="V108" s="120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17">
        <f t="shared" si="3"/>
        <v>210.83086876577431</v>
      </c>
      <c r="F109" s="17">
        <f t="shared" si="4"/>
        <v>-52.830868765774312</v>
      </c>
      <c r="G109" s="17">
        <f t="shared" si="5"/>
        <v>2791.1006945464678</v>
      </c>
      <c r="O109" s="13" t="s">
        <v>38</v>
      </c>
      <c r="P109" s="122">
        <f>ROUND(P40+P106,4)</f>
        <v>97.030600000000007</v>
      </c>
      <c r="Q109" s="122"/>
      <c r="T109" s="13" t="s">
        <v>38</v>
      </c>
      <c r="U109" s="122">
        <f>ROUND(P41+U106,4)</f>
        <v>33283.108899999999</v>
      </c>
      <c r="V109" s="122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17">
        <f t="shared" si="3"/>
        <v>223.22538370704126</v>
      </c>
      <c r="F110" s="17">
        <f t="shared" si="4"/>
        <v>44.77461629295874</v>
      </c>
      <c r="G110" s="17">
        <f t="shared" si="5"/>
        <v>2004.7662641816862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17">
        <f t="shared" si="3"/>
        <v>238.71852738362497</v>
      </c>
      <c r="F111" s="17">
        <f t="shared" si="4"/>
        <v>246.28147261637503</v>
      </c>
      <c r="G111" s="17">
        <f t="shared" si="5"/>
        <v>60654.563754090283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17">
        <f t="shared" si="3"/>
        <v>254.21167106020869</v>
      </c>
      <c r="F112" s="17">
        <f t="shared" si="4"/>
        <v>181.78832893979131</v>
      </c>
      <c r="G112" s="17">
        <f t="shared" si="5"/>
        <v>33046.996538721767</v>
      </c>
    </row>
    <row r="113" spans="1:25" ht="18" customHeight="1" x14ac:dyDescent="0.2">
      <c r="A113" s="4">
        <v>44330</v>
      </c>
      <c r="B113" s="5">
        <v>450</v>
      </c>
      <c r="C113" s="5">
        <v>9.7999999999999997E-3</v>
      </c>
      <c r="E113" s="17">
        <f t="shared" si="3"/>
        <v>266.60618600147563</v>
      </c>
      <c r="F113" s="17">
        <f t="shared" si="4"/>
        <v>183.39381399852437</v>
      </c>
      <c r="G113" s="17">
        <f t="shared" si="5"/>
        <v>33633.291012925351</v>
      </c>
    </row>
    <row r="114" spans="1:25" ht="18" customHeight="1" x14ac:dyDescent="0.2">
      <c r="A114" s="4">
        <v>44331</v>
      </c>
      <c r="B114" s="5">
        <v>469</v>
      </c>
      <c r="C114" s="5">
        <v>0.01</v>
      </c>
      <c r="E114" s="17">
        <f t="shared" si="3"/>
        <v>272.80344347210911</v>
      </c>
      <c r="F114" s="17">
        <f t="shared" si="4"/>
        <v>196.19655652789089</v>
      </c>
      <c r="G114" s="17">
        <f t="shared" si="5"/>
        <v>38493.088793401883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1.01E-2</v>
      </c>
      <c r="E115" s="17">
        <f t="shared" si="3"/>
        <v>275.90207220742582</v>
      </c>
      <c r="F115" s="17">
        <f t="shared" si="4"/>
        <v>58.097927792574183</v>
      </c>
      <c r="G115" s="17">
        <f t="shared" si="5"/>
        <v>3375.3692137911635</v>
      </c>
    </row>
    <row r="116" spans="1:25" ht="18" customHeight="1" x14ac:dyDescent="0.2">
      <c r="A116" s="4">
        <v>44333</v>
      </c>
      <c r="B116" s="5">
        <v>199</v>
      </c>
      <c r="C116" s="5">
        <v>1.01E-2</v>
      </c>
      <c r="E116" s="17">
        <f t="shared" si="3"/>
        <v>275.90207220742582</v>
      </c>
      <c r="F116" s="17">
        <f t="shared" si="4"/>
        <v>-76.902072207425817</v>
      </c>
      <c r="G116" s="17">
        <f t="shared" si="5"/>
        <v>5913.9287097961342</v>
      </c>
    </row>
    <row r="117" spans="1:25" ht="18" customHeight="1" x14ac:dyDescent="0.2">
      <c r="A117" s="4">
        <v>44334</v>
      </c>
      <c r="B117" s="5">
        <v>386</v>
      </c>
      <c r="C117" s="5">
        <v>1.0500000000000001E-2</v>
      </c>
      <c r="E117" s="17">
        <f t="shared" si="3"/>
        <v>288.29658714869282</v>
      </c>
      <c r="F117" s="17">
        <f t="shared" si="4"/>
        <v>97.703412851307178</v>
      </c>
      <c r="G117" s="17">
        <f t="shared" si="5"/>
        <v>9545.9568827929761</v>
      </c>
    </row>
    <row r="118" spans="1:25" ht="18" customHeight="1" x14ac:dyDescent="0.2">
      <c r="A118" s="4">
        <v>44335</v>
      </c>
      <c r="B118" s="5">
        <v>511</v>
      </c>
      <c r="C118" s="5">
        <v>1.06E-2</v>
      </c>
      <c r="E118" s="17">
        <f t="shared" si="3"/>
        <v>291.39521588400953</v>
      </c>
      <c r="F118" s="17">
        <f t="shared" si="4"/>
        <v>219.60478411599047</v>
      </c>
      <c r="G118" s="17">
        <f t="shared" si="5"/>
        <v>48226.261206630777</v>
      </c>
    </row>
    <row r="119" spans="1:25" ht="18" customHeight="1" x14ac:dyDescent="0.2">
      <c r="A119" s="4">
        <v>44336</v>
      </c>
      <c r="B119" s="5">
        <v>451</v>
      </c>
      <c r="C119" s="5">
        <v>1.0500000000000001E-2</v>
      </c>
      <c r="E119" s="17">
        <f t="shared" si="3"/>
        <v>288.29658714869282</v>
      </c>
      <c r="F119" s="17">
        <f t="shared" si="4"/>
        <v>162.70341285130718</v>
      </c>
      <c r="G119" s="17">
        <f t="shared" si="5"/>
        <v>26472.40055346291</v>
      </c>
    </row>
    <row r="120" spans="1:25" ht="18" customHeight="1" x14ac:dyDescent="0.2">
      <c r="A120" s="4">
        <v>44337</v>
      </c>
      <c r="B120" s="5">
        <v>559</v>
      </c>
      <c r="C120" s="5">
        <v>1.09E-2</v>
      </c>
      <c r="E120" s="17">
        <f t="shared" si="3"/>
        <v>300.69110208995977</v>
      </c>
      <c r="F120" s="17">
        <f t="shared" si="4"/>
        <v>258.30889791004023</v>
      </c>
      <c r="G120" s="17">
        <f t="shared" si="5"/>
        <v>66723.486739499582</v>
      </c>
    </row>
    <row r="121" spans="1:25" ht="18" customHeight="1" x14ac:dyDescent="0.25">
      <c r="A121" s="4">
        <v>44338</v>
      </c>
      <c r="B121" s="5">
        <v>523</v>
      </c>
      <c r="C121" s="5">
        <v>1.0999999999999999E-2</v>
      </c>
      <c r="E121" s="17">
        <f t="shared" si="3"/>
        <v>303.78973082527648</v>
      </c>
      <c r="F121" s="17">
        <f t="shared" si="4"/>
        <v>219.21026917472352</v>
      </c>
      <c r="G121" s="17">
        <f t="shared" si="5"/>
        <v>48053.142111654743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413</v>
      </c>
      <c r="C122" s="5">
        <v>1.1299999999999999E-2</v>
      </c>
      <c r="E122" s="17">
        <f t="shared" si="3"/>
        <v>313.08561703122672</v>
      </c>
      <c r="F122" s="17">
        <f t="shared" si="4"/>
        <v>99.914382968773282</v>
      </c>
      <c r="G122" s="17">
        <f t="shared" si="5"/>
        <v>9982.8839240306916</v>
      </c>
    </row>
    <row r="123" spans="1:25" ht="18" customHeight="1" x14ac:dyDescent="0.2">
      <c r="A123" s="4">
        <v>44340</v>
      </c>
      <c r="B123" s="5">
        <v>241</v>
      </c>
      <c r="C123" s="5">
        <v>1.15E-2</v>
      </c>
      <c r="E123" s="17">
        <f t="shared" si="3"/>
        <v>319.28287450186019</v>
      </c>
      <c r="F123" s="17">
        <f t="shared" si="4"/>
        <v>-78.282874501860192</v>
      </c>
      <c r="G123" s="17">
        <f t="shared" si="5"/>
        <v>6128.2084402739929</v>
      </c>
    </row>
    <row r="124" spans="1:25" ht="18" customHeight="1" x14ac:dyDescent="0.2">
      <c r="A124" s="4">
        <v>44341</v>
      </c>
      <c r="B124" s="5">
        <v>375</v>
      </c>
      <c r="C124" s="5">
        <v>1.14E-2</v>
      </c>
      <c r="E124" s="17">
        <f t="shared" si="3"/>
        <v>316.18424576654348</v>
      </c>
      <c r="F124" s="17">
        <f t="shared" si="4"/>
        <v>58.815754233456516</v>
      </c>
      <c r="G124" s="17">
        <f t="shared" si="5"/>
        <v>3459.2929460503583</v>
      </c>
    </row>
    <row r="125" spans="1:25" ht="18" customHeight="1" x14ac:dyDescent="0.2">
      <c r="A125" s="4">
        <v>44342</v>
      </c>
      <c r="B125" s="5">
        <v>594</v>
      </c>
      <c r="C125" s="5">
        <v>1.14E-2</v>
      </c>
      <c r="E125" s="17">
        <f t="shared" si="3"/>
        <v>316.18424576654348</v>
      </c>
      <c r="F125" s="17">
        <f t="shared" si="4"/>
        <v>277.81575423345652</v>
      </c>
      <c r="G125" s="17">
        <f t="shared" si="5"/>
        <v>77181.593300304317</v>
      </c>
    </row>
    <row r="126" spans="1:25" ht="18" customHeight="1" x14ac:dyDescent="0.25">
      <c r="A126" s="4">
        <v>44343</v>
      </c>
      <c r="B126" s="5">
        <v>572</v>
      </c>
      <c r="C126" s="5">
        <v>1.15E-2</v>
      </c>
      <c r="E126" s="17">
        <f t="shared" si="3"/>
        <v>319.28287450186019</v>
      </c>
      <c r="F126" s="17">
        <f t="shared" si="4"/>
        <v>252.71712549813981</v>
      </c>
      <c r="G126" s="17">
        <f t="shared" si="5"/>
        <v>63865.945520042544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1.11E-2</v>
      </c>
      <c r="E127" s="17">
        <f t="shared" si="3"/>
        <v>306.88835956059324</v>
      </c>
      <c r="F127" s="17">
        <f t="shared" si="4"/>
        <v>291.11164043940676</v>
      </c>
      <c r="G127" s="17">
        <f t="shared" si="5"/>
        <v>84745.987199322437</v>
      </c>
    </row>
    <row r="128" spans="1:25" ht="18" customHeight="1" x14ac:dyDescent="0.2">
      <c r="A128" s="4">
        <v>44345</v>
      </c>
      <c r="B128" s="5">
        <v>609</v>
      </c>
      <c r="C128" s="5">
        <v>1.0999999999999999E-2</v>
      </c>
      <c r="E128" s="17">
        <f t="shared" si="3"/>
        <v>303.78973082527648</v>
      </c>
      <c r="F128" s="17">
        <f t="shared" si="4"/>
        <v>305.21026917472352</v>
      </c>
      <c r="G128" s="17">
        <f t="shared" si="5"/>
        <v>93153.308409707184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17">
        <f t="shared" si="3"/>
        <v>303.78973082527648</v>
      </c>
      <c r="F129" s="17">
        <f t="shared" si="4"/>
        <v>141.21026917472352</v>
      </c>
      <c r="G129" s="17">
        <f t="shared" si="5"/>
        <v>19940.340120397872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17">
        <f t="shared" si="3"/>
        <v>313.08561703122672</v>
      </c>
      <c r="F130" s="17">
        <f t="shared" si="4"/>
        <v>121.91438296877328</v>
      </c>
      <c r="G130" s="17">
        <f t="shared" si="5"/>
        <v>14863.116774656717</v>
      </c>
    </row>
    <row r="132" spans="1:24" ht="18" customHeight="1" x14ac:dyDescent="0.35">
      <c r="O132" s="21" t="s">
        <v>48</v>
      </c>
      <c r="P132">
        <f>ROUND((P40-0) / (P73 * SQRT( (1/B133) + (POWER(P34,2) / P36))),4)</f>
        <v>-0.54730000000000001</v>
      </c>
      <c r="U132" s="21" t="s">
        <v>49</v>
      </c>
      <c r="V132">
        <f xml:space="preserve"> ROUND((P41-0) / (P73 / SQRT(P36)),4)</f>
        <v>26.715699999999998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1.2369127944111824E-10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245236314.79231155</v>
      </c>
      <c r="O179" s="121"/>
    </row>
    <row r="180" spans="13:19" ht="18" customHeight="1" x14ac:dyDescent="0.2">
      <c r="M180" s="105" t="s">
        <v>62</v>
      </c>
      <c r="N180" s="122">
        <f>SUM(G11:G130)</f>
        <v>40544541.132688612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245236314.79231155</v>
      </c>
      <c r="P188" s="117"/>
      <c r="Q188" s="117">
        <f>O188/N188</f>
        <v>245236314.79231155</v>
      </c>
      <c r="R188" s="117"/>
      <c r="S188" s="77">
        <f>Q188/Q189</f>
        <v>713.73073506464959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40544541.132688612</v>
      </c>
      <c r="P189" s="117"/>
      <c r="Q189" s="117">
        <f>O189/N189</f>
        <v>343597.8062092255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1.2369127944111824E-10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1.2538</v>
      </c>
      <c r="E208" s="17">
        <f>$P$234 + $P$235*C208</f>
        <v>38860.007502402448</v>
      </c>
      <c r="F208" s="17">
        <f>B208-E208</f>
        <v>6037.9924975975518</v>
      </c>
      <c r="G208" s="17">
        <f>POWER(F208,2)</f>
        <v>36457353.401044324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0.83809999999999985</v>
      </c>
      <c r="E209" s="17">
        <f t="shared" ref="E209:E224" si="6">$P$234 + $P$235*C209</f>
        <v>25864.501298601099</v>
      </c>
      <c r="F209" s="17">
        <f t="shared" ref="F209:F224" si="7">B209-E209</f>
        <v>-5522.5012986010988</v>
      </c>
      <c r="G209" s="17">
        <f t="shared" ref="G209:G224" si="8">POWER(F209,2)</f>
        <v>30498020.593050823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0.50600000000000001</v>
      </c>
      <c r="E210" s="17">
        <f t="shared" si="6"/>
        <v>15482.476736940231</v>
      </c>
      <c r="F210" s="17">
        <f t="shared" si="7"/>
        <v>-3713.4767369402307</v>
      </c>
      <c r="G210" s="17">
        <f t="shared" si="8"/>
        <v>13789909.475796264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0.32390000000000002</v>
      </c>
      <c r="E211" s="17">
        <f t="shared" si="6"/>
        <v>9789.7134949093816</v>
      </c>
      <c r="F211" s="17">
        <f t="shared" si="7"/>
        <v>-2752.7134949093816</v>
      </c>
      <c r="G211" s="17">
        <f t="shared" si="8"/>
        <v>7577431.585056222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0.23469999999999999</v>
      </c>
      <c r="E212" s="17">
        <f t="shared" si="6"/>
        <v>7001.1660968360593</v>
      </c>
      <c r="F212" s="17">
        <f t="shared" si="7"/>
        <v>-1469.1660968360593</v>
      </c>
      <c r="G212" s="17">
        <f t="shared" si="8"/>
        <v>2158449.0200925013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0.21529999999999999</v>
      </c>
      <c r="E213" s="17">
        <f t="shared" si="6"/>
        <v>6394.688299497242</v>
      </c>
      <c r="F213" s="17">
        <f t="shared" si="7"/>
        <v>-2231.688299497242</v>
      </c>
      <c r="G213" s="17">
        <f t="shared" si="8"/>
        <v>4980432.6661128923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0.11800000000000001</v>
      </c>
      <c r="E214" s="17">
        <f t="shared" si="6"/>
        <v>3352.9207901639002</v>
      </c>
      <c r="F214" s="17">
        <f t="shared" si="7"/>
        <v>-79.920790163900165</v>
      </c>
      <c r="G214" s="17">
        <f t="shared" si="8"/>
        <v>6387.332700422161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0.1012</v>
      </c>
      <c r="E215" s="17">
        <f t="shared" si="6"/>
        <v>2827.7235223653374</v>
      </c>
      <c r="F215" s="17">
        <f t="shared" si="7"/>
        <v>49.276477634662569</v>
      </c>
      <c r="G215" s="17">
        <f t="shared" si="8"/>
        <v>2428.1712480794004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0.12129999999999998</v>
      </c>
      <c r="E216" s="17">
        <f t="shared" si="6"/>
        <v>3456.08453919576</v>
      </c>
      <c r="F216" s="17">
        <f t="shared" si="7"/>
        <v>-528.08453919576004</v>
      </c>
      <c r="G216" s="17">
        <f t="shared" si="8"/>
        <v>278873.28053759824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8.4999999999999992E-2</v>
      </c>
      <c r="E217" s="17">
        <f t="shared" si="6"/>
        <v>2321.2832998452946</v>
      </c>
      <c r="F217" s="17">
        <f t="shared" si="7"/>
        <v>1837.7167001547054</v>
      </c>
      <c r="G217" s="17">
        <f t="shared" si="8"/>
        <v>3377202.6700274996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9.4500000000000001E-2</v>
      </c>
      <c r="E218" s="17">
        <f t="shared" si="6"/>
        <v>2618.2698500885294</v>
      </c>
      <c r="F218" s="17">
        <f t="shared" si="7"/>
        <v>888.73014991147056</v>
      </c>
      <c r="G218" s="17">
        <f t="shared" si="8"/>
        <v>789841.2793616649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5.7600000000000005E-2</v>
      </c>
      <c r="E219" s="17">
        <f t="shared" si="6"/>
        <v>1464.7115654595436</v>
      </c>
      <c r="F219" s="17">
        <f t="shared" si="7"/>
        <v>1976.2884345404564</v>
      </c>
      <c r="G219" s="17">
        <f t="shared" si="8"/>
        <v>3905715.9764983677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5.7999999999999996E-2</v>
      </c>
      <c r="E220" s="17">
        <f t="shared" si="6"/>
        <v>1477.21626231189</v>
      </c>
      <c r="F220" s="17">
        <f t="shared" si="7"/>
        <v>1357.78373768811</v>
      </c>
      <c r="G220" s="17">
        <f t="shared" si="8"/>
        <v>1843576.6783302943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5.5900000000000005E-2</v>
      </c>
      <c r="E221" s="17">
        <f t="shared" si="6"/>
        <v>1411.56660383707</v>
      </c>
      <c r="F221" s="17">
        <f t="shared" si="7"/>
        <v>893.43339616292997</v>
      </c>
      <c r="G221" s="17">
        <f t="shared" si="8"/>
        <v>798223.23337922699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6.4600000000000005E-2</v>
      </c>
      <c r="E222" s="17">
        <f t="shared" si="6"/>
        <v>1683.5437603756113</v>
      </c>
      <c r="F222" s="17">
        <f t="shared" si="7"/>
        <v>916.45623962438867</v>
      </c>
      <c r="G222" s="17">
        <f t="shared" si="8"/>
        <v>839892.03914647491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7.4900000000000008E-2</v>
      </c>
      <c r="E223" s="17">
        <f t="shared" si="6"/>
        <v>2005.5397043235398</v>
      </c>
      <c r="F223" s="17">
        <f t="shared" si="7"/>
        <v>1036.4602956764602</v>
      </c>
      <c r="G223" s="81">
        <f t="shared" si="8"/>
        <v>1074249.9445137354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7.8899999999999984E-2</v>
      </c>
      <c r="D224" s="31"/>
      <c r="E224" s="17">
        <f t="shared" si="6"/>
        <v>2130.5866728470064</v>
      </c>
      <c r="F224" s="17">
        <f t="shared" si="7"/>
        <v>1303.4133271529936</v>
      </c>
      <c r="G224" s="17">
        <f t="shared" si="8"/>
        <v>1698886.3014000368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0.25186470588235305</v>
      </c>
      <c r="Q228" s="130"/>
    </row>
    <row r="229" spans="1:25" ht="18" customHeight="1" x14ac:dyDescent="0.2">
      <c r="A229" s="1"/>
      <c r="O229" s="14"/>
      <c r="P229" s="130">
        <f>AVERAGE(B208:B224)</f>
        <v>7537.7647058823532</v>
      </c>
      <c r="Q229" s="130"/>
    </row>
    <row r="230" spans="1:25" ht="18" customHeight="1" x14ac:dyDescent="0.2">
      <c r="A230" s="1"/>
      <c r="O230" s="14"/>
      <c r="P230" s="130">
        <f>SUMPRODUCT(POWER(C208:C224-P228,2))</f>
        <v>1.7392516588235289</v>
      </c>
      <c r="Q230" s="130"/>
    </row>
    <row r="231" spans="1:25" ht="18" customHeight="1" x14ac:dyDescent="0.2">
      <c r="A231" s="1"/>
      <c r="O231" s="14"/>
      <c r="P231" s="130">
        <f>SUMPRODUCT(POWER(B208:B224-P229,2))</f>
        <v>1809841469.0588241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54372.036858823536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-335.964781278386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31261.742130866831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0.93917872060609831</v>
      </c>
      <c r="Q244" s="120"/>
    </row>
    <row r="245" spans="1:25" ht="18" customHeight="1" x14ac:dyDescent="0.2">
      <c r="A245" s="1"/>
      <c r="O245" s="32"/>
      <c r="P245" s="122">
        <f>P232 / (SQRT(P230) * SQRT(P231))</f>
        <v>0.96911233642240802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2708.9588854797635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0.30870145673420601</v>
      </c>
      <c r="Q266" s="127"/>
      <c r="T266" s="16"/>
      <c r="U266" s="127">
        <f xml:space="preserve"> SQRT( 1/P230 )</f>
        <v>0.75826111801607254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1466.0051089077429</v>
      </c>
      <c r="Q269" s="119"/>
      <c r="T269" s="19" t="s">
        <v>36</v>
      </c>
      <c r="U269" s="119">
        <f>P258*P260*U266</f>
        <v>3600.9375681526726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-1801.9699000000001</v>
      </c>
      <c r="Q271" s="120"/>
      <c r="T271" s="16" t="s">
        <v>37</v>
      </c>
      <c r="U271" s="120">
        <f>ROUND(P235-U269,4)</f>
        <v>27660.804599999999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1130.0402999999999</v>
      </c>
      <c r="Q272" s="122"/>
      <c r="T272" s="13" t="s">
        <v>38</v>
      </c>
      <c r="U272" s="122">
        <f>ROUND(P235+U269,4)</f>
        <v>34862.679700000001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2708.9588854797635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0.30870145673420601</v>
      </c>
      <c r="Q290" s="127"/>
      <c r="T290" s="16"/>
      <c r="U290" s="127">
        <f xml:space="preserve"> SQRT( 1/P230 )</f>
        <v>0.75826111801607254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1782.4450467284171</v>
      </c>
      <c r="Q293" s="119"/>
      <c r="T293" s="19" t="s">
        <v>36</v>
      </c>
      <c r="U293" s="119">
        <f>P282*P284*U290</f>
        <v>4378.2066603534086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-2118.4097999999999</v>
      </c>
      <c r="Q295" s="120"/>
      <c r="T295" s="16" t="s">
        <v>37</v>
      </c>
      <c r="U295" s="120">
        <f>ROUND(P235-U293,4)</f>
        <v>26883.535500000002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1446.4802999999999</v>
      </c>
      <c r="Q296" s="122"/>
      <c r="T296" s="13" t="s">
        <v>38</v>
      </c>
      <c r="U296" s="122">
        <f>ROUND(P235+U293,4)</f>
        <v>35639.948799999998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-0.4017</v>
      </c>
      <c r="T319" s="21" t="s">
        <v>49</v>
      </c>
      <c r="U319">
        <f>ROUND( (P235-0) / (P284 / SQRT(P230)),4)</f>
        <v>15.219200000000001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-30134.058823529384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1756582492.1717744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110076873.64829642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1756582492.1717744</v>
      </c>
      <c r="P371" s="117"/>
      <c r="Q371" s="117">
        <f>O371/N371</f>
        <v>1756582492.1717744</v>
      </c>
      <c r="R371" s="117"/>
      <c r="S371" s="77">
        <f>Q371/Q372</f>
        <v>239.36669446811089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110076873.64829642</v>
      </c>
      <c r="P372" s="117"/>
      <c r="Q372" s="117">
        <f>O372/N372</f>
        <v>7338458.2432197612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-30134.058823529384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6176-4501-4A63-B2CE-19F1AF18618A}">
  <dimension ref="A3:AD444"/>
  <sheetViews>
    <sheetView topLeftCell="D268" zoomScale="98" zoomScaleNormal="98" workbookViewId="0">
      <selection activeCell="V161" sqref="V16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106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80488</v>
      </c>
      <c r="E11" s="17">
        <f>$P$40 + $P$41*C11</f>
        <v>1918.7365919517486</v>
      </c>
      <c r="F11" s="17">
        <f>B11-E11</f>
        <v>3886.2634080482512</v>
      </c>
      <c r="G11" s="17">
        <f>POWER(F11,2)</f>
        <v>15103043.276734808</v>
      </c>
    </row>
    <row r="12" spans="1:30" ht="18" customHeight="1" x14ac:dyDescent="0.2">
      <c r="A12" s="4">
        <v>44229</v>
      </c>
      <c r="B12" s="5">
        <v>5540</v>
      </c>
      <c r="C12" s="5">
        <v>82431</v>
      </c>
      <c r="E12" s="17">
        <f t="shared" ref="E12:E75" si="0">$P$40 + $P$41*C12</f>
        <v>1916.0143244856581</v>
      </c>
      <c r="F12" s="17">
        <f t="shared" ref="F12:F75" si="1">B12-E12</f>
        <v>3623.9856755143419</v>
      </c>
      <c r="G12" s="17">
        <f t="shared" ref="G12:G75" si="2">POWER(F12,2)</f>
        <v>13133272.176333141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87588</v>
      </c>
      <c r="E13" s="17">
        <f t="shared" si="0"/>
        <v>1908.7890371348456</v>
      </c>
      <c r="F13" s="17">
        <f t="shared" si="1"/>
        <v>7174.2109628651542</v>
      </c>
      <c r="G13" s="17">
        <f t="shared" si="2"/>
        <v>51469302.939694561</v>
      </c>
    </row>
    <row r="14" spans="1:30" ht="18" customHeight="1" x14ac:dyDescent="0.2">
      <c r="A14" s="4">
        <v>44231</v>
      </c>
      <c r="B14" s="5">
        <v>7914</v>
      </c>
      <c r="C14" s="5">
        <v>96711</v>
      </c>
      <c r="E14" s="17">
        <f t="shared" si="0"/>
        <v>1896.0071297271545</v>
      </c>
      <c r="F14" s="17">
        <f t="shared" si="1"/>
        <v>6017.9928702728457</v>
      </c>
      <c r="G14" s="17">
        <f t="shared" si="2"/>
        <v>36216238.186654806</v>
      </c>
    </row>
    <row r="15" spans="1:30" ht="18" customHeight="1" x14ac:dyDescent="0.2">
      <c r="A15" s="4">
        <v>44232</v>
      </c>
      <c r="B15" s="5">
        <v>6916</v>
      </c>
      <c r="C15" s="5">
        <v>106652</v>
      </c>
      <c r="E15" s="17">
        <f t="shared" si="0"/>
        <v>1882.0791519194318</v>
      </c>
      <c r="F15" s="17">
        <f t="shared" si="1"/>
        <v>5033.9208480805682</v>
      </c>
      <c r="G15" s="17">
        <f t="shared" si="2"/>
        <v>25340359.104740188</v>
      </c>
    </row>
    <row r="16" spans="1:30" ht="18" customHeight="1" x14ac:dyDescent="0.2">
      <c r="A16" s="4">
        <v>44233</v>
      </c>
      <c r="B16" s="5">
        <v>6132</v>
      </c>
      <c r="C16" s="5">
        <v>115522</v>
      </c>
      <c r="E16" s="17">
        <f t="shared" si="0"/>
        <v>1869.6517137185965</v>
      </c>
      <c r="F16" s="17">
        <f t="shared" si="1"/>
        <v>4262.3482862814035</v>
      </c>
      <c r="G16" s="17">
        <f t="shared" si="2"/>
        <v>18167612.913566016</v>
      </c>
    </row>
    <row r="17" spans="1:24" ht="18" customHeight="1" x14ac:dyDescent="0.2">
      <c r="A17" s="4">
        <v>44234</v>
      </c>
      <c r="B17" s="5">
        <v>3508</v>
      </c>
      <c r="C17" s="5">
        <v>116262</v>
      </c>
      <c r="E17" s="17">
        <f t="shared" si="0"/>
        <v>1868.6149263151447</v>
      </c>
      <c r="F17" s="17">
        <f t="shared" si="1"/>
        <v>1639.3850736848553</v>
      </c>
      <c r="G17" s="17">
        <f t="shared" si="2"/>
        <v>2687583.4198206984</v>
      </c>
    </row>
    <row r="18" spans="1:24" ht="18" customHeight="1" x14ac:dyDescent="0.2">
      <c r="A18" s="4">
        <v>44235</v>
      </c>
      <c r="B18" s="5">
        <v>2505</v>
      </c>
      <c r="C18" s="5">
        <v>118172</v>
      </c>
      <c r="E18" s="17">
        <f t="shared" si="0"/>
        <v>1865.9388939629919</v>
      </c>
      <c r="F18" s="17">
        <f t="shared" si="1"/>
        <v>639.06110603700813</v>
      </c>
      <c r="G18" s="17">
        <f t="shared" si="2"/>
        <v>408399.09724924417</v>
      </c>
    </row>
    <row r="19" spans="1:24" ht="18" customHeight="1" x14ac:dyDescent="0.2">
      <c r="A19" s="4">
        <v>44236</v>
      </c>
      <c r="B19" s="5">
        <v>2583</v>
      </c>
      <c r="C19" s="5">
        <v>119614</v>
      </c>
      <c r="E19" s="17">
        <f t="shared" si="0"/>
        <v>1863.9185595903195</v>
      </c>
      <c r="F19" s="17">
        <f t="shared" si="1"/>
        <v>719.08144040968045</v>
      </c>
      <c r="G19" s="17">
        <f t="shared" si="2"/>
        <v>517078.11794166081</v>
      </c>
    </row>
    <row r="20" spans="1:24" ht="18" customHeight="1" x14ac:dyDescent="0.2">
      <c r="A20" s="4">
        <v>44237</v>
      </c>
      <c r="B20" s="5">
        <v>4387</v>
      </c>
      <c r="C20" s="5">
        <v>130118</v>
      </c>
      <c r="E20" s="17">
        <f t="shared" si="0"/>
        <v>1849.201782717538</v>
      </c>
      <c r="F20" s="17">
        <f t="shared" si="1"/>
        <v>2537.7982172824622</v>
      </c>
      <c r="G20" s="17">
        <f t="shared" si="2"/>
        <v>6440419.7916420437</v>
      </c>
    </row>
    <row r="21" spans="1:24" ht="18" customHeight="1" x14ac:dyDescent="0.2">
      <c r="A21" s="4">
        <v>44238</v>
      </c>
      <c r="B21" s="5">
        <v>3480</v>
      </c>
      <c r="C21" s="5">
        <v>146637</v>
      </c>
      <c r="E21" s="17">
        <f t="shared" si="0"/>
        <v>1826.0576055315632</v>
      </c>
      <c r="F21" s="17">
        <f t="shared" si="1"/>
        <v>1653.9423944684368</v>
      </c>
      <c r="G21" s="17">
        <f t="shared" si="2"/>
        <v>2735525.444219986</v>
      </c>
    </row>
    <row r="22" spans="1:24" ht="18" customHeight="1" x14ac:dyDescent="0.2">
      <c r="A22" s="4">
        <v>44239</v>
      </c>
      <c r="B22" s="5">
        <v>2854</v>
      </c>
      <c r="C22" s="5">
        <v>171163</v>
      </c>
      <c r="E22" s="17">
        <f t="shared" si="0"/>
        <v>1791.6951084274276</v>
      </c>
      <c r="F22" s="17">
        <f t="shared" si="1"/>
        <v>1062.3048915725724</v>
      </c>
      <c r="G22" s="17">
        <f t="shared" si="2"/>
        <v>1128491.6826590148</v>
      </c>
    </row>
    <row r="23" spans="1:24" ht="18" customHeight="1" x14ac:dyDescent="0.2">
      <c r="A23" s="4">
        <v>44240</v>
      </c>
      <c r="B23" s="5">
        <v>2856</v>
      </c>
      <c r="C23" s="5">
        <v>198253</v>
      </c>
      <c r="E23" s="17">
        <f t="shared" si="0"/>
        <v>1753.7402830767373</v>
      </c>
      <c r="F23" s="17">
        <f t="shared" si="1"/>
        <v>1102.2597169232627</v>
      </c>
      <c r="G23" s="17">
        <f t="shared" si="2"/>
        <v>1214976.4835517511</v>
      </c>
    </row>
    <row r="24" spans="1:24" ht="18" customHeight="1" x14ac:dyDescent="0.2">
      <c r="A24" s="4">
        <v>44241</v>
      </c>
      <c r="B24" s="5">
        <v>1677</v>
      </c>
      <c r="C24" s="5">
        <v>208089</v>
      </c>
      <c r="E24" s="17">
        <f t="shared" si="0"/>
        <v>1739.9594169951797</v>
      </c>
      <c r="F24" s="17">
        <f t="shared" si="1"/>
        <v>-62.959416995179708</v>
      </c>
      <c r="G24" s="17">
        <f t="shared" si="2"/>
        <v>3963.8881883729237</v>
      </c>
    </row>
    <row r="25" spans="1:24" ht="18" customHeight="1" x14ac:dyDescent="0.2">
      <c r="A25" s="4">
        <v>44242</v>
      </c>
      <c r="B25" s="5">
        <v>1303</v>
      </c>
      <c r="C25" s="5">
        <v>218125</v>
      </c>
      <c r="E25" s="17">
        <f t="shared" si="0"/>
        <v>1725.8983381018786</v>
      </c>
      <c r="F25" s="17">
        <f t="shared" si="1"/>
        <v>-422.89833810187861</v>
      </c>
      <c r="G25" s="17">
        <f t="shared" si="2"/>
        <v>178843.00436933083</v>
      </c>
    </row>
    <row r="26" spans="1:24" ht="18" customHeight="1" x14ac:dyDescent="0.2">
      <c r="A26" s="4">
        <v>44243</v>
      </c>
      <c r="B26" s="5">
        <v>1502</v>
      </c>
      <c r="C26" s="5">
        <v>223711</v>
      </c>
      <c r="E26" s="17">
        <f t="shared" si="0"/>
        <v>1718.0719942698759</v>
      </c>
      <c r="F26" s="17">
        <f t="shared" si="1"/>
        <v>-216.07199426987586</v>
      </c>
      <c r="G26" s="17">
        <f t="shared" si="2"/>
        <v>46687.106707761268</v>
      </c>
    </row>
    <row r="27" spans="1:24" ht="18" customHeight="1" x14ac:dyDescent="0.2">
      <c r="A27" s="4">
        <v>44244</v>
      </c>
      <c r="B27" s="5">
        <v>2324</v>
      </c>
      <c r="C27" s="5">
        <v>229743</v>
      </c>
      <c r="E27" s="17">
        <f t="shared" si="0"/>
        <v>1709.6207758676844</v>
      </c>
      <c r="F27" s="17">
        <f t="shared" si="1"/>
        <v>614.37922413231558</v>
      </c>
      <c r="G27" s="17">
        <f t="shared" si="2"/>
        <v>377461.83104542608</v>
      </c>
    </row>
    <row r="28" spans="1:24" ht="18" customHeight="1" x14ac:dyDescent="0.2">
      <c r="A28" s="4">
        <v>44245</v>
      </c>
      <c r="B28" s="5">
        <v>1944</v>
      </c>
      <c r="C28" s="5">
        <v>237696</v>
      </c>
      <c r="E28" s="17">
        <f t="shared" si="0"/>
        <v>1698.4781134086943</v>
      </c>
      <c r="F28" s="17">
        <f t="shared" si="1"/>
        <v>245.5218865913057</v>
      </c>
      <c r="G28" s="17">
        <f t="shared" si="2"/>
        <v>60280.996795353982</v>
      </c>
    </row>
    <row r="29" spans="1:24" ht="18" customHeight="1" x14ac:dyDescent="0.2">
      <c r="A29" s="4">
        <v>44246</v>
      </c>
      <c r="B29" s="5">
        <v>1940</v>
      </c>
      <c r="C29" s="5">
        <v>250400</v>
      </c>
      <c r="E29" s="17">
        <f t="shared" si="0"/>
        <v>1680.6789956067316</v>
      </c>
      <c r="F29" s="17">
        <f t="shared" si="1"/>
        <v>259.32100439326837</v>
      </c>
      <c r="G29" s="17">
        <f t="shared" si="2"/>
        <v>67247.383319533517</v>
      </c>
    </row>
    <row r="30" spans="1:24" ht="18" customHeight="1" x14ac:dyDescent="0.2">
      <c r="A30" s="4">
        <v>44247</v>
      </c>
      <c r="B30" s="5">
        <v>1570</v>
      </c>
      <c r="C30" s="5">
        <v>263354</v>
      </c>
      <c r="E30" s="17">
        <f t="shared" si="0"/>
        <v>1662.5296117900891</v>
      </c>
      <c r="F30" s="17">
        <f t="shared" si="1"/>
        <v>-92.52961179008912</v>
      </c>
      <c r="G30" s="17">
        <f t="shared" si="2"/>
        <v>8561.729058024599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266858</v>
      </c>
      <c r="E31" s="17">
        <f t="shared" si="0"/>
        <v>1657.6202833283387</v>
      </c>
      <c r="F31" s="17">
        <f t="shared" si="1"/>
        <v>-471.6202833283387</v>
      </c>
      <c r="G31" s="17">
        <f t="shared" si="2"/>
        <v>222425.69164670247</v>
      </c>
    </row>
    <row r="32" spans="1:24" ht="18" customHeight="1" x14ac:dyDescent="0.2">
      <c r="A32" s="4">
        <v>44249</v>
      </c>
      <c r="B32" s="5">
        <v>549</v>
      </c>
      <c r="C32" s="5">
        <v>269203</v>
      </c>
      <c r="E32" s="17">
        <f t="shared" si="0"/>
        <v>1654.3347881106433</v>
      </c>
      <c r="F32" s="17">
        <f t="shared" si="1"/>
        <v>-1105.3347881106433</v>
      </c>
      <c r="G32" s="17">
        <f t="shared" si="2"/>
        <v>1221764.9938076008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17">
        <f t="shared" si="0"/>
        <v>1651.9193536734124</v>
      </c>
      <c r="F33" s="17">
        <f t="shared" si="1"/>
        <v>-619.91935367341239</v>
      </c>
      <c r="G33" s="17">
        <f t="shared" si="2"/>
        <v>384300.00505886134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17">
        <f t="shared" si="0"/>
        <v>1648.8075903989979</v>
      </c>
      <c r="F34" s="17">
        <f t="shared" si="1"/>
        <v>-168.80759039899795</v>
      </c>
      <c r="G34" s="17">
        <f t="shared" si="2"/>
        <v>28496.002576315863</v>
      </c>
      <c r="O34" s="14"/>
      <c r="P34" s="130">
        <f>AVERAGE(C11:C130)</f>
        <v>685215.23333333328</v>
      </c>
      <c r="Q34" s="130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17">
        <f t="shared" si="0"/>
        <v>1643.9192778981283</v>
      </c>
      <c r="F35" s="17">
        <f t="shared" si="1"/>
        <v>-483.91927789812826</v>
      </c>
      <c r="G35" s="17">
        <f t="shared" si="2"/>
        <v>234177.86752144588</v>
      </c>
      <c r="O35" s="14"/>
      <c r="P35" s="130">
        <f>AVERAGE(B11:B130)</f>
        <v>1071.4749999999999</v>
      </c>
      <c r="Q35" s="130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17">
        <f t="shared" si="0"/>
        <v>1639.58718782857</v>
      </c>
      <c r="F36" s="17">
        <f t="shared" si="1"/>
        <v>-612.58718782856999</v>
      </c>
      <c r="G36" s="17">
        <f t="shared" si="2"/>
        <v>375263.06269171572</v>
      </c>
      <c r="O36" s="14"/>
      <c r="P36" s="130">
        <f>SUMPRODUCT(POWER(C11:C130-P34,2))</f>
        <v>29096772539851.477</v>
      </c>
      <c r="Q36" s="130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17">
        <f t="shared" si="0"/>
        <v>1631.9429823242006</v>
      </c>
      <c r="F37" s="17">
        <f t="shared" si="1"/>
        <v>-560.94298232420056</v>
      </c>
      <c r="G37" s="17">
        <f t="shared" si="2"/>
        <v>314657.02941876836</v>
      </c>
      <c r="O37" s="14"/>
      <c r="P37" s="130">
        <f>SUMPRODUCT(POWER(B11:B130-P35,2))</f>
        <v>285780855.92500037</v>
      </c>
      <c r="Q37" s="130"/>
    </row>
    <row r="38" spans="1:24" ht="18" customHeight="1" x14ac:dyDescent="0.2">
      <c r="A38" s="4">
        <v>44255</v>
      </c>
      <c r="B38" s="5">
        <v>718</v>
      </c>
      <c r="C38" s="5">
        <v>286470</v>
      </c>
      <c r="E38" s="17">
        <f t="shared" si="0"/>
        <v>1630.142615008747</v>
      </c>
      <c r="F38" s="17">
        <f t="shared" si="1"/>
        <v>-912.14261500874704</v>
      </c>
      <c r="G38" s="17">
        <f t="shared" si="2"/>
        <v>832004.15011499531</v>
      </c>
      <c r="O38" s="14"/>
      <c r="P38" s="130">
        <f xml:space="preserve"> SUMPRODUCT( (B11:B130-P35) * (C11:C130-P34))</f>
        <v>-40766442230.300011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394</v>
      </c>
      <c r="C39" s="5">
        <v>290637</v>
      </c>
      <c r="E39" s="17">
        <f t="shared" si="0"/>
        <v>1624.304381076066</v>
      </c>
      <c r="F39" s="17">
        <f t="shared" si="1"/>
        <v>-1230.304381076066</v>
      </c>
      <c r="G39" s="17">
        <f t="shared" si="2"/>
        <v>1513648.8700949617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291987</v>
      </c>
      <c r="E40" s="17">
        <f t="shared" si="0"/>
        <v>1622.4129445967958</v>
      </c>
      <c r="F40" s="17">
        <f t="shared" si="1"/>
        <v>-931.4129445967958</v>
      </c>
      <c r="G40" s="17">
        <f t="shared" si="2"/>
        <v>867530.07336247375</v>
      </c>
      <c r="O40" s="16"/>
      <c r="P40" s="120">
        <f>P35 - P34*P41</f>
        <v>2031.5054359099017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293652</v>
      </c>
      <c r="E41" s="17">
        <f t="shared" si="0"/>
        <v>1620.0801729390291</v>
      </c>
      <c r="F41" s="17">
        <f t="shared" si="1"/>
        <v>-641.08017293902913</v>
      </c>
      <c r="G41" s="17">
        <f t="shared" si="2"/>
        <v>410983.78813553549</v>
      </c>
      <c r="O41" s="13"/>
      <c r="P41" s="122">
        <f>P38/P36</f>
        <v>-1.4010640587187304E-3</v>
      </c>
      <c r="Q41" s="122"/>
    </row>
    <row r="42" spans="1:24" ht="18" customHeight="1" x14ac:dyDescent="0.2">
      <c r="A42" s="4">
        <v>44259</v>
      </c>
      <c r="B42" s="5">
        <v>830</v>
      </c>
      <c r="C42" s="5">
        <v>298685</v>
      </c>
      <c r="E42" s="17">
        <f t="shared" si="0"/>
        <v>1613.0286175314977</v>
      </c>
      <c r="F42" s="17">
        <f t="shared" si="1"/>
        <v>-783.02861753149773</v>
      </c>
      <c r="G42" s="17">
        <f t="shared" si="2"/>
        <v>613133.81587328855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17">
        <f t="shared" si="0"/>
        <v>1604.8898364144006</v>
      </c>
      <c r="F43" s="17">
        <f t="shared" si="1"/>
        <v>-655.88983641440063</v>
      </c>
      <c r="G43" s="17">
        <f t="shared" si="2"/>
        <v>430191.47751170921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17">
        <f t="shared" si="0"/>
        <v>1592.8308780610084</v>
      </c>
      <c r="F44" s="17">
        <f t="shared" si="1"/>
        <v>-585.83087806100843</v>
      </c>
      <c r="G44" s="17">
        <f t="shared" si="2"/>
        <v>343197.81768973212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17">
        <f t="shared" si="0"/>
        <v>1587.0122590251497</v>
      </c>
      <c r="F45" s="17">
        <f t="shared" si="1"/>
        <v>-905.01225902514966</v>
      </c>
      <c r="G45" s="17">
        <f t="shared" si="2"/>
        <v>819047.18898580456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324862</v>
      </c>
      <c r="E46" s="17">
        <f t="shared" si="0"/>
        <v>1576.3529636664175</v>
      </c>
      <c r="F46" s="17">
        <f t="shared" si="1"/>
        <v>-1211.3529636664175</v>
      </c>
      <c r="G46" s="17">
        <f t="shared" si="2"/>
        <v>1467376.0025834129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17">
        <f t="shared" si="0"/>
        <v>1573.3014461465282</v>
      </c>
      <c r="F47" s="17">
        <f t="shared" si="1"/>
        <v>-726.30144614652818</v>
      </c>
      <c r="G47" s="17">
        <f t="shared" si="2"/>
        <v>527513.79067453812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17">
        <f t="shared" si="0"/>
        <v>1570.6310180506102</v>
      </c>
      <c r="F48" s="17">
        <f t="shared" si="1"/>
        <v>-928.63101805061024</v>
      </c>
      <c r="G48" s="17">
        <f t="shared" si="2"/>
        <v>862355.56768571283</v>
      </c>
    </row>
    <row r="49" spans="1:24" ht="18" customHeight="1" x14ac:dyDescent="0.2">
      <c r="A49" s="4">
        <v>44266</v>
      </c>
      <c r="B49" s="5">
        <v>627</v>
      </c>
      <c r="C49" s="5">
        <v>337944</v>
      </c>
      <c r="E49" s="17">
        <f t="shared" si="0"/>
        <v>1558.024243650259</v>
      </c>
      <c r="F49" s="17">
        <f t="shared" si="1"/>
        <v>-931.024243650259</v>
      </c>
      <c r="G49" s="17">
        <f t="shared" si="2"/>
        <v>866806.14226453681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577</v>
      </c>
      <c r="C50" s="5">
        <v>352247</v>
      </c>
      <c r="E50" s="17">
        <f t="shared" si="0"/>
        <v>1537.984824418405</v>
      </c>
      <c r="F50" s="17">
        <f t="shared" si="1"/>
        <v>-960.98482441840497</v>
      </c>
      <c r="G50" s="17">
        <f t="shared" si="2"/>
        <v>923491.83276247268</v>
      </c>
      <c r="O50" s="15"/>
      <c r="P50" s="120">
        <f>POWER(P38,2) / (P36*P37)</f>
        <v>0.19986082281766371</v>
      </c>
      <c r="Q50" s="120"/>
    </row>
    <row r="51" spans="1:24" ht="18" customHeight="1" x14ac:dyDescent="0.2">
      <c r="A51" s="4">
        <v>44268</v>
      </c>
      <c r="B51" s="5">
        <v>564</v>
      </c>
      <c r="C51" s="5">
        <v>365719</v>
      </c>
      <c r="E51" s="17">
        <f t="shared" si="0"/>
        <v>1519.1096894193465</v>
      </c>
      <c r="F51" s="17">
        <f t="shared" si="1"/>
        <v>-955.10968941934652</v>
      </c>
      <c r="G51" s="17">
        <f t="shared" si="2"/>
        <v>912234.51882272062</v>
      </c>
      <c r="O51" s="32"/>
      <c r="P51" s="122">
        <f>P38 / (SQRT(P36) * SQRT(P37))</f>
        <v>-0.44705796359942368</v>
      </c>
      <c r="Q51" s="122"/>
    </row>
    <row r="52" spans="1:24" ht="18" customHeight="1" x14ac:dyDescent="0.2">
      <c r="A52" s="4">
        <v>44269</v>
      </c>
      <c r="B52" s="5">
        <v>541</v>
      </c>
      <c r="C52" s="5">
        <v>371084</v>
      </c>
      <c r="E52" s="17">
        <f t="shared" si="0"/>
        <v>1511.5929807443204</v>
      </c>
      <c r="F52" s="17">
        <f t="shared" si="1"/>
        <v>-970.59298074432036</v>
      </c>
      <c r="G52" s="17">
        <f t="shared" si="2"/>
        <v>942050.7342701446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377464</v>
      </c>
      <c r="E53" s="17">
        <f t="shared" si="0"/>
        <v>1502.6541920496948</v>
      </c>
      <c r="F53" s="17">
        <f t="shared" si="1"/>
        <v>-1246.6541920496948</v>
      </c>
      <c r="G53" s="17">
        <f t="shared" si="2"/>
        <v>1554146.6745550772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380479</v>
      </c>
      <c r="E54" s="17">
        <f t="shared" si="0"/>
        <v>1498.4299839126579</v>
      </c>
      <c r="F54" s="17">
        <f t="shared" si="1"/>
        <v>-1114.4299839126579</v>
      </c>
      <c r="G54" s="17">
        <f t="shared" si="2"/>
        <v>1241954.1890435671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386426</v>
      </c>
      <c r="E55" s="17">
        <f t="shared" si="0"/>
        <v>1490.0978559554576</v>
      </c>
      <c r="F55" s="17">
        <f t="shared" si="1"/>
        <v>-817.09785595545759</v>
      </c>
      <c r="G55" s="17">
        <f t="shared" si="2"/>
        <v>667648.90620700573</v>
      </c>
    </row>
    <row r="56" spans="1:24" ht="18" customHeight="1" x14ac:dyDescent="0.2">
      <c r="A56" s="4">
        <v>44273</v>
      </c>
      <c r="B56" s="5">
        <v>485</v>
      </c>
      <c r="C56" s="5">
        <v>408323</v>
      </c>
      <c r="E56" s="17">
        <f t="shared" si="0"/>
        <v>1459.4187562616935</v>
      </c>
      <c r="F56" s="17">
        <f t="shared" si="1"/>
        <v>-974.41875626169349</v>
      </c>
      <c r="G56" s="17">
        <f t="shared" si="2"/>
        <v>949491.91255458561</v>
      </c>
    </row>
    <row r="57" spans="1:24" ht="18" customHeight="1" x14ac:dyDescent="0.2">
      <c r="A57" s="4">
        <v>44274</v>
      </c>
      <c r="B57" s="5">
        <v>568</v>
      </c>
      <c r="C57" s="5">
        <v>441676</v>
      </c>
      <c r="E57" s="17">
        <f t="shared" si="0"/>
        <v>1412.6890667112477</v>
      </c>
      <c r="F57" s="17">
        <f t="shared" si="1"/>
        <v>-844.68906671124773</v>
      </c>
      <c r="G57" s="17">
        <f t="shared" si="2"/>
        <v>713499.61942151876</v>
      </c>
    </row>
    <row r="58" spans="1:24" ht="18" customHeight="1" x14ac:dyDescent="0.2">
      <c r="A58" s="4">
        <v>44275</v>
      </c>
      <c r="B58" s="5">
        <v>457</v>
      </c>
      <c r="C58" s="5">
        <v>469651</v>
      </c>
      <c r="E58" s="17">
        <f t="shared" si="0"/>
        <v>1373.4942996685913</v>
      </c>
      <c r="F58" s="17">
        <f t="shared" si="1"/>
        <v>-916.49429966859134</v>
      </c>
      <c r="G58" s="17">
        <f t="shared" si="2"/>
        <v>839961.80132502166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482561</v>
      </c>
      <c r="E59" s="17">
        <f t="shared" si="0"/>
        <v>1355.4065626705324</v>
      </c>
      <c r="F59" s="17">
        <f t="shared" si="1"/>
        <v>-905.40656267053237</v>
      </c>
      <c r="G59" s="17">
        <f t="shared" si="2"/>
        <v>819761.04372686869</v>
      </c>
    </row>
    <row r="60" spans="1:24" ht="18" customHeight="1" x14ac:dyDescent="0.2">
      <c r="A60" s="4">
        <v>44277</v>
      </c>
      <c r="B60" s="5">
        <v>248</v>
      </c>
      <c r="C60" s="5">
        <v>488236</v>
      </c>
      <c r="E60" s="17">
        <f t="shared" si="0"/>
        <v>1347.4555241373037</v>
      </c>
      <c r="F60" s="17">
        <f t="shared" si="1"/>
        <v>-1099.4555241373037</v>
      </c>
      <c r="G60" s="17">
        <f t="shared" si="2"/>
        <v>1208802.4495560331</v>
      </c>
    </row>
    <row r="61" spans="1:24" ht="18" customHeight="1" x14ac:dyDescent="0.2">
      <c r="A61" s="4">
        <v>44278</v>
      </c>
      <c r="B61" s="5">
        <v>434</v>
      </c>
      <c r="C61" s="5">
        <v>495868</v>
      </c>
      <c r="E61" s="17">
        <f t="shared" si="0"/>
        <v>1336.7626032411622</v>
      </c>
      <c r="F61" s="17">
        <f t="shared" si="1"/>
        <v>-902.7626032411622</v>
      </c>
      <c r="G61" s="17">
        <f t="shared" si="2"/>
        <v>814980.31781076</v>
      </c>
    </row>
    <row r="62" spans="1:24" ht="18" customHeight="1" x14ac:dyDescent="0.2">
      <c r="A62" s="4">
        <v>44279</v>
      </c>
      <c r="B62" s="5">
        <v>575</v>
      </c>
      <c r="C62" s="5">
        <v>497940</v>
      </c>
      <c r="E62" s="17">
        <f t="shared" si="0"/>
        <v>1333.8595985114971</v>
      </c>
      <c r="F62" s="17">
        <f t="shared" si="1"/>
        <v>-758.8595985114971</v>
      </c>
      <c r="G62" s="17">
        <f t="shared" si="2"/>
        <v>575867.89025303058</v>
      </c>
    </row>
    <row r="63" spans="1:24" ht="18" customHeight="1" x14ac:dyDescent="0.2">
      <c r="A63" s="4">
        <v>44280</v>
      </c>
      <c r="B63" s="5">
        <v>423</v>
      </c>
      <c r="C63" s="5">
        <v>501547</v>
      </c>
      <c r="E63" s="17">
        <f t="shared" si="0"/>
        <v>1328.8059604516986</v>
      </c>
      <c r="F63" s="17">
        <f t="shared" si="1"/>
        <v>-905.80596045169864</v>
      </c>
      <c r="G63" s="17">
        <f t="shared" si="2"/>
        <v>820484.43798982422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506051</v>
      </c>
      <c r="E64" s="17">
        <f t="shared" si="0"/>
        <v>1322.4955679312295</v>
      </c>
      <c r="F64" s="17">
        <f t="shared" si="1"/>
        <v>-834.49556793122952</v>
      </c>
      <c r="G64" s="17">
        <f t="shared" si="2"/>
        <v>696382.85289686534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17">
        <f t="shared" si="0"/>
        <v>1319.0545546030162</v>
      </c>
      <c r="F65" s="17">
        <f t="shared" si="1"/>
        <v>-975.05455460301619</v>
      </c>
      <c r="G65" s="17">
        <f t="shared" si="2"/>
        <v>950731.38445208629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17">
        <f t="shared" si="0"/>
        <v>1316.9277393618813</v>
      </c>
      <c r="F66" s="17">
        <f t="shared" si="1"/>
        <v>-951.92773936188132</v>
      </c>
      <c r="G66" s="17">
        <f t="shared" si="2"/>
        <v>906166.42096662184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309</v>
      </c>
      <c r="C67" s="5">
        <v>511095</v>
      </c>
      <c r="E67" s="17">
        <f t="shared" si="0"/>
        <v>1315.4286008190522</v>
      </c>
      <c r="F67" s="17">
        <f t="shared" si="1"/>
        <v>-1006.4286008190522</v>
      </c>
      <c r="G67" s="17">
        <f t="shared" si="2"/>
        <v>1012898.5285465952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17">
        <f t="shared" si="0"/>
        <v>1311.7466044727394</v>
      </c>
      <c r="F68" s="17">
        <f t="shared" si="1"/>
        <v>-923.74660447273936</v>
      </c>
      <c r="G68" s="17">
        <f t="shared" si="2"/>
        <v>853307.78927491559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618</v>
      </c>
      <c r="C69" s="5">
        <v>517319</v>
      </c>
      <c r="E69" s="17">
        <f t="shared" si="0"/>
        <v>1306.7083781175868</v>
      </c>
      <c r="F69" s="17">
        <f t="shared" si="1"/>
        <v>-688.70837811758679</v>
      </c>
      <c r="G69" s="17">
        <f t="shared" si="2"/>
        <v>474319.23008935689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592</v>
      </c>
      <c r="C70" s="5">
        <v>527026</v>
      </c>
      <c r="E70" s="17">
        <f t="shared" si="0"/>
        <v>1293.1082492996043</v>
      </c>
      <c r="F70" s="17">
        <f t="shared" si="1"/>
        <v>-701.10824929960427</v>
      </c>
      <c r="G70" s="17">
        <f t="shared" si="2"/>
        <v>491552.77723595605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548</v>
      </c>
      <c r="C71" s="5">
        <v>569074</v>
      </c>
      <c r="E71" s="17">
        <f t="shared" si="0"/>
        <v>1234.1963077585988</v>
      </c>
      <c r="F71" s="17">
        <f t="shared" si="1"/>
        <v>-686.19630775859878</v>
      </c>
      <c r="G71" s="17">
        <f t="shared" si="2"/>
        <v>470865.37278153363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280</v>
      </c>
      <c r="C72" s="5">
        <v>585830</v>
      </c>
      <c r="E72" s="17">
        <f t="shared" si="0"/>
        <v>1210.7200783907078</v>
      </c>
      <c r="F72" s="17">
        <f t="shared" si="1"/>
        <v>-930.72007839070784</v>
      </c>
      <c r="G72" s="17">
        <f t="shared" si="2"/>
        <v>866239.8643196054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17">
        <f t="shared" si="0"/>
        <v>1200.7402991004542</v>
      </c>
      <c r="F73" s="17">
        <f t="shared" si="1"/>
        <v>-1007.7402991004542</v>
      </c>
      <c r="G73" s="17">
        <f t="shared" si="2"/>
        <v>1015540.5104310729</v>
      </c>
      <c r="O73" s="102" t="s">
        <v>35</v>
      </c>
      <c r="P73" s="119">
        <f xml:space="preserve"> SQRT((1/ (B133-2)) * SUM(G11:G130))</f>
        <v>1392.0612046813012</v>
      </c>
      <c r="Q73" s="119"/>
    </row>
    <row r="74" spans="1:23" ht="18" customHeight="1" x14ac:dyDescent="0.2">
      <c r="A74" s="4">
        <v>44291</v>
      </c>
      <c r="B74" s="5">
        <v>159</v>
      </c>
      <c r="C74" s="5">
        <v>596680</v>
      </c>
      <c r="E74" s="17">
        <f t="shared" si="0"/>
        <v>1195.5185333536097</v>
      </c>
      <c r="F74" s="17">
        <f t="shared" si="1"/>
        <v>-1036.5185333536097</v>
      </c>
      <c r="G74" s="17">
        <f t="shared" si="2"/>
        <v>1074370.6699855181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17">
        <f t="shared" si="0"/>
        <v>1187.2242341259948</v>
      </c>
      <c r="F75" s="17">
        <f t="shared" si="1"/>
        <v>-313.22423412599483</v>
      </c>
      <c r="G75" s="17">
        <f t="shared" si="2"/>
        <v>98109.420843816028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17">
        <f t="shared" ref="E76:E130" si="3">$P$40 + $P$41*C76</f>
        <v>1182.9061546970238</v>
      </c>
      <c r="F76" s="17">
        <f t="shared" ref="F76:F130" si="4">B76-E76</f>
        <v>-519.90615469702379</v>
      </c>
      <c r="G76" s="17">
        <f t="shared" ref="G76:G130" si="5">POWER(F76,2)</f>
        <v>270302.40969184565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17">
        <f t="shared" si="3"/>
        <v>1168.2804469880589</v>
      </c>
      <c r="F77" s="17">
        <f t="shared" si="4"/>
        <v>-566.28044698805888</v>
      </c>
      <c r="G77" s="17">
        <f t="shared" si="5"/>
        <v>320673.54464099579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694</v>
      </c>
      <c r="C78" s="5">
        <v>631127</v>
      </c>
      <c r="E78" s="17">
        <f t="shared" si="3"/>
        <v>1147.2560797229255</v>
      </c>
      <c r="F78" s="17">
        <f t="shared" si="4"/>
        <v>-453.25607972292551</v>
      </c>
      <c r="G78" s="17">
        <f t="shared" si="5"/>
        <v>205441.07380579499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17">
        <f t="shared" si="3"/>
        <v>1129.6236885439503</v>
      </c>
      <c r="F79" s="17">
        <f t="shared" si="4"/>
        <v>-528.62368854395027</v>
      </c>
      <c r="G79" s="17">
        <f t="shared" si="5"/>
        <v>279443.00408981135</v>
      </c>
      <c r="O79" s="16"/>
      <c r="P79" s="127">
        <f xml:space="preserve"> SQRT( (1/B133) + (POWER(P34,2) / P36))</f>
        <v>0.1564283479338304</v>
      </c>
      <c r="Q79" s="127"/>
      <c r="T79" s="16"/>
      <c r="U79" s="127">
        <f xml:space="preserve"> SQRT( 1/P36 )</f>
        <v>1.8538628025483621E-7</v>
      </c>
      <c r="V79" s="127"/>
    </row>
    <row r="80" spans="1:23" ht="18" customHeight="1" x14ac:dyDescent="0.2">
      <c r="A80" s="4">
        <v>44297</v>
      </c>
      <c r="B80" s="5">
        <v>566</v>
      </c>
      <c r="C80" s="5">
        <v>645818</v>
      </c>
      <c r="E80" s="17">
        <f t="shared" si="3"/>
        <v>1126.6730476362886</v>
      </c>
      <c r="F80" s="17">
        <f t="shared" si="4"/>
        <v>-560.67304763628863</v>
      </c>
      <c r="G80" s="17">
        <f t="shared" si="5"/>
        <v>314354.26634576399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271</v>
      </c>
      <c r="C81" s="5">
        <v>651251</v>
      </c>
      <c r="E81" s="17">
        <f t="shared" si="3"/>
        <v>1119.0610666052698</v>
      </c>
      <c r="F81" s="17">
        <f t="shared" si="4"/>
        <v>-848.06106660526984</v>
      </c>
      <c r="G81" s="17">
        <f t="shared" si="5"/>
        <v>719207.57269166794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17">
        <f t="shared" si="3"/>
        <v>1116.0319661103199</v>
      </c>
      <c r="F82" s="17">
        <f t="shared" si="4"/>
        <v>-708.0319661103199</v>
      </c>
      <c r="G82" s="17">
        <f t="shared" si="5"/>
        <v>501309.26503404521</v>
      </c>
      <c r="O82" s="19" t="s">
        <v>36</v>
      </c>
      <c r="P82" s="119">
        <f>P71*P73*P79</f>
        <v>361.01407697041822</v>
      </c>
      <c r="Q82" s="119"/>
      <c r="T82" s="19" t="s">
        <v>36</v>
      </c>
      <c r="U82" s="119">
        <f>P71*P73*U79</f>
        <v>4.2784481031206244E-4</v>
      </c>
      <c r="V82" s="119"/>
    </row>
    <row r="83" spans="1:23" ht="18" customHeight="1" x14ac:dyDescent="0.2">
      <c r="A83" s="4">
        <v>44300</v>
      </c>
      <c r="B83" s="5">
        <v>684</v>
      </c>
      <c r="C83" s="5">
        <v>655193</v>
      </c>
      <c r="E83" s="17">
        <f t="shared" si="3"/>
        <v>1113.5380720858006</v>
      </c>
      <c r="F83" s="17">
        <f t="shared" si="4"/>
        <v>-429.53807208580065</v>
      </c>
      <c r="G83" s="17">
        <f t="shared" si="5"/>
        <v>184502.95537118649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17">
        <f t="shared" si="3"/>
        <v>1098.2762812941774</v>
      </c>
      <c r="F84" s="17">
        <f t="shared" si="4"/>
        <v>-597.27628129417735</v>
      </c>
      <c r="G84" s="17">
        <f t="shared" si="5"/>
        <v>356738.95619660127</v>
      </c>
      <c r="O84" s="16" t="s">
        <v>37</v>
      </c>
      <c r="P84" s="120">
        <f>ROUND(P40-P82,4)</f>
        <v>1670.4914000000001</v>
      </c>
      <c r="Q84" s="120"/>
      <c r="T84" s="16" t="s">
        <v>37</v>
      </c>
      <c r="U84" s="120">
        <f>ROUND(P41-U82,4)</f>
        <v>-1.8E-3</v>
      </c>
      <c r="V84" s="120"/>
    </row>
    <row r="85" spans="1:23" ht="18" customHeight="1" x14ac:dyDescent="0.2">
      <c r="A85" s="4">
        <v>44302</v>
      </c>
      <c r="B85" s="5">
        <v>553</v>
      </c>
      <c r="C85" s="5">
        <v>676217</v>
      </c>
      <c r="E85" s="17">
        <f t="shared" si="3"/>
        <v>1084.0821013152981</v>
      </c>
      <c r="F85" s="17">
        <f t="shared" si="4"/>
        <v>-531.08210131529813</v>
      </c>
      <c r="G85" s="17">
        <f t="shared" si="5"/>
        <v>282048.19833747257</v>
      </c>
      <c r="O85" s="13" t="s">
        <v>38</v>
      </c>
      <c r="P85" s="122">
        <f>ROUND(P40+P82,4)</f>
        <v>2392.5194999999999</v>
      </c>
      <c r="Q85" s="122"/>
      <c r="T85" s="13" t="s">
        <v>38</v>
      </c>
      <c r="U85" s="122">
        <f>ROUND(P41+U82,4)</f>
        <v>-1E-3</v>
      </c>
      <c r="V85" s="122"/>
    </row>
    <row r="86" spans="1:23" ht="18" customHeight="1" x14ac:dyDescent="0.2">
      <c r="A86" s="4">
        <v>44303</v>
      </c>
      <c r="B86" s="5">
        <v>649</v>
      </c>
      <c r="C86" s="5">
        <v>696172</v>
      </c>
      <c r="E86" s="17">
        <f t="shared" si="3"/>
        <v>1056.1238680235656</v>
      </c>
      <c r="F86" s="17">
        <f t="shared" si="4"/>
        <v>-407.12386802356559</v>
      </c>
      <c r="G86" s="17">
        <f t="shared" si="5"/>
        <v>165749.84391446965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17">
        <f t="shared" si="3"/>
        <v>1049.2166222140822</v>
      </c>
      <c r="F87" s="17">
        <f t="shared" si="4"/>
        <v>-608.21662221408224</v>
      </c>
      <c r="G87" s="17">
        <f t="shared" si="5"/>
        <v>369927.45953750762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17">
        <f t="shared" si="3"/>
        <v>1041.1745145170369</v>
      </c>
      <c r="F88" s="17">
        <f t="shared" si="4"/>
        <v>-821.17451451703687</v>
      </c>
      <c r="G88" s="17">
        <f t="shared" si="5"/>
        <v>674327.58329229115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17">
        <f t="shared" si="3"/>
        <v>1025.5288321733246</v>
      </c>
      <c r="F89" s="17">
        <f t="shared" si="4"/>
        <v>-601.52883217332464</v>
      </c>
      <c r="G89" s="17">
        <f t="shared" si="5"/>
        <v>361836.93593580375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17">
        <f t="shared" si="3"/>
        <v>1012.9528811822655</v>
      </c>
      <c r="F90" s="17">
        <f t="shared" si="4"/>
        <v>-402.95288118226551</v>
      </c>
      <c r="G90" s="17">
        <f t="shared" si="5"/>
        <v>162371.02445308899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636</v>
      </c>
      <c r="C91" s="5">
        <v>750872</v>
      </c>
      <c r="E91" s="17">
        <f t="shared" si="3"/>
        <v>979.48566401165112</v>
      </c>
      <c r="F91" s="17">
        <f t="shared" si="4"/>
        <v>-343.48566401165112</v>
      </c>
      <c r="G91" s="17">
        <f t="shared" si="5"/>
        <v>117982.40138152489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17">
        <f t="shared" si="3"/>
        <v>924.3804135181847</v>
      </c>
      <c r="F92" s="17">
        <f t="shared" si="4"/>
        <v>-418.3804135181847</v>
      </c>
      <c r="G92" s="17">
        <f t="shared" si="5"/>
        <v>175042.17041564721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567</v>
      </c>
      <c r="C93" s="5">
        <v>828138</v>
      </c>
      <c r="E93" s="17">
        <f t="shared" si="3"/>
        <v>871.23104845068974</v>
      </c>
      <c r="F93" s="17">
        <f t="shared" si="4"/>
        <v>-304.23104845068974</v>
      </c>
      <c r="G93" s="17">
        <f t="shared" si="5"/>
        <v>92556.530841405925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478</v>
      </c>
      <c r="C94" s="5">
        <v>840420</v>
      </c>
      <c r="E94" s="17">
        <f t="shared" si="3"/>
        <v>854.02317968150624</v>
      </c>
      <c r="F94" s="17">
        <f t="shared" si="4"/>
        <v>-376.02317968150624</v>
      </c>
      <c r="G94" s="17">
        <f t="shared" si="5"/>
        <v>141393.43165779032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196</v>
      </c>
      <c r="C95" s="5">
        <v>847664</v>
      </c>
      <c r="E95" s="17">
        <f t="shared" si="3"/>
        <v>843.87387164014785</v>
      </c>
      <c r="F95" s="17">
        <f t="shared" si="4"/>
        <v>-647.87387164014785</v>
      </c>
      <c r="G95" s="17">
        <f t="shared" si="5"/>
        <v>419740.5535539948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353</v>
      </c>
      <c r="C96" s="5">
        <v>856281</v>
      </c>
      <c r="E96" s="17">
        <f t="shared" si="3"/>
        <v>831.80090264616842</v>
      </c>
      <c r="F96" s="17">
        <f t="shared" si="4"/>
        <v>-478.80090264616842</v>
      </c>
      <c r="G96" s="17">
        <f t="shared" si="5"/>
        <v>229250.30437478566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17">
        <f t="shared" si="3"/>
        <v>817.51004924723748</v>
      </c>
      <c r="F97" s="17">
        <f t="shared" si="4"/>
        <v>-245.51004924723748</v>
      </c>
      <c r="G97" s="17">
        <f t="shared" si="5"/>
        <v>60275.184281380971</v>
      </c>
      <c r="O97" s="102" t="s">
        <v>35</v>
      </c>
      <c r="P97" s="119">
        <f xml:space="preserve"> SQRT((1/ (B133-2)) * SUM(G11:G130))</f>
        <v>1392.0612046813012</v>
      </c>
      <c r="Q97" s="119"/>
    </row>
    <row r="98" spans="1:22" ht="18" customHeight="1" x14ac:dyDescent="0.2">
      <c r="A98" s="4">
        <v>44315</v>
      </c>
      <c r="B98" s="5">
        <v>470</v>
      </c>
      <c r="C98" s="5">
        <v>885339</v>
      </c>
      <c r="E98" s="17">
        <f t="shared" si="3"/>
        <v>791.08878322791975</v>
      </c>
      <c r="F98" s="17">
        <f t="shared" si="4"/>
        <v>-321.08878322791975</v>
      </c>
      <c r="G98" s="17">
        <f t="shared" si="5"/>
        <v>103098.00671478604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17">
        <f t="shared" si="3"/>
        <v>765.54598437341838</v>
      </c>
      <c r="F99" s="17">
        <f t="shared" si="4"/>
        <v>-305.54598437341838</v>
      </c>
      <c r="G99" s="17">
        <f t="shared" si="5"/>
        <v>93358.348566721223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17">
        <f t="shared" si="3"/>
        <v>741.68866558155582</v>
      </c>
      <c r="F100" s="17">
        <f t="shared" si="4"/>
        <v>-287.68866558155582</v>
      </c>
      <c r="G100" s="17">
        <f t="shared" si="5"/>
        <v>82764.768304096258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17">
        <f t="shared" si="3"/>
        <v>728.45701661101634</v>
      </c>
      <c r="F101" s="17">
        <f t="shared" si="4"/>
        <v>-398.45701661101634</v>
      </c>
      <c r="G101" s="17">
        <f t="shared" si="5"/>
        <v>158767.99408655174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17">
        <f t="shared" si="3"/>
        <v>715.75917304684845</v>
      </c>
      <c r="F102" s="17">
        <f t="shared" si="4"/>
        <v>-535.75917304684845</v>
      </c>
      <c r="G102" s="17">
        <f t="shared" si="5"/>
        <v>287037.8915038429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17">
        <f t="shared" si="3"/>
        <v>696.68228482333416</v>
      </c>
      <c r="F103" s="17">
        <f t="shared" si="4"/>
        <v>-438.68228482333416</v>
      </c>
      <c r="G103" s="17">
        <f t="shared" si="5"/>
        <v>192442.14701782088</v>
      </c>
      <c r="O103" s="16"/>
      <c r="P103" s="127">
        <f>SQRT( (1/B133) + (POWER(P34,2) / P36))</f>
        <v>0.1564283479338304</v>
      </c>
      <c r="Q103" s="127"/>
      <c r="T103" s="16"/>
      <c r="U103" s="127">
        <f>SQRT( 1/P36 )</f>
        <v>1.8538628025483621E-7</v>
      </c>
      <c r="V103" s="127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17">
        <f t="shared" si="3"/>
        <v>672.99169265445903</v>
      </c>
      <c r="F104" s="17">
        <f t="shared" si="4"/>
        <v>-285.99169265445903</v>
      </c>
      <c r="G104" s="17">
        <f t="shared" si="5"/>
        <v>81791.248267362549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17">
        <f t="shared" si="3"/>
        <v>613.62580635842914</v>
      </c>
      <c r="F105" s="17">
        <f t="shared" si="4"/>
        <v>-240.62580635842914</v>
      </c>
      <c r="G105" s="17">
        <f t="shared" si="5"/>
        <v>57900.77868564424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17">
        <f t="shared" si="3"/>
        <v>541.75542333833437</v>
      </c>
      <c r="F106" s="17">
        <f t="shared" si="4"/>
        <v>-164.75542333833437</v>
      </c>
      <c r="G106" s="17">
        <f t="shared" si="5"/>
        <v>27144.349519393774</v>
      </c>
      <c r="O106" s="19" t="s">
        <v>36</v>
      </c>
      <c r="P106" s="119">
        <f>P95*P97*P103</f>
        <v>431.21979666484452</v>
      </c>
      <c r="Q106" s="119"/>
      <c r="T106" s="19" t="s">
        <v>36</v>
      </c>
      <c r="U106" s="119">
        <f>P95*P97*U103</f>
        <v>5.1104697538427067E-4</v>
      </c>
      <c r="V106" s="119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17">
        <f t="shared" si="3"/>
        <v>462.1497656500535</v>
      </c>
      <c r="F107" s="17">
        <f t="shared" si="4"/>
        <v>-56.149765650053496</v>
      </c>
      <c r="G107" s="17">
        <f t="shared" si="5"/>
        <v>3152.7961825559273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17">
        <f t="shared" si="3"/>
        <v>442.69178800256782</v>
      </c>
      <c r="F108" s="17">
        <f t="shared" si="4"/>
        <v>-118.69178800256782</v>
      </c>
      <c r="G108" s="17">
        <f t="shared" si="5"/>
        <v>14087.740539246503</v>
      </c>
      <c r="O108" s="16" t="s">
        <v>37</v>
      </c>
      <c r="P108" s="120">
        <f>ROUND(P40-P106,4)</f>
        <v>1600.2855999999999</v>
      </c>
      <c r="Q108" s="120"/>
      <c r="T108" s="16" t="s">
        <v>37</v>
      </c>
      <c r="U108" s="120">
        <f>ROUND(P41-U106,4)</f>
        <v>-1.9E-3</v>
      </c>
      <c r="V108" s="120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17">
        <f t="shared" si="3"/>
        <v>405.17269357413898</v>
      </c>
      <c r="F109" s="17">
        <f t="shared" si="4"/>
        <v>-247.17269357413898</v>
      </c>
      <c r="G109" s="17">
        <f t="shared" si="5"/>
        <v>61094.340448695206</v>
      </c>
      <c r="O109" s="13" t="s">
        <v>38</v>
      </c>
      <c r="P109" s="122">
        <f>ROUND(P40+P106,4)</f>
        <v>2462.7251999999999</v>
      </c>
      <c r="Q109" s="122"/>
      <c r="T109" s="13" t="s">
        <v>38</v>
      </c>
      <c r="U109" s="122">
        <f>ROUND(P41+U106,4)</f>
        <v>-8.9999999999999998E-4</v>
      </c>
      <c r="V109" s="122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17">
        <f t="shared" si="3"/>
        <v>377.59274757826074</v>
      </c>
      <c r="F110" s="17">
        <f t="shared" si="4"/>
        <v>-109.59274757826074</v>
      </c>
      <c r="G110" s="17">
        <f t="shared" si="5"/>
        <v>12010.570321752375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17">
        <f t="shared" si="3"/>
        <v>355.08185134682685</v>
      </c>
      <c r="F111" s="17">
        <f t="shared" si="4"/>
        <v>129.91814865317315</v>
      </c>
      <c r="G111" s="17">
        <f t="shared" si="5"/>
        <v>16878.725349467997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17">
        <f t="shared" si="3"/>
        <v>333.90196597117574</v>
      </c>
      <c r="F112" s="17">
        <f t="shared" si="4"/>
        <v>102.09803402882426</v>
      </c>
      <c r="G112" s="17">
        <f t="shared" si="5"/>
        <v>10424.008552550957</v>
      </c>
    </row>
    <row r="113" spans="1:25" ht="18" customHeight="1" x14ac:dyDescent="0.2">
      <c r="A113" s="4">
        <v>44330</v>
      </c>
      <c r="B113" s="5">
        <v>450</v>
      </c>
      <c r="C113" s="5">
        <v>1231250</v>
      </c>
      <c r="E113" s="17">
        <f t="shared" si="3"/>
        <v>306.44531361246482</v>
      </c>
      <c r="F113" s="17">
        <f t="shared" si="4"/>
        <v>143.55468638753518</v>
      </c>
      <c r="G113" s="17">
        <f t="shared" si="5"/>
        <v>20607.947983823578</v>
      </c>
    </row>
    <row r="114" spans="1:25" ht="18" customHeight="1" x14ac:dyDescent="0.2">
      <c r="A114" s="4">
        <v>44331</v>
      </c>
      <c r="B114" s="5">
        <v>469</v>
      </c>
      <c r="C114" s="5">
        <v>1287442</v>
      </c>
      <c r="E114" s="17">
        <f t="shared" si="3"/>
        <v>227.71672202494187</v>
      </c>
      <c r="F114" s="17">
        <f t="shared" si="4"/>
        <v>241.28327797505813</v>
      </c>
      <c r="G114" s="17">
        <f t="shared" si="5"/>
        <v>58217.62023038917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1411270</v>
      </c>
      <c r="E115" s="17">
        <f t="shared" si="3"/>
        <v>54.225761761919102</v>
      </c>
      <c r="F115" s="17">
        <f t="shared" si="4"/>
        <v>279.7742382380809</v>
      </c>
      <c r="G115" s="17">
        <f t="shared" si="5"/>
        <v>78273.62438169845</v>
      </c>
    </row>
    <row r="116" spans="1:25" ht="18" customHeight="1" x14ac:dyDescent="0.2">
      <c r="A116" s="4">
        <v>44333</v>
      </c>
      <c r="B116" s="5">
        <v>199</v>
      </c>
      <c r="C116" s="5">
        <v>1469159</v>
      </c>
      <c r="E116" s="17">
        <f t="shared" si="3"/>
        <v>-26.880435533249511</v>
      </c>
      <c r="F116" s="17">
        <f t="shared" si="4"/>
        <v>225.88043553324951</v>
      </c>
      <c r="G116" s="17">
        <f t="shared" si="5"/>
        <v>51021.971156690488</v>
      </c>
    </row>
    <row r="117" spans="1:25" ht="18" customHeight="1" x14ac:dyDescent="0.2">
      <c r="A117" s="4">
        <v>44334</v>
      </c>
      <c r="B117" s="5">
        <v>386</v>
      </c>
      <c r="C117" s="5">
        <v>1489854</v>
      </c>
      <c r="E117" s="17">
        <f t="shared" si="3"/>
        <v>-55.875456228433904</v>
      </c>
      <c r="F117" s="17">
        <f t="shared" si="4"/>
        <v>441.8754562284339</v>
      </c>
      <c r="G117" s="17">
        <f t="shared" si="5"/>
        <v>195253.91881708661</v>
      </c>
    </row>
    <row r="118" spans="1:25" ht="18" customHeight="1" x14ac:dyDescent="0.2">
      <c r="A118" s="4">
        <v>44335</v>
      </c>
      <c r="B118" s="5">
        <v>511</v>
      </c>
      <c r="C118" s="5">
        <v>1513415</v>
      </c>
      <c r="E118" s="17">
        <f t="shared" si="3"/>
        <v>-88.885926515905794</v>
      </c>
      <c r="F118" s="17">
        <f t="shared" si="4"/>
        <v>599.88592651590579</v>
      </c>
      <c r="G118" s="17">
        <f t="shared" si="5"/>
        <v>359863.12483184674</v>
      </c>
    </row>
    <row r="119" spans="1:25" ht="18" customHeight="1" x14ac:dyDescent="0.2">
      <c r="A119" s="4">
        <v>44336</v>
      </c>
      <c r="B119" s="5">
        <v>451</v>
      </c>
      <c r="C119" s="5">
        <v>1539964</v>
      </c>
      <c r="E119" s="17">
        <f t="shared" si="3"/>
        <v>-126.08277621082925</v>
      </c>
      <c r="F119" s="17">
        <f t="shared" si="4"/>
        <v>577.08277621082925</v>
      </c>
      <c r="G119" s="17">
        <f t="shared" si="5"/>
        <v>333024.53059919801</v>
      </c>
    </row>
    <row r="120" spans="1:25" ht="18" customHeight="1" x14ac:dyDescent="0.2">
      <c r="A120" s="4">
        <v>44337</v>
      </c>
      <c r="B120" s="5">
        <v>559</v>
      </c>
      <c r="C120" s="5">
        <v>1568208</v>
      </c>
      <c r="E120" s="17">
        <f t="shared" si="3"/>
        <v>-165.65442948528107</v>
      </c>
      <c r="F120" s="17">
        <f t="shared" si="4"/>
        <v>724.65442948528107</v>
      </c>
      <c r="G120" s="17">
        <f t="shared" si="5"/>
        <v>525124.04217263823</v>
      </c>
    </row>
    <row r="121" spans="1:25" ht="18" customHeight="1" x14ac:dyDescent="0.25">
      <c r="A121" s="4">
        <v>44338</v>
      </c>
      <c r="B121" s="5">
        <v>523</v>
      </c>
      <c r="C121" s="5">
        <v>1604322</v>
      </c>
      <c r="E121" s="17">
        <f t="shared" si="3"/>
        <v>-216.2524569018492</v>
      </c>
      <c r="F121" s="17">
        <f t="shared" si="4"/>
        <v>739.2524569018492</v>
      </c>
      <c r="G121" s="17">
        <f t="shared" si="5"/>
        <v>546494.19503542036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413</v>
      </c>
      <c r="C122" s="5">
        <v>1638859</v>
      </c>
      <c r="E122" s="17">
        <f t="shared" si="3"/>
        <v>-264.64100629781797</v>
      </c>
      <c r="F122" s="17">
        <f t="shared" si="4"/>
        <v>677.64100629781797</v>
      </c>
      <c r="G122" s="17">
        <f t="shared" si="5"/>
        <v>459197.33341631939</v>
      </c>
    </row>
    <row r="123" spans="1:25" ht="18" customHeight="1" x14ac:dyDescent="0.2">
      <c r="A123" s="4">
        <v>44340</v>
      </c>
      <c r="B123" s="5">
        <v>241</v>
      </c>
      <c r="C123" s="5">
        <v>1701479</v>
      </c>
      <c r="E123" s="17">
        <f t="shared" si="3"/>
        <v>-352.3756376547849</v>
      </c>
      <c r="F123" s="17">
        <f t="shared" si="4"/>
        <v>593.3756376547849</v>
      </c>
      <c r="G123" s="17">
        <f t="shared" si="5"/>
        <v>352094.6473622226</v>
      </c>
    </row>
    <row r="124" spans="1:25" ht="18" customHeight="1" x14ac:dyDescent="0.2">
      <c r="A124" s="4">
        <v>44341</v>
      </c>
      <c r="B124" s="5">
        <v>375</v>
      </c>
      <c r="C124" s="5">
        <v>1725903</v>
      </c>
      <c r="E124" s="17">
        <f t="shared" si="3"/>
        <v>-386.59522622493114</v>
      </c>
      <c r="F124" s="17">
        <f t="shared" si="4"/>
        <v>761.59522622493114</v>
      </c>
      <c r="G124" s="17">
        <f t="shared" si="5"/>
        <v>580027.28860860399</v>
      </c>
    </row>
    <row r="125" spans="1:25" ht="18" customHeight="1" x14ac:dyDescent="0.2">
      <c r="A125" s="4">
        <v>44342</v>
      </c>
      <c r="B125" s="5">
        <v>594</v>
      </c>
      <c r="C125" s="5">
        <v>1745225</v>
      </c>
      <c r="E125" s="17">
        <f t="shared" si="3"/>
        <v>-413.66658596749448</v>
      </c>
      <c r="F125" s="17">
        <f t="shared" si="4"/>
        <v>1007.6665859674945</v>
      </c>
      <c r="G125" s="17">
        <f t="shared" si="5"/>
        <v>1015391.9484753859</v>
      </c>
    </row>
    <row r="126" spans="1:25" ht="18" customHeight="1" x14ac:dyDescent="0.25">
      <c r="A126" s="4">
        <v>44343</v>
      </c>
      <c r="B126" s="5">
        <v>572</v>
      </c>
      <c r="C126" s="5">
        <v>1788676</v>
      </c>
      <c r="E126" s="17">
        <f t="shared" si="3"/>
        <v>-474.54422038288203</v>
      </c>
      <c r="F126" s="17">
        <f t="shared" si="4"/>
        <v>1046.544220382882</v>
      </c>
      <c r="G126" s="17">
        <f t="shared" si="5"/>
        <v>1095254.8052168144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1845836</v>
      </c>
      <c r="E127" s="17">
        <f t="shared" si="3"/>
        <v>-554.6290419792449</v>
      </c>
      <c r="F127" s="17">
        <f t="shared" si="4"/>
        <v>1152.6290419792449</v>
      </c>
      <c r="G127" s="17">
        <f t="shared" si="5"/>
        <v>1328553.7084139918</v>
      </c>
    </row>
    <row r="128" spans="1:25" ht="18" customHeight="1" x14ac:dyDescent="0.2">
      <c r="A128" s="4">
        <v>44345</v>
      </c>
      <c r="B128" s="5">
        <v>609</v>
      </c>
      <c r="C128" s="5">
        <v>1910212</v>
      </c>
      <c r="E128" s="17">
        <f t="shared" si="3"/>
        <v>-644.823941823322</v>
      </c>
      <c r="F128" s="17">
        <f t="shared" si="4"/>
        <v>1253.823941823322</v>
      </c>
      <c r="G128" s="17">
        <f t="shared" si="5"/>
        <v>1572074.4770893732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17">
        <f t="shared" si="3"/>
        <v>-699.65738588939666</v>
      </c>
      <c r="F129" s="17">
        <f t="shared" si="4"/>
        <v>1144.6573858893967</v>
      </c>
      <c r="G129" s="17">
        <f t="shared" si="5"/>
        <v>1310240.5310711472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17">
        <f t="shared" si="3"/>
        <v>-846.49590456341321</v>
      </c>
      <c r="F130" s="17">
        <f t="shared" si="4"/>
        <v>1281.4959045634132</v>
      </c>
      <c r="G130" s="17">
        <f t="shared" si="5"/>
        <v>1642231.7534128006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9.3292000000000002</v>
      </c>
      <c r="U132" s="21" t="s">
        <v>49</v>
      </c>
      <c r="V132">
        <f xml:space="preserve"> ROUND((P41-0) / (P73 / SQRT(P36)),4)</f>
        <v>-5.4290000000000003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1.2369127944111824E-10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57116397.010706753</v>
      </c>
      <c r="O179" s="121"/>
    </row>
    <row r="180" spans="13:19" ht="18" customHeight="1" x14ac:dyDescent="0.2">
      <c r="M180" s="105" t="s">
        <v>62</v>
      </c>
      <c r="N180" s="122">
        <f>SUM(G11:G130)</f>
        <v>228664458.9142932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57116397.010706753</v>
      </c>
      <c r="P188" s="117"/>
      <c r="Q188" s="117">
        <f>O188/N188</f>
        <v>57116397.010706753</v>
      </c>
      <c r="R188" s="117"/>
      <c r="S188" s="77">
        <f>Q188/Q189</f>
        <v>29.474343670476351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228664458.9142932</v>
      </c>
      <c r="P189" s="117"/>
      <c r="Q189" s="117">
        <f>O189/N189</f>
        <v>1937834.3975787559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1.2369127944111824E-10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685654</v>
      </c>
      <c r="E208" s="17">
        <f>$P$234 + $P$235*C208</f>
        <v>13490.738776002356</v>
      </c>
      <c r="F208" s="17">
        <f>B208-E208</f>
        <v>31407.261223997644</v>
      </c>
      <c r="G208" s="17">
        <f>POWER(F208,2)</f>
        <v>986416057.59242606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1092046</v>
      </c>
      <c r="E209" s="17">
        <f t="shared" ref="E209:E224" si="6">$P$234 + $P$235*C209</f>
        <v>12890.479505667141</v>
      </c>
      <c r="F209" s="17">
        <f t="shared" ref="F209:F224" si="7">B209-E209</f>
        <v>7451.520494332859</v>
      </c>
      <c r="G209" s="17">
        <f t="shared" ref="G209:G224" si="8">POWER(F209,2)</f>
        <v>55525157.677462615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1689887</v>
      </c>
      <c r="E210" s="17">
        <f t="shared" si="6"/>
        <v>12007.441447741603</v>
      </c>
      <c r="F210" s="17">
        <f t="shared" si="7"/>
        <v>-238.44144774160304</v>
      </c>
      <c r="G210" s="17">
        <f t="shared" si="8"/>
        <v>56854.324001111614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1941299</v>
      </c>
      <c r="E211" s="17">
        <f t="shared" si="6"/>
        <v>11636.094611008801</v>
      </c>
      <c r="F211" s="17">
        <f t="shared" si="7"/>
        <v>-4599.0946110088007</v>
      </c>
      <c r="G211" s="17">
        <f t="shared" si="8"/>
        <v>21151671.241010193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2109810</v>
      </c>
      <c r="E212" s="17">
        <f t="shared" si="6"/>
        <v>11387.196281554832</v>
      </c>
      <c r="F212" s="17">
        <f t="shared" si="7"/>
        <v>-5855.1962815548322</v>
      </c>
      <c r="G212" s="17">
        <f t="shared" si="8"/>
        <v>34283323.495533533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2407842</v>
      </c>
      <c r="E213" s="17">
        <f t="shared" si="6"/>
        <v>10946.989607071711</v>
      </c>
      <c r="F213" s="17">
        <f t="shared" si="7"/>
        <v>-6783.9896070717114</v>
      </c>
      <c r="G213" s="17">
        <f t="shared" si="8"/>
        <v>46022514.988856994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2946580</v>
      </c>
      <c r="E214" s="17">
        <f t="shared" si="6"/>
        <v>10151.249339591413</v>
      </c>
      <c r="F214" s="17">
        <f t="shared" si="7"/>
        <v>-6878.2493395914134</v>
      </c>
      <c r="G214" s="17">
        <f t="shared" si="8"/>
        <v>47310313.977589712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3508174</v>
      </c>
      <c r="E215" s="17">
        <f t="shared" si="6"/>
        <v>9321.7497316644985</v>
      </c>
      <c r="F215" s="17">
        <f t="shared" si="7"/>
        <v>-6444.7497316644985</v>
      </c>
      <c r="G215" s="17">
        <f t="shared" si="8"/>
        <v>41534799.103789628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3817020</v>
      </c>
      <c r="E216" s="17">
        <f t="shared" si="6"/>
        <v>8865.5702925860969</v>
      </c>
      <c r="F216" s="17">
        <f t="shared" si="7"/>
        <v>-5937.5702925860969</v>
      </c>
      <c r="G216" s="17">
        <f t="shared" si="8"/>
        <v>35254740.979400948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4341740</v>
      </c>
      <c r="E217" s="17">
        <f t="shared" si="6"/>
        <v>8090.5352418707944</v>
      </c>
      <c r="F217" s="17">
        <f t="shared" si="7"/>
        <v>-3931.5352418707944</v>
      </c>
      <c r="G217" s="17">
        <f t="shared" si="8"/>
        <v>15456969.358072046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4699434</v>
      </c>
      <c r="E218" s="17">
        <f t="shared" si="6"/>
        <v>7562.2051087892269</v>
      </c>
      <c r="F218" s="17">
        <f t="shared" si="7"/>
        <v>-4055.2051087892269</v>
      </c>
      <c r="G218" s="17">
        <f t="shared" si="8"/>
        <v>16444688.474350246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5361469</v>
      </c>
      <c r="E219" s="17">
        <f t="shared" si="6"/>
        <v>6584.349624339794</v>
      </c>
      <c r="F219" s="17">
        <f t="shared" si="7"/>
        <v>-3143.349624339794</v>
      </c>
      <c r="G219" s="17">
        <f t="shared" si="8"/>
        <v>9880646.8608371243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6209975</v>
      </c>
      <c r="E220" s="17">
        <f t="shared" si="6"/>
        <v>5331.0680822940558</v>
      </c>
      <c r="F220" s="17">
        <f t="shared" si="7"/>
        <v>-2496.0680822940558</v>
      </c>
      <c r="G220" s="17">
        <f t="shared" si="8"/>
        <v>6230355.8714471254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7190879</v>
      </c>
      <c r="E221" s="17">
        <f t="shared" si="6"/>
        <v>3882.2287367634035</v>
      </c>
      <c r="F221" s="17">
        <f t="shared" si="7"/>
        <v>-1577.2287367634035</v>
      </c>
      <c r="G221" s="17">
        <f t="shared" si="8"/>
        <v>2487650.4880722817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8679404</v>
      </c>
      <c r="E222" s="17">
        <f t="shared" si="6"/>
        <v>1683.6103329175457</v>
      </c>
      <c r="F222" s="17">
        <f t="shared" si="7"/>
        <v>916.38966708245425</v>
      </c>
      <c r="G222" s="17">
        <f t="shared" si="8"/>
        <v>839770.02193549136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10823781</v>
      </c>
      <c r="E223" s="17">
        <f t="shared" si="6"/>
        <v>-1483.7309861625945</v>
      </c>
      <c r="F223" s="17">
        <f t="shared" si="7"/>
        <v>4525.7309861625945</v>
      </c>
      <c r="G223" s="81">
        <f t="shared" si="8"/>
        <v>20482240.959112249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12666680</v>
      </c>
      <c r="D224" s="31"/>
      <c r="E224" s="17">
        <f t="shared" si="6"/>
        <v>-4205.7757337006769</v>
      </c>
      <c r="F224" s="17">
        <f t="shared" si="7"/>
        <v>7639.7757337006769</v>
      </c>
      <c r="G224" s="17">
        <f t="shared" si="8"/>
        <v>58366173.261241719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4715980.823529412</v>
      </c>
      <c r="Q228" s="130"/>
    </row>
    <row r="229" spans="1:25" ht="18" customHeight="1" x14ac:dyDescent="0.2">
      <c r="A229" s="1"/>
      <c r="O229" s="14"/>
      <c r="P229" s="130">
        <f>AVERAGE(B208:B224)</f>
        <v>7537.7647058823532</v>
      </c>
      <c r="Q229" s="130"/>
    </row>
    <row r="230" spans="1:25" ht="18" customHeight="1" x14ac:dyDescent="0.2">
      <c r="A230" s="1"/>
      <c r="O230" s="14"/>
      <c r="P230" s="130">
        <f>SUMPRODUCT(POWER(C208:C224-P228,2))</f>
        <v>188891567536650.5</v>
      </c>
      <c r="Q230" s="130"/>
    </row>
    <row r="231" spans="1:25" ht="18" customHeight="1" x14ac:dyDescent="0.2">
      <c r="A231" s="1"/>
      <c r="O231" s="14"/>
      <c r="P231" s="130">
        <f>SUMPRODUCT(POWER(B208:B224-P229,2))</f>
        <v>1809841469.0588241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-279001344765.70587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14503.480586230955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-1.4770449967893427E-3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0.22769814231187246</v>
      </c>
      <c r="Q244" s="120"/>
    </row>
    <row r="245" spans="1:25" ht="18" customHeight="1" x14ac:dyDescent="0.2">
      <c r="A245" s="1"/>
      <c r="O245" s="32"/>
      <c r="P245" s="122">
        <f>P232 / (SQRT(P230) * SQRT(P231))</f>
        <v>-0.47717726508277025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9653.1305066461518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0.42019703896711136</v>
      </c>
      <c r="Q266" s="127"/>
      <c r="T266" s="16"/>
      <c r="U266" s="127">
        <f xml:space="preserve"> SQRT( 1/P230 )</f>
        <v>7.2760171603953268E-8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7110.7524015736153</v>
      </c>
      <c r="Q269" s="119"/>
      <c r="T269" s="19" t="s">
        <v>36</v>
      </c>
      <c r="U269" s="119">
        <f>P258*P260*U266</f>
        <v>1.2312784646067298E-3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7392.7281999999996</v>
      </c>
      <c r="Q271" s="120"/>
      <c r="T271" s="16" t="s">
        <v>37</v>
      </c>
      <c r="U271" s="120">
        <f>ROUND(P235-U269,4)</f>
        <v>-2.7000000000000001E-3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21614.233</v>
      </c>
      <c r="Q272" s="122"/>
      <c r="T272" s="13" t="s">
        <v>38</v>
      </c>
      <c r="U272" s="122">
        <f>ROUND(P235+U269,4)</f>
        <v>-2.0000000000000001E-4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9653.1305066461518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0.42019703896711136</v>
      </c>
      <c r="Q290" s="127"/>
      <c r="T290" s="16"/>
      <c r="U290" s="127">
        <f xml:space="preserve"> SQRT( 1/P230 )</f>
        <v>7.2760171603953268E-8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8645.6215736794602</v>
      </c>
      <c r="Q293" s="119"/>
      <c r="T293" s="19" t="s">
        <v>36</v>
      </c>
      <c r="U293" s="119">
        <f>P282*P284*U290</f>
        <v>1.4970522183355844E-3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5857.8590000000004</v>
      </c>
      <c r="Q295" s="120"/>
      <c r="T295" s="16" t="s">
        <v>37</v>
      </c>
      <c r="U295" s="120">
        <f>ROUND(P235-U293,4)</f>
        <v>-3.0000000000000001E-3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23149.102200000001</v>
      </c>
      <c r="Q296" s="122"/>
      <c r="T296" s="13" t="s">
        <v>38</v>
      </c>
      <c r="U296" s="122">
        <f>ROUND(P235+U293,4)</f>
        <v>0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3.5756000000000001</v>
      </c>
      <c r="T319" s="21" t="s">
        <v>49</v>
      </c>
      <c r="U319">
        <f>ROUND( (P235-0) / (P284 / SQRT(P230)),4)</f>
        <v>-2.1030000000000002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-30134.058823529384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468915437.14492995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1397743928.6751387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468915437.14492995</v>
      </c>
      <c r="P371" s="117"/>
      <c r="Q371" s="117">
        <f>O371/N371</f>
        <v>468915437.14492995</v>
      </c>
      <c r="R371" s="117"/>
      <c r="S371" s="77">
        <f>Q371/Q372</f>
        <v>5.0322032618957033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1397743928.6751387</v>
      </c>
      <c r="P372" s="117"/>
      <c r="Q372" s="117">
        <f>O372/N372</f>
        <v>93182928.578342587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-30134.058823529384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8225-6672-4880-94B2-36BD0C8F54C3}">
  <dimension ref="A3:AD444"/>
  <sheetViews>
    <sheetView topLeftCell="F270" zoomScale="110" zoomScaleNormal="110" workbookViewId="0">
      <selection activeCell="X341" sqref="X34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79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0.82</v>
      </c>
      <c r="E11" s="17">
        <f>$P$40 + $P$41*C11</f>
        <v>40.029075413065016</v>
      </c>
      <c r="F11" s="17">
        <f>B11-E11</f>
        <v>234.97092458693498</v>
      </c>
      <c r="G11" s="17">
        <f>POWER(F11,2)</f>
        <v>55211.335401239085</v>
      </c>
    </row>
    <row r="12" spans="1:30" ht="18" customHeight="1" x14ac:dyDescent="0.2">
      <c r="A12" s="4">
        <v>44229</v>
      </c>
      <c r="B12" s="5">
        <v>260</v>
      </c>
      <c r="C12" s="5">
        <v>0.76</v>
      </c>
      <c r="E12" s="17">
        <f t="shared" ref="E12:E75" si="0">$P$40 + $P$41*C12</f>
        <v>50.518567341969799</v>
      </c>
      <c r="F12" s="17">
        <f t="shared" ref="F12:F75" si="1">B12-E12</f>
        <v>209.4814326580302</v>
      </c>
      <c r="G12" s="17">
        <f t="shared" ref="G12:G75" si="2">POWER(F12,2)</f>
        <v>43882.47062846084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0.71</v>
      </c>
      <c r="E13" s="17">
        <f t="shared" si="0"/>
        <v>59.259810616057109</v>
      </c>
      <c r="F13" s="17">
        <f t="shared" si="1"/>
        <v>180.74018938394289</v>
      </c>
      <c r="G13" s="17">
        <f t="shared" si="2"/>
        <v>32667.016058543544</v>
      </c>
    </row>
    <row r="14" spans="1:30" ht="18" customHeight="1" x14ac:dyDescent="0.2">
      <c r="A14" s="4">
        <v>44231</v>
      </c>
      <c r="B14" s="5">
        <v>225</v>
      </c>
      <c r="C14" s="5">
        <v>0.67</v>
      </c>
      <c r="E14" s="17">
        <f t="shared" si="0"/>
        <v>66.252805235326946</v>
      </c>
      <c r="F14" s="17">
        <f t="shared" si="1"/>
        <v>158.74719476467305</v>
      </c>
      <c r="G14" s="17">
        <f t="shared" si="2"/>
        <v>25200.67184565304</v>
      </c>
    </row>
    <row r="15" spans="1:30" ht="18" customHeight="1" x14ac:dyDescent="0.2">
      <c r="A15" s="4">
        <v>44232</v>
      </c>
      <c r="B15" s="5">
        <v>258</v>
      </c>
      <c r="C15" s="5">
        <v>0.64</v>
      </c>
      <c r="E15" s="17">
        <f t="shared" si="0"/>
        <v>71.497551199779338</v>
      </c>
      <c r="F15" s="17">
        <f t="shared" si="1"/>
        <v>186.50244880022066</v>
      </c>
      <c r="G15" s="17">
        <f t="shared" si="2"/>
        <v>34783.163408478933</v>
      </c>
    </row>
    <row r="16" spans="1:30" ht="18" customHeight="1" x14ac:dyDescent="0.2">
      <c r="A16" s="4">
        <v>44233</v>
      </c>
      <c r="B16" s="5">
        <v>214</v>
      </c>
      <c r="C16" s="5">
        <v>0.62</v>
      </c>
      <c r="E16" s="17">
        <f t="shared" si="0"/>
        <v>74.994048509414256</v>
      </c>
      <c r="F16" s="17">
        <f t="shared" si="1"/>
        <v>139.00595149058574</v>
      </c>
      <c r="G16" s="17">
        <f t="shared" si="2"/>
        <v>19322.654549803075</v>
      </c>
    </row>
    <row r="17" spans="1:24" ht="18" customHeight="1" x14ac:dyDescent="0.2">
      <c r="A17" s="4">
        <v>44234</v>
      </c>
      <c r="B17" s="5">
        <v>204</v>
      </c>
      <c r="C17" s="5">
        <v>0.59</v>
      </c>
      <c r="E17" s="17">
        <f t="shared" si="0"/>
        <v>80.238794473866648</v>
      </c>
      <c r="F17" s="17">
        <f t="shared" si="1"/>
        <v>123.76120552613335</v>
      </c>
      <c r="G17" s="17">
        <f t="shared" si="2"/>
        <v>15316.83599328182</v>
      </c>
    </row>
    <row r="18" spans="1:24" ht="18" customHeight="1" x14ac:dyDescent="0.2">
      <c r="A18" s="4">
        <v>44235</v>
      </c>
      <c r="B18" s="5">
        <v>196</v>
      </c>
      <c r="C18" s="5">
        <v>0.56000000000000005</v>
      </c>
      <c r="E18" s="17">
        <f t="shared" si="0"/>
        <v>85.483540438319025</v>
      </c>
      <c r="F18" s="17">
        <f t="shared" si="1"/>
        <v>110.51645956168097</v>
      </c>
      <c r="G18" s="17">
        <f t="shared" si="2"/>
        <v>12213.887834048666</v>
      </c>
    </row>
    <row r="19" spans="1:24" ht="18" customHeight="1" x14ac:dyDescent="0.2">
      <c r="A19" s="4">
        <v>44236</v>
      </c>
      <c r="B19" s="5">
        <v>203</v>
      </c>
      <c r="C19" s="5">
        <v>0.53</v>
      </c>
      <c r="E19" s="17">
        <f t="shared" si="0"/>
        <v>90.728286402771417</v>
      </c>
      <c r="F19" s="17">
        <f t="shared" si="1"/>
        <v>112.27171359722858</v>
      </c>
      <c r="G19" s="17">
        <f t="shared" si="2"/>
        <v>12604.937674058121</v>
      </c>
    </row>
    <row r="20" spans="1:24" ht="18" customHeight="1" x14ac:dyDescent="0.2">
      <c r="A20" s="4">
        <v>44237</v>
      </c>
      <c r="B20" s="5">
        <v>161</v>
      </c>
      <c r="C20" s="5">
        <v>0.51</v>
      </c>
      <c r="E20" s="17">
        <f t="shared" si="0"/>
        <v>94.224783712406349</v>
      </c>
      <c r="F20" s="17">
        <f t="shared" si="1"/>
        <v>66.775216287593651</v>
      </c>
      <c r="G20" s="17">
        <f t="shared" si="2"/>
        <v>4458.9295102549122</v>
      </c>
    </row>
    <row r="21" spans="1:24" ht="18" customHeight="1" x14ac:dyDescent="0.2">
      <c r="A21" s="4">
        <v>44238</v>
      </c>
      <c r="B21" s="5">
        <v>167</v>
      </c>
      <c r="C21" s="5">
        <v>0.49</v>
      </c>
      <c r="E21" s="17">
        <f t="shared" si="0"/>
        <v>97.721281022041268</v>
      </c>
      <c r="F21" s="17">
        <f t="shared" si="1"/>
        <v>69.278718977958732</v>
      </c>
      <c r="G21" s="17">
        <f t="shared" si="2"/>
        <v>4799.540903226979</v>
      </c>
    </row>
    <row r="22" spans="1:24" ht="18" customHeight="1" x14ac:dyDescent="0.2">
      <c r="A22" s="4">
        <v>44239</v>
      </c>
      <c r="B22" s="5">
        <v>149</v>
      </c>
      <c r="C22" s="5">
        <v>0.48</v>
      </c>
      <c r="E22" s="17">
        <f t="shared" si="0"/>
        <v>99.469529676858741</v>
      </c>
      <c r="F22" s="17">
        <f t="shared" si="1"/>
        <v>49.530470323141259</v>
      </c>
      <c r="G22" s="17">
        <f t="shared" si="2"/>
        <v>2453.2674904315768</v>
      </c>
    </row>
    <row r="23" spans="1:24" ht="18" customHeight="1" x14ac:dyDescent="0.2">
      <c r="A23" s="4">
        <v>44240</v>
      </c>
      <c r="B23" s="5">
        <v>149</v>
      </c>
      <c r="C23" s="5">
        <v>0.48</v>
      </c>
      <c r="E23" s="17">
        <f t="shared" si="0"/>
        <v>99.469529676858741</v>
      </c>
      <c r="F23" s="17">
        <f t="shared" si="1"/>
        <v>49.530470323141259</v>
      </c>
      <c r="G23" s="17">
        <f t="shared" si="2"/>
        <v>2453.2674904315768</v>
      </c>
    </row>
    <row r="24" spans="1:24" ht="18" customHeight="1" x14ac:dyDescent="0.2">
      <c r="A24" s="4">
        <v>44241</v>
      </c>
      <c r="B24" s="5">
        <v>138</v>
      </c>
      <c r="C24" s="5">
        <v>0.48</v>
      </c>
      <c r="E24" s="17">
        <f t="shared" si="0"/>
        <v>99.469529676858741</v>
      </c>
      <c r="F24" s="17">
        <f t="shared" si="1"/>
        <v>38.530470323141259</v>
      </c>
      <c r="G24" s="17">
        <f t="shared" si="2"/>
        <v>1484.5971433224693</v>
      </c>
    </row>
    <row r="25" spans="1:24" ht="18" customHeight="1" x14ac:dyDescent="0.2">
      <c r="A25" s="4">
        <v>44242</v>
      </c>
      <c r="B25" s="5">
        <v>90</v>
      </c>
      <c r="C25" s="5">
        <v>0.48</v>
      </c>
      <c r="E25" s="17">
        <f t="shared" si="0"/>
        <v>99.469529676858741</v>
      </c>
      <c r="F25" s="17">
        <f t="shared" si="1"/>
        <v>-9.4695296768587411</v>
      </c>
      <c r="G25" s="17">
        <f t="shared" si="2"/>
        <v>89.671992300908414</v>
      </c>
    </row>
    <row r="26" spans="1:24" ht="18" customHeight="1" x14ac:dyDescent="0.2">
      <c r="A26" s="4">
        <v>44243</v>
      </c>
      <c r="B26" s="5">
        <v>111</v>
      </c>
      <c r="C26" s="5">
        <v>0.47</v>
      </c>
      <c r="E26" s="17">
        <f t="shared" si="0"/>
        <v>101.2177783316762</v>
      </c>
      <c r="F26" s="17">
        <f t="shared" si="1"/>
        <v>9.7822216683237997</v>
      </c>
      <c r="G26" s="17">
        <f t="shared" si="2"/>
        <v>95.691860768223663</v>
      </c>
    </row>
    <row r="27" spans="1:24" ht="18" customHeight="1" x14ac:dyDescent="0.2">
      <c r="A27" s="4">
        <v>44244</v>
      </c>
      <c r="B27" s="5">
        <v>127</v>
      </c>
      <c r="C27" s="5">
        <v>0.47</v>
      </c>
      <c r="E27" s="17">
        <f t="shared" si="0"/>
        <v>101.2177783316762</v>
      </c>
      <c r="F27" s="17">
        <f t="shared" si="1"/>
        <v>25.7822216683238</v>
      </c>
      <c r="G27" s="17">
        <f t="shared" si="2"/>
        <v>664.7229541545853</v>
      </c>
    </row>
    <row r="28" spans="1:24" ht="18" customHeight="1" x14ac:dyDescent="0.2">
      <c r="A28" s="4">
        <v>44245</v>
      </c>
      <c r="B28" s="5">
        <v>105</v>
      </c>
      <c r="C28" s="5">
        <v>0.47</v>
      </c>
      <c r="E28" s="17">
        <f t="shared" si="0"/>
        <v>101.2177783316762</v>
      </c>
      <c r="F28" s="17">
        <f t="shared" si="1"/>
        <v>3.7822216683237997</v>
      </c>
      <c r="G28" s="17">
        <f t="shared" si="2"/>
        <v>14.305200748338066</v>
      </c>
    </row>
    <row r="29" spans="1:24" ht="18" customHeight="1" x14ac:dyDescent="0.2">
      <c r="A29" s="4">
        <v>44246</v>
      </c>
      <c r="B29" s="5">
        <v>67</v>
      </c>
      <c r="C29" s="5">
        <v>0.48</v>
      </c>
      <c r="E29" s="17">
        <f t="shared" si="0"/>
        <v>99.469529676858741</v>
      </c>
      <c r="F29" s="17">
        <f t="shared" si="1"/>
        <v>-32.469529676858741</v>
      </c>
      <c r="G29" s="17">
        <f t="shared" si="2"/>
        <v>1054.2703574364104</v>
      </c>
    </row>
    <row r="30" spans="1:24" ht="18" customHeight="1" x14ac:dyDescent="0.2">
      <c r="A30" s="4">
        <v>44247</v>
      </c>
      <c r="B30" s="5">
        <v>76</v>
      </c>
      <c r="C30" s="5">
        <v>0.48</v>
      </c>
      <c r="E30" s="17">
        <f t="shared" si="0"/>
        <v>99.469529676858741</v>
      </c>
      <c r="F30" s="17">
        <f t="shared" si="1"/>
        <v>-23.469529676858741</v>
      </c>
      <c r="G30" s="17">
        <f t="shared" si="2"/>
        <v>550.81882325295317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0.49</v>
      </c>
      <c r="E31" s="17">
        <f t="shared" si="0"/>
        <v>97.721281022041268</v>
      </c>
      <c r="F31" s="17">
        <f t="shared" si="1"/>
        <v>-32.721281022041268</v>
      </c>
      <c r="G31" s="17">
        <f t="shared" si="2"/>
        <v>1070.682231723398</v>
      </c>
    </row>
    <row r="32" spans="1:24" ht="18" customHeight="1" x14ac:dyDescent="0.2">
      <c r="A32" s="4">
        <v>44249</v>
      </c>
      <c r="B32" s="5">
        <v>61</v>
      </c>
      <c r="C32" s="5">
        <v>0.49</v>
      </c>
      <c r="E32" s="17">
        <f t="shared" si="0"/>
        <v>97.721281022041268</v>
      </c>
      <c r="F32" s="17">
        <f t="shared" si="1"/>
        <v>-36.721281022041268</v>
      </c>
      <c r="G32" s="17">
        <f t="shared" si="2"/>
        <v>1348.4524798997281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17">
        <f t="shared" si="0"/>
        <v>97.721281022041268</v>
      </c>
      <c r="F33" s="17">
        <f t="shared" si="1"/>
        <v>-34.721281022041268</v>
      </c>
      <c r="G33" s="17">
        <f t="shared" si="2"/>
        <v>1205.5673558115632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50</v>
      </c>
      <c r="C34" s="5">
        <v>0.5</v>
      </c>
      <c r="E34" s="17">
        <f t="shared" si="0"/>
        <v>95.973032367223809</v>
      </c>
      <c r="F34" s="17">
        <f t="shared" si="1"/>
        <v>-45.973032367223809</v>
      </c>
      <c r="G34" s="17">
        <f t="shared" si="2"/>
        <v>2113.5197050378079</v>
      </c>
      <c r="O34" s="14"/>
      <c r="P34" s="130">
        <f>AVERAGE(C11:C130)</f>
        <v>0.83241666666666658</v>
      </c>
      <c r="Q34" s="130"/>
    </row>
    <row r="35" spans="1:24" ht="18" customHeight="1" x14ac:dyDescent="0.2">
      <c r="A35" s="4">
        <v>44252</v>
      </c>
      <c r="B35" s="5">
        <v>49</v>
      </c>
      <c r="C35" s="5">
        <v>0.5</v>
      </c>
      <c r="E35" s="17">
        <f t="shared" si="0"/>
        <v>95.973032367223809</v>
      </c>
      <c r="F35" s="17">
        <f t="shared" si="1"/>
        <v>-46.973032367223809</v>
      </c>
      <c r="G35" s="17">
        <f t="shared" si="2"/>
        <v>2206.4657697722555</v>
      </c>
      <c r="O35" s="14"/>
      <c r="P35" s="130">
        <f>AVERAGE(B11:B130)</f>
        <v>37.858333333333334</v>
      </c>
      <c r="Q35" s="130"/>
    </row>
    <row r="36" spans="1:24" ht="18" customHeight="1" x14ac:dyDescent="0.2">
      <c r="A36" s="4">
        <v>44253</v>
      </c>
      <c r="B36" s="5">
        <v>58</v>
      </c>
      <c r="C36" s="5">
        <v>0.51</v>
      </c>
      <c r="E36" s="17">
        <f t="shared" si="0"/>
        <v>94.224783712406349</v>
      </c>
      <c r="F36" s="17">
        <f t="shared" si="1"/>
        <v>-36.224783712406349</v>
      </c>
      <c r="G36" s="17">
        <f t="shared" si="2"/>
        <v>1312.2349550106203</v>
      </c>
      <c r="O36" s="14"/>
      <c r="P36" s="130">
        <f>SUMPRODUCT(POWER(C11:C130-P34,2))</f>
        <v>5.7437991666666681</v>
      </c>
      <c r="Q36" s="130"/>
    </row>
    <row r="37" spans="1:24" ht="18" customHeight="1" x14ac:dyDescent="0.2">
      <c r="A37" s="4">
        <v>44254</v>
      </c>
      <c r="B37" s="5">
        <v>33</v>
      </c>
      <c r="C37" s="5">
        <v>0.53</v>
      </c>
      <c r="E37" s="17">
        <f t="shared" si="0"/>
        <v>90.728286402771417</v>
      </c>
      <c r="F37" s="17">
        <f t="shared" si="1"/>
        <v>-57.728286402771417</v>
      </c>
      <c r="G37" s="17">
        <f t="shared" si="2"/>
        <v>3332.5550510004032</v>
      </c>
      <c r="O37" s="14"/>
      <c r="P37" s="130">
        <f>SUMPRODUCT(POWER(B11:B130-P35,2))</f>
        <v>524434.59166666621</v>
      </c>
      <c r="Q37" s="130"/>
    </row>
    <row r="38" spans="1:24" ht="18" customHeight="1" x14ac:dyDescent="0.2">
      <c r="A38" s="4">
        <v>44255</v>
      </c>
      <c r="B38" s="5">
        <v>41</v>
      </c>
      <c r="C38" s="5">
        <v>0.54</v>
      </c>
      <c r="E38" s="17">
        <f t="shared" si="0"/>
        <v>88.980037747953958</v>
      </c>
      <c r="F38" s="17">
        <f t="shared" si="1"/>
        <v>-47.980037747953958</v>
      </c>
      <c r="G38" s="17">
        <f t="shared" si="2"/>
        <v>2302.0840222950865</v>
      </c>
      <c r="O38" s="14"/>
      <c r="P38" s="130">
        <f xml:space="preserve"> SUMPRODUCT( (B11:B130-P35) * (C11:C130-P34))</f>
        <v>-1004.1589166666664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17">
        <f t="shared" si="0"/>
        <v>85.483540438319025</v>
      </c>
      <c r="F39" s="17">
        <f t="shared" si="1"/>
        <v>-51.483540438319025</v>
      </c>
      <c r="G39" s="17">
        <f t="shared" si="2"/>
        <v>2650.5549360640302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17">
        <f t="shared" si="0"/>
        <v>83.73529178350158</v>
      </c>
      <c r="F40" s="17">
        <f t="shared" si="1"/>
        <v>-45.73529178350158</v>
      </c>
      <c r="G40" s="17">
        <f t="shared" si="2"/>
        <v>2091.7169145220273</v>
      </c>
      <c r="O40" s="16"/>
      <c r="P40" s="120">
        <f>P35 - P34*P41</f>
        <v>183.38546510809692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0.59</v>
      </c>
      <c r="E41" s="17">
        <f t="shared" si="0"/>
        <v>80.238794473866648</v>
      </c>
      <c r="F41" s="17">
        <f t="shared" si="1"/>
        <v>-39.238794473866648</v>
      </c>
      <c r="G41" s="17">
        <f t="shared" si="2"/>
        <v>1539.6829917623477</v>
      </c>
      <c r="O41" s="13"/>
      <c r="P41" s="122">
        <f>P38/P36</f>
        <v>-174.82486548174623</v>
      </c>
      <c r="Q41" s="122"/>
    </row>
    <row r="42" spans="1:24" ht="18" customHeight="1" x14ac:dyDescent="0.2">
      <c r="A42" s="4">
        <v>44259</v>
      </c>
      <c r="B42" s="5">
        <v>28</v>
      </c>
      <c r="C42" s="5">
        <v>0.61</v>
      </c>
      <c r="E42" s="17">
        <f t="shared" si="0"/>
        <v>76.742297164231729</v>
      </c>
      <c r="F42" s="17">
        <f t="shared" si="1"/>
        <v>-48.742297164231729</v>
      </c>
      <c r="G42" s="17">
        <f t="shared" si="2"/>
        <v>2375.8115328462723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17">
        <f t="shared" si="0"/>
        <v>71.497551199779338</v>
      </c>
      <c r="F43" s="17">
        <f t="shared" si="1"/>
        <v>-43.497551199779338</v>
      </c>
      <c r="G43" s="17">
        <f t="shared" si="2"/>
        <v>1892.036960377425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17">
        <f t="shared" si="0"/>
        <v>68.001053890144405</v>
      </c>
      <c r="F44" s="17">
        <f t="shared" si="1"/>
        <v>-42.001053890144405</v>
      </c>
      <c r="G44" s="17">
        <f t="shared" si="2"/>
        <v>1764.0885278828146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17">
        <f t="shared" si="0"/>
        <v>66.252805235326946</v>
      </c>
      <c r="F45" s="17">
        <f t="shared" si="1"/>
        <v>-38.252805235326946</v>
      </c>
      <c r="G45" s="17">
        <f t="shared" si="2"/>
        <v>1463.2771083718567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0.67</v>
      </c>
      <c r="E46" s="17">
        <f t="shared" si="0"/>
        <v>66.252805235326946</v>
      </c>
      <c r="F46" s="17">
        <f t="shared" si="1"/>
        <v>-41.252805235326946</v>
      </c>
      <c r="G46" s="17">
        <f t="shared" si="2"/>
        <v>1701.7939397838184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17">
        <f t="shared" si="0"/>
        <v>66.252805235326946</v>
      </c>
      <c r="F47" s="17">
        <f t="shared" si="1"/>
        <v>-36.252805235326946</v>
      </c>
      <c r="G47" s="17">
        <f t="shared" si="2"/>
        <v>1314.2658874305489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17">
        <f t="shared" si="0"/>
        <v>69.749302544961864</v>
      </c>
      <c r="F48" s="17">
        <f t="shared" si="1"/>
        <v>-47.749302544961864</v>
      </c>
      <c r="G48" s="17">
        <f t="shared" si="2"/>
        <v>2279.9958935303016</v>
      </c>
    </row>
    <row r="49" spans="1:24" ht="18" customHeight="1" x14ac:dyDescent="0.2">
      <c r="A49" s="4">
        <v>44266</v>
      </c>
      <c r="B49" s="5">
        <v>18</v>
      </c>
      <c r="C49" s="5">
        <v>0.65</v>
      </c>
      <c r="E49" s="17">
        <f t="shared" si="0"/>
        <v>69.749302544961864</v>
      </c>
      <c r="F49" s="17">
        <f t="shared" si="1"/>
        <v>-51.749302544961864</v>
      </c>
      <c r="G49" s="17">
        <f t="shared" si="2"/>
        <v>2677.9903138899963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15</v>
      </c>
      <c r="C50" s="5">
        <v>0.66</v>
      </c>
      <c r="E50" s="17">
        <f t="shared" si="0"/>
        <v>68.001053890144405</v>
      </c>
      <c r="F50" s="17">
        <f t="shared" si="1"/>
        <v>-53.001053890144405</v>
      </c>
      <c r="G50" s="17">
        <f t="shared" si="2"/>
        <v>2809.1117134659912</v>
      </c>
      <c r="O50" s="15"/>
      <c r="P50" s="120">
        <f>(POWER(P38,2)/(P36*P37))</f>
        <v>0.33474517188242203</v>
      </c>
      <c r="Q50" s="120"/>
    </row>
    <row r="51" spans="1:24" ht="18" customHeight="1" x14ac:dyDescent="0.2">
      <c r="A51" s="4">
        <v>44268</v>
      </c>
      <c r="B51" s="5">
        <v>19</v>
      </c>
      <c r="C51" s="5">
        <v>0.68</v>
      </c>
      <c r="E51" s="17">
        <f t="shared" si="0"/>
        <v>64.504556580509472</v>
      </c>
      <c r="F51" s="17">
        <f t="shared" si="1"/>
        <v>-45.504556580509472</v>
      </c>
      <c r="G51" s="17">
        <f t="shared" si="2"/>
        <v>2070.664669588788</v>
      </c>
      <c r="O51" s="32"/>
      <c r="P51" s="122">
        <f>P38 / (SQRT(P36) * SQRT(P37))</f>
        <v>-0.57857166529516646</v>
      </c>
      <c r="Q51" s="122"/>
    </row>
    <row r="52" spans="1:24" ht="18" customHeight="1" x14ac:dyDescent="0.2">
      <c r="A52" s="4">
        <v>44269</v>
      </c>
      <c r="B52" s="5">
        <v>15</v>
      </c>
      <c r="C52" s="5">
        <v>0.69</v>
      </c>
      <c r="E52" s="17">
        <f t="shared" si="0"/>
        <v>62.756307925692028</v>
      </c>
      <c r="F52" s="17">
        <f t="shared" si="1"/>
        <v>-47.756307925692028</v>
      </c>
      <c r="G52" s="17">
        <f t="shared" si="2"/>
        <v>2280.664946693515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0.7</v>
      </c>
      <c r="E53" s="17">
        <f t="shared" si="0"/>
        <v>61.008059270874568</v>
      </c>
      <c r="F53" s="17">
        <f t="shared" si="1"/>
        <v>-51.008059270874568</v>
      </c>
      <c r="G53" s="17">
        <f t="shared" si="2"/>
        <v>2601.822110581053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0.71</v>
      </c>
      <c r="E54" s="17">
        <f t="shared" si="0"/>
        <v>59.259810616057109</v>
      </c>
      <c r="F54" s="17">
        <f t="shared" si="1"/>
        <v>-46.259810616057109</v>
      </c>
      <c r="G54" s="17">
        <f t="shared" si="2"/>
        <v>2139.9700782334698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0.72</v>
      </c>
      <c r="E55" s="17">
        <f t="shared" si="0"/>
        <v>57.511561961239636</v>
      </c>
      <c r="F55" s="17">
        <f t="shared" si="1"/>
        <v>-42.511561961239636</v>
      </c>
      <c r="G55" s="17">
        <f t="shared" si="2"/>
        <v>1807.2329003843167</v>
      </c>
    </row>
    <row r="56" spans="1:24" ht="18" customHeight="1" x14ac:dyDescent="0.2">
      <c r="A56" s="4">
        <v>44273</v>
      </c>
      <c r="B56" s="5">
        <v>21</v>
      </c>
      <c r="C56" s="5">
        <v>0.74</v>
      </c>
      <c r="E56" s="17">
        <f t="shared" si="0"/>
        <v>54.015064651604717</v>
      </c>
      <c r="F56" s="17">
        <f t="shared" si="1"/>
        <v>-33.015064651604717</v>
      </c>
      <c r="G56" s="17">
        <f t="shared" si="2"/>
        <v>1089.9944939496393</v>
      </c>
    </row>
    <row r="57" spans="1:24" ht="18" customHeight="1" x14ac:dyDescent="0.2">
      <c r="A57" s="4">
        <v>44274</v>
      </c>
      <c r="B57" s="5">
        <v>11</v>
      </c>
      <c r="C57" s="5">
        <v>0.76</v>
      </c>
      <c r="E57" s="17">
        <f t="shared" si="0"/>
        <v>50.518567341969799</v>
      </c>
      <c r="F57" s="17">
        <f t="shared" si="1"/>
        <v>-39.518567341969799</v>
      </c>
      <c r="G57" s="17">
        <f t="shared" si="2"/>
        <v>1561.717164761802</v>
      </c>
    </row>
    <row r="58" spans="1:24" ht="18" customHeight="1" x14ac:dyDescent="0.2">
      <c r="A58" s="4">
        <v>44275</v>
      </c>
      <c r="B58" s="5">
        <v>8</v>
      </c>
      <c r="C58" s="5">
        <v>0.77</v>
      </c>
      <c r="E58" s="17">
        <f t="shared" si="0"/>
        <v>48.770318687152326</v>
      </c>
      <c r="F58" s="17">
        <f t="shared" si="1"/>
        <v>-40.770318687152326</v>
      </c>
      <c r="G58" s="17">
        <f t="shared" si="2"/>
        <v>1662.2188858519621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0.79</v>
      </c>
      <c r="E59" s="17">
        <f t="shared" si="0"/>
        <v>45.273821377517407</v>
      </c>
      <c r="F59" s="17">
        <f t="shared" si="1"/>
        <v>-39.273821377517407</v>
      </c>
      <c r="G59" s="17">
        <f t="shared" si="2"/>
        <v>1542.4330455931433</v>
      </c>
    </row>
    <row r="60" spans="1:24" ht="18" customHeight="1" x14ac:dyDescent="0.2">
      <c r="A60" s="4">
        <v>44277</v>
      </c>
      <c r="B60" s="5">
        <v>16</v>
      </c>
      <c r="C60" s="5">
        <v>0.8</v>
      </c>
      <c r="E60" s="17">
        <f t="shared" si="0"/>
        <v>43.525572722699934</v>
      </c>
      <c r="F60" s="17">
        <f t="shared" si="1"/>
        <v>-27.525572722699934</v>
      </c>
      <c r="G60" s="17">
        <f t="shared" si="2"/>
        <v>757.65715371264264</v>
      </c>
    </row>
    <row r="61" spans="1:24" ht="18" customHeight="1" x14ac:dyDescent="0.2">
      <c r="A61" s="4">
        <v>44278</v>
      </c>
      <c r="B61" s="5">
        <v>10</v>
      </c>
      <c r="C61" s="5">
        <v>0.81</v>
      </c>
      <c r="E61" s="17">
        <f t="shared" si="0"/>
        <v>41.777324067882461</v>
      </c>
      <c r="F61" s="17">
        <f t="shared" si="1"/>
        <v>-31.777324067882461</v>
      </c>
      <c r="G61" s="17">
        <f t="shared" si="2"/>
        <v>1009.7983249152219</v>
      </c>
    </row>
    <row r="62" spans="1:24" ht="18" customHeight="1" x14ac:dyDescent="0.2">
      <c r="A62" s="4">
        <v>44279</v>
      </c>
      <c r="B62" s="5">
        <v>11</v>
      </c>
      <c r="C62" s="5">
        <v>0.82</v>
      </c>
      <c r="E62" s="17">
        <f t="shared" si="0"/>
        <v>40.029075413065016</v>
      </c>
      <c r="F62" s="17">
        <f t="shared" si="1"/>
        <v>-29.029075413065016</v>
      </c>
      <c r="G62" s="17">
        <f t="shared" si="2"/>
        <v>842.68721933741585</v>
      </c>
    </row>
    <row r="63" spans="1:24" ht="18" customHeight="1" x14ac:dyDescent="0.2">
      <c r="A63" s="4">
        <v>44280</v>
      </c>
      <c r="B63" s="5">
        <v>9</v>
      </c>
      <c r="C63" s="5">
        <v>0.83</v>
      </c>
      <c r="E63" s="17">
        <f t="shared" si="0"/>
        <v>38.280826758247571</v>
      </c>
      <c r="F63" s="17">
        <f t="shared" si="1"/>
        <v>-29.280826758247571</v>
      </c>
      <c r="G63" s="17">
        <f t="shared" si="2"/>
        <v>857.36681564650689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0.84</v>
      </c>
      <c r="E64" s="17">
        <f t="shared" si="0"/>
        <v>36.532578103430097</v>
      </c>
      <c r="F64" s="17">
        <f t="shared" si="1"/>
        <v>-31.532578103430097</v>
      </c>
      <c r="G64" s="17">
        <f t="shared" si="2"/>
        <v>994.3034818489192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17">
        <f t="shared" si="0"/>
        <v>33.036080793795179</v>
      </c>
      <c r="F65" s="17">
        <f t="shared" si="1"/>
        <v>-25.036080793795179</v>
      </c>
      <c r="G65" s="17">
        <f t="shared" si="2"/>
        <v>626.80534151343988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17">
        <f t="shared" si="0"/>
        <v>27.791334829342787</v>
      </c>
      <c r="F66" s="17">
        <f t="shared" si="1"/>
        <v>-17.791334829342787</v>
      </c>
      <c r="G66" s="17">
        <f t="shared" si="2"/>
        <v>316.53159500978575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6</v>
      </c>
      <c r="C67" s="5">
        <v>0.92</v>
      </c>
      <c r="E67" s="17">
        <f t="shared" si="0"/>
        <v>22.546588864890396</v>
      </c>
      <c r="F67" s="17">
        <f t="shared" si="1"/>
        <v>-16.546588864890396</v>
      </c>
      <c r="G67" s="17">
        <f t="shared" si="2"/>
        <v>273.78960306371482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17">
        <f t="shared" si="0"/>
        <v>19.050091555255477</v>
      </c>
      <c r="F68" s="17">
        <f t="shared" si="1"/>
        <v>-17.050091555255477</v>
      </c>
      <c r="G68" s="17">
        <f t="shared" si="2"/>
        <v>290.70562204259414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3</v>
      </c>
      <c r="C69" s="5">
        <v>0.97</v>
      </c>
      <c r="E69" s="17">
        <f t="shared" si="0"/>
        <v>13.805345590803086</v>
      </c>
      <c r="F69" s="17">
        <f t="shared" si="1"/>
        <v>-10.805345590803086</v>
      </c>
      <c r="G69" s="17">
        <f t="shared" si="2"/>
        <v>116.75549333668768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11</v>
      </c>
      <c r="C70" s="5">
        <v>0.98</v>
      </c>
      <c r="E70" s="17">
        <f t="shared" si="0"/>
        <v>12.057096935985612</v>
      </c>
      <c r="F70" s="17">
        <f t="shared" si="1"/>
        <v>-1.0570969359856122</v>
      </c>
      <c r="G70" s="17">
        <f t="shared" si="2"/>
        <v>1.1174539320701695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9</v>
      </c>
      <c r="C71" s="5">
        <v>0.98</v>
      </c>
      <c r="E71" s="17">
        <f t="shared" si="0"/>
        <v>12.057096935985612</v>
      </c>
      <c r="F71" s="17">
        <f t="shared" si="1"/>
        <v>-3.0570969359856122</v>
      </c>
      <c r="G71" s="17">
        <f t="shared" si="2"/>
        <v>9.3458416760126184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7</v>
      </c>
      <c r="C72" s="5">
        <v>0.97</v>
      </c>
      <c r="E72" s="17">
        <f t="shared" si="0"/>
        <v>13.805345590803086</v>
      </c>
      <c r="F72" s="17">
        <f t="shared" si="1"/>
        <v>-6.8053455908030855</v>
      </c>
      <c r="G72" s="17">
        <f t="shared" si="2"/>
        <v>46.312728610263001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17">
        <f t="shared" si="0"/>
        <v>8.5605996263506938</v>
      </c>
      <c r="F73" s="17">
        <f t="shared" si="1"/>
        <v>-4.5605996263506938</v>
      </c>
      <c r="G73" s="17">
        <f t="shared" si="2"/>
        <v>20.799068951870087</v>
      </c>
      <c r="O73" s="102" t="s">
        <v>35</v>
      </c>
      <c r="P73" s="119">
        <f xml:space="preserve"> SQRT((1/ (B133-2)) * SUM(G11:G130))</f>
        <v>54.374925999413534</v>
      </c>
      <c r="Q73" s="119"/>
    </row>
    <row r="74" spans="1:23" ht="18" customHeight="1" x14ac:dyDescent="0.2">
      <c r="A74" s="4">
        <v>44291</v>
      </c>
      <c r="B74" s="5">
        <v>6</v>
      </c>
      <c r="C74" s="5">
        <v>1.06</v>
      </c>
      <c r="E74" s="17">
        <f t="shared" si="0"/>
        <v>-1.9288923025540896</v>
      </c>
      <c r="F74" s="17">
        <f t="shared" si="1"/>
        <v>7.9288923025540896</v>
      </c>
      <c r="G74" s="17">
        <f t="shared" si="2"/>
        <v>62.86733314550149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17">
        <f t="shared" si="0"/>
        <v>-15.914881541093763</v>
      </c>
      <c r="F75" s="17">
        <f t="shared" si="1"/>
        <v>17.914881541093763</v>
      </c>
      <c r="G75" s="17">
        <f t="shared" si="2"/>
        <v>320.94298063142202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17">
        <f t="shared" ref="E76:E130" si="3">$P$40 + $P$41*C76</f>
        <v>-15.914881541093763</v>
      </c>
      <c r="F76" s="17">
        <f t="shared" ref="F76:F130" si="4">B76-E76</f>
        <v>18.914881541093763</v>
      </c>
      <c r="G76" s="17">
        <f t="shared" ref="G76:G130" si="5">POWER(F76,2)</f>
        <v>357.77274371360954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17">
        <f t="shared" si="3"/>
        <v>-14.16663288627629</v>
      </c>
      <c r="F77" s="17">
        <f t="shared" si="4"/>
        <v>23.16663288627629</v>
      </c>
      <c r="G77" s="17">
        <f t="shared" si="5"/>
        <v>536.69287928749804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17">
        <f t="shared" si="3"/>
        <v>-12.418384231458873</v>
      </c>
      <c r="F78" s="17">
        <f t="shared" si="4"/>
        <v>17.418384231458873</v>
      </c>
      <c r="G78" s="17">
        <f t="shared" si="5"/>
        <v>303.40010923473511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17">
        <f t="shared" si="3"/>
        <v>-8.9218869218239547</v>
      </c>
      <c r="F79" s="17">
        <f t="shared" si="4"/>
        <v>14.921886921823955</v>
      </c>
      <c r="G79" s="17">
        <f t="shared" si="5"/>
        <v>222.66270930770077</v>
      </c>
      <c r="O79" s="16"/>
      <c r="P79" s="127">
        <f xml:space="preserve"> SQRT( (1/B133) + (POWER(P34,2) / P36))</f>
        <v>0.35912507850684838</v>
      </c>
      <c r="Q79" s="127"/>
      <c r="T79" s="16"/>
      <c r="U79" s="127">
        <f xml:space="preserve"> SQRT( 1/P36 )</f>
        <v>0.4172538733009396</v>
      </c>
      <c r="V79" s="127"/>
    </row>
    <row r="80" spans="1:23" ht="18" customHeight="1" x14ac:dyDescent="0.2">
      <c r="A80" s="4">
        <v>44297</v>
      </c>
      <c r="B80" s="5">
        <v>6</v>
      </c>
      <c r="C80" s="5">
        <v>1.07</v>
      </c>
      <c r="E80" s="17">
        <f t="shared" si="3"/>
        <v>-3.677140957371563</v>
      </c>
      <c r="F80" s="17">
        <f t="shared" si="4"/>
        <v>9.677140957371563</v>
      </c>
      <c r="G80" s="17">
        <f t="shared" si="5"/>
        <v>93.647057108838212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</v>
      </c>
      <c r="C81" s="5">
        <v>1.04</v>
      </c>
      <c r="E81" s="17">
        <f t="shared" si="3"/>
        <v>1.5676050070808287</v>
      </c>
      <c r="F81" s="17">
        <f t="shared" si="4"/>
        <v>0.43239499291917127</v>
      </c>
      <c r="G81" s="17">
        <f t="shared" si="5"/>
        <v>0.18696542990157017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17">
        <f t="shared" si="3"/>
        <v>6.8123509715332204</v>
      </c>
      <c r="F82" s="17">
        <f t="shared" si="4"/>
        <v>-1.8123509715332204</v>
      </c>
      <c r="G82" s="17">
        <f t="shared" si="5"/>
        <v>3.2846160440174081</v>
      </c>
      <c r="O82" s="19" t="s">
        <v>36</v>
      </c>
      <c r="P82" s="119">
        <f>P71*P73*P79</f>
        <v>32.373880590434112</v>
      </c>
      <c r="Q82" s="119"/>
      <c r="T82" s="19" t="s">
        <v>36</v>
      </c>
      <c r="U82" s="119">
        <f>P71*P73*U79</f>
        <v>37.613989884260192</v>
      </c>
      <c r="V82" s="119"/>
    </row>
    <row r="83" spans="1:23" ht="18" customHeight="1" x14ac:dyDescent="0.2">
      <c r="A83" s="4">
        <v>44300</v>
      </c>
      <c r="B83" s="5">
        <v>8</v>
      </c>
      <c r="C83" s="5">
        <v>1.01</v>
      </c>
      <c r="E83" s="17">
        <f t="shared" si="3"/>
        <v>6.8123509715332204</v>
      </c>
      <c r="F83" s="17">
        <f t="shared" si="4"/>
        <v>1.1876490284667796</v>
      </c>
      <c r="G83" s="17">
        <f t="shared" si="5"/>
        <v>1.4105102148180853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17">
        <f t="shared" si="3"/>
        <v>8.5605996263506938</v>
      </c>
      <c r="F84" s="17">
        <f t="shared" si="4"/>
        <v>-6.5605996263506938</v>
      </c>
      <c r="G84" s="17">
        <f t="shared" si="5"/>
        <v>43.041467457272866</v>
      </c>
      <c r="O84" s="16" t="s">
        <v>37</v>
      </c>
      <c r="P84" s="120">
        <f>ROUND(P40-P82,4)</f>
        <v>151.01159999999999</v>
      </c>
      <c r="Q84" s="120"/>
      <c r="T84" s="16" t="s">
        <v>37</v>
      </c>
      <c r="U84" s="120">
        <f>ROUND(P41-U82,4)</f>
        <v>-212.43889999999999</v>
      </c>
      <c r="V84" s="120"/>
    </row>
    <row r="85" spans="1:23" ht="18" customHeight="1" x14ac:dyDescent="0.2">
      <c r="A85" s="4">
        <v>44302</v>
      </c>
      <c r="B85" s="5">
        <v>4</v>
      </c>
      <c r="C85" s="5">
        <v>1</v>
      </c>
      <c r="E85" s="17">
        <f t="shared" si="3"/>
        <v>8.5605996263506938</v>
      </c>
      <c r="F85" s="17">
        <f t="shared" si="4"/>
        <v>-4.5605996263506938</v>
      </c>
      <c r="G85" s="17">
        <f t="shared" si="5"/>
        <v>20.799068951870087</v>
      </c>
      <c r="O85" s="13" t="s">
        <v>38</v>
      </c>
      <c r="P85" s="122">
        <f>ROUND(P40+P82,4)</f>
        <v>215.7593</v>
      </c>
      <c r="Q85" s="122"/>
      <c r="T85" s="13" t="s">
        <v>38</v>
      </c>
      <c r="U85" s="122">
        <f>ROUND(P41+U82,4)</f>
        <v>-137.21090000000001</v>
      </c>
      <c r="V85" s="122"/>
    </row>
    <row r="86" spans="1:23" ht="18" customHeight="1" x14ac:dyDescent="0.2">
      <c r="A86" s="4">
        <v>44303</v>
      </c>
      <c r="B86" s="5">
        <v>5</v>
      </c>
      <c r="C86" s="5">
        <v>1</v>
      </c>
      <c r="E86" s="17">
        <f t="shared" si="3"/>
        <v>8.5605996263506938</v>
      </c>
      <c r="F86" s="17">
        <f t="shared" si="4"/>
        <v>-3.5605996263506938</v>
      </c>
      <c r="G86" s="17">
        <f t="shared" si="5"/>
        <v>12.677869699168701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17">
        <f t="shared" si="3"/>
        <v>10.308848281168167</v>
      </c>
      <c r="F87" s="17">
        <f t="shared" si="4"/>
        <v>-7.3088482811681672</v>
      </c>
      <c r="G87" s="17">
        <f t="shared" si="5"/>
        <v>53.419263197134875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17">
        <f t="shared" si="3"/>
        <v>12.057096935985612</v>
      </c>
      <c r="F88" s="17">
        <f t="shared" si="4"/>
        <v>-11.057096935985612</v>
      </c>
      <c r="G88" s="17">
        <f t="shared" si="5"/>
        <v>122.25939265178241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17">
        <f t="shared" si="3"/>
        <v>13.805345590803086</v>
      </c>
      <c r="F89" s="17">
        <f t="shared" si="4"/>
        <v>-8.8053455908030855</v>
      </c>
      <c r="G89" s="17">
        <f t="shared" si="5"/>
        <v>77.534110973475336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17">
        <f t="shared" si="3"/>
        <v>13.805345590803086</v>
      </c>
      <c r="F90" s="17">
        <f t="shared" si="4"/>
        <v>-12.805345590803086</v>
      </c>
      <c r="G90" s="17">
        <f t="shared" si="5"/>
        <v>163.97687569990003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4</v>
      </c>
      <c r="C91" s="5">
        <v>0.97</v>
      </c>
      <c r="E91" s="17">
        <f t="shared" si="3"/>
        <v>13.805345590803086</v>
      </c>
      <c r="F91" s="17">
        <f t="shared" si="4"/>
        <v>-9.8053455908030855</v>
      </c>
      <c r="G91" s="17">
        <f t="shared" si="5"/>
        <v>96.144802155081507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17">
        <f t="shared" si="3"/>
        <v>15.553594245620559</v>
      </c>
      <c r="F92" s="17">
        <f t="shared" si="4"/>
        <v>-14.553594245620559</v>
      </c>
      <c r="G92" s="17">
        <f t="shared" si="5"/>
        <v>211.80710546615984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2</v>
      </c>
      <c r="C93" s="5">
        <v>0.96</v>
      </c>
      <c r="E93" s="17">
        <f t="shared" si="3"/>
        <v>15.553594245620559</v>
      </c>
      <c r="F93" s="17">
        <f t="shared" si="4"/>
        <v>-13.553594245620559</v>
      </c>
      <c r="G93" s="17">
        <f t="shared" si="5"/>
        <v>183.69991697491872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6</v>
      </c>
      <c r="C94" s="5">
        <v>0.94</v>
      </c>
      <c r="E94" s="17">
        <f t="shared" si="3"/>
        <v>19.050091555255477</v>
      </c>
      <c r="F94" s="17">
        <f t="shared" si="4"/>
        <v>-13.050091555255477</v>
      </c>
      <c r="G94" s="17">
        <f t="shared" si="5"/>
        <v>170.30488960055033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0</v>
      </c>
      <c r="C95" s="5">
        <v>0.92</v>
      </c>
      <c r="E95" s="17">
        <f t="shared" si="3"/>
        <v>22.546588864890396</v>
      </c>
      <c r="F95" s="17">
        <f t="shared" si="4"/>
        <v>-22.546588864890396</v>
      </c>
      <c r="G95" s="17">
        <f t="shared" si="5"/>
        <v>508.34866944239957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5</v>
      </c>
      <c r="C96" s="5">
        <v>0.91</v>
      </c>
      <c r="E96" s="17">
        <f t="shared" si="3"/>
        <v>24.294837519707841</v>
      </c>
      <c r="F96" s="17">
        <f t="shared" si="4"/>
        <v>-19.294837519707841</v>
      </c>
      <c r="G96" s="17">
        <f t="shared" si="5"/>
        <v>372.29075491192543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17">
        <f t="shared" si="3"/>
        <v>26.043086174525314</v>
      </c>
      <c r="F97" s="17">
        <f t="shared" si="4"/>
        <v>-23.043086174525314</v>
      </c>
      <c r="G97" s="17">
        <f t="shared" si="5"/>
        <v>530.98382044659968</v>
      </c>
      <c r="O97" s="102" t="s">
        <v>35</v>
      </c>
      <c r="P97" s="119">
        <f xml:space="preserve"> SQRT((1/ (B133-2)) * SUM(G11:G130))</f>
        <v>54.374925999413534</v>
      </c>
      <c r="Q97" s="119"/>
    </row>
    <row r="98" spans="1:22" ht="18" customHeight="1" x14ac:dyDescent="0.2">
      <c r="A98" s="4">
        <v>44315</v>
      </c>
      <c r="B98" s="5">
        <v>1</v>
      </c>
      <c r="C98" s="5">
        <v>0.89</v>
      </c>
      <c r="E98" s="17">
        <f t="shared" si="3"/>
        <v>27.791334829342787</v>
      </c>
      <c r="F98" s="17">
        <f t="shared" si="4"/>
        <v>-26.791334829342787</v>
      </c>
      <c r="G98" s="17">
        <f t="shared" si="5"/>
        <v>717.77562193795598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17">
        <f t="shared" si="3"/>
        <v>29.539583484160232</v>
      </c>
      <c r="F99" s="17">
        <f t="shared" si="4"/>
        <v>-29.539583484160232</v>
      </c>
      <c r="G99" s="17">
        <f t="shared" si="5"/>
        <v>872.58699241767192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17">
        <f t="shared" si="3"/>
        <v>31.287832138977706</v>
      </c>
      <c r="F100" s="17">
        <f t="shared" si="4"/>
        <v>-29.287832138977706</v>
      </c>
      <c r="G100" s="17">
        <f t="shared" si="5"/>
        <v>857.77711140093538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17">
        <f t="shared" si="3"/>
        <v>33.036080793795179</v>
      </c>
      <c r="F101" s="17">
        <f t="shared" si="4"/>
        <v>-32.036080793795179</v>
      </c>
      <c r="G101" s="17">
        <f t="shared" si="5"/>
        <v>1026.3104726265724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17">
        <f t="shared" si="3"/>
        <v>33.036080793795179</v>
      </c>
      <c r="F102" s="17">
        <f t="shared" si="4"/>
        <v>-33.036080793795179</v>
      </c>
      <c r="G102" s="17">
        <f t="shared" si="5"/>
        <v>1091.3826342141626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17">
        <f t="shared" si="3"/>
        <v>34.784329448612624</v>
      </c>
      <c r="F103" s="17">
        <f t="shared" si="4"/>
        <v>-30.784329448612624</v>
      </c>
      <c r="G103" s="17">
        <f t="shared" si="5"/>
        <v>947.6749396007184</v>
      </c>
      <c r="O103" s="16"/>
      <c r="P103" s="127">
        <f>SQRT( (1/B133) + (POWER(P34,2) / P36))</f>
        <v>0.35912507850684838</v>
      </c>
      <c r="Q103" s="127"/>
      <c r="T103" s="16"/>
      <c r="U103" s="127">
        <f>SQRT( 1/P36 )</f>
        <v>0.4172538733009396</v>
      </c>
      <c r="V103" s="127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17">
        <f t="shared" si="3"/>
        <v>34.784329448612624</v>
      </c>
      <c r="F104" s="17">
        <f t="shared" si="4"/>
        <v>-32.784329448612624</v>
      </c>
      <c r="G104" s="17">
        <f t="shared" si="5"/>
        <v>1074.8122573951689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17">
        <f t="shared" si="3"/>
        <v>31.287832138977706</v>
      </c>
      <c r="F105" s="17">
        <f t="shared" si="4"/>
        <v>-26.287832138977706</v>
      </c>
      <c r="G105" s="17">
        <f t="shared" si="5"/>
        <v>691.05011856706915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17">
        <f t="shared" si="3"/>
        <v>27.791334829342787</v>
      </c>
      <c r="F106" s="17">
        <f t="shared" si="4"/>
        <v>-26.791334829342787</v>
      </c>
      <c r="G106" s="17">
        <f t="shared" si="5"/>
        <v>717.77562193795598</v>
      </c>
      <c r="O106" s="19" t="s">
        <v>36</v>
      </c>
      <c r="P106" s="119">
        <f>P95*P97*P103</f>
        <v>38.669567465655554</v>
      </c>
      <c r="Q106" s="119"/>
      <c r="T106" s="19" t="s">
        <v>36</v>
      </c>
      <c r="U106" s="119">
        <f>P95*P97*U103</f>
        <v>44.928710829670145</v>
      </c>
      <c r="V106" s="119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17">
        <f t="shared" si="3"/>
        <v>24.294837519707841</v>
      </c>
      <c r="F107" s="17">
        <f t="shared" si="4"/>
        <v>-22.294837519707841</v>
      </c>
      <c r="G107" s="17">
        <f t="shared" si="5"/>
        <v>497.05978003017248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17">
        <f t="shared" si="3"/>
        <v>20.798340210072922</v>
      </c>
      <c r="F108" s="17">
        <f t="shared" si="4"/>
        <v>-19.798340210072922</v>
      </c>
      <c r="G108" s="17">
        <f t="shared" si="5"/>
        <v>391.9742750737903</v>
      </c>
      <c r="O108" s="16" t="s">
        <v>37</v>
      </c>
      <c r="P108" s="120">
        <f>ROUND(P40-P106,4)</f>
        <v>144.7159</v>
      </c>
      <c r="Q108" s="120"/>
      <c r="T108" s="16" t="s">
        <v>37</v>
      </c>
      <c r="U108" s="120">
        <f>ROUND(P41-U106,4)</f>
        <v>-219.75360000000001</v>
      </c>
      <c r="V108" s="120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17">
        <f t="shared" si="3"/>
        <v>17.301842900438004</v>
      </c>
      <c r="F109" s="17">
        <f t="shared" si="4"/>
        <v>-16.301842900438004</v>
      </c>
      <c r="G109" s="17">
        <f t="shared" si="5"/>
        <v>265.75008195056097</v>
      </c>
      <c r="O109" s="13" t="s">
        <v>38</v>
      </c>
      <c r="P109" s="122">
        <f>ROUND(P40+P106,4)</f>
        <v>222.05500000000001</v>
      </c>
      <c r="Q109" s="122"/>
      <c r="T109" s="13" t="s">
        <v>38</v>
      </c>
      <c r="U109" s="122">
        <f>ROUND(P41+U106,4)</f>
        <v>-129.89619999999999</v>
      </c>
      <c r="V109" s="122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17">
        <f t="shared" si="3"/>
        <v>13.805345590803086</v>
      </c>
      <c r="F110" s="17">
        <f t="shared" si="4"/>
        <v>-12.805345590803086</v>
      </c>
      <c r="G110" s="17">
        <f t="shared" si="5"/>
        <v>163.97687569990003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17">
        <f t="shared" si="3"/>
        <v>8.5605996263506938</v>
      </c>
      <c r="F111" s="17">
        <f t="shared" si="4"/>
        <v>-4.5605996263506938</v>
      </c>
      <c r="G111" s="17">
        <f t="shared" si="5"/>
        <v>20.799068951870087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17">
        <f t="shared" si="3"/>
        <v>5.0641023167157755</v>
      </c>
      <c r="F112" s="17">
        <f t="shared" si="4"/>
        <v>-4.0641023167157755</v>
      </c>
      <c r="G112" s="17">
        <f t="shared" si="5"/>
        <v>16.516927640734533</v>
      </c>
    </row>
    <row r="113" spans="1:25" ht="18" customHeight="1" x14ac:dyDescent="0.2">
      <c r="A113" s="4">
        <v>44330</v>
      </c>
      <c r="B113" s="5">
        <v>0</v>
      </c>
      <c r="C113" s="5">
        <v>1.04</v>
      </c>
      <c r="E113" s="17">
        <f t="shared" si="3"/>
        <v>1.5676050070808287</v>
      </c>
      <c r="F113" s="17">
        <f t="shared" si="4"/>
        <v>-1.5676050070808287</v>
      </c>
      <c r="G113" s="17">
        <f t="shared" si="5"/>
        <v>2.4573854582248851</v>
      </c>
    </row>
    <row r="114" spans="1:25" ht="18" customHeight="1" x14ac:dyDescent="0.2">
      <c r="A114" s="4">
        <v>44331</v>
      </c>
      <c r="B114" s="5">
        <v>7</v>
      </c>
      <c r="C114" s="5">
        <v>1.05</v>
      </c>
      <c r="E114" s="17">
        <f t="shared" si="3"/>
        <v>-0.18064364773661623</v>
      </c>
      <c r="F114" s="17">
        <f t="shared" si="4"/>
        <v>7.1806436477366162</v>
      </c>
      <c r="G114" s="17">
        <f t="shared" si="5"/>
        <v>51.561643195780221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1.06</v>
      </c>
      <c r="E115" s="17">
        <f t="shared" si="3"/>
        <v>-1.9288923025540896</v>
      </c>
      <c r="F115" s="17">
        <f t="shared" si="4"/>
        <v>2.9288923025540896</v>
      </c>
      <c r="G115" s="17">
        <f t="shared" si="5"/>
        <v>8.578410119960596</v>
      </c>
    </row>
    <row r="116" spans="1:25" ht="18" customHeight="1" x14ac:dyDescent="0.2">
      <c r="A116" s="4">
        <v>44333</v>
      </c>
      <c r="B116" s="5">
        <v>2</v>
      </c>
      <c r="C116" s="5">
        <v>1.07</v>
      </c>
      <c r="E116" s="17">
        <f t="shared" si="3"/>
        <v>-3.677140957371563</v>
      </c>
      <c r="F116" s="17">
        <f t="shared" si="4"/>
        <v>5.677140957371563</v>
      </c>
      <c r="G116" s="17">
        <f t="shared" si="5"/>
        <v>32.229929449865708</v>
      </c>
    </row>
    <row r="117" spans="1:25" ht="18" customHeight="1" x14ac:dyDescent="0.2">
      <c r="A117" s="4">
        <v>44334</v>
      </c>
      <c r="B117" s="5">
        <v>2</v>
      </c>
      <c r="C117" s="5">
        <v>1.08</v>
      </c>
      <c r="E117" s="17">
        <f t="shared" si="3"/>
        <v>-5.4253896121890079</v>
      </c>
      <c r="F117" s="17">
        <f t="shared" si="4"/>
        <v>7.4253896121890079</v>
      </c>
      <c r="G117" s="17">
        <f t="shared" si="5"/>
        <v>55.136410892804427</v>
      </c>
    </row>
    <row r="118" spans="1:25" ht="18" customHeight="1" x14ac:dyDescent="0.2">
      <c r="A118" s="4">
        <v>44335</v>
      </c>
      <c r="B118" s="5">
        <v>2</v>
      </c>
      <c r="C118" s="5">
        <v>1.0900000000000001</v>
      </c>
      <c r="E118" s="17">
        <f t="shared" si="3"/>
        <v>-7.1736382670064813</v>
      </c>
      <c r="F118" s="17">
        <f t="shared" si="4"/>
        <v>9.1736382670064813</v>
      </c>
      <c r="G118" s="17">
        <f t="shared" si="5"/>
        <v>84.155639053885679</v>
      </c>
    </row>
    <row r="119" spans="1:25" ht="18" customHeight="1" x14ac:dyDescent="0.2">
      <c r="A119" s="4">
        <v>44336</v>
      </c>
      <c r="B119" s="5">
        <v>1</v>
      </c>
      <c r="C119" s="5">
        <v>1.1000000000000001</v>
      </c>
      <c r="E119" s="17">
        <f t="shared" si="3"/>
        <v>-8.9218869218239547</v>
      </c>
      <c r="F119" s="17">
        <f t="shared" si="4"/>
        <v>9.9218869218239547</v>
      </c>
      <c r="G119" s="17">
        <f t="shared" si="5"/>
        <v>98.443840089461233</v>
      </c>
    </row>
    <row r="120" spans="1:25" ht="18" customHeight="1" x14ac:dyDescent="0.2">
      <c r="A120" s="4">
        <v>44337</v>
      </c>
      <c r="B120" s="5">
        <v>3</v>
      </c>
      <c r="C120" s="5">
        <v>1.1200000000000001</v>
      </c>
      <c r="E120" s="17">
        <f t="shared" si="3"/>
        <v>-12.418384231458873</v>
      </c>
      <c r="F120" s="17">
        <f t="shared" si="4"/>
        <v>15.418384231458873</v>
      </c>
      <c r="G120" s="17">
        <f t="shared" si="5"/>
        <v>237.72657230889962</v>
      </c>
    </row>
    <row r="121" spans="1:25" ht="18" customHeight="1" x14ac:dyDescent="0.25">
      <c r="A121" s="4">
        <v>44338</v>
      </c>
      <c r="B121" s="5">
        <v>0</v>
      </c>
      <c r="C121" s="5">
        <v>1.1200000000000001</v>
      </c>
      <c r="E121" s="17">
        <f t="shared" si="3"/>
        <v>-12.418384231458873</v>
      </c>
      <c r="F121" s="17">
        <f t="shared" si="4"/>
        <v>12.418384231458873</v>
      </c>
      <c r="G121" s="17">
        <f t="shared" si="5"/>
        <v>154.21626692014638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0</v>
      </c>
      <c r="C122" s="5">
        <v>1.1200000000000001</v>
      </c>
      <c r="E122" s="17">
        <f t="shared" si="3"/>
        <v>-12.418384231458873</v>
      </c>
      <c r="F122" s="17">
        <f t="shared" si="4"/>
        <v>12.418384231458873</v>
      </c>
      <c r="G122" s="17">
        <f t="shared" si="5"/>
        <v>154.21626692014638</v>
      </c>
    </row>
    <row r="123" spans="1:25" ht="18" customHeight="1" x14ac:dyDescent="0.2">
      <c r="A123" s="4">
        <v>44340</v>
      </c>
      <c r="B123" s="5">
        <v>1</v>
      </c>
      <c r="C123" s="5">
        <v>1.1100000000000001</v>
      </c>
      <c r="E123" s="17">
        <f t="shared" si="3"/>
        <v>-10.6701355766414</v>
      </c>
      <c r="F123" s="17">
        <f t="shared" si="4"/>
        <v>11.6701355766414</v>
      </c>
      <c r="G123" s="17">
        <f t="shared" si="5"/>
        <v>136.19206437719129</v>
      </c>
    </row>
    <row r="124" spans="1:25" ht="18" customHeight="1" x14ac:dyDescent="0.2">
      <c r="A124" s="4">
        <v>44341</v>
      </c>
      <c r="B124" s="5">
        <v>3</v>
      </c>
      <c r="C124" s="5">
        <v>1.1200000000000001</v>
      </c>
      <c r="E124" s="17">
        <f t="shared" si="3"/>
        <v>-12.418384231458873</v>
      </c>
      <c r="F124" s="17">
        <f t="shared" si="4"/>
        <v>15.418384231458873</v>
      </c>
      <c r="G124" s="17">
        <f t="shared" si="5"/>
        <v>237.72657230889962</v>
      </c>
    </row>
    <row r="125" spans="1:25" ht="18" customHeight="1" x14ac:dyDescent="0.2">
      <c r="A125" s="4">
        <v>44342</v>
      </c>
      <c r="B125" s="5">
        <v>1</v>
      </c>
      <c r="C125" s="5">
        <v>1.1299999999999999</v>
      </c>
      <c r="E125" s="17">
        <f t="shared" si="3"/>
        <v>-14.16663288627629</v>
      </c>
      <c r="F125" s="17">
        <f t="shared" si="4"/>
        <v>15.16663288627629</v>
      </c>
      <c r="G125" s="17">
        <f t="shared" si="5"/>
        <v>230.02675310707747</v>
      </c>
    </row>
    <row r="126" spans="1:25" ht="18" customHeight="1" x14ac:dyDescent="0.25">
      <c r="A126" s="4">
        <v>44343</v>
      </c>
      <c r="B126" s="5">
        <v>0</v>
      </c>
      <c r="C126" s="5">
        <v>1.1399999999999999</v>
      </c>
      <c r="E126" s="17">
        <f t="shared" si="3"/>
        <v>-15.914881541093763</v>
      </c>
      <c r="F126" s="17">
        <f t="shared" si="4"/>
        <v>15.914881541093763</v>
      </c>
      <c r="G126" s="17">
        <f t="shared" si="5"/>
        <v>253.28345446704699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1.1599999999999999</v>
      </c>
      <c r="E127" s="17">
        <f t="shared" si="3"/>
        <v>-19.411378850728681</v>
      </c>
      <c r="F127" s="17">
        <f t="shared" si="4"/>
        <v>20.411378850728681</v>
      </c>
      <c r="G127" s="17">
        <f t="shared" si="5"/>
        <v>416.62438658797413</v>
      </c>
    </row>
    <row r="128" spans="1:25" ht="18" customHeight="1" x14ac:dyDescent="0.2">
      <c r="A128" s="4">
        <v>44345</v>
      </c>
      <c r="B128" s="5">
        <v>0</v>
      </c>
      <c r="C128" s="5">
        <v>1.1599999999999999</v>
      </c>
      <c r="E128" s="17">
        <f t="shared" si="3"/>
        <v>-19.411378850728681</v>
      </c>
      <c r="F128" s="17">
        <f t="shared" si="4"/>
        <v>19.411378850728681</v>
      </c>
      <c r="G128" s="17">
        <f t="shared" si="5"/>
        <v>376.80162888651677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17">
        <f t="shared" si="3"/>
        <v>-19.411378850728681</v>
      </c>
      <c r="F129" s="17">
        <f t="shared" si="4"/>
        <v>19.411378850728681</v>
      </c>
      <c r="G129" s="17">
        <f t="shared" si="5"/>
        <v>376.80162888651677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17">
        <f t="shared" si="3"/>
        <v>-19.411378850728681</v>
      </c>
      <c r="F130" s="17">
        <f t="shared" si="4"/>
        <v>21.411378850728681</v>
      </c>
      <c r="G130" s="17">
        <f t="shared" si="5"/>
        <v>458.44714428943149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9.3911999999999995</v>
      </c>
      <c r="U132" s="21" t="s">
        <v>49</v>
      </c>
      <c r="V132">
        <f xml:space="preserve"> ROUND((P41-0) / (P73 / SQRT(P36)),4)</f>
        <v>-7.7055999999999996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9.3791641120333225E-12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175551.94752854601</v>
      </c>
      <c r="O179" s="121"/>
    </row>
    <row r="180" spans="13:19" ht="18" customHeight="1" x14ac:dyDescent="0.2">
      <c r="M180" s="105" t="s">
        <v>62</v>
      </c>
      <c r="N180" s="122">
        <f>SUM(G11:G130)</f>
        <v>348882.64413812041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175551.94752854601</v>
      </c>
      <c r="P188" s="117"/>
      <c r="Q188" s="117">
        <f>O188/N188</f>
        <v>175551.94752854601</v>
      </c>
      <c r="R188" s="117"/>
      <c r="S188" s="77">
        <f>Q188/Q189</f>
        <v>59.375638646465433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348882.64413812041</v>
      </c>
      <c r="P189" s="117"/>
      <c r="Q189" s="117">
        <f>O189/N189</f>
        <v>2956.6325774416982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9.3791641120333225E-12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4.8099999999999996</v>
      </c>
      <c r="E208" s="17">
        <f>$P$234 + $P$235*C208</f>
        <v>448.24255455853051</v>
      </c>
      <c r="F208" s="17">
        <f>B208-E208</f>
        <v>1227.7574454414694</v>
      </c>
      <c r="G208" s="17">
        <f>POWER(F208,2)</f>
        <v>1507388.3448369626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3.53</v>
      </c>
      <c r="E209" s="17">
        <f t="shared" ref="E209:E224" si="6">$P$234 + $P$235*C209</f>
        <v>680.62922833173934</v>
      </c>
      <c r="F209" s="17">
        <f t="shared" ref="F209:F224" si="7">B209-E209</f>
        <v>482.37077166826066</v>
      </c>
      <c r="G209" s="17">
        <f t="shared" ref="G209:G224" si="8">POWER(F209,2)</f>
        <v>232681.56135983326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3.34</v>
      </c>
      <c r="E210" s="17">
        <f t="shared" si="6"/>
        <v>715.12412521995009</v>
      </c>
      <c r="F210" s="17">
        <f t="shared" si="7"/>
        <v>-74.124125219950088</v>
      </c>
      <c r="G210" s="17">
        <f t="shared" si="8"/>
        <v>5494.3859396228409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3.5600000000000005</v>
      </c>
      <c r="E211" s="17">
        <f t="shared" si="6"/>
        <v>675.18266566517968</v>
      </c>
      <c r="F211" s="17">
        <f t="shared" si="7"/>
        <v>-320.18266566517968</v>
      </c>
      <c r="G211" s="17">
        <f t="shared" si="8"/>
        <v>102516.93939246023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4.3</v>
      </c>
      <c r="E212" s="17">
        <f t="shared" si="6"/>
        <v>540.83411989004344</v>
      </c>
      <c r="F212" s="17">
        <f t="shared" si="7"/>
        <v>-317.83411989004344</v>
      </c>
      <c r="G212" s="17">
        <f t="shared" si="8"/>
        <v>101018.52776627851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4.67</v>
      </c>
      <c r="E213" s="17">
        <f t="shared" si="6"/>
        <v>473.6598470024752</v>
      </c>
      <c r="F213" s="17">
        <f t="shared" si="7"/>
        <v>-329.6598470024752</v>
      </c>
      <c r="G213" s="17">
        <f t="shared" si="8"/>
        <v>108675.61472569536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5.19</v>
      </c>
      <c r="E214" s="17">
        <f t="shared" si="6"/>
        <v>379.25276078210902</v>
      </c>
      <c r="F214" s="17">
        <f t="shared" si="7"/>
        <v>-295.25276078210902</v>
      </c>
      <c r="G214" s="17">
        <f t="shared" si="8"/>
        <v>87174.192749457288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5.8500000000000005</v>
      </c>
      <c r="E215" s="17">
        <f t="shared" si="6"/>
        <v>259.42838211779826</v>
      </c>
      <c r="F215" s="17">
        <f t="shared" si="7"/>
        <v>-190.42838211779826</v>
      </c>
      <c r="G215" s="17">
        <f t="shared" si="8"/>
        <v>36262.968716002193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6.76</v>
      </c>
      <c r="E216" s="17">
        <f t="shared" si="6"/>
        <v>94.215981232157674</v>
      </c>
      <c r="F216" s="17">
        <f t="shared" si="7"/>
        <v>-52.215981232157674</v>
      </c>
      <c r="G216" s="17">
        <f t="shared" si="8"/>
        <v>2726.5086960370422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7.76</v>
      </c>
      <c r="E217" s="17">
        <f t="shared" si="6"/>
        <v>-87.336107653161662</v>
      </c>
      <c r="F217" s="17">
        <f t="shared" si="7"/>
        <v>124.33610765316166</v>
      </c>
      <c r="G217" s="17">
        <f t="shared" si="8"/>
        <v>15459.467666338605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7.05</v>
      </c>
      <c r="E218" s="17">
        <f t="shared" si="6"/>
        <v>41.565875455414925</v>
      </c>
      <c r="F218" s="17">
        <f t="shared" si="7"/>
        <v>-12.565875455414925</v>
      </c>
      <c r="G218" s="17">
        <f t="shared" si="8"/>
        <v>157.90122596099926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6.75</v>
      </c>
      <c r="E219" s="17">
        <f t="shared" si="6"/>
        <v>96.031502121010817</v>
      </c>
      <c r="F219" s="17">
        <f t="shared" si="7"/>
        <v>-76.031502121010817</v>
      </c>
      <c r="G219" s="17">
        <f t="shared" si="8"/>
        <v>5780.789314777272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6.23</v>
      </c>
      <c r="E220" s="17">
        <f t="shared" si="6"/>
        <v>190.43858834137677</v>
      </c>
      <c r="F220" s="17">
        <f t="shared" si="7"/>
        <v>-178.43858834137677</v>
      </c>
      <c r="G220" s="17">
        <f t="shared" si="8"/>
        <v>31840.329809263323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6.16</v>
      </c>
      <c r="E221" s="17">
        <f t="shared" si="6"/>
        <v>203.14723456334923</v>
      </c>
      <c r="F221" s="17">
        <f t="shared" si="7"/>
        <v>-188.14723456334923</v>
      </c>
      <c r="G221" s="17">
        <f t="shared" si="8"/>
        <v>35399.381873835955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7.09</v>
      </c>
      <c r="E222" s="17">
        <f t="shared" si="6"/>
        <v>34.303791900002125</v>
      </c>
      <c r="F222" s="17">
        <f t="shared" si="7"/>
        <v>-19.303791900002125</v>
      </c>
      <c r="G222" s="17">
        <f t="shared" si="8"/>
        <v>372.63638171858764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7.7</v>
      </c>
      <c r="E223" s="17">
        <f t="shared" si="6"/>
        <v>-76.442982320042574</v>
      </c>
      <c r="F223" s="17">
        <f t="shared" si="7"/>
        <v>86.442982320042574</v>
      </c>
      <c r="G223" s="81">
        <f t="shared" si="8"/>
        <v>7472.3891923831934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7.98</v>
      </c>
      <c r="D224" s="31"/>
      <c r="E224" s="17">
        <f t="shared" si="6"/>
        <v>-127.27756720793218</v>
      </c>
      <c r="F224" s="17">
        <f t="shared" si="7"/>
        <v>133.27756720793218</v>
      </c>
      <c r="G224" s="17">
        <f t="shared" si="8"/>
        <v>17762.90992086488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5.8076470588235294</v>
      </c>
      <c r="Q228" s="130"/>
    </row>
    <row r="229" spans="1:25" ht="18" customHeight="1" x14ac:dyDescent="0.2">
      <c r="A229" s="1"/>
      <c r="O229" s="14"/>
      <c r="P229" s="130">
        <f>AVERAGE(B208:B224)</f>
        <v>267.11764705882354</v>
      </c>
      <c r="Q229" s="130"/>
    </row>
    <row r="230" spans="1:25" ht="18" customHeight="1" x14ac:dyDescent="0.2">
      <c r="A230" s="1"/>
      <c r="O230" s="14"/>
      <c r="P230" s="130">
        <f>SUMPRODUCT(POWER(C208:C224-P228,2))</f>
        <v>38.671905882352945</v>
      </c>
      <c r="Q230" s="130"/>
    </row>
    <row r="231" spans="1:25" ht="18" customHeight="1" x14ac:dyDescent="0.2">
      <c r="A231" s="1"/>
      <c r="O231" s="14"/>
      <c r="P231" s="130">
        <f>SUMPRODUCT(POWER(B208:B224-P229,2))</f>
        <v>3572855.7647058833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-7020.9652941176491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1321.5081020969169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-181.55208888531942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0.35676528779306066</v>
      </c>
      <c r="Q244" s="120"/>
    </row>
    <row r="245" spans="1:25" ht="18" customHeight="1" x14ac:dyDescent="0.2">
      <c r="A245" s="1"/>
      <c r="O245" s="32"/>
      <c r="P245" s="122">
        <f>P232 / (SQRT(P230) * SQRT(P231))</f>
        <v>-0.59729832394964955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391.42345778517085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0.96488392152478164</v>
      </c>
      <c r="Q266" s="127"/>
      <c r="T266" s="16"/>
      <c r="U266" s="127">
        <f xml:space="preserve"> SQRT( 1/P230 )</f>
        <v>0.16080598623374892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662.08890446810528</v>
      </c>
      <c r="Q269" s="119"/>
      <c r="T269" s="19" t="s">
        <v>36</v>
      </c>
      <c r="U269" s="119">
        <f>P258*P260*U266</f>
        <v>110.34266079298698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659.41920000000005</v>
      </c>
      <c r="Q271" s="120"/>
      <c r="T271" s="16" t="s">
        <v>37</v>
      </c>
      <c r="U271" s="120">
        <f>ROUND(P235-U269,4)</f>
        <v>-291.8947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1983.597</v>
      </c>
      <c r="Q272" s="122"/>
      <c r="T272" s="13" t="s">
        <v>38</v>
      </c>
      <c r="U272" s="122">
        <f>ROUND(P235+U269,4)</f>
        <v>-71.209400000000002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391.42345778517085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0.96488392152478164</v>
      </c>
      <c r="Q290" s="127"/>
      <c r="T290" s="16"/>
      <c r="U290" s="127">
        <f xml:space="preserve"> SQRT( 1/P230 )</f>
        <v>0.16080598623374892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805.00202972845557</v>
      </c>
      <c r="Q293" s="119"/>
      <c r="T293" s="19" t="s">
        <v>36</v>
      </c>
      <c r="U293" s="119">
        <f>P282*P284*U290</f>
        <v>134.16032998672912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516.50609999999995</v>
      </c>
      <c r="Q295" s="120"/>
      <c r="T295" s="16" t="s">
        <v>37</v>
      </c>
      <c r="U295" s="120">
        <f>ROUND(P235-U293,4)</f>
        <v>-315.7124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2126.5101</v>
      </c>
      <c r="Q296" s="122"/>
      <c r="T296" s="13" t="s">
        <v>38</v>
      </c>
      <c r="U296" s="122">
        <f>ROUND(P235+U293,4)</f>
        <v>-47.391800000000003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3.4990000000000001</v>
      </c>
      <c r="T319" s="21" t="s">
        <v>49</v>
      </c>
      <c r="U319">
        <f>ROUND( (P235-0) / (P284 / SQRT(P230)),4)</f>
        <v>-2.8843999999999999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-1051.4705882352928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1346022.7525086321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2298184.8495674916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1346022.7525086321</v>
      </c>
      <c r="P371" s="117"/>
      <c r="Q371" s="117">
        <f>O371/N371</f>
        <v>1346022.7525086321</v>
      </c>
      <c r="R371" s="117"/>
      <c r="S371" s="77">
        <f>Q371/Q372</f>
        <v>8.7853426113348618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2298184.8495674916</v>
      </c>
      <c r="P372" s="117"/>
      <c r="Q372" s="117">
        <f>O372/N372</f>
        <v>153212.32330449944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-1051.4705882352928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EA5-2039-4787-A973-30B54AB6E719}">
  <dimension ref="A3:AD444"/>
  <sheetViews>
    <sheetView topLeftCell="E270" zoomScaleNormal="100" workbookViewId="0">
      <selection activeCell="P349" sqref="P34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80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865</v>
      </c>
      <c r="E11" s="17">
        <f>$P$40 + $P$41*C11</f>
        <v>166.3299868744478</v>
      </c>
      <c r="F11" s="17">
        <f>B11-E11</f>
        <v>108.6700131255522</v>
      </c>
      <c r="G11" s="17">
        <f>POWER(F11,2)</f>
        <v>11809.171752707687</v>
      </c>
    </row>
    <row r="12" spans="1:30" ht="18" customHeight="1" x14ac:dyDescent="0.2">
      <c r="A12" s="4">
        <v>44229</v>
      </c>
      <c r="B12" s="5">
        <v>260</v>
      </c>
      <c r="C12" s="5">
        <v>852</v>
      </c>
      <c r="E12" s="17">
        <f t="shared" ref="E12:E75" si="0">$P$40 + $P$41*C12</f>
        <v>163.47082544549124</v>
      </c>
      <c r="F12" s="17">
        <f t="shared" ref="F12:F75" si="1">B12-E12</f>
        <v>96.529174554508757</v>
      </c>
      <c r="G12" s="17">
        <f t="shared" ref="G12:G75" si="2">POWER(F12,2)</f>
        <v>9317.8815401748216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877</v>
      </c>
      <c r="E13" s="17">
        <f t="shared" si="0"/>
        <v>168.96921280886923</v>
      </c>
      <c r="F13" s="17">
        <f t="shared" si="1"/>
        <v>71.03078719113077</v>
      </c>
      <c r="G13" s="17">
        <f t="shared" si="2"/>
        <v>5045.3727289917069</v>
      </c>
    </row>
    <row r="14" spans="1:30" ht="18" customHeight="1" x14ac:dyDescent="0.2">
      <c r="A14" s="4">
        <v>44231</v>
      </c>
      <c r="B14" s="5">
        <v>225</v>
      </c>
      <c r="C14" s="5">
        <v>863</v>
      </c>
      <c r="E14" s="17">
        <f t="shared" si="0"/>
        <v>165.89011588537758</v>
      </c>
      <c r="F14" s="17">
        <f t="shared" si="1"/>
        <v>59.109884114622417</v>
      </c>
      <c r="G14" s="17">
        <f t="shared" si="2"/>
        <v>3493.9784000440918</v>
      </c>
    </row>
    <row r="15" spans="1:30" ht="18" customHeight="1" x14ac:dyDescent="0.2">
      <c r="A15" s="4">
        <v>44232</v>
      </c>
      <c r="B15" s="5">
        <v>258</v>
      </c>
      <c r="C15" s="5">
        <v>904</v>
      </c>
      <c r="E15" s="17">
        <f t="shared" si="0"/>
        <v>174.90747116131746</v>
      </c>
      <c r="F15" s="17">
        <f t="shared" si="1"/>
        <v>83.09252883868254</v>
      </c>
      <c r="G15" s="17">
        <f t="shared" si="2"/>
        <v>6904.3683488072893</v>
      </c>
    </row>
    <row r="16" spans="1:30" ht="18" customHeight="1" x14ac:dyDescent="0.2">
      <c r="A16" s="4">
        <v>44233</v>
      </c>
      <c r="B16" s="5">
        <v>214</v>
      </c>
      <c r="C16" s="5">
        <v>891</v>
      </c>
      <c r="E16" s="17">
        <f t="shared" si="0"/>
        <v>172.04830973236091</v>
      </c>
      <c r="F16" s="17">
        <f t="shared" si="1"/>
        <v>41.951690267639094</v>
      </c>
      <c r="G16" s="17">
        <f t="shared" si="2"/>
        <v>1759.9443163119247</v>
      </c>
    </row>
    <row r="17" spans="1:24" ht="18" customHeight="1" x14ac:dyDescent="0.2">
      <c r="A17" s="4">
        <v>44234</v>
      </c>
      <c r="B17" s="5">
        <v>204</v>
      </c>
      <c r="C17" s="5">
        <v>865</v>
      </c>
      <c r="E17" s="17">
        <f t="shared" si="0"/>
        <v>166.3299868744478</v>
      </c>
      <c r="F17" s="17">
        <f t="shared" si="1"/>
        <v>37.670013125552202</v>
      </c>
      <c r="G17" s="17">
        <f t="shared" si="2"/>
        <v>1419.0298888792752</v>
      </c>
    </row>
    <row r="18" spans="1:24" ht="18" customHeight="1" x14ac:dyDescent="0.2">
      <c r="A18" s="4">
        <v>44235</v>
      </c>
      <c r="B18" s="5">
        <v>196</v>
      </c>
      <c r="C18" s="5">
        <v>877</v>
      </c>
      <c r="E18" s="17">
        <f t="shared" si="0"/>
        <v>168.96921280886923</v>
      </c>
      <c r="F18" s="17">
        <f t="shared" si="1"/>
        <v>27.03078719113077</v>
      </c>
      <c r="G18" s="17">
        <f t="shared" si="2"/>
        <v>730.66345617219929</v>
      </c>
    </row>
    <row r="19" spans="1:24" ht="18" customHeight="1" x14ac:dyDescent="0.2">
      <c r="A19" s="4">
        <v>44236</v>
      </c>
      <c r="B19" s="5">
        <v>203</v>
      </c>
      <c r="C19" s="5">
        <v>862</v>
      </c>
      <c r="E19" s="17">
        <f t="shared" si="0"/>
        <v>165.67018039084246</v>
      </c>
      <c r="F19" s="17">
        <f t="shared" si="1"/>
        <v>37.329819609157539</v>
      </c>
      <c r="G19" s="17">
        <f t="shared" si="2"/>
        <v>1393.5154320522427</v>
      </c>
    </row>
    <row r="20" spans="1:24" ht="18" customHeight="1" x14ac:dyDescent="0.2">
      <c r="A20" s="4">
        <v>44237</v>
      </c>
      <c r="B20" s="5">
        <v>161</v>
      </c>
      <c r="C20" s="5">
        <v>853</v>
      </c>
      <c r="E20" s="17">
        <f t="shared" si="0"/>
        <v>163.69076094002637</v>
      </c>
      <c r="F20" s="17">
        <f t="shared" si="1"/>
        <v>-2.6907609400263652</v>
      </c>
      <c r="G20" s="17">
        <f t="shared" si="2"/>
        <v>7.2401944363715689</v>
      </c>
    </row>
    <row r="21" spans="1:24" ht="18" customHeight="1" x14ac:dyDescent="0.2">
      <c r="A21" s="4">
        <v>44238</v>
      </c>
      <c r="B21" s="5">
        <v>167</v>
      </c>
      <c r="C21" s="5">
        <v>836</v>
      </c>
      <c r="E21" s="17">
        <f t="shared" si="0"/>
        <v>159.95185753292935</v>
      </c>
      <c r="F21" s="17">
        <f t="shared" si="1"/>
        <v>7.0481424670706474</v>
      </c>
      <c r="G21" s="17">
        <f t="shared" si="2"/>
        <v>49.676312236124708</v>
      </c>
    </row>
    <row r="22" spans="1:24" ht="18" customHeight="1" x14ac:dyDescent="0.2">
      <c r="A22" s="4">
        <v>44239</v>
      </c>
      <c r="B22" s="5">
        <v>149</v>
      </c>
      <c r="C22" s="5">
        <v>846</v>
      </c>
      <c r="E22" s="17">
        <f t="shared" si="0"/>
        <v>162.15121247828054</v>
      </c>
      <c r="F22" s="17">
        <f t="shared" si="1"/>
        <v>-13.151212478280542</v>
      </c>
      <c r="G22" s="17">
        <f t="shared" si="2"/>
        <v>172.95438964888183</v>
      </c>
    </row>
    <row r="23" spans="1:24" ht="18" customHeight="1" x14ac:dyDescent="0.2">
      <c r="A23" s="4">
        <v>44240</v>
      </c>
      <c r="B23" s="5">
        <v>149</v>
      </c>
      <c r="C23" s="5">
        <v>803</v>
      </c>
      <c r="E23" s="17">
        <f t="shared" si="0"/>
        <v>152.69398621327039</v>
      </c>
      <c r="F23" s="17">
        <f t="shared" si="1"/>
        <v>-3.6939862132703922</v>
      </c>
      <c r="G23" s="17">
        <f t="shared" si="2"/>
        <v>13.645534143831732</v>
      </c>
    </row>
    <row r="24" spans="1:24" ht="18" customHeight="1" x14ac:dyDescent="0.2">
      <c r="A24" s="4">
        <v>44241</v>
      </c>
      <c r="B24" s="5">
        <v>138</v>
      </c>
      <c r="C24" s="5">
        <v>795</v>
      </c>
      <c r="E24" s="17">
        <f t="shared" si="0"/>
        <v>150.93450225698945</v>
      </c>
      <c r="F24" s="17">
        <f t="shared" si="1"/>
        <v>-12.934502256989447</v>
      </c>
      <c r="G24" s="17">
        <f t="shared" si="2"/>
        <v>167.30134863606509</v>
      </c>
    </row>
    <row r="25" spans="1:24" ht="18" customHeight="1" x14ac:dyDescent="0.2">
      <c r="A25" s="4">
        <v>44242</v>
      </c>
      <c r="B25" s="5">
        <v>90</v>
      </c>
      <c r="C25" s="5">
        <v>784</v>
      </c>
      <c r="E25" s="17">
        <f t="shared" si="0"/>
        <v>148.51521181710314</v>
      </c>
      <c r="F25" s="17">
        <f t="shared" si="1"/>
        <v>-58.515211817103136</v>
      </c>
      <c r="G25" s="17">
        <f t="shared" si="2"/>
        <v>3424.0300140004465</v>
      </c>
    </row>
    <row r="26" spans="1:24" ht="18" customHeight="1" x14ac:dyDescent="0.2">
      <c r="A26" s="4">
        <v>44243</v>
      </c>
      <c r="B26" s="5">
        <v>111</v>
      </c>
      <c r="C26" s="5">
        <v>752</v>
      </c>
      <c r="E26" s="17">
        <f t="shared" si="0"/>
        <v>141.4772759919793</v>
      </c>
      <c r="F26" s="17">
        <f t="shared" si="1"/>
        <v>-30.477275991979297</v>
      </c>
      <c r="G26" s="17">
        <f t="shared" si="2"/>
        <v>928.86435189127769</v>
      </c>
    </row>
    <row r="27" spans="1:24" ht="18" customHeight="1" x14ac:dyDescent="0.2">
      <c r="A27" s="4">
        <v>44244</v>
      </c>
      <c r="B27" s="5">
        <v>127</v>
      </c>
      <c r="C27" s="5">
        <v>719</v>
      </c>
      <c r="E27" s="17">
        <f t="shared" si="0"/>
        <v>134.21940467232037</v>
      </c>
      <c r="F27" s="17">
        <f t="shared" si="1"/>
        <v>-7.2194046723203655</v>
      </c>
      <c r="G27" s="17">
        <f t="shared" si="2"/>
        <v>52.119803822721124</v>
      </c>
    </row>
    <row r="28" spans="1:24" ht="18" customHeight="1" x14ac:dyDescent="0.2">
      <c r="A28" s="4">
        <v>44245</v>
      </c>
      <c r="B28" s="5">
        <v>105</v>
      </c>
      <c r="C28" s="5">
        <v>688</v>
      </c>
      <c r="E28" s="17">
        <f t="shared" si="0"/>
        <v>127.40140434173165</v>
      </c>
      <c r="F28" s="17">
        <f t="shared" si="1"/>
        <v>-22.401404341731649</v>
      </c>
      <c r="G28" s="17">
        <f t="shared" si="2"/>
        <v>501.82291648175357</v>
      </c>
    </row>
    <row r="29" spans="1:24" ht="18" customHeight="1" x14ac:dyDescent="0.2">
      <c r="A29" s="4">
        <v>44246</v>
      </c>
      <c r="B29" s="5">
        <v>67</v>
      </c>
      <c r="C29" s="5">
        <v>669</v>
      </c>
      <c r="E29" s="17">
        <f t="shared" si="0"/>
        <v>123.22262994556439</v>
      </c>
      <c r="F29" s="17">
        <f t="shared" si="1"/>
        <v>-56.222629945564393</v>
      </c>
      <c r="G29" s="17">
        <f t="shared" si="2"/>
        <v>3160.9841179958739</v>
      </c>
    </row>
    <row r="30" spans="1:24" ht="18" customHeight="1" x14ac:dyDescent="0.2">
      <c r="A30" s="4">
        <v>44247</v>
      </c>
      <c r="B30" s="5">
        <v>76</v>
      </c>
      <c r="C30" s="5">
        <v>656</v>
      </c>
      <c r="E30" s="17">
        <f t="shared" si="0"/>
        <v>120.36346851660784</v>
      </c>
      <c r="F30" s="17">
        <f t="shared" si="1"/>
        <v>-44.363468516607838</v>
      </c>
      <c r="G30" s="17">
        <f t="shared" si="2"/>
        <v>1968.117338824055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638</v>
      </c>
      <c r="E31" s="17">
        <f t="shared" si="0"/>
        <v>116.40462961497568</v>
      </c>
      <c r="F31" s="17">
        <f t="shared" si="1"/>
        <v>-51.404629614975676</v>
      </c>
      <c r="G31" s="17">
        <f t="shared" si="2"/>
        <v>2642.4359458528343</v>
      </c>
    </row>
    <row r="32" spans="1:24" ht="18" customHeight="1" x14ac:dyDescent="0.2">
      <c r="A32" s="4">
        <v>44249</v>
      </c>
      <c r="B32" s="5">
        <v>61</v>
      </c>
      <c r="C32" s="5">
        <v>627</v>
      </c>
      <c r="E32" s="17">
        <f t="shared" si="0"/>
        <v>113.98533917508936</v>
      </c>
      <c r="F32" s="17">
        <f t="shared" si="1"/>
        <v>-52.985339175089365</v>
      </c>
      <c r="G32" s="17">
        <f t="shared" si="2"/>
        <v>2807.4461674992599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17">
        <f t="shared" si="0"/>
        <v>107.38727433903577</v>
      </c>
      <c r="F33" s="17">
        <f t="shared" si="1"/>
        <v>-44.38727433903577</v>
      </c>
      <c r="G33" s="17">
        <f t="shared" si="2"/>
        <v>1970.2301232488232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50</v>
      </c>
      <c r="C34" s="5">
        <v>567</v>
      </c>
      <c r="E34" s="17">
        <f t="shared" si="0"/>
        <v>100.78920950298219</v>
      </c>
      <c r="F34" s="17">
        <f t="shared" si="1"/>
        <v>-50.789209502982189</v>
      </c>
      <c r="G34" s="17">
        <f t="shared" si="2"/>
        <v>2579.5438019378162</v>
      </c>
      <c r="O34" s="14"/>
      <c r="P34" s="130">
        <f>AVERAGE(C11:C130)</f>
        <v>280.86666666666667</v>
      </c>
      <c r="Q34" s="130"/>
    </row>
    <row r="35" spans="1:24" ht="18" customHeight="1" x14ac:dyDescent="0.2">
      <c r="A35" s="4">
        <v>44252</v>
      </c>
      <c r="B35" s="5">
        <v>49</v>
      </c>
      <c r="C35" s="5">
        <v>536</v>
      </c>
      <c r="E35" s="17">
        <f t="shared" si="0"/>
        <v>93.971209172393486</v>
      </c>
      <c r="F35" s="17">
        <f t="shared" si="1"/>
        <v>-44.971209172393486</v>
      </c>
      <c r="G35" s="17">
        <f t="shared" si="2"/>
        <v>2022.4096544271681</v>
      </c>
      <c r="O35" s="14"/>
      <c r="P35" s="130">
        <f>AVERAGE(B11:B130)</f>
        <v>37.858333333333334</v>
      </c>
      <c r="Q35" s="130"/>
    </row>
    <row r="36" spans="1:24" ht="18" customHeight="1" x14ac:dyDescent="0.2">
      <c r="A36" s="4">
        <v>44253</v>
      </c>
      <c r="B36" s="5">
        <v>58</v>
      </c>
      <c r="C36" s="5">
        <v>522</v>
      </c>
      <c r="E36" s="17">
        <f t="shared" si="0"/>
        <v>90.89211224890181</v>
      </c>
      <c r="F36" s="17">
        <f t="shared" si="1"/>
        <v>-32.89211224890181</v>
      </c>
      <c r="G36" s="17">
        <f t="shared" si="2"/>
        <v>1081.8910481943565</v>
      </c>
      <c r="O36" s="14"/>
      <c r="P36" s="130">
        <f>SUMPRODUCT(POWER(C11:C130-P34,2))</f>
        <v>9081979.8666666709</v>
      </c>
      <c r="Q36" s="130"/>
    </row>
    <row r="37" spans="1:24" ht="18" customHeight="1" x14ac:dyDescent="0.2">
      <c r="A37" s="4">
        <v>44254</v>
      </c>
      <c r="B37" s="5">
        <v>33</v>
      </c>
      <c r="C37" s="5">
        <v>492</v>
      </c>
      <c r="E37" s="17">
        <f t="shared" si="0"/>
        <v>84.294047412848229</v>
      </c>
      <c r="F37" s="17">
        <f t="shared" si="1"/>
        <v>-51.294047412848229</v>
      </c>
      <c r="G37" s="17">
        <f t="shared" si="2"/>
        <v>2631.079299991522</v>
      </c>
      <c r="O37" s="14"/>
      <c r="P37" s="130">
        <f>SUMPRODUCT(POWER(B11:B130-P35,2))</f>
        <v>524434.59166666621</v>
      </c>
      <c r="Q37" s="130"/>
    </row>
    <row r="38" spans="1:24" ht="18" customHeight="1" x14ac:dyDescent="0.2">
      <c r="A38" s="4">
        <v>44255</v>
      </c>
      <c r="B38" s="5">
        <v>41</v>
      </c>
      <c r="C38" s="5">
        <v>484</v>
      </c>
      <c r="E38" s="17">
        <f t="shared" si="0"/>
        <v>82.53456345656727</v>
      </c>
      <c r="F38" s="17">
        <f t="shared" si="1"/>
        <v>-41.53456345656727</v>
      </c>
      <c r="G38" s="17">
        <f t="shared" si="2"/>
        <v>1725.1199615276132</v>
      </c>
      <c r="O38" s="14"/>
      <c r="P38" s="130">
        <f xml:space="preserve"> SUMPRODUCT( (B11:B130-P35) * (C11:C130-P34))</f>
        <v>1997449.7333333332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34</v>
      </c>
      <c r="C39" s="5">
        <v>469</v>
      </c>
      <c r="E39" s="17">
        <f t="shared" si="0"/>
        <v>79.235531038540486</v>
      </c>
      <c r="F39" s="17">
        <f t="shared" si="1"/>
        <v>-45.235531038540486</v>
      </c>
      <c r="G39" s="17">
        <f t="shared" si="2"/>
        <v>2046.2532683387597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446</v>
      </c>
      <c r="E40" s="17">
        <f t="shared" si="0"/>
        <v>74.177014664232729</v>
      </c>
      <c r="F40" s="17">
        <f t="shared" si="1"/>
        <v>-36.177014664232729</v>
      </c>
      <c r="G40" s="17">
        <f t="shared" si="2"/>
        <v>1308.7763900161099</v>
      </c>
      <c r="O40" s="16"/>
      <c r="P40" s="120">
        <f>P35 - P34*P41</f>
        <v>-23.914215898430569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415</v>
      </c>
      <c r="E41" s="17">
        <f t="shared" si="0"/>
        <v>67.359014333644026</v>
      </c>
      <c r="F41" s="17">
        <f t="shared" si="1"/>
        <v>-26.359014333644026</v>
      </c>
      <c r="G41" s="17">
        <f t="shared" si="2"/>
        <v>694.79763664125119</v>
      </c>
      <c r="O41" s="13"/>
      <c r="P41" s="122">
        <f>P38/P36</f>
        <v>0.21993549453511951</v>
      </c>
      <c r="Q41" s="122"/>
    </row>
    <row r="42" spans="1:24" ht="18" customHeight="1" x14ac:dyDescent="0.2">
      <c r="A42" s="4">
        <v>44259</v>
      </c>
      <c r="B42" s="5">
        <v>28</v>
      </c>
      <c r="C42" s="5">
        <v>399</v>
      </c>
      <c r="E42" s="17">
        <f t="shared" si="0"/>
        <v>63.840046421082121</v>
      </c>
      <c r="F42" s="17">
        <f t="shared" si="1"/>
        <v>-35.840046421082121</v>
      </c>
      <c r="G42" s="17">
        <f t="shared" si="2"/>
        <v>1284.5089274653214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17">
        <f t="shared" si="0"/>
        <v>60.321078508520202</v>
      </c>
      <c r="F43" s="17">
        <f t="shared" si="1"/>
        <v>-32.321078508520202</v>
      </c>
      <c r="G43" s="17">
        <f t="shared" si="2"/>
        <v>1044.6521159539266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17">
        <f t="shared" si="0"/>
        <v>55.92236861781781</v>
      </c>
      <c r="F44" s="17">
        <f t="shared" si="1"/>
        <v>-29.92236861781781</v>
      </c>
      <c r="G44" s="17">
        <f t="shared" si="2"/>
        <v>895.34814370056813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17">
        <f t="shared" si="0"/>
        <v>53.942949167001743</v>
      </c>
      <c r="F45" s="17">
        <f t="shared" si="1"/>
        <v>-25.942949167001743</v>
      </c>
      <c r="G45" s="17">
        <f t="shared" si="2"/>
        <v>673.03661148163644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342</v>
      </c>
      <c r="E46" s="17">
        <f t="shared" si="0"/>
        <v>51.30372323258031</v>
      </c>
      <c r="F46" s="17">
        <f t="shared" si="1"/>
        <v>-26.30372323258031</v>
      </c>
      <c r="G46" s="17">
        <f t="shared" si="2"/>
        <v>691.88585589618515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17">
        <f t="shared" si="0"/>
        <v>44.705658396526715</v>
      </c>
      <c r="F47" s="17">
        <f t="shared" si="1"/>
        <v>-14.705658396526715</v>
      </c>
      <c r="G47" s="17">
        <f t="shared" si="2"/>
        <v>216.25638887533668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17">
        <f t="shared" si="0"/>
        <v>38.327529055008256</v>
      </c>
      <c r="F48" s="17">
        <f t="shared" si="1"/>
        <v>-16.327529055008256</v>
      </c>
      <c r="G48" s="17">
        <f t="shared" si="2"/>
        <v>266.58820504213878</v>
      </c>
    </row>
    <row r="49" spans="1:24" ht="18" customHeight="1" x14ac:dyDescent="0.2">
      <c r="A49" s="4">
        <v>44266</v>
      </c>
      <c r="B49" s="5">
        <v>18</v>
      </c>
      <c r="C49" s="5">
        <v>273</v>
      </c>
      <c r="E49" s="17">
        <f t="shared" si="0"/>
        <v>36.12817410965706</v>
      </c>
      <c r="F49" s="17">
        <f t="shared" si="1"/>
        <v>-18.12817410965706</v>
      </c>
      <c r="G49" s="17">
        <f t="shared" si="2"/>
        <v>328.63069655004051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15</v>
      </c>
      <c r="C50" s="5">
        <v>266</v>
      </c>
      <c r="E50" s="17">
        <f t="shared" si="0"/>
        <v>34.588625647911222</v>
      </c>
      <c r="F50" s="17">
        <f t="shared" si="1"/>
        <v>-19.588625647911222</v>
      </c>
      <c r="G50" s="17">
        <f t="shared" si="2"/>
        <v>383.71425477400533</v>
      </c>
      <c r="O50" s="15"/>
      <c r="P50" s="120">
        <f>(POWER(P38,2)/(P36*P37))</f>
        <v>0.83768329147314802</v>
      </c>
      <c r="Q50" s="120"/>
    </row>
    <row r="51" spans="1:24" ht="18" customHeight="1" x14ac:dyDescent="0.2">
      <c r="A51" s="4">
        <v>44268</v>
      </c>
      <c r="B51" s="5">
        <v>19</v>
      </c>
      <c r="C51" s="5">
        <v>253</v>
      </c>
      <c r="E51" s="17">
        <f t="shared" si="0"/>
        <v>31.729464218954668</v>
      </c>
      <c r="F51" s="17">
        <f t="shared" si="1"/>
        <v>-12.729464218954668</v>
      </c>
      <c r="G51" s="17">
        <f t="shared" si="2"/>
        <v>162.03925930164718</v>
      </c>
      <c r="O51" s="32"/>
      <c r="P51" s="122">
        <f>P38 / (SQRT(P36) * SQRT(P37))</f>
        <v>0.91525039823708776</v>
      </c>
      <c r="Q51" s="122"/>
    </row>
    <row r="52" spans="1:24" ht="18" customHeight="1" x14ac:dyDescent="0.2">
      <c r="A52" s="4">
        <v>44269</v>
      </c>
      <c r="B52" s="5">
        <v>15</v>
      </c>
      <c r="C52" s="5">
        <v>242</v>
      </c>
      <c r="E52" s="17">
        <f t="shared" si="0"/>
        <v>29.31017377906835</v>
      </c>
      <c r="F52" s="17">
        <f t="shared" si="1"/>
        <v>-14.31017377906835</v>
      </c>
      <c r="G52" s="17">
        <f t="shared" si="2"/>
        <v>204.78107358713535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231</v>
      </c>
      <c r="E53" s="17">
        <f t="shared" si="0"/>
        <v>26.890883339182039</v>
      </c>
      <c r="F53" s="17">
        <f t="shared" si="1"/>
        <v>-16.890883339182039</v>
      </c>
      <c r="G53" s="17">
        <f t="shared" si="2"/>
        <v>285.30193997785739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213</v>
      </c>
      <c r="E54" s="17">
        <f t="shared" si="0"/>
        <v>22.932044437549884</v>
      </c>
      <c r="F54" s="17">
        <f t="shared" si="1"/>
        <v>-9.9320444375498838</v>
      </c>
      <c r="G54" s="17">
        <f t="shared" si="2"/>
        <v>98.645506709465593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205</v>
      </c>
      <c r="E55" s="17">
        <f t="shared" si="0"/>
        <v>21.172560481268931</v>
      </c>
      <c r="F55" s="17">
        <f t="shared" si="1"/>
        <v>-6.1725604812689312</v>
      </c>
      <c r="G55" s="17">
        <f t="shared" si="2"/>
        <v>38.10050289492294</v>
      </c>
    </row>
    <row r="56" spans="1:24" ht="18" customHeight="1" x14ac:dyDescent="0.2">
      <c r="A56" s="4">
        <v>44273</v>
      </c>
      <c r="B56" s="5">
        <v>21</v>
      </c>
      <c r="C56" s="5">
        <v>187</v>
      </c>
      <c r="E56" s="17">
        <f t="shared" si="0"/>
        <v>17.213721579636783</v>
      </c>
      <c r="F56" s="17">
        <f t="shared" si="1"/>
        <v>3.7862784203632174</v>
      </c>
      <c r="G56" s="17">
        <f t="shared" si="2"/>
        <v>14.335904276508181</v>
      </c>
    </row>
    <row r="57" spans="1:24" ht="18" customHeight="1" x14ac:dyDescent="0.2">
      <c r="A57" s="4">
        <v>44274</v>
      </c>
      <c r="B57" s="5">
        <v>11</v>
      </c>
      <c r="C57" s="5">
        <v>182</v>
      </c>
      <c r="E57" s="17">
        <f t="shared" si="0"/>
        <v>16.114044106961181</v>
      </c>
      <c r="F57" s="17">
        <f t="shared" si="1"/>
        <v>-5.1140441069611811</v>
      </c>
      <c r="G57" s="17">
        <f t="shared" si="2"/>
        <v>26.153447127944386</v>
      </c>
    </row>
    <row r="58" spans="1:24" ht="18" customHeight="1" x14ac:dyDescent="0.2">
      <c r="A58" s="4">
        <v>44275</v>
      </c>
      <c r="B58" s="5">
        <v>8</v>
      </c>
      <c r="C58" s="5">
        <v>170</v>
      </c>
      <c r="E58" s="17">
        <f t="shared" si="0"/>
        <v>13.474818172539749</v>
      </c>
      <c r="F58" s="17">
        <f t="shared" si="1"/>
        <v>-5.4748181725397487</v>
      </c>
      <c r="G58" s="17">
        <f t="shared" si="2"/>
        <v>29.973634022371474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170</v>
      </c>
      <c r="E59" s="17">
        <f t="shared" si="0"/>
        <v>13.474818172539749</v>
      </c>
      <c r="F59" s="17">
        <f t="shared" si="1"/>
        <v>-7.4748181725397487</v>
      </c>
      <c r="G59" s="17">
        <f t="shared" si="2"/>
        <v>55.872906712530465</v>
      </c>
    </row>
    <row r="60" spans="1:24" ht="18" customHeight="1" x14ac:dyDescent="0.2">
      <c r="A60" s="4">
        <v>44277</v>
      </c>
      <c r="B60" s="5">
        <v>16</v>
      </c>
      <c r="C60" s="5">
        <v>165</v>
      </c>
      <c r="E60" s="17">
        <f t="shared" si="0"/>
        <v>12.375140699864147</v>
      </c>
      <c r="F60" s="17">
        <f t="shared" si="1"/>
        <v>3.6248593001358529</v>
      </c>
      <c r="G60" s="17">
        <f t="shared" si="2"/>
        <v>13.139604945781386</v>
      </c>
    </row>
    <row r="61" spans="1:24" ht="18" customHeight="1" x14ac:dyDescent="0.2">
      <c r="A61" s="4">
        <v>44278</v>
      </c>
      <c r="B61" s="5">
        <v>10</v>
      </c>
      <c r="C61" s="5">
        <v>159</v>
      </c>
      <c r="E61" s="17">
        <f t="shared" si="0"/>
        <v>11.055527732653431</v>
      </c>
      <c r="F61" s="17">
        <f t="shared" si="1"/>
        <v>-1.0555277326534309</v>
      </c>
      <c r="G61" s="17">
        <f t="shared" si="2"/>
        <v>1.1141387944004928</v>
      </c>
    </row>
    <row r="62" spans="1:24" ht="18" customHeight="1" x14ac:dyDescent="0.2">
      <c r="A62" s="4">
        <v>44279</v>
      </c>
      <c r="B62" s="5">
        <v>11</v>
      </c>
      <c r="C62" s="5">
        <v>155</v>
      </c>
      <c r="E62" s="17">
        <f t="shared" si="0"/>
        <v>10.175785754512958</v>
      </c>
      <c r="F62" s="17">
        <f t="shared" si="1"/>
        <v>0.82421424548704181</v>
      </c>
      <c r="G62" s="17">
        <f t="shared" si="2"/>
        <v>0.67932912246377364</v>
      </c>
    </row>
    <row r="63" spans="1:24" ht="18" customHeight="1" x14ac:dyDescent="0.2">
      <c r="A63" s="4">
        <v>44280</v>
      </c>
      <c r="B63" s="5">
        <v>9</v>
      </c>
      <c r="C63" s="5">
        <v>154</v>
      </c>
      <c r="E63" s="17">
        <f t="shared" si="0"/>
        <v>9.9558502599778365</v>
      </c>
      <c r="F63" s="17">
        <f t="shared" si="1"/>
        <v>-0.95585025997783646</v>
      </c>
      <c r="G63" s="17">
        <f t="shared" si="2"/>
        <v>0.91364971949969753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155</v>
      </c>
      <c r="E64" s="17">
        <f t="shared" si="0"/>
        <v>10.175785754512958</v>
      </c>
      <c r="F64" s="17">
        <f t="shared" si="1"/>
        <v>-5.1757857545129582</v>
      </c>
      <c r="G64" s="17">
        <f t="shared" si="2"/>
        <v>26.788758176619272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17">
        <f t="shared" si="0"/>
        <v>8.6362372927671203</v>
      </c>
      <c r="F65" s="17">
        <f t="shared" si="1"/>
        <v>-0.63623729276712027</v>
      </c>
      <c r="G65" s="17">
        <f t="shared" si="2"/>
        <v>0.40479789270763433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17">
        <f t="shared" si="0"/>
        <v>7.3166243255564005</v>
      </c>
      <c r="F66" s="17">
        <f t="shared" si="1"/>
        <v>2.6833756744435995</v>
      </c>
      <c r="G66" s="17">
        <f t="shared" si="2"/>
        <v>7.2005050101956423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6</v>
      </c>
      <c r="C67" s="5">
        <v>136</v>
      </c>
      <c r="E67" s="17">
        <f t="shared" si="0"/>
        <v>5.9970113583456843</v>
      </c>
      <c r="F67" s="17">
        <f t="shared" si="1"/>
        <v>2.9886416543156713E-3</v>
      </c>
      <c r="G67" s="17">
        <f t="shared" si="2"/>
        <v>8.9319789379107124E-6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17">
        <f t="shared" si="0"/>
        <v>4.4574628965998464</v>
      </c>
      <c r="F68" s="17">
        <f t="shared" si="1"/>
        <v>-2.4574628965998464</v>
      </c>
      <c r="G68" s="17">
        <f t="shared" si="2"/>
        <v>6.039123888164907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3</v>
      </c>
      <c r="C69" s="5">
        <v>127</v>
      </c>
      <c r="E69" s="17">
        <f t="shared" si="0"/>
        <v>4.01759190752961</v>
      </c>
      <c r="F69" s="17">
        <f t="shared" si="1"/>
        <v>-1.01759190752961</v>
      </c>
      <c r="G69" s="17">
        <f t="shared" si="2"/>
        <v>1.0354932902697505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11</v>
      </c>
      <c r="C70" s="5">
        <v>129</v>
      </c>
      <c r="E70" s="17">
        <f t="shared" si="0"/>
        <v>4.4574628965998464</v>
      </c>
      <c r="F70" s="17">
        <f t="shared" si="1"/>
        <v>6.5425371034001536</v>
      </c>
      <c r="G70" s="17">
        <f t="shared" si="2"/>
        <v>42.804791749367674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9</v>
      </c>
      <c r="C71" s="5">
        <v>131</v>
      </c>
      <c r="E71" s="17">
        <f t="shared" si="0"/>
        <v>4.8973338856700863</v>
      </c>
      <c r="F71" s="17">
        <f t="shared" si="1"/>
        <v>4.1026661143299137</v>
      </c>
      <c r="G71" s="17">
        <f t="shared" si="2"/>
        <v>16.831869245670912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7</v>
      </c>
      <c r="C72" s="5">
        <v>126</v>
      </c>
      <c r="E72" s="17">
        <f t="shared" si="0"/>
        <v>3.7976564129944883</v>
      </c>
      <c r="F72" s="17">
        <f t="shared" si="1"/>
        <v>3.2023435870055117</v>
      </c>
      <c r="G72" s="17">
        <f t="shared" si="2"/>
        <v>10.255004449235328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17">
        <f t="shared" si="0"/>
        <v>1.818236962178414</v>
      </c>
      <c r="F73" s="17">
        <f t="shared" si="1"/>
        <v>2.181763037821586</v>
      </c>
      <c r="G73" s="17">
        <f t="shared" si="2"/>
        <v>4.7600899532044751</v>
      </c>
      <c r="O73" s="102" t="s">
        <v>35</v>
      </c>
      <c r="P73" s="119">
        <f xml:space="preserve"> SQRT((1/ (B133-2)) * SUM(G11:G130))</f>
        <v>26.858779576019387</v>
      </c>
      <c r="Q73" s="119"/>
    </row>
    <row r="74" spans="1:23" ht="18" customHeight="1" x14ac:dyDescent="0.2">
      <c r="A74" s="4">
        <v>44291</v>
      </c>
      <c r="B74" s="5">
        <v>6</v>
      </c>
      <c r="C74" s="5">
        <v>112</v>
      </c>
      <c r="E74" s="17">
        <f t="shared" si="0"/>
        <v>0.71855948950281601</v>
      </c>
      <c r="F74" s="17">
        <f t="shared" si="1"/>
        <v>5.281440510497184</v>
      </c>
      <c r="G74" s="17">
        <f t="shared" si="2"/>
        <v>27.893613865920756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17">
        <f t="shared" si="0"/>
        <v>0.93849498403793419</v>
      </c>
      <c r="F75" s="17">
        <f t="shared" si="1"/>
        <v>1.0615050159620658</v>
      </c>
      <c r="G75" s="17">
        <f t="shared" si="2"/>
        <v>1.1267928989126257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17">
        <f t="shared" ref="E76:E130" si="3">$P$40 + $P$41*C76</f>
        <v>1.5983014676432958</v>
      </c>
      <c r="F76" s="17">
        <f t="shared" ref="F76:F130" si="4">B76-E76</f>
        <v>1.4016985323567042</v>
      </c>
      <c r="G76" s="17">
        <f t="shared" ref="G76:G130" si="5">POWER(F76,2)</f>
        <v>1.9647587756109384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17">
        <f t="shared" si="3"/>
        <v>2.917914434854012</v>
      </c>
      <c r="F77" s="17">
        <f t="shared" si="4"/>
        <v>6.082085565145988</v>
      </c>
      <c r="G77" s="17">
        <f t="shared" si="5"/>
        <v>36.991764821757194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5</v>
      </c>
      <c r="C78" s="5">
        <v>128</v>
      </c>
      <c r="E78" s="17">
        <f t="shared" si="3"/>
        <v>4.2375274020647282</v>
      </c>
      <c r="F78" s="17">
        <f t="shared" si="4"/>
        <v>0.76247259793527178</v>
      </c>
      <c r="G78" s="17">
        <f t="shared" si="5"/>
        <v>0.58136446260216257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17">
        <f t="shared" si="3"/>
        <v>2.2581079512486539</v>
      </c>
      <c r="F79" s="17">
        <f t="shared" si="4"/>
        <v>3.7418920487513461</v>
      </c>
      <c r="G79" s="17">
        <f t="shared" si="5"/>
        <v>14.001756104508546</v>
      </c>
      <c r="O79" s="16"/>
      <c r="P79" s="127">
        <f xml:space="preserve"> SQRT( (1/B133) + (POWER(P34,2) / P36))</f>
        <v>0.13045817007611604</v>
      </c>
      <c r="Q79" s="127"/>
      <c r="T79" s="16"/>
      <c r="U79" s="127">
        <f xml:space="preserve"> SQRT( 1/P36 )</f>
        <v>3.318254809982079E-4</v>
      </c>
      <c r="V79" s="127"/>
    </row>
    <row r="80" spans="1:23" ht="18" customHeight="1" x14ac:dyDescent="0.2">
      <c r="A80" s="4">
        <v>44297</v>
      </c>
      <c r="B80" s="5">
        <v>6</v>
      </c>
      <c r="C80" s="5">
        <v>113</v>
      </c>
      <c r="E80" s="17">
        <f t="shared" si="3"/>
        <v>0.93849498403793419</v>
      </c>
      <c r="F80" s="17">
        <f t="shared" si="4"/>
        <v>5.0615050159620658</v>
      </c>
      <c r="G80" s="17">
        <f t="shared" si="5"/>
        <v>25.618833026609153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</v>
      </c>
      <c r="C81" s="5">
        <v>119</v>
      </c>
      <c r="E81" s="17">
        <f t="shared" si="3"/>
        <v>2.2581079512486539</v>
      </c>
      <c r="F81" s="17">
        <f t="shared" si="4"/>
        <v>-0.25810795124865393</v>
      </c>
      <c r="G81" s="17">
        <f t="shared" si="5"/>
        <v>6.661971449777751E-2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17">
        <f t="shared" si="3"/>
        <v>2.0381724567135322</v>
      </c>
      <c r="F82" s="17">
        <f t="shared" si="4"/>
        <v>2.9618275432864678</v>
      </c>
      <c r="G82" s="17">
        <f t="shared" si="5"/>
        <v>8.772422396170354</v>
      </c>
      <c r="O82" s="19" t="s">
        <v>36</v>
      </c>
      <c r="P82" s="119">
        <f>P71*P73*P79</f>
        <v>5.8090873262750513</v>
      </c>
      <c r="Q82" s="119"/>
      <c r="T82" s="19" t="s">
        <v>36</v>
      </c>
      <c r="U82" s="119">
        <f>P71*P73*U79</f>
        <v>1.4775641840424016E-2</v>
      </c>
      <c r="V82" s="119"/>
    </row>
    <row r="83" spans="1:23" ht="18" customHeight="1" x14ac:dyDescent="0.2">
      <c r="A83" s="4">
        <v>44300</v>
      </c>
      <c r="B83" s="5">
        <v>8</v>
      </c>
      <c r="C83" s="5">
        <v>116</v>
      </c>
      <c r="E83" s="17">
        <f t="shared" si="3"/>
        <v>1.5983014676432958</v>
      </c>
      <c r="F83" s="17">
        <f t="shared" si="4"/>
        <v>6.4016985323567042</v>
      </c>
      <c r="G83" s="17">
        <f t="shared" si="5"/>
        <v>40.98174409917798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17">
        <f t="shared" si="3"/>
        <v>5.8753005897457911E-2</v>
      </c>
      <c r="F84" s="17">
        <f t="shared" si="4"/>
        <v>1.9412469941025421</v>
      </c>
      <c r="G84" s="17">
        <f t="shared" si="5"/>
        <v>3.7684398921121551</v>
      </c>
      <c r="O84" s="16" t="s">
        <v>37</v>
      </c>
      <c r="P84" s="120">
        <f>ROUND(P40-P82,4)</f>
        <v>-29.723299999999998</v>
      </c>
      <c r="Q84" s="120"/>
      <c r="T84" s="16" t="s">
        <v>37</v>
      </c>
      <c r="U84" s="120">
        <f>ROUND(P41-U82,4)</f>
        <v>0.20519999999999999</v>
      </c>
      <c r="V84" s="120"/>
    </row>
    <row r="85" spans="1:23" ht="18" customHeight="1" x14ac:dyDescent="0.2">
      <c r="A85" s="4">
        <v>44302</v>
      </c>
      <c r="B85" s="5">
        <v>4</v>
      </c>
      <c r="C85" s="5">
        <v>101</v>
      </c>
      <c r="E85" s="17">
        <f t="shared" si="3"/>
        <v>-1.7007309503834982</v>
      </c>
      <c r="F85" s="17">
        <f t="shared" si="4"/>
        <v>5.7007309503834982</v>
      </c>
      <c r="G85" s="17">
        <f t="shared" si="5"/>
        <v>32.49833336866034</v>
      </c>
      <c r="O85" s="13" t="s">
        <v>38</v>
      </c>
      <c r="P85" s="122">
        <f>ROUND(P40+P82,4)</f>
        <v>-18.1051</v>
      </c>
      <c r="Q85" s="122"/>
      <c r="T85" s="13" t="s">
        <v>38</v>
      </c>
      <c r="U85" s="122">
        <f>ROUND(P41+U82,4)</f>
        <v>0.23469999999999999</v>
      </c>
      <c r="V85" s="122"/>
    </row>
    <row r="86" spans="1:23" ht="18" customHeight="1" x14ac:dyDescent="0.2">
      <c r="A86" s="4">
        <v>44303</v>
      </c>
      <c r="B86" s="5">
        <v>5</v>
      </c>
      <c r="C86" s="5">
        <v>103</v>
      </c>
      <c r="E86" s="17">
        <f t="shared" si="3"/>
        <v>-1.2608599613132583</v>
      </c>
      <c r="F86" s="17">
        <f t="shared" si="4"/>
        <v>6.2608599613132583</v>
      </c>
      <c r="G86" s="17">
        <f t="shared" si="5"/>
        <v>39.198367455175458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17">
        <f t="shared" si="3"/>
        <v>5.8753005897457911E-2</v>
      </c>
      <c r="F87" s="17">
        <f t="shared" si="4"/>
        <v>2.9412469941025421</v>
      </c>
      <c r="G87" s="17">
        <f t="shared" si="5"/>
        <v>8.6509338803172398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17">
        <f t="shared" si="3"/>
        <v>0.71855948950281601</v>
      </c>
      <c r="F88" s="17">
        <f t="shared" si="4"/>
        <v>0.28144051049718399</v>
      </c>
      <c r="G88" s="17">
        <f t="shared" si="5"/>
        <v>7.9208760948915533E-2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17">
        <f t="shared" si="3"/>
        <v>0.93849498403793419</v>
      </c>
      <c r="F89" s="17">
        <f t="shared" si="4"/>
        <v>4.0615050159620658</v>
      </c>
      <c r="G89" s="17">
        <f t="shared" si="5"/>
        <v>16.495822994685021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17">
        <f t="shared" si="3"/>
        <v>0.27868850043257609</v>
      </c>
      <c r="F90" s="17">
        <f t="shared" si="4"/>
        <v>0.72131149956742391</v>
      </c>
      <c r="G90" s="17">
        <f t="shared" si="5"/>
        <v>0.52029027940820582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4</v>
      </c>
      <c r="C91" s="5">
        <v>104</v>
      </c>
      <c r="E91" s="17">
        <f t="shared" si="3"/>
        <v>-1.0409244667781401</v>
      </c>
      <c r="F91" s="17">
        <f t="shared" si="4"/>
        <v>5.0409244667781401</v>
      </c>
      <c r="G91" s="17">
        <f t="shared" si="5"/>
        <v>25.410919479762477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17">
        <f t="shared" si="3"/>
        <v>-2.3605374339888563</v>
      </c>
      <c r="F92" s="17">
        <f t="shared" si="4"/>
        <v>3.3605374339888563</v>
      </c>
      <c r="G92" s="17">
        <f t="shared" si="5"/>
        <v>11.293211845240407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2</v>
      </c>
      <c r="C93" s="5">
        <v>98</v>
      </c>
      <c r="E93" s="17">
        <f t="shared" si="3"/>
        <v>-2.3605374339888563</v>
      </c>
      <c r="F93" s="17">
        <f t="shared" si="4"/>
        <v>4.3605374339888563</v>
      </c>
      <c r="G93" s="17">
        <f t="shared" si="5"/>
        <v>19.014286713218119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6</v>
      </c>
      <c r="C94" s="5">
        <v>98</v>
      </c>
      <c r="E94" s="17">
        <f t="shared" si="3"/>
        <v>-2.3605374339888563</v>
      </c>
      <c r="F94" s="17">
        <f t="shared" si="4"/>
        <v>8.3605374339888563</v>
      </c>
      <c r="G94" s="17">
        <f t="shared" si="5"/>
        <v>69.898586185128963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0</v>
      </c>
      <c r="C95" s="5">
        <v>91</v>
      </c>
      <c r="E95" s="17">
        <f>$P$40 + $P$41*C95</f>
        <v>-3.9000858957346942</v>
      </c>
      <c r="F95" s="17">
        <f t="shared" si="4"/>
        <v>3.9000858957346942</v>
      </c>
      <c r="G95" s="17">
        <f t="shared" si="5"/>
        <v>15.210669994108692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5</v>
      </c>
      <c r="C96" s="5">
        <v>86</v>
      </c>
      <c r="E96" s="17">
        <f t="shared" si="3"/>
        <v>-4.9997633684102922</v>
      </c>
      <c r="F96" s="17">
        <f t="shared" si="4"/>
        <v>9.9997633684102922</v>
      </c>
      <c r="G96" s="17">
        <f t="shared" si="5"/>
        <v>99.99526742420035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17">
        <f t="shared" si="3"/>
        <v>-4.5598923793400523</v>
      </c>
      <c r="F97" s="17">
        <f t="shared" si="4"/>
        <v>7.5598923793400523</v>
      </c>
      <c r="G97" s="17">
        <f t="shared" si="5"/>
        <v>57.151972787203796</v>
      </c>
      <c r="O97" s="102" t="s">
        <v>35</v>
      </c>
      <c r="P97" s="119">
        <f xml:space="preserve"> SQRT((1/ (B133-2)) * SUM(G11:G130))</f>
        <v>26.858779576019387</v>
      </c>
      <c r="Q97" s="119"/>
    </row>
    <row r="98" spans="1:22" ht="18" customHeight="1" x14ac:dyDescent="0.2">
      <c r="A98" s="4">
        <v>44315</v>
      </c>
      <c r="B98" s="5">
        <v>1</v>
      </c>
      <c r="C98" s="5">
        <v>89</v>
      </c>
      <c r="E98" s="17">
        <f t="shared" si="3"/>
        <v>-4.3399568848049341</v>
      </c>
      <c r="F98" s="17">
        <f t="shared" si="4"/>
        <v>5.3399568848049341</v>
      </c>
      <c r="G98" s="17">
        <f t="shared" si="5"/>
        <v>28.515139531575617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17">
        <f t="shared" si="3"/>
        <v>-4.3399568848049341</v>
      </c>
      <c r="F99" s="17">
        <f t="shared" si="4"/>
        <v>4.3399568848049341</v>
      </c>
      <c r="G99" s="17">
        <f t="shared" si="5"/>
        <v>18.835225761965749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17">
        <f t="shared" si="3"/>
        <v>-5.4396343574805286</v>
      </c>
      <c r="F100" s="17">
        <f t="shared" si="4"/>
        <v>7.4396343574805286</v>
      </c>
      <c r="G100" s="17">
        <f t="shared" si="5"/>
        <v>55.348159373004719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17">
        <f t="shared" si="3"/>
        <v>-5.2196988629454104</v>
      </c>
      <c r="F101" s="17">
        <f t="shared" si="4"/>
        <v>6.2196988629454104</v>
      </c>
      <c r="G101" s="17">
        <f t="shared" si="5"/>
        <v>38.684653945724428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0</v>
      </c>
      <c r="C102" s="5">
        <v>90</v>
      </c>
      <c r="E102" s="17">
        <f t="shared" si="3"/>
        <v>-4.1200213902698124</v>
      </c>
      <c r="F102" s="17">
        <f t="shared" si="4"/>
        <v>4.1200213902698124</v>
      </c>
      <c r="G102" s="17">
        <f t="shared" si="5"/>
        <v>16.974576256280798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17">
        <f t="shared" si="3"/>
        <v>-4.7798278738751705</v>
      </c>
      <c r="F103" s="17">
        <f t="shared" si="4"/>
        <v>8.7798278738751705</v>
      </c>
      <c r="G103" s="17">
        <f t="shared" si="5"/>
        <v>77.085377494875402</v>
      </c>
      <c r="O103" s="16"/>
      <c r="P103" s="127">
        <f>SQRT( (1/B133) + (POWER(P34,2) / P36))</f>
        <v>0.13045817007611604</v>
      </c>
      <c r="Q103" s="127"/>
      <c r="T103" s="16"/>
      <c r="U103" s="127">
        <f>SQRT( 1/P36 )</f>
        <v>3.318254809982079E-4</v>
      </c>
      <c r="V103" s="127"/>
    </row>
    <row r="104" spans="1:22" ht="18" customHeight="1" x14ac:dyDescent="0.2">
      <c r="A104" s="4">
        <v>44321</v>
      </c>
      <c r="B104" s="5">
        <v>2</v>
      </c>
      <c r="C104" s="5">
        <v>83</v>
      </c>
      <c r="E104" s="17">
        <f t="shared" si="3"/>
        <v>-5.6595698520156503</v>
      </c>
      <c r="F104" s="17">
        <f t="shared" si="4"/>
        <v>7.6595698520156503</v>
      </c>
      <c r="G104" s="17">
        <f t="shared" si="5"/>
        <v>58.669010317907052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5</v>
      </c>
      <c r="C105" s="5">
        <v>77</v>
      </c>
      <c r="E105" s="17">
        <f t="shared" si="3"/>
        <v>-6.9791828192263665</v>
      </c>
      <c r="F105" s="17">
        <f t="shared" si="4"/>
        <v>11.979182819226367</v>
      </c>
      <c r="G105" s="17">
        <f t="shared" si="5"/>
        <v>143.50082101644816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17">
        <f t="shared" si="3"/>
        <v>-7.4190538082966064</v>
      </c>
      <c r="F106" s="17">
        <f t="shared" si="4"/>
        <v>8.4190538082966064</v>
      </c>
      <c r="G106" s="17">
        <f t="shared" si="5"/>
        <v>70.880467026993585</v>
      </c>
      <c r="O106" s="19" t="s">
        <v>36</v>
      </c>
      <c r="P106" s="119">
        <f>P95*P97*P103</f>
        <v>6.9387694703381717</v>
      </c>
      <c r="Q106" s="119"/>
      <c r="T106" s="19" t="s">
        <v>36</v>
      </c>
      <c r="U106" s="119">
        <f>P95*P97*U103</f>
        <v>1.7649032756532377E-2</v>
      </c>
      <c r="V106" s="119"/>
    </row>
    <row r="107" spans="1:22" ht="18" customHeight="1" x14ac:dyDescent="0.2">
      <c r="A107" s="4">
        <v>44324</v>
      </c>
      <c r="B107" s="5">
        <v>2</v>
      </c>
      <c r="C107" s="5">
        <v>74</v>
      </c>
      <c r="E107" s="17">
        <f t="shared" si="3"/>
        <v>-7.6389893028317246</v>
      </c>
      <c r="F107" s="17">
        <f t="shared" si="4"/>
        <v>9.6389893028317246</v>
      </c>
      <c r="G107" s="17">
        <f t="shared" si="5"/>
        <v>92.910114780104422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17">
        <f>$P$40 + $P$41*C108</f>
        <v>-7.6389893028317246</v>
      </c>
      <c r="F108" s="17">
        <f t="shared" si="4"/>
        <v>8.6389893028317246</v>
      </c>
      <c r="G108" s="17">
        <f t="shared" si="5"/>
        <v>74.632136174440973</v>
      </c>
      <c r="O108" s="16" t="s">
        <v>37</v>
      </c>
      <c r="P108" s="120">
        <f>ROUND(P40-P106,4)</f>
        <v>-30.853000000000002</v>
      </c>
      <c r="Q108" s="120"/>
      <c r="T108" s="16" t="s">
        <v>37</v>
      </c>
      <c r="U108" s="120">
        <f>ROUND(P41-U106,4)</f>
        <v>0.20230000000000001</v>
      </c>
      <c r="V108" s="120"/>
    </row>
    <row r="109" spans="1:22" ht="18" customHeight="1" x14ac:dyDescent="0.2">
      <c r="A109" s="4">
        <v>44326</v>
      </c>
      <c r="B109" s="5">
        <v>1</v>
      </c>
      <c r="C109" s="5">
        <v>73</v>
      </c>
      <c r="E109" s="17">
        <f t="shared" si="3"/>
        <v>-7.8589247973668463</v>
      </c>
      <c r="F109" s="17">
        <f t="shared" si="4"/>
        <v>8.8589247973668463</v>
      </c>
      <c r="G109" s="17">
        <f t="shared" si="5"/>
        <v>78.480548565401222</v>
      </c>
      <c r="O109" s="13" t="s">
        <v>38</v>
      </c>
      <c r="P109" s="122">
        <f>ROUND(P40+P106,4)</f>
        <v>-16.9754</v>
      </c>
      <c r="Q109" s="122"/>
      <c r="T109" s="13" t="s">
        <v>38</v>
      </c>
      <c r="U109" s="122">
        <f>ROUND(P41+U106,4)</f>
        <v>0.23760000000000001</v>
      </c>
      <c r="V109" s="122"/>
    </row>
    <row r="110" spans="1:22" ht="18" customHeight="1" x14ac:dyDescent="0.2">
      <c r="A110" s="4">
        <v>44327</v>
      </c>
      <c r="B110" s="5">
        <v>1</v>
      </c>
      <c r="C110" s="5">
        <v>71</v>
      </c>
      <c r="E110" s="17">
        <f t="shared" si="3"/>
        <v>-8.2987957864370845</v>
      </c>
      <c r="F110" s="17">
        <f t="shared" si="4"/>
        <v>9.2987957864370845</v>
      </c>
      <c r="G110" s="17">
        <f t="shared" si="5"/>
        <v>86.467603077860076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17">
        <f t="shared" si="3"/>
        <v>-8.2987957864370845</v>
      </c>
      <c r="F111" s="17">
        <f t="shared" si="4"/>
        <v>12.298795786437084</v>
      </c>
      <c r="G111" s="17">
        <f t="shared" si="5"/>
        <v>151.26037779648257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17">
        <f t="shared" si="3"/>
        <v>-8.5187312809722044</v>
      </c>
      <c r="F112" s="17">
        <f t="shared" si="4"/>
        <v>9.5187312809722044</v>
      </c>
      <c r="G112" s="17">
        <f t="shared" si="5"/>
        <v>90.606245199358739</v>
      </c>
    </row>
    <row r="113" spans="1:25" ht="18" customHeight="1" x14ac:dyDescent="0.2">
      <c r="A113" s="4">
        <v>44330</v>
      </c>
      <c r="B113" s="5">
        <v>0</v>
      </c>
      <c r="C113" s="5">
        <v>72</v>
      </c>
      <c r="E113" s="17">
        <f t="shared" si="3"/>
        <v>-8.0788602919019645</v>
      </c>
      <c r="F113" s="17">
        <f t="shared" si="4"/>
        <v>8.0788602919019645</v>
      </c>
      <c r="G113" s="17">
        <f t="shared" si="5"/>
        <v>65.267983616070296</v>
      </c>
    </row>
    <row r="114" spans="1:25" ht="18" customHeight="1" x14ac:dyDescent="0.2">
      <c r="A114" s="4">
        <v>44331</v>
      </c>
      <c r="B114" s="5">
        <v>7</v>
      </c>
      <c r="C114" s="5">
        <v>71</v>
      </c>
      <c r="E114" s="17">
        <f t="shared" si="3"/>
        <v>-8.2987957864370845</v>
      </c>
      <c r="F114" s="17">
        <f t="shared" si="4"/>
        <v>15.298795786437084</v>
      </c>
      <c r="G114" s="17">
        <f t="shared" si="5"/>
        <v>234.0531525151051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76</v>
      </c>
      <c r="E115" s="17">
        <f t="shared" si="3"/>
        <v>-7.1991183137614883</v>
      </c>
      <c r="F115" s="17">
        <f t="shared" si="4"/>
        <v>8.1991183137614883</v>
      </c>
      <c r="G115" s="17">
        <f t="shared" si="5"/>
        <v>67.225541123059031</v>
      </c>
    </row>
    <row r="116" spans="1:25" ht="18" customHeight="1" x14ac:dyDescent="0.2">
      <c r="A116" s="4">
        <v>44333</v>
      </c>
      <c r="B116" s="5">
        <v>2</v>
      </c>
      <c r="C116" s="5">
        <v>72</v>
      </c>
      <c r="E116" s="17">
        <f t="shared" si="3"/>
        <v>-8.0788602919019645</v>
      </c>
      <c r="F116" s="17">
        <f t="shared" si="4"/>
        <v>10.078860291901965</v>
      </c>
      <c r="G116" s="17">
        <f t="shared" si="5"/>
        <v>101.58342478367815</v>
      </c>
    </row>
    <row r="117" spans="1:25" ht="18" customHeight="1" x14ac:dyDescent="0.2">
      <c r="A117" s="4">
        <v>44334</v>
      </c>
      <c r="B117" s="5">
        <v>2</v>
      </c>
      <c r="C117" s="5">
        <v>66</v>
      </c>
      <c r="E117" s="17">
        <f t="shared" si="3"/>
        <v>-9.3984732591126807</v>
      </c>
      <c r="F117" s="17">
        <f t="shared" si="4"/>
        <v>11.398473259112681</v>
      </c>
      <c r="G117" s="17">
        <f t="shared" si="5"/>
        <v>129.92519263870685</v>
      </c>
    </row>
    <row r="118" spans="1:25" ht="18" customHeight="1" x14ac:dyDescent="0.2">
      <c r="A118" s="4">
        <v>44335</v>
      </c>
      <c r="B118" s="5">
        <v>2</v>
      </c>
      <c r="C118" s="5">
        <v>56</v>
      </c>
      <c r="E118" s="17">
        <f t="shared" si="3"/>
        <v>-11.597828204463877</v>
      </c>
      <c r="F118" s="17">
        <f t="shared" si="4"/>
        <v>13.597828204463877</v>
      </c>
      <c r="G118" s="17">
        <f t="shared" si="5"/>
        <v>184.90093187811331</v>
      </c>
    </row>
    <row r="119" spans="1:25" ht="18" customHeight="1" x14ac:dyDescent="0.2">
      <c r="A119" s="4">
        <v>44336</v>
      </c>
      <c r="B119" s="5">
        <v>1</v>
      </c>
      <c r="C119" s="5">
        <v>58</v>
      </c>
      <c r="E119" s="17">
        <f t="shared" si="3"/>
        <v>-11.157957215393637</v>
      </c>
      <c r="F119" s="17">
        <f t="shared" si="4"/>
        <v>12.157957215393637</v>
      </c>
      <c r="G119" s="17">
        <f t="shared" si="5"/>
        <v>147.81592365134219</v>
      </c>
    </row>
    <row r="120" spans="1:25" ht="18" customHeight="1" x14ac:dyDescent="0.2">
      <c r="A120" s="4">
        <v>44337</v>
      </c>
      <c r="B120" s="5">
        <v>3</v>
      </c>
      <c r="C120" s="5">
        <v>55</v>
      </c>
      <c r="E120" s="17">
        <f t="shared" si="3"/>
        <v>-11.817763698998997</v>
      </c>
      <c r="F120" s="17">
        <f t="shared" si="4"/>
        <v>14.817763698998997</v>
      </c>
      <c r="G120" s="17">
        <f t="shared" si="5"/>
        <v>219.56612103937243</v>
      </c>
    </row>
    <row r="121" spans="1:25" ht="18" customHeight="1" x14ac:dyDescent="0.25">
      <c r="A121" s="4">
        <v>44338</v>
      </c>
      <c r="B121" s="5">
        <v>0</v>
      </c>
      <c r="C121" s="5">
        <v>59</v>
      </c>
      <c r="E121" s="17">
        <f t="shared" si="3"/>
        <v>-10.938021720858519</v>
      </c>
      <c r="F121" s="17">
        <f t="shared" si="4"/>
        <v>10.938021720858519</v>
      </c>
      <c r="G121" s="17">
        <f t="shared" si="5"/>
        <v>119.64031916597276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0</v>
      </c>
      <c r="C122" s="5">
        <v>58</v>
      </c>
      <c r="E122" s="17">
        <f t="shared" si="3"/>
        <v>-11.157957215393637</v>
      </c>
      <c r="F122" s="17">
        <f t="shared" si="4"/>
        <v>11.157957215393637</v>
      </c>
      <c r="G122" s="17">
        <f t="shared" si="5"/>
        <v>124.50000922055492</v>
      </c>
    </row>
    <row r="123" spans="1:25" ht="18" customHeight="1" x14ac:dyDescent="0.2">
      <c r="A123" s="4">
        <v>44340</v>
      </c>
      <c r="B123" s="5">
        <v>1</v>
      </c>
      <c r="C123" s="5">
        <v>57</v>
      </c>
      <c r="E123" s="17">
        <f t="shared" si="3"/>
        <v>-11.377892709928757</v>
      </c>
      <c r="F123" s="17">
        <f t="shared" si="4"/>
        <v>12.377892709928757</v>
      </c>
      <c r="G123" s="17">
        <f t="shared" si="5"/>
        <v>153.21222793850745</v>
      </c>
    </row>
    <row r="124" spans="1:25" ht="18" customHeight="1" x14ac:dyDescent="0.2">
      <c r="A124" s="4">
        <v>44341</v>
      </c>
      <c r="B124" s="5">
        <v>3</v>
      </c>
      <c r="C124" s="5">
        <v>52</v>
      </c>
      <c r="E124" s="17">
        <f t="shared" si="3"/>
        <v>-12.477570182604355</v>
      </c>
      <c r="F124" s="17">
        <f t="shared" si="4"/>
        <v>15.477570182604355</v>
      </c>
      <c r="G124" s="17">
        <f t="shared" si="5"/>
        <v>239.5551787574434</v>
      </c>
    </row>
    <row r="125" spans="1:25" ht="18" customHeight="1" x14ac:dyDescent="0.2">
      <c r="A125" s="4">
        <v>44342</v>
      </c>
      <c r="B125" s="5">
        <v>1</v>
      </c>
      <c r="C125" s="5">
        <v>53</v>
      </c>
      <c r="E125" s="17">
        <f t="shared" si="3"/>
        <v>-12.257634688069235</v>
      </c>
      <c r="F125" s="17">
        <f t="shared" si="4"/>
        <v>13.257634688069235</v>
      </c>
      <c r="G125" s="17">
        <f t="shared" si="5"/>
        <v>175.76487752229664</v>
      </c>
    </row>
    <row r="126" spans="1:25" ht="18" customHeight="1" x14ac:dyDescent="0.25">
      <c r="A126" s="4">
        <v>44343</v>
      </c>
      <c r="B126" s="5">
        <v>0</v>
      </c>
      <c r="C126" s="5">
        <v>53</v>
      </c>
      <c r="E126" s="17">
        <f t="shared" si="3"/>
        <v>-12.257634688069235</v>
      </c>
      <c r="F126" s="17">
        <f t="shared" si="4"/>
        <v>12.257634688069235</v>
      </c>
      <c r="G126" s="17">
        <f t="shared" si="5"/>
        <v>150.24960814615818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52</v>
      </c>
      <c r="E127" s="17">
        <f t="shared" si="3"/>
        <v>-12.477570182604355</v>
      </c>
      <c r="F127" s="17">
        <f t="shared" si="4"/>
        <v>13.477570182604355</v>
      </c>
      <c r="G127" s="17">
        <f t="shared" si="5"/>
        <v>181.64489802702599</v>
      </c>
    </row>
    <row r="128" spans="1:25" ht="18" customHeight="1" x14ac:dyDescent="0.2">
      <c r="A128" s="4">
        <v>44345</v>
      </c>
      <c r="B128" s="5">
        <v>0</v>
      </c>
      <c r="C128" s="5">
        <v>49</v>
      </c>
      <c r="E128" s="17">
        <f t="shared" si="3"/>
        <v>-13.137376666209713</v>
      </c>
      <c r="F128" s="17">
        <f t="shared" si="4"/>
        <v>13.137376666209713</v>
      </c>
      <c r="G128" s="17">
        <f t="shared" si="5"/>
        <v>172.59066566987144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17">
        <f t="shared" si="3"/>
        <v>-12.037699193534117</v>
      </c>
      <c r="F129" s="17">
        <f t="shared" si="4"/>
        <v>12.037699193534117</v>
      </c>
      <c r="G129" s="17">
        <f t="shared" si="5"/>
        <v>144.90620187401191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17">
        <f t="shared" si="3"/>
        <v>-12.477570182604355</v>
      </c>
      <c r="F130" s="17">
        <f t="shared" si="4"/>
        <v>14.477570182604355</v>
      </c>
      <c r="G130" s="17">
        <f t="shared" si="5"/>
        <v>209.60003839223469</v>
      </c>
    </row>
    <row r="132" spans="1:24" ht="18" customHeight="1" x14ac:dyDescent="0.35">
      <c r="O132" s="21" t="s">
        <v>48</v>
      </c>
      <c r="P132">
        <f>ROUND((P40-0) / (P73 * SQRT( (1/B133) + (POWER(P34,2) / P36))),4)</f>
        <v>-6.8249000000000004</v>
      </c>
      <c r="U132" s="21" t="s">
        <v>49</v>
      </c>
      <c r="V132">
        <f xml:space="preserve"> ROUND((P41-0) / (P73 / SQRT(P36)),4)</f>
        <v>24.677399999999999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9.3791641120333225E-12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439310.0949097093</v>
      </c>
      <c r="O179" s="121"/>
    </row>
    <row r="180" spans="13:19" ht="18" customHeight="1" x14ac:dyDescent="0.2">
      <c r="M180" s="105" t="s">
        <v>62</v>
      </c>
      <c r="N180" s="122">
        <f>SUM(G11:G130)</f>
        <v>85124.496756957145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439310.0949097093</v>
      </c>
      <c r="P188" s="117"/>
      <c r="Q188" s="117">
        <f>O188/N188</f>
        <v>439310.0949097093</v>
      </c>
      <c r="R188" s="117"/>
      <c r="S188" s="77">
        <f>Q188/Q189</f>
        <v>608.97383449270114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85124.496756957145</v>
      </c>
      <c r="P189" s="117"/>
      <c r="Q189" s="117">
        <f>O189/N189</f>
        <v>721.39404031319611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9.3791641120333225E-12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6117</v>
      </c>
      <c r="E208" s="17">
        <f>$P$234 + $P$235*C208</f>
        <v>1179.1733821027647</v>
      </c>
      <c r="F208" s="17">
        <f>B208-E208</f>
        <v>496.82661789723534</v>
      </c>
      <c r="G208" s="17">
        <f>POWER(F208,2)</f>
        <v>246836.68825120549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5872</v>
      </c>
      <c r="E209" s="17">
        <f t="shared" ref="E209:E224" si="6">$P$234 + $P$235*C209</f>
        <v>1125.1660724868011</v>
      </c>
      <c r="F209" s="17">
        <f t="shared" ref="F209:F224" si="7">B209-E209</f>
        <v>37.833927513198887</v>
      </c>
      <c r="G209" s="17">
        <f t="shared" ref="G209:G224" si="8">POWER(F209,2)</f>
        <v>1431.4060710739877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4906</v>
      </c>
      <c r="E210" s="17">
        <f t="shared" si="6"/>
        <v>912.22296600100276</v>
      </c>
      <c r="F210" s="17">
        <f t="shared" si="7"/>
        <v>-271.22296600100276</v>
      </c>
      <c r="G210" s="17">
        <f t="shared" si="8"/>
        <v>73561.897286381092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3825</v>
      </c>
      <c r="E211" s="17">
        <f t="shared" si="6"/>
        <v>673.9294896954666</v>
      </c>
      <c r="F211" s="17">
        <f t="shared" si="7"/>
        <v>-318.9294896954666</v>
      </c>
      <c r="G211" s="17">
        <f t="shared" si="8"/>
        <v>101716.01939741074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2829</v>
      </c>
      <c r="E212" s="17">
        <f t="shared" si="6"/>
        <v>454.37324325669312</v>
      </c>
      <c r="F212" s="17">
        <f t="shared" si="7"/>
        <v>-231.37324325669312</v>
      </c>
      <c r="G212" s="17">
        <f t="shared" si="8"/>
        <v>53533.577695120883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1971</v>
      </c>
      <c r="E213" s="17">
        <f t="shared" si="6"/>
        <v>265.2374406016051</v>
      </c>
      <c r="F213" s="17">
        <f t="shared" si="7"/>
        <v>-121.2374406016051</v>
      </c>
      <c r="G213" s="17">
        <f t="shared" si="8"/>
        <v>14698.517003627725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1358</v>
      </c>
      <c r="E214" s="17">
        <f t="shared" si="6"/>
        <v>130.10894756248047</v>
      </c>
      <c r="F214" s="17">
        <f t="shared" si="7"/>
        <v>-46.108947562480466</v>
      </c>
      <c r="G214" s="17">
        <f t="shared" si="8"/>
        <v>2126.0350453195733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1078</v>
      </c>
      <c r="E215" s="17">
        <f t="shared" si="6"/>
        <v>68.386308001379518</v>
      </c>
      <c r="F215" s="17">
        <f t="shared" si="7"/>
        <v>0.61369199862048163</v>
      </c>
      <c r="G215" s="17">
        <f t="shared" si="8"/>
        <v>0.3766178691708012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895</v>
      </c>
      <c r="E216" s="17">
        <f t="shared" si="6"/>
        <v>28.046154288231378</v>
      </c>
      <c r="F216" s="17">
        <f t="shared" si="7"/>
        <v>13.953845711768622</v>
      </c>
      <c r="G216" s="17">
        <f t="shared" si="8"/>
        <v>194.70981014784357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823</v>
      </c>
      <c r="E217" s="17">
        <f t="shared" si="6"/>
        <v>12.174618401091124</v>
      </c>
      <c r="F217" s="17">
        <f t="shared" si="7"/>
        <v>24.825381598908876</v>
      </c>
      <c r="G217" s="17">
        <f t="shared" si="8"/>
        <v>616.29957153144346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775</v>
      </c>
      <c r="E218" s="17">
        <f t="shared" si="6"/>
        <v>1.5935944763309635</v>
      </c>
      <c r="F218" s="17">
        <f t="shared" si="7"/>
        <v>27.406405523669036</v>
      </c>
      <c r="G218" s="17">
        <f t="shared" si="8"/>
        <v>751.1110637277967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733</v>
      </c>
      <c r="E219" s="17">
        <f t="shared" si="6"/>
        <v>-7.6648014578341872</v>
      </c>
      <c r="F219" s="17">
        <f t="shared" si="7"/>
        <v>27.664801457834187</v>
      </c>
      <c r="G219" s="17">
        <f t="shared" si="8"/>
        <v>765.34123970138455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612</v>
      </c>
      <c r="E220" s="17">
        <f t="shared" si="6"/>
        <v>-34.337799268167117</v>
      </c>
      <c r="F220" s="17">
        <f t="shared" si="7"/>
        <v>46.337799268167117</v>
      </c>
      <c r="G220" s="17">
        <f t="shared" si="8"/>
        <v>2147.1916410169492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560</v>
      </c>
      <c r="E221" s="17">
        <f t="shared" si="6"/>
        <v>-45.800575186657298</v>
      </c>
      <c r="F221" s="17">
        <f t="shared" si="7"/>
        <v>60.800575186657298</v>
      </c>
      <c r="G221" s="17">
        <f t="shared" si="8"/>
        <v>3696.709943028367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504</v>
      </c>
      <c r="E222" s="17">
        <f t="shared" si="6"/>
        <v>-58.145103098877485</v>
      </c>
      <c r="F222" s="17">
        <f t="shared" si="7"/>
        <v>73.145103098877485</v>
      </c>
      <c r="G222" s="17">
        <f t="shared" si="8"/>
        <v>5350.206107345417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424</v>
      </c>
      <c r="E223" s="17">
        <f t="shared" si="6"/>
        <v>-75.780142973477766</v>
      </c>
      <c r="F223" s="17">
        <f t="shared" si="7"/>
        <v>85.780142973477766</v>
      </c>
      <c r="G223" s="81">
        <f t="shared" si="8"/>
        <v>7358.2329285502865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370</v>
      </c>
      <c r="D224" s="31"/>
      <c r="E224" s="17">
        <f t="shared" si="6"/>
        <v>-87.683794888832949</v>
      </c>
      <c r="F224" s="17">
        <f t="shared" si="7"/>
        <v>93.683794888832949</v>
      </c>
      <c r="G224" s="17">
        <f t="shared" si="8"/>
        <v>8776.6534247729232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1979.5294117647059</v>
      </c>
      <c r="Q228" s="130"/>
    </row>
    <row r="229" spans="1:25" ht="18" customHeight="1" x14ac:dyDescent="0.2">
      <c r="A229" s="1"/>
      <c r="O229" s="14"/>
      <c r="P229" s="130">
        <f>AVERAGE(B208:B224)</f>
        <v>267.11764705882354</v>
      </c>
      <c r="Q229" s="130"/>
    </row>
    <row r="230" spans="1:25" ht="18" customHeight="1" x14ac:dyDescent="0.2">
      <c r="A230" s="1"/>
      <c r="O230" s="14"/>
      <c r="P230" s="130">
        <f>SUMPRODUCT(POWER(C208:C224-P228,2))</f>
        <v>62751844.235294133</v>
      </c>
      <c r="Q230" s="130"/>
    </row>
    <row r="231" spans="1:25" ht="18" customHeight="1" x14ac:dyDescent="0.2">
      <c r="A231" s="1"/>
      <c r="O231" s="14"/>
      <c r="P231" s="130">
        <f>SUMPRODUCT(POWER(B208:B224-P229,2))</f>
        <v>3572855.7647058833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13832890.94117647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-169.24585430885924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0.22043799843250347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0.85346148639142372</v>
      </c>
      <c r="Q244" s="120"/>
    </row>
    <row r="245" spans="1:25" ht="18" customHeight="1" x14ac:dyDescent="0.2">
      <c r="A245" s="1"/>
      <c r="O245" s="32"/>
      <c r="P245" s="122">
        <f>P232 / (SQRT(P230) * SQRT(P231))</f>
        <v>0.92382979297672774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186.82629598958687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0.34823626177452394</v>
      </c>
      <c r="Q266" s="127"/>
      <c r="T266" s="16"/>
      <c r="U266" s="127">
        <f xml:space="preserve"> SQRT( 1/P230 )</f>
        <v>1.2623702556723064E-4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114.05291430258474</v>
      </c>
      <c r="Q269" s="119"/>
      <c r="T269" s="19" t="s">
        <v>36</v>
      </c>
      <c r="U269" s="119">
        <f>P258*P260*U266</f>
        <v>4.1344633627369856E-2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-283.29880000000003</v>
      </c>
      <c r="Q271" s="120"/>
      <c r="T271" s="16" t="s">
        <v>37</v>
      </c>
      <c r="U271" s="120">
        <f>ROUND(P235-U269,4)</f>
        <v>0.17910000000000001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-55.192900000000002</v>
      </c>
      <c r="Q272" s="122"/>
      <c r="T272" s="13" t="s">
        <v>38</v>
      </c>
      <c r="U272" s="122">
        <f>ROUND(P235+U269,4)</f>
        <v>0.26179999999999998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186.82629598958687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0.34823626177452394</v>
      </c>
      <c r="Q290" s="127"/>
      <c r="T290" s="16"/>
      <c r="U290" s="127">
        <f xml:space="preserve"> SQRT( 1/P230 )</f>
        <v>1.2623702556723064E-4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138.67144863843464</v>
      </c>
      <c r="Q293" s="119"/>
      <c r="T293" s="19" t="s">
        <v>36</v>
      </c>
      <c r="U293" s="119">
        <f>P282*P284*U290</f>
        <v>5.0268949930749679E-2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-307.91730000000001</v>
      </c>
      <c r="Q295" s="120"/>
      <c r="T295" s="16" t="s">
        <v>37</v>
      </c>
      <c r="U295" s="120">
        <f>ROUND(P235-U293,4)</f>
        <v>0.17019999999999999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-30.574400000000001</v>
      </c>
      <c r="Q296" s="122"/>
      <c r="T296" s="13" t="s">
        <v>38</v>
      </c>
      <c r="U296" s="122">
        <f>ROUND(P235+U293,4)</f>
        <v>0.2707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-2.6013999999999999</v>
      </c>
      <c r="T319" s="21" t="s">
        <v>49</v>
      </c>
      <c r="U319">
        <f>ROUND( (P235-0) / (P284 / SQRT(P230)),4)</f>
        <v>9.3468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-1051.4705882352928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3120646.6289782925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523560.97309783095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3120646.6289782925</v>
      </c>
      <c r="P371" s="117"/>
      <c r="Q371" s="117">
        <f>O371/N371</f>
        <v>3120646.6289782925</v>
      </c>
      <c r="R371" s="117"/>
      <c r="S371" s="77">
        <f>Q371/Q372</f>
        <v>89.406395510552457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523560.97309783095</v>
      </c>
      <c r="P372" s="117"/>
      <c r="Q372" s="117">
        <f>O372/N372</f>
        <v>34904.064873188727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-1051.4705882352928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2AF4-36D7-4C52-827C-FD9FA8500FC8}">
  <dimension ref="A3:AD444"/>
  <sheetViews>
    <sheetView topLeftCell="F269" zoomScale="106" zoomScaleNormal="106" workbookViewId="0">
      <selection activeCell="P349" sqref="P34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6869</v>
      </c>
      <c r="E11" s="17">
        <f>$P$40 + $P$41*C11</f>
        <v>217.23713179791304</v>
      </c>
      <c r="F11" s="17">
        <f>B11-E11</f>
        <v>57.762868202086963</v>
      </c>
      <c r="G11" s="17">
        <f>POWER(F11,2)</f>
        <v>3336.548942931669</v>
      </c>
    </row>
    <row r="12" spans="1:30" ht="18" customHeight="1" x14ac:dyDescent="0.2">
      <c r="A12" s="4">
        <v>44229</v>
      </c>
      <c r="B12" s="5">
        <v>260</v>
      </c>
      <c r="C12" s="5">
        <v>6775</v>
      </c>
      <c r="E12" s="17">
        <f t="shared" ref="E12:E75" si="0">$P$40 + $P$41*C12</f>
        <v>214.07782161063892</v>
      </c>
      <c r="F12" s="17">
        <f t="shared" ref="F12:F75" si="1">B12-E12</f>
        <v>45.922178389361079</v>
      </c>
      <c r="G12" s="17">
        <f t="shared" ref="G12:G75" si="2">POWER(F12,2)</f>
        <v>2108.8464680243019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6684</v>
      </c>
      <c r="E13" s="17">
        <f t="shared" si="0"/>
        <v>211.01934047189482</v>
      </c>
      <c r="F13" s="17">
        <f t="shared" si="1"/>
        <v>28.980659528105178</v>
      </c>
      <c r="G13" s="17">
        <f t="shared" si="2"/>
        <v>839.87862668395348</v>
      </c>
    </row>
    <row r="14" spans="1:30" ht="18" customHeight="1" x14ac:dyDescent="0.2">
      <c r="A14" s="4">
        <v>44231</v>
      </c>
      <c r="B14" s="5">
        <v>225</v>
      </c>
      <c r="C14" s="5">
        <v>6496</v>
      </c>
      <c r="E14" s="17">
        <f t="shared" si="0"/>
        <v>204.70072009734659</v>
      </c>
      <c r="F14" s="17">
        <f t="shared" si="1"/>
        <v>20.29927990265341</v>
      </c>
      <c r="G14" s="17">
        <f t="shared" si="2"/>
        <v>412.06076456626863</v>
      </c>
    </row>
    <row r="15" spans="1:30" ht="18" customHeight="1" x14ac:dyDescent="0.2">
      <c r="A15" s="4">
        <v>44232</v>
      </c>
      <c r="B15" s="5">
        <v>258</v>
      </c>
      <c r="C15" s="5">
        <v>6412</v>
      </c>
      <c r="E15" s="17">
        <f t="shared" si="0"/>
        <v>201.8775067385059</v>
      </c>
      <c r="F15" s="17">
        <f t="shared" si="1"/>
        <v>56.1224932614941</v>
      </c>
      <c r="G15" s="17">
        <f t="shared" si="2"/>
        <v>3149.7342498864505</v>
      </c>
    </row>
    <row r="16" spans="1:30" ht="18" customHeight="1" x14ac:dyDescent="0.2">
      <c r="A16" s="4">
        <v>44233</v>
      </c>
      <c r="B16" s="5">
        <v>214</v>
      </c>
      <c r="C16" s="5">
        <v>6158</v>
      </c>
      <c r="E16" s="17">
        <f t="shared" si="0"/>
        <v>193.34064729629711</v>
      </c>
      <c r="F16" s="17">
        <f t="shared" si="1"/>
        <v>20.659352703702893</v>
      </c>
      <c r="G16" s="17">
        <f t="shared" si="2"/>
        <v>426.80885413599606</v>
      </c>
    </row>
    <row r="17" spans="1:24" ht="18" customHeight="1" x14ac:dyDescent="0.2">
      <c r="A17" s="4">
        <v>44234</v>
      </c>
      <c r="B17" s="5">
        <v>204</v>
      </c>
      <c r="C17" s="5">
        <v>6248</v>
      </c>
      <c r="E17" s="17">
        <f t="shared" si="0"/>
        <v>196.36551875219786</v>
      </c>
      <c r="F17" s="17">
        <f t="shared" si="1"/>
        <v>7.6344812478021424</v>
      </c>
      <c r="G17" s="17">
        <f t="shared" si="2"/>
        <v>58.285303923042555</v>
      </c>
    </row>
    <row r="18" spans="1:24" ht="18" customHeight="1" x14ac:dyDescent="0.2">
      <c r="A18" s="4">
        <v>44235</v>
      </c>
      <c r="B18" s="5">
        <v>196</v>
      </c>
      <c r="C18" s="5">
        <v>6344</v>
      </c>
      <c r="E18" s="17">
        <f t="shared" si="0"/>
        <v>199.59204830515867</v>
      </c>
      <c r="F18" s="17">
        <f t="shared" si="1"/>
        <v>-3.59204830515867</v>
      </c>
      <c r="G18" s="17">
        <f t="shared" si="2"/>
        <v>12.902811026593273</v>
      </c>
    </row>
    <row r="19" spans="1:24" ht="18" customHeight="1" x14ac:dyDescent="0.2">
      <c r="A19" s="4">
        <v>44236</v>
      </c>
      <c r="B19" s="5">
        <v>203</v>
      </c>
      <c r="C19" s="5">
        <v>6070</v>
      </c>
      <c r="E19" s="17">
        <f t="shared" si="0"/>
        <v>190.38299520608302</v>
      </c>
      <c r="F19" s="17">
        <f t="shared" si="1"/>
        <v>12.617004793916976</v>
      </c>
      <c r="G19" s="17">
        <f t="shared" si="2"/>
        <v>159.18880996972396</v>
      </c>
    </row>
    <row r="20" spans="1:24" ht="18" customHeight="1" x14ac:dyDescent="0.2">
      <c r="A20" s="4">
        <v>44237</v>
      </c>
      <c r="B20" s="5">
        <v>161</v>
      </c>
      <c r="C20" s="5">
        <v>5829</v>
      </c>
      <c r="E20" s="17">
        <f t="shared" si="0"/>
        <v>182.28306164083767</v>
      </c>
      <c r="F20" s="17">
        <f t="shared" si="1"/>
        <v>-21.283061640837673</v>
      </c>
      <c r="G20" s="17">
        <f t="shared" si="2"/>
        <v>452.96871280769597</v>
      </c>
    </row>
    <row r="21" spans="1:24" ht="18" customHeight="1" x14ac:dyDescent="0.2">
      <c r="A21" s="4">
        <v>44238</v>
      </c>
      <c r="B21" s="5">
        <v>167</v>
      </c>
      <c r="C21" s="5">
        <v>5570</v>
      </c>
      <c r="E21" s="17">
        <f t="shared" si="0"/>
        <v>173.57815378441217</v>
      </c>
      <c r="F21" s="17">
        <f t="shared" si="1"/>
        <v>-6.5781537844121658</v>
      </c>
      <c r="G21" s="17">
        <f t="shared" si="2"/>
        <v>43.272107211376095</v>
      </c>
    </row>
    <row r="22" spans="1:24" ht="18" customHeight="1" x14ac:dyDescent="0.2">
      <c r="A22" s="4">
        <v>44239</v>
      </c>
      <c r="B22" s="5">
        <v>149</v>
      </c>
      <c r="C22" s="5">
        <v>5230</v>
      </c>
      <c r="E22" s="17">
        <f t="shared" si="0"/>
        <v>162.15086161767599</v>
      </c>
      <c r="F22" s="17">
        <f t="shared" si="1"/>
        <v>-13.150861617675986</v>
      </c>
      <c r="G22" s="17">
        <f t="shared" si="2"/>
        <v>172.94516128726346</v>
      </c>
    </row>
    <row r="23" spans="1:24" ht="18" customHeight="1" x14ac:dyDescent="0.2">
      <c r="A23" s="4">
        <v>44240</v>
      </c>
      <c r="B23" s="5">
        <v>149</v>
      </c>
      <c r="C23" s="5">
        <v>4850</v>
      </c>
      <c r="E23" s="17">
        <f t="shared" si="0"/>
        <v>149.37918213720616</v>
      </c>
      <c r="F23" s="17">
        <f t="shared" si="1"/>
        <v>-0.37918213720615768</v>
      </c>
      <c r="G23" s="17">
        <f t="shared" si="2"/>
        <v>0.14377909317622939</v>
      </c>
    </row>
    <row r="24" spans="1:24" ht="18" customHeight="1" x14ac:dyDescent="0.2">
      <c r="A24" s="4">
        <v>44241</v>
      </c>
      <c r="B24" s="5">
        <v>138</v>
      </c>
      <c r="C24" s="5">
        <v>4826</v>
      </c>
      <c r="E24" s="17">
        <f t="shared" si="0"/>
        <v>148.57254974896594</v>
      </c>
      <c r="F24" s="17">
        <f t="shared" si="1"/>
        <v>-10.57254974896594</v>
      </c>
      <c r="G24" s="17">
        <f t="shared" si="2"/>
        <v>111.77880819435977</v>
      </c>
    </row>
    <row r="25" spans="1:24" ht="18" customHeight="1" x14ac:dyDescent="0.2">
      <c r="A25" s="4">
        <v>44242</v>
      </c>
      <c r="B25" s="5">
        <v>90</v>
      </c>
      <c r="C25" s="5">
        <v>4832</v>
      </c>
      <c r="E25" s="17">
        <f t="shared" si="0"/>
        <v>148.774207846026</v>
      </c>
      <c r="F25" s="17">
        <f t="shared" si="1"/>
        <v>-58.774207846026002</v>
      </c>
      <c r="G25" s="17">
        <f t="shared" si="2"/>
        <v>3454.4075079278646</v>
      </c>
    </row>
    <row r="26" spans="1:24" ht="18" customHeight="1" x14ac:dyDescent="0.2">
      <c r="A26" s="4">
        <v>44243</v>
      </c>
      <c r="B26" s="5">
        <v>111</v>
      </c>
      <c r="C26" s="5">
        <v>4482</v>
      </c>
      <c r="E26" s="17">
        <f t="shared" si="0"/>
        <v>137.0108188508564</v>
      </c>
      <c r="F26" s="17">
        <f t="shared" si="1"/>
        <v>-26.010818850856396</v>
      </c>
      <c r="G26" s="17">
        <f t="shared" si="2"/>
        <v>676.56269729206645</v>
      </c>
    </row>
    <row r="27" spans="1:24" ht="18" customHeight="1" x14ac:dyDescent="0.2">
      <c r="A27" s="4">
        <v>44244</v>
      </c>
      <c r="B27" s="5">
        <v>127</v>
      </c>
      <c r="C27" s="5">
        <v>4137</v>
      </c>
      <c r="E27" s="17">
        <f t="shared" si="0"/>
        <v>125.4154782699035</v>
      </c>
      <c r="F27" s="17">
        <f t="shared" si="1"/>
        <v>1.5845217300964975</v>
      </c>
      <c r="G27" s="17">
        <f t="shared" si="2"/>
        <v>2.5107091131479979</v>
      </c>
    </row>
    <row r="28" spans="1:24" ht="18" customHeight="1" x14ac:dyDescent="0.2">
      <c r="A28" s="4">
        <v>44245</v>
      </c>
      <c r="B28" s="5">
        <v>105</v>
      </c>
      <c r="C28" s="5">
        <v>3819</v>
      </c>
      <c r="E28" s="17">
        <f t="shared" si="0"/>
        <v>114.72759912572084</v>
      </c>
      <c r="F28" s="17">
        <f t="shared" si="1"/>
        <v>-9.7275991257208432</v>
      </c>
      <c r="G28" s="17">
        <f t="shared" si="2"/>
        <v>94.626184750724917</v>
      </c>
    </row>
    <row r="29" spans="1:24" ht="18" customHeight="1" x14ac:dyDescent="0.2">
      <c r="A29" s="4">
        <v>44246</v>
      </c>
      <c r="B29" s="5">
        <v>67</v>
      </c>
      <c r="C29" s="5">
        <v>3584</v>
      </c>
      <c r="E29" s="17">
        <f t="shared" si="0"/>
        <v>106.82932365753555</v>
      </c>
      <c r="F29" s="17">
        <f t="shared" si="1"/>
        <v>-39.829323657535554</v>
      </c>
      <c r="G29" s="17">
        <f t="shared" si="2"/>
        <v>1586.3750230167213</v>
      </c>
    </row>
    <row r="30" spans="1:24" ht="18" customHeight="1" x14ac:dyDescent="0.2">
      <c r="A30" s="4">
        <v>44247</v>
      </c>
      <c r="B30" s="5">
        <v>76</v>
      </c>
      <c r="C30" s="5">
        <v>3284</v>
      </c>
      <c r="E30" s="17">
        <f t="shared" si="0"/>
        <v>96.74641880453305</v>
      </c>
      <c r="F30" s="17">
        <f t="shared" si="1"/>
        <v>-20.74641880453305</v>
      </c>
      <c r="G30" s="17">
        <f t="shared" si="2"/>
        <v>430.41389321308253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3316</v>
      </c>
      <c r="E31" s="17">
        <f t="shared" si="0"/>
        <v>97.821928655519997</v>
      </c>
      <c r="F31" s="17">
        <f t="shared" si="1"/>
        <v>-32.821928655519997</v>
      </c>
      <c r="G31" s="17">
        <f t="shared" si="2"/>
        <v>1077.2790006680448</v>
      </c>
    </row>
    <row r="32" spans="1:24" ht="18" customHeight="1" x14ac:dyDescent="0.2">
      <c r="A32" s="4">
        <v>44249</v>
      </c>
      <c r="B32" s="5">
        <v>61</v>
      </c>
      <c r="C32" s="5">
        <v>3322</v>
      </c>
      <c r="E32" s="17">
        <f t="shared" si="0"/>
        <v>98.02358675258003</v>
      </c>
      <c r="F32" s="17">
        <f t="shared" si="1"/>
        <v>-37.02358675258003</v>
      </c>
      <c r="G32" s="17">
        <f t="shared" si="2"/>
        <v>1370.7459760258196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17">
        <f t="shared" si="0"/>
        <v>87.604585071144101</v>
      </c>
      <c r="F33" s="17">
        <f t="shared" si="1"/>
        <v>-24.604585071144101</v>
      </c>
      <c r="G33" s="17">
        <f t="shared" si="2"/>
        <v>605.3856065231671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50</v>
      </c>
      <c r="C34" s="5">
        <v>2767</v>
      </c>
      <c r="E34" s="17">
        <f t="shared" si="0"/>
        <v>79.370212774525385</v>
      </c>
      <c r="F34" s="17">
        <f t="shared" si="1"/>
        <v>-29.370212774525385</v>
      </c>
      <c r="G34" s="17">
        <f t="shared" si="2"/>
        <v>862.60939842089408</v>
      </c>
      <c r="O34" s="14"/>
      <c r="P34" s="130">
        <f>AVERAGE(C11:C130)</f>
        <v>1531.8833333333334</v>
      </c>
      <c r="Q34" s="130"/>
    </row>
    <row r="35" spans="1:24" ht="18" customHeight="1" x14ac:dyDescent="0.2">
      <c r="A35" s="4">
        <v>44252</v>
      </c>
      <c r="B35" s="5">
        <v>49</v>
      </c>
      <c r="C35" s="5">
        <v>2613</v>
      </c>
      <c r="E35" s="17">
        <f t="shared" si="0"/>
        <v>74.194321616650768</v>
      </c>
      <c r="F35" s="17">
        <f t="shared" si="1"/>
        <v>-25.194321616650768</v>
      </c>
      <c r="G35" s="17">
        <f t="shared" si="2"/>
        <v>634.75384172323618</v>
      </c>
      <c r="O35" s="14"/>
      <c r="P35" s="130">
        <f>AVERAGE(B11:B130)</f>
        <v>37.858333333333334</v>
      </c>
      <c r="Q35" s="130"/>
    </row>
    <row r="36" spans="1:24" ht="18" customHeight="1" x14ac:dyDescent="0.2">
      <c r="A36" s="4">
        <v>44253</v>
      </c>
      <c r="B36" s="5">
        <v>58</v>
      </c>
      <c r="C36" s="5">
        <v>2404</v>
      </c>
      <c r="E36" s="17">
        <f t="shared" si="0"/>
        <v>67.169897902392364</v>
      </c>
      <c r="F36" s="17">
        <f t="shared" si="1"/>
        <v>-9.1698979023923641</v>
      </c>
      <c r="G36" s="17">
        <f t="shared" si="2"/>
        <v>84.087027540299886</v>
      </c>
      <c r="O36" s="14"/>
      <c r="P36" s="130">
        <f>SUMPRODUCT(POWER(C11:C130-P34,2))</f>
        <v>440292938.36666679</v>
      </c>
      <c r="Q36" s="130"/>
    </row>
    <row r="37" spans="1:24" ht="18" customHeight="1" x14ac:dyDescent="0.2">
      <c r="A37" s="4">
        <v>44254</v>
      </c>
      <c r="B37" s="5">
        <v>33</v>
      </c>
      <c r="C37" s="5">
        <v>2180</v>
      </c>
      <c r="E37" s="17">
        <f t="shared" si="0"/>
        <v>59.641328945483814</v>
      </c>
      <c r="F37" s="17">
        <f t="shared" si="1"/>
        <v>-26.641328945483814</v>
      </c>
      <c r="G37" s="17">
        <f t="shared" si="2"/>
        <v>709.76040798147369</v>
      </c>
      <c r="O37" s="14"/>
      <c r="P37" s="130">
        <f>SUMPRODUCT(POWER(B11:B130-P35,2))</f>
        <v>524434.59166666621</v>
      </c>
      <c r="Q37" s="130"/>
    </row>
    <row r="38" spans="1:24" ht="18" customHeight="1" x14ac:dyDescent="0.2">
      <c r="A38" s="4">
        <v>44255</v>
      </c>
      <c r="B38" s="5">
        <v>41</v>
      </c>
      <c r="C38" s="5">
        <v>2165</v>
      </c>
      <c r="E38" s="17">
        <f t="shared" si="0"/>
        <v>59.137183702833688</v>
      </c>
      <c r="F38" s="17">
        <f t="shared" si="1"/>
        <v>-18.137183702833688</v>
      </c>
      <c r="G38" s="17">
        <f t="shared" si="2"/>
        <v>328.95743267033595</v>
      </c>
      <c r="O38" s="14"/>
      <c r="P38" s="130">
        <f xml:space="preserve"> SUMPRODUCT( (B11:B130-P35) * (C11:C130-P34))</f>
        <v>14798106.016666668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34</v>
      </c>
      <c r="C39" s="5">
        <v>2167</v>
      </c>
      <c r="E39" s="17">
        <f t="shared" si="0"/>
        <v>59.204403068520371</v>
      </c>
      <c r="F39" s="17">
        <f t="shared" si="1"/>
        <v>-25.204403068520371</v>
      </c>
      <c r="G39" s="17">
        <f t="shared" si="2"/>
        <v>635.26193404043909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1997</v>
      </c>
      <c r="E40" s="17">
        <f t="shared" si="0"/>
        <v>53.490756985152281</v>
      </c>
      <c r="F40" s="17">
        <f t="shared" si="1"/>
        <v>-15.490756985152281</v>
      </c>
      <c r="G40" s="17">
        <f t="shared" si="2"/>
        <v>239.96355197304419</v>
      </c>
      <c r="O40" s="16"/>
      <c r="P40" s="120">
        <f>P35 - P34*P41</f>
        <v>-13.627779653001106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1827</v>
      </c>
      <c r="E41" s="17">
        <f t="shared" si="0"/>
        <v>47.777110901784184</v>
      </c>
      <c r="F41" s="17">
        <f t="shared" si="1"/>
        <v>-6.7771109017841837</v>
      </c>
      <c r="G41" s="17">
        <f t="shared" si="2"/>
        <v>45.929232175082035</v>
      </c>
      <c r="O41" s="13"/>
      <c r="P41" s="122">
        <f>P38/P36</f>
        <v>3.3609682843341704E-2</v>
      </c>
      <c r="Q41" s="122"/>
    </row>
    <row r="42" spans="1:24" ht="18" customHeight="1" x14ac:dyDescent="0.2">
      <c r="A42" s="4">
        <v>44259</v>
      </c>
      <c r="B42" s="5">
        <v>28</v>
      </c>
      <c r="C42" s="5">
        <v>1708</v>
      </c>
      <c r="E42" s="17">
        <f t="shared" si="0"/>
        <v>43.777558643426524</v>
      </c>
      <c r="F42" s="17">
        <f t="shared" si="1"/>
        <v>-15.777558643426524</v>
      </c>
      <c r="G42" s="17">
        <f t="shared" si="2"/>
        <v>248.93135674676302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17">
        <f t="shared" si="0"/>
        <v>39.576348288008809</v>
      </c>
      <c r="F43" s="17">
        <f t="shared" si="1"/>
        <v>-11.576348288008809</v>
      </c>
      <c r="G43" s="17">
        <f t="shared" si="2"/>
        <v>134.01183968528449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17">
        <f t="shared" si="0"/>
        <v>33.96353125317075</v>
      </c>
      <c r="F44" s="17">
        <f t="shared" si="1"/>
        <v>-7.9635312531707498</v>
      </c>
      <c r="G44" s="17">
        <f t="shared" si="2"/>
        <v>63.417830020227292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17">
        <f t="shared" si="0"/>
        <v>33.89631188748406</v>
      </c>
      <c r="F45" s="17">
        <f t="shared" si="1"/>
        <v>-5.8963118874840603</v>
      </c>
      <c r="G45" s="17">
        <f t="shared" si="2"/>
        <v>34.766493874485839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1403</v>
      </c>
      <c r="E46" s="17">
        <f t="shared" si="0"/>
        <v>33.526605376207307</v>
      </c>
      <c r="F46" s="17">
        <f t="shared" si="1"/>
        <v>-8.5266053762073071</v>
      </c>
      <c r="G46" s="17">
        <f t="shared" si="2"/>
        <v>72.702999241567355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17">
        <f t="shared" si="0"/>
        <v>29.325395020789593</v>
      </c>
      <c r="F47" s="17">
        <f t="shared" si="1"/>
        <v>0.67460497921040741</v>
      </c>
      <c r="G47" s="17">
        <f t="shared" si="2"/>
        <v>0.45509187797547423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17">
        <f t="shared" si="0"/>
        <v>26.737449441852277</v>
      </c>
      <c r="F48" s="17">
        <f t="shared" si="1"/>
        <v>-4.7374494418522772</v>
      </c>
      <c r="G48" s="17">
        <f t="shared" si="2"/>
        <v>22.443427214106453</v>
      </c>
    </row>
    <row r="49" spans="1:24" ht="18" customHeight="1" x14ac:dyDescent="0.2">
      <c r="A49" s="4">
        <v>44266</v>
      </c>
      <c r="B49" s="5">
        <v>18</v>
      </c>
      <c r="C49" s="5">
        <v>1102</v>
      </c>
      <c r="E49" s="17">
        <f t="shared" si="0"/>
        <v>23.410090840361448</v>
      </c>
      <c r="F49" s="17">
        <f t="shared" si="1"/>
        <v>-5.4100908403614483</v>
      </c>
      <c r="G49" s="17">
        <f t="shared" si="2"/>
        <v>29.269082900962843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15</v>
      </c>
      <c r="C50" s="5">
        <v>1046</v>
      </c>
      <c r="E50" s="17">
        <f t="shared" si="0"/>
        <v>21.52794860113432</v>
      </c>
      <c r="F50" s="17">
        <f t="shared" si="1"/>
        <v>-6.5279486011343195</v>
      </c>
      <c r="G50" s="17">
        <f t="shared" si="2"/>
        <v>42.614112939051516</v>
      </c>
      <c r="O50" s="15"/>
      <c r="P50" s="120">
        <f>(POWER(P38,2)/(P36*P37))</f>
        <v>0.94837308180166369</v>
      </c>
      <c r="Q50" s="120"/>
    </row>
    <row r="51" spans="1:24" ht="18" customHeight="1" x14ac:dyDescent="0.2">
      <c r="A51" s="4">
        <v>44268</v>
      </c>
      <c r="B51" s="5">
        <v>19</v>
      </c>
      <c r="C51" s="5">
        <v>980</v>
      </c>
      <c r="E51" s="17">
        <f t="shared" si="0"/>
        <v>19.309709533473765</v>
      </c>
      <c r="F51" s="17">
        <f t="shared" si="1"/>
        <v>-0.30970953347376451</v>
      </c>
      <c r="G51" s="17">
        <f t="shared" si="2"/>
        <v>9.5919995124536861E-2</v>
      </c>
      <c r="O51" s="32"/>
      <c r="P51" s="122">
        <f>P38 / (SQRT(P36) * SQRT(P37))</f>
        <v>0.973844485429611</v>
      </c>
      <c r="Q51" s="122"/>
    </row>
    <row r="52" spans="1:24" ht="18" customHeight="1" x14ac:dyDescent="0.2">
      <c r="A52" s="4">
        <v>44269</v>
      </c>
      <c r="B52" s="5">
        <v>15</v>
      </c>
      <c r="C52" s="5">
        <v>976</v>
      </c>
      <c r="E52" s="17">
        <f t="shared" si="0"/>
        <v>19.1752708021004</v>
      </c>
      <c r="F52" s="17">
        <f t="shared" si="1"/>
        <v>-4.1752708021003997</v>
      </c>
      <c r="G52" s="17">
        <f t="shared" si="2"/>
        <v>17.432886270872114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996</v>
      </c>
      <c r="E53" s="17">
        <f t="shared" si="0"/>
        <v>19.847464458967231</v>
      </c>
      <c r="F53" s="17">
        <f t="shared" si="1"/>
        <v>-9.8474644589672309</v>
      </c>
      <c r="G53" s="17">
        <f t="shared" si="2"/>
        <v>96.972556270622775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955</v>
      </c>
      <c r="E54" s="17">
        <f t="shared" si="0"/>
        <v>18.46946746239022</v>
      </c>
      <c r="F54" s="17">
        <f t="shared" si="1"/>
        <v>-5.4694674623902202</v>
      </c>
      <c r="G54" s="17">
        <f t="shared" si="2"/>
        <v>29.915074322145315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856</v>
      </c>
      <c r="E55" s="17">
        <f t="shared" si="0"/>
        <v>15.142108860899391</v>
      </c>
      <c r="F55" s="17">
        <f t="shared" si="1"/>
        <v>-0.14210886089939123</v>
      </c>
      <c r="G55" s="17">
        <f t="shared" si="2"/>
        <v>2.0194928346122527E-2</v>
      </c>
    </row>
    <row r="56" spans="1:24" ht="18" customHeight="1" x14ac:dyDescent="0.2">
      <c r="A56" s="4">
        <v>44273</v>
      </c>
      <c r="B56" s="5">
        <v>21</v>
      </c>
      <c r="C56" s="5">
        <v>828</v>
      </c>
      <c r="E56" s="17">
        <f t="shared" si="0"/>
        <v>14.201037741285823</v>
      </c>
      <c r="F56" s="17">
        <f t="shared" si="1"/>
        <v>6.7989622587141767</v>
      </c>
      <c r="G56" s="17">
        <f t="shared" si="2"/>
        <v>46.22588779541978</v>
      </c>
    </row>
    <row r="57" spans="1:24" ht="18" customHeight="1" x14ac:dyDescent="0.2">
      <c r="A57" s="4">
        <v>44274</v>
      </c>
      <c r="B57" s="5">
        <v>11</v>
      </c>
      <c r="C57" s="5">
        <v>789</v>
      </c>
      <c r="E57" s="17">
        <f t="shared" si="0"/>
        <v>12.890260110395499</v>
      </c>
      <c r="F57" s="17">
        <f t="shared" si="1"/>
        <v>-1.8902601103954986</v>
      </c>
      <c r="G57" s="17">
        <f t="shared" si="2"/>
        <v>3.5730832849524026</v>
      </c>
    </row>
    <row r="58" spans="1:24" ht="18" customHeight="1" x14ac:dyDescent="0.2">
      <c r="A58" s="4">
        <v>44275</v>
      </c>
      <c r="B58" s="5">
        <v>8</v>
      </c>
      <c r="C58" s="5">
        <v>744</v>
      </c>
      <c r="E58" s="17">
        <f t="shared" si="0"/>
        <v>11.377824382445123</v>
      </c>
      <c r="F58" s="17">
        <f t="shared" si="1"/>
        <v>-3.3778243824451231</v>
      </c>
      <c r="G58" s="17">
        <f t="shared" si="2"/>
        <v>11.409697558640778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765</v>
      </c>
      <c r="E59" s="17">
        <f t="shared" si="0"/>
        <v>12.083627722155299</v>
      </c>
      <c r="F59" s="17">
        <f t="shared" si="1"/>
        <v>-6.083627722155299</v>
      </c>
      <c r="G59" s="17">
        <f t="shared" si="2"/>
        <v>37.010526261776469</v>
      </c>
    </row>
    <row r="60" spans="1:24" ht="18" customHeight="1" x14ac:dyDescent="0.2">
      <c r="A60" s="4">
        <v>44277</v>
      </c>
      <c r="B60" s="5">
        <v>16</v>
      </c>
      <c r="C60" s="5">
        <v>771</v>
      </c>
      <c r="E60" s="17">
        <f t="shared" si="0"/>
        <v>12.285285819215346</v>
      </c>
      <c r="F60" s="17">
        <f t="shared" si="1"/>
        <v>3.7147141807846538</v>
      </c>
      <c r="G60" s="17">
        <f t="shared" si="2"/>
        <v>13.799101444922602</v>
      </c>
    </row>
    <row r="61" spans="1:24" ht="18" customHeight="1" x14ac:dyDescent="0.2">
      <c r="A61" s="4">
        <v>44278</v>
      </c>
      <c r="B61" s="5">
        <v>10</v>
      </c>
      <c r="C61" s="5">
        <v>743</v>
      </c>
      <c r="E61" s="17">
        <f t="shared" si="0"/>
        <v>11.344214699601778</v>
      </c>
      <c r="F61" s="17">
        <f t="shared" si="1"/>
        <v>-1.3442146996017783</v>
      </c>
      <c r="G61" s="17">
        <f t="shared" si="2"/>
        <v>1.8069131586254992</v>
      </c>
    </row>
    <row r="62" spans="1:24" ht="18" customHeight="1" x14ac:dyDescent="0.2">
      <c r="A62" s="4">
        <v>44279</v>
      </c>
      <c r="B62" s="5">
        <v>11</v>
      </c>
      <c r="C62" s="5">
        <v>712</v>
      </c>
      <c r="E62" s="17">
        <f t="shared" si="0"/>
        <v>10.302314531458187</v>
      </c>
      <c r="F62" s="17">
        <f t="shared" si="1"/>
        <v>0.69768546854181324</v>
      </c>
      <c r="G62" s="17">
        <f t="shared" si="2"/>
        <v>0.48676501301440944</v>
      </c>
    </row>
    <row r="63" spans="1:24" ht="18" customHeight="1" x14ac:dyDescent="0.2">
      <c r="A63" s="4">
        <v>44280</v>
      </c>
      <c r="B63" s="5">
        <v>9</v>
      </c>
      <c r="C63" s="5">
        <v>695</v>
      </c>
      <c r="E63" s="17">
        <f t="shared" si="0"/>
        <v>9.7309499231213792</v>
      </c>
      <c r="F63" s="17">
        <f t="shared" si="1"/>
        <v>-0.73094992312137919</v>
      </c>
      <c r="G63" s="17">
        <f t="shared" si="2"/>
        <v>0.53428779011115013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669</v>
      </c>
      <c r="E64" s="17">
        <f t="shared" si="0"/>
        <v>8.8570981691944937</v>
      </c>
      <c r="F64" s="17">
        <f t="shared" si="1"/>
        <v>-3.8570981691944937</v>
      </c>
      <c r="G64" s="17">
        <f t="shared" si="2"/>
        <v>14.877206286803515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17">
        <f t="shared" si="0"/>
        <v>7.1430043441840674</v>
      </c>
      <c r="F65" s="17">
        <f t="shared" si="1"/>
        <v>0.85699565581593262</v>
      </c>
      <c r="G65" s="17">
        <f t="shared" si="2"/>
        <v>0.73444155408738043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17">
        <f t="shared" si="0"/>
        <v>7.6471495868341925</v>
      </c>
      <c r="F66" s="17">
        <f t="shared" si="1"/>
        <v>2.3528504131658075</v>
      </c>
      <c r="G66" s="17">
        <f t="shared" si="2"/>
        <v>5.5359050667345109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6</v>
      </c>
      <c r="C67" s="5">
        <v>623</v>
      </c>
      <c r="E67" s="17">
        <f t="shared" si="0"/>
        <v>7.311052758400777</v>
      </c>
      <c r="F67" s="17">
        <f t="shared" si="1"/>
        <v>-1.311052758400777</v>
      </c>
      <c r="G67" s="17">
        <f t="shared" si="2"/>
        <v>1.7188593353102861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17">
        <f t="shared" si="0"/>
        <v>6.0002751275104487</v>
      </c>
      <c r="F68" s="17">
        <f t="shared" si="1"/>
        <v>-4.0002751275104487</v>
      </c>
      <c r="G68" s="17">
        <f t="shared" si="2"/>
        <v>16.002201095778737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3</v>
      </c>
      <c r="C69" s="5">
        <v>558</v>
      </c>
      <c r="E69" s="17">
        <f t="shared" si="0"/>
        <v>5.1264233735835631</v>
      </c>
      <c r="F69" s="17">
        <f t="shared" si="1"/>
        <v>-2.1264233735835631</v>
      </c>
      <c r="G69" s="17">
        <f t="shared" si="2"/>
        <v>4.5216763637225021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11</v>
      </c>
      <c r="C70" s="5">
        <v>538</v>
      </c>
      <c r="E70" s="17">
        <f t="shared" si="0"/>
        <v>4.454229716716732</v>
      </c>
      <c r="F70" s="17">
        <f t="shared" si="1"/>
        <v>6.545770283283268</v>
      </c>
      <c r="G70" s="17">
        <f t="shared" si="2"/>
        <v>42.847108601514314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9</v>
      </c>
      <c r="C71" s="5">
        <v>513</v>
      </c>
      <c r="E71" s="17">
        <f t="shared" si="0"/>
        <v>3.6139876456331876</v>
      </c>
      <c r="F71" s="17">
        <f t="shared" si="1"/>
        <v>5.3860123543668124</v>
      </c>
      <c r="G71" s="17">
        <f t="shared" si="2"/>
        <v>29.009129081391933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7</v>
      </c>
      <c r="C72" s="5">
        <v>512</v>
      </c>
      <c r="E72" s="17">
        <f t="shared" si="0"/>
        <v>3.5803779627898464</v>
      </c>
      <c r="F72" s="17">
        <f t="shared" si="1"/>
        <v>3.4196220372101536</v>
      </c>
      <c r="G72" s="17">
        <f t="shared" si="2"/>
        <v>11.69381487737332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17">
        <f t="shared" si="0"/>
        <v>3.748426377006556</v>
      </c>
      <c r="F73" s="17">
        <f t="shared" si="1"/>
        <v>0.25157362299344399</v>
      </c>
      <c r="G73" s="17">
        <f t="shared" si="2"/>
        <v>6.3289287786047491E-2</v>
      </c>
      <c r="O73" s="102" t="s">
        <v>35</v>
      </c>
      <c r="P73" s="119">
        <f xml:space="preserve"> SQRT((1/ (B133-2)) * SUM(G11:G130))</f>
        <v>15.147562807922029</v>
      </c>
      <c r="Q73" s="119"/>
    </row>
    <row r="74" spans="1:23" ht="18" customHeight="1" x14ac:dyDescent="0.2">
      <c r="A74" s="4">
        <v>44291</v>
      </c>
      <c r="B74" s="5">
        <v>6</v>
      </c>
      <c r="C74" s="5">
        <v>536</v>
      </c>
      <c r="E74" s="17">
        <f t="shared" si="0"/>
        <v>4.387010351030046</v>
      </c>
      <c r="F74" s="17">
        <f t="shared" si="1"/>
        <v>1.612989648969954</v>
      </c>
      <c r="G74" s="17">
        <f t="shared" si="2"/>
        <v>2.6017356076842155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17">
        <f t="shared" si="0"/>
        <v>3.3115005000431132</v>
      </c>
      <c r="F75" s="17">
        <f t="shared" si="1"/>
        <v>-1.3115005000431132</v>
      </c>
      <c r="G75" s="17">
        <f t="shared" si="2"/>
        <v>1.7200335616133362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17">
        <f t="shared" ref="E76:E130" si="3">$P$40 + $P$41*C76</f>
        <v>2.7737455745496469</v>
      </c>
      <c r="F76" s="17">
        <f t="shared" ref="F76:F130" si="4">B76-E76</f>
        <v>0.22625442545035312</v>
      </c>
      <c r="G76" s="17">
        <f t="shared" ref="G76:G130" si="5">POWER(F76,2)</f>
        <v>5.1191065035869399E-2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17">
        <f t="shared" si="3"/>
        <v>3.0090133544530389</v>
      </c>
      <c r="F77" s="17">
        <f t="shared" si="4"/>
        <v>5.9909866455469611</v>
      </c>
      <c r="G77" s="17">
        <f t="shared" si="5"/>
        <v>35.891920987122027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5</v>
      </c>
      <c r="C78" s="5">
        <v>486</v>
      </c>
      <c r="E78" s="17">
        <f t="shared" si="3"/>
        <v>2.7065262088629609</v>
      </c>
      <c r="F78" s="17">
        <f t="shared" si="4"/>
        <v>2.2934737911370391</v>
      </c>
      <c r="G78" s="17">
        <f t="shared" si="5"/>
        <v>5.260022030632503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17">
        <f t="shared" si="3"/>
        <v>2.0343325519961279</v>
      </c>
      <c r="F79" s="17">
        <f t="shared" si="4"/>
        <v>3.9656674480038721</v>
      </c>
      <c r="G79" s="17">
        <f t="shared" si="5"/>
        <v>15.726518308157543</v>
      </c>
      <c r="O79" s="16"/>
      <c r="P79" s="127">
        <f xml:space="preserve"> SQRT( (1/B133) + (POWER(P34,2) / P36))</f>
        <v>0.11688934078473312</v>
      </c>
      <c r="Q79" s="127"/>
      <c r="T79" s="16"/>
      <c r="U79" s="127">
        <f xml:space="preserve"> SQRT( 1/P36 )</f>
        <v>4.7657267735799203E-5</v>
      </c>
      <c r="V79" s="127"/>
    </row>
    <row r="80" spans="1:23" ht="18" customHeight="1" x14ac:dyDescent="0.2">
      <c r="A80" s="4">
        <v>44297</v>
      </c>
      <c r="B80" s="5">
        <v>6</v>
      </c>
      <c r="C80" s="5">
        <v>466</v>
      </c>
      <c r="E80" s="17">
        <f t="shared" si="3"/>
        <v>2.0343325519961279</v>
      </c>
      <c r="F80" s="17">
        <f t="shared" si="4"/>
        <v>3.9656674480038721</v>
      </c>
      <c r="G80" s="17">
        <f t="shared" si="5"/>
        <v>15.726518308157543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</v>
      </c>
      <c r="C81" s="5">
        <v>479</v>
      </c>
      <c r="E81" s="17">
        <f t="shared" si="3"/>
        <v>2.4712584289595689</v>
      </c>
      <c r="F81" s="17">
        <f t="shared" si="4"/>
        <v>-0.47125842895956893</v>
      </c>
      <c r="G81" s="17">
        <f t="shared" si="5"/>
        <v>0.22208450686544107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17">
        <f t="shared" si="3"/>
        <v>1.799064772092736</v>
      </c>
      <c r="F82" s="17">
        <f t="shared" si="4"/>
        <v>3.200935227907264</v>
      </c>
      <c r="G82" s="17">
        <f t="shared" si="5"/>
        <v>10.245986333257729</v>
      </c>
      <c r="O82" s="19" t="s">
        <v>36</v>
      </c>
      <c r="P82" s="119">
        <f>P71*P73*P79</f>
        <v>2.9354049277185101</v>
      </c>
      <c r="Q82" s="119"/>
      <c r="T82" s="19" t="s">
        <v>36</v>
      </c>
      <c r="U82" s="119">
        <f>P71*P73*U79</f>
        <v>1.1968018436419891E-3</v>
      </c>
      <c r="V82" s="119"/>
    </row>
    <row r="83" spans="1:23" ht="18" customHeight="1" x14ac:dyDescent="0.2">
      <c r="A83" s="4">
        <v>44300</v>
      </c>
      <c r="B83" s="5">
        <v>8</v>
      </c>
      <c r="C83" s="5">
        <v>447</v>
      </c>
      <c r="E83" s="17">
        <f t="shared" si="3"/>
        <v>1.3957485779726362</v>
      </c>
      <c r="F83" s="17">
        <f t="shared" si="4"/>
        <v>6.6042514220273638</v>
      </c>
      <c r="G83" s="17">
        <f t="shared" si="5"/>
        <v>43.616136845350454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17">
        <f t="shared" si="3"/>
        <v>0.58911618973243485</v>
      </c>
      <c r="F84" s="17">
        <f t="shared" si="4"/>
        <v>1.4108838102675652</v>
      </c>
      <c r="G84" s="17">
        <f t="shared" si="5"/>
        <v>1.9905931260751228</v>
      </c>
      <c r="O84" s="16" t="s">
        <v>37</v>
      </c>
      <c r="P84" s="120">
        <f>ROUND(P40-P82,4)</f>
        <v>-16.563199999999998</v>
      </c>
      <c r="Q84" s="120"/>
      <c r="T84" s="16" t="s">
        <v>37</v>
      </c>
      <c r="U84" s="120">
        <f>ROUND(P41-U82,4)</f>
        <v>3.2399999999999998E-2</v>
      </c>
      <c r="V84" s="120"/>
    </row>
    <row r="85" spans="1:23" ht="18" customHeight="1" x14ac:dyDescent="0.2">
      <c r="A85" s="4">
        <v>44302</v>
      </c>
      <c r="B85" s="5">
        <v>4</v>
      </c>
      <c r="C85" s="5">
        <v>429</v>
      </c>
      <c r="E85" s="17">
        <f t="shared" si="3"/>
        <v>0.79077428679248563</v>
      </c>
      <c r="F85" s="17">
        <f t="shared" si="4"/>
        <v>3.2092257132075144</v>
      </c>
      <c r="G85" s="17">
        <f t="shared" si="5"/>
        <v>10.29912967831228</v>
      </c>
      <c r="O85" s="13" t="s">
        <v>38</v>
      </c>
      <c r="P85" s="122">
        <f>ROUND(P40+P82,4)</f>
        <v>-10.692399999999999</v>
      </c>
      <c r="Q85" s="122"/>
      <c r="T85" s="13" t="s">
        <v>38</v>
      </c>
      <c r="U85" s="122">
        <f>ROUND(P41+U82,4)</f>
        <v>3.4799999999999998E-2</v>
      </c>
      <c r="V85" s="122"/>
    </row>
    <row r="86" spans="1:23" ht="18" customHeight="1" x14ac:dyDescent="0.2">
      <c r="A86" s="4">
        <v>44303</v>
      </c>
      <c r="B86" s="5">
        <v>5</v>
      </c>
      <c r="C86" s="5">
        <v>415</v>
      </c>
      <c r="E86" s="17">
        <f t="shared" si="3"/>
        <v>0.32023872698570166</v>
      </c>
      <c r="F86" s="17">
        <f t="shared" si="4"/>
        <v>4.6797612730142983</v>
      </c>
      <c r="G86" s="17">
        <f t="shared" si="5"/>
        <v>21.900165572404408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17">
        <f t="shared" si="3"/>
        <v>0.75716460394914264</v>
      </c>
      <c r="F87" s="17">
        <f t="shared" si="4"/>
        <v>2.2428353960508574</v>
      </c>
      <c r="G87" s="17">
        <f t="shared" si="5"/>
        <v>5.0303106137786058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17">
        <f t="shared" si="3"/>
        <v>1.6310163578760282</v>
      </c>
      <c r="F88" s="17">
        <f t="shared" si="4"/>
        <v>-0.63101635787602817</v>
      </c>
      <c r="G88" s="17">
        <f t="shared" si="5"/>
        <v>0.39818164390712768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17">
        <f t="shared" si="3"/>
        <v>0.79077428679248563</v>
      </c>
      <c r="F89" s="17">
        <f t="shared" si="4"/>
        <v>4.2092257132075144</v>
      </c>
      <c r="G89" s="17">
        <f t="shared" si="5"/>
        <v>17.717581104727309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17">
        <f t="shared" si="3"/>
        <v>-0.2847355641944489</v>
      </c>
      <c r="F90" s="17">
        <f t="shared" si="4"/>
        <v>1.2847355641944489</v>
      </c>
      <c r="G90" s="17">
        <f t="shared" si="5"/>
        <v>1.6505454699060289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4</v>
      </c>
      <c r="C91" s="5">
        <v>395</v>
      </c>
      <c r="E91" s="17">
        <f t="shared" si="3"/>
        <v>-0.35195492988113308</v>
      </c>
      <c r="F91" s="17">
        <f t="shared" si="4"/>
        <v>4.3519549298811331</v>
      </c>
      <c r="G91" s="17">
        <f t="shared" si="5"/>
        <v>18.939511711716698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17">
        <f t="shared" si="3"/>
        <v>-0.72166144115789166</v>
      </c>
      <c r="F92" s="17">
        <f t="shared" si="4"/>
        <v>1.7216614411578917</v>
      </c>
      <c r="G92" s="17">
        <f t="shared" si="5"/>
        <v>2.9641181179698686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2</v>
      </c>
      <c r="C93" s="5">
        <v>342</v>
      </c>
      <c r="E93" s="17">
        <f t="shared" si="3"/>
        <v>-2.1332681205782436</v>
      </c>
      <c r="F93" s="17">
        <f t="shared" si="4"/>
        <v>4.1332681205782436</v>
      </c>
      <c r="G93" s="17">
        <f t="shared" si="5"/>
        <v>17.083905356588406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6</v>
      </c>
      <c r="C94" s="5">
        <v>348</v>
      </c>
      <c r="E94" s="17">
        <f t="shared" si="3"/>
        <v>-1.9316100235181928</v>
      </c>
      <c r="F94" s="17">
        <f t="shared" si="4"/>
        <v>7.9316100235181928</v>
      </c>
      <c r="G94" s="17">
        <f t="shared" si="5"/>
        <v>62.91043756517427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0</v>
      </c>
      <c r="C95" s="5">
        <v>365</v>
      </c>
      <c r="E95" s="17">
        <f>$P$40 + $P$41*C95</f>
        <v>-1.3602454151813834</v>
      </c>
      <c r="F95" s="17">
        <f t="shared" si="4"/>
        <v>1.3602454151813834</v>
      </c>
      <c r="G95" s="17">
        <f t="shared" si="5"/>
        <v>1.8502675895219742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5</v>
      </c>
      <c r="C96" s="5">
        <v>346</v>
      </c>
      <c r="E96" s="17">
        <f t="shared" si="3"/>
        <v>-1.998829389204877</v>
      </c>
      <c r="F96" s="17">
        <f t="shared" si="4"/>
        <v>6.998829389204877</v>
      </c>
      <c r="G96" s="17">
        <f t="shared" si="5"/>
        <v>48.983612819197909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17">
        <f t="shared" si="3"/>
        <v>-2.4693649490116609</v>
      </c>
      <c r="F97" s="17">
        <f t="shared" si="4"/>
        <v>5.4693649490116609</v>
      </c>
      <c r="G97" s="17">
        <f t="shared" si="5"/>
        <v>29.913952945477327</v>
      </c>
      <c r="O97" s="102" t="s">
        <v>35</v>
      </c>
      <c r="P97" s="119">
        <f xml:space="preserve"> SQRT((1/ (B133-2)) * SUM(G11:G130))</f>
        <v>15.147562807922029</v>
      </c>
      <c r="Q97" s="119"/>
    </row>
    <row r="98" spans="1:22" ht="18" customHeight="1" x14ac:dyDescent="0.2">
      <c r="A98" s="4">
        <v>44315</v>
      </c>
      <c r="B98" s="5">
        <v>1</v>
      </c>
      <c r="C98" s="5">
        <v>324</v>
      </c>
      <c r="E98" s="17">
        <f t="shared" si="3"/>
        <v>-2.7382424117583941</v>
      </c>
      <c r="F98" s="17">
        <f t="shared" si="4"/>
        <v>3.7382424117583941</v>
      </c>
      <c r="G98" s="17">
        <f t="shared" si="5"/>
        <v>13.974456329069215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17">
        <f t="shared" si="3"/>
        <v>-2.7382424117583941</v>
      </c>
      <c r="F99" s="17">
        <f t="shared" si="4"/>
        <v>2.7382424117583941</v>
      </c>
      <c r="G99" s="17">
        <f t="shared" si="5"/>
        <v>7.4979715055524272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17">
        <f t="shared" si="3"/>
        <v>-3.4776554343119113</v>
      </c>
      <c r="F100" s="17">
        <f t="shared" si="4"/>
        <v>5.4776554343119113</v>
      </c>
      <c r="G100" s="17">
        <f t="shared" si="5"/>
        <v>30.004709057046814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17">
        <f t="shared" si="3"/>
        <v>-3.1751682887218369</v>
      </c>
      <c r="F101" s="17">
        <f t="shared" si="4"/>
        <v>4.1751682887218369</v>
      </c>
      <c r="G101" s="17">
        <f t="shared" si="5"/>
        <v>17.432030239148432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0</v>
      </c>
      <c r="C102" s="5">
        <v>322</v>
      </c>
      <c r="E102" s="17">
        <f t="shared" si="3"/>
        <v>-2.8054617774450765</v>
      </c>
      <c r="F102" s="17">
        <f t="shared" si="4"/>
        <v>2.8054617774450765</v>
      </c>
      <c r="G102" s="17">
        <f t="shared" si="5"/>
        <v>7.8706157847052882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17">
        <f t="shared" si="3"/>
        <v>-3.679313531371962</v>
      </c>
      <c r="F103" s="17">
        <f t="shared" si="4"/>
        <v>7.679313531371962</v>
      </c>
      <c r="G103" s="17">
        <f t="shared" si="5"/>
        <v>58.971856313112511</v>
      </c>
      <c r="O103" s="16"/>
      <c r="P103" s="127">
        <f>SQRT( (1/B133) + (POWER(P34,2) / P36))</f>
        <v>0.11688934078473312</v>
      </c>
      <c r="Q103" s="127"/>
      <c r="T103" s="16"/>
      <c r="U103" s="127">
        <f>SQRT( 1/P36 )</f>
        <v>4.7657267735799203E-5</v>
      </c>
      <c r="V103" s="127"/>
    </row>
    <row r="104" spans="1:22" ht="18" customHeight="1" x14ac:dyDescent="0.2">
      <c r="A104" s="4">
        <v>44321</v>
      </c>
      <c r="B104" s="5">
        <v>2</v>
      </c>
      <c r="C104" s="5">
        <v>297</v>
      </c>
      <c r="E104" s="17">
        <f t="shared" si="3"/>
        <v>-3.6457038485286191</v>
      </c>
      <c r="F104" s="17">
        <f t="shared" si="4"/>
        <v>5.6457038485286191</v>
      </c>
      <c r="G104" s="17">
        <f t="shared" si="5"/>
        <v>31.873971945290862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5</v>
      </c>
      <c r="C105" s="5">
        <v>283</v>
      </c>
      <c r="E105" s="17">
        <f t="shared" si="3"/>
        <v>-4.116239408335403</v>
      </c>
      <c r="F105" s="17">
        <f t="shared" si="4"/>
        <v>9.116239408335403</v>
      </c>
      <c r="G105" s="17">
        <f t="shared" si="5"/>
        <v>83.10582095008742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17">
        <f t="shared" si="3"/>
        <v>-4.2170684568654284</v>
      </c>
      <c r="F106" s="17">
        <f t="shared" si="4"/>
        <v>5.2170684568654284</v>
      </c>
      <c r="G106" s="17">
        <f t="shared" si="5"/>
        <v>27.217803283620224</v>
      </c>
      <c r="O106" s="19" t="s">
        <v>36</v>
      </c>
      <c r="P106" s="119">
        <f>P95*P97*P103</f>
        <v>3.5062475310719794</v>
      </c>
      <c r="Q106" s="119"/>
      <c r="T106" s="19" t="s">
        <v>36</v>
      </c>
      <c r="U106" s="119">
        <f>P95*P97*U103</f>
        <v>1.4295416178624466E-3</v>
      </c>
      <c r="V106" s="119"/>
    </row>
    <row r="107" spans="1:22" ht="18" customHeight="1" x14ac:dyDescent="0.2">
      <c r="A107" s="4">
        <v>44324</v>
      </c>
      <c r="B107" s="5">
        <v>2</v>
      </c>
      <c r="C107" s="5">
        <v>260</v>
      </c>
      <c r="E107" s="17">
        <f t="shared" si="3"/>
        <v>-4.8892621137322632</v>
      </c>
      <c r="F107" s="17">
        <f t="shared" si="4"/>
        <v>6.8892621137322632</v>
      </c>
      <c r="G107" s="17">
        <f t="shared" si="5"/>
        <v>47.461932471706731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17">
        <f>$P$40 + $P$41*C108</f>
        <v>-4.62038465098553</v>
      </c>
      <c r="F108" s="17">
        <f t="shared" si="4"/>
        <v>5.62038465098553</v>
      </c>
      <c r="G108" s="17">
        <f t="shared" si="5"/>
        <v>31.588723625033737</v>
      </c>
      <c r="O108" s="16" t="s">
        <v>37</v>
      </c>
      <c r="P108" s="120">
        <f>ROUND(P40-P106,4)</f>
        <v>-17.134</v>
      </c>
      <c r="Q108" s="120"/>
      <c r="T108" s="16" t="s">
        <v>37</v>
      </c>
      <c r="U108" s="120">
        <f>ROUND(P41-U106,4)</f>
        <v>3.2199999999999999E-2</v>
      </c>
      <c r="V108" s="120"/>
    </row>
    <row r="109" spans="1:22" ht="18" customHeight="1" x14ac:dyDescent="0.2">
      <c r="A109" s="4">
        <v>44326</v>
      </c>
      <c r="B109" s="5">
        <v>1</v>
      </c>
      <c r="C109" s="5">
        <v>277</v>
      </c>
      <c r="E109" s="17">
        <f t="shared" si="3"/>
        <v>-4.3178975053954538</v>
      </c>
      <c r="F109" s="17">
        <f t="shared" si="4"/>
        <v>5.3178975053954538</v>
      </c>
      <c r="G109" s="17">
        <f t="shared" si="5"/>
        <v>28.280033877891192</v>
      </c>
      <c r="O109" s="13" t="s">
        <v>38</v>
      </c>
      <c r="P109" s="122">
        <f>ROUND(P40+P106,4)</f>
        <v>-10.121499999999999</v>
      </c>
      <c r="Q109" s="122"/>
      <c r="T109" s="13" t="s">
        <v>38</v>
      </c>
      <c r="U109" s="122">
        <f>ROUND(P41+U106,4)</f>
        <v>3.5000000000000003E-2</v>
      </c>
      <c r="V109" s="122"/>
    </row>
    <row r="110" spans="1:22" ht="18" customHeight="1" x14ac:dyDescent="0.2">
      <c r="A110" s="4">
        <v>44327</v>
      </c>
      <c r="B110" s="5">
        <v>1</v>
      </c>
      <c r="C110" s="5">
        <v>257</v>
      </c>
      <c r="E110" s="17">
        <f t="shared" si="3"/>
        <v>-4.9900911622622885</v>
      </c>
      <c r="F110" s="17">
        <f t="shared" si="4"/>
        <v>5.9900911622622885</v>
      </c>
      <c r="G110" s="17">
        <f t="shared" si="5"/>
        <v>35.881192132212774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17">
        <f t="shared" si="3"/>
        <v>-5.2925783078523629</v>
      </c>
      <c r="F111" s="17">
        <f t="shared" si="4"/>
        <v>9.2925783078523629</v>
      </c>
      <c r="G111" s="17">
        <f t="shared" si="5"/>
        <v>86.352011607568286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17">
        <f t="shared" si="3"/>
        <v>-5.4270170392257295</v>
      </c>
      <c r="F112" s="17">
        <f t="shared" si="4"/>
        <v>6.4270170392257295</v>
      </c>
      <c r="G112" s="17">
        <f t="shared" si="5"/>
        <v>41.306548022497864</v>
      </c>
    </row>
    <row r="113" spans="1:25" ht="18" customHeight="1" x14ac:dyDescent="0.2">
      <c r="A113" s="4">
        <v>44330</v>
      </c>
      <c r="B113" s="5">
        <v>0</v>
      </c>
      <c r="C113" s="5">
        <v>236</v>
      </c>
      <c r="E113" s="17">
        <f t="shared" si="3"/>
        <v>-5.6958945019724636</v>
      </c>
      <c r="F113" s="17">
        <f t="shared" si="4"/>
        <v>5.6958945019724636</v>
      </c>
      <c r="G113" s="17">
        <f t="shared" si="5"/>
        <v>32.44321417760014</v>
      </c>
    </row>
    <row r="114" spans="1:25" ht="18" customHeight="1" x14ac:dyDescent="0.2">
      <c r="A114" s="4">
        <v>44331</v>
      </c>
      <c r="B114" s="5">
        <v>7</v>
      </c>
      <c r="C114" s="5">
        <v>223</v>
      </c>
      <c r="E114" s="17">
        <f t="shared" si="3"/>
        <v>-6.1328203789359064</v>
      </c>
      <c r="F114" s="17">
        <f t="shared" si="4"/>
        <v>13.132820378935907</v>
      </c>
      <c r="G114" s="17">
        <f t="shared" si="5"/>
        <v>172.47097110539426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245</v>
      </c>
      <c r="E115" s="17">
        <f t="shared" si="3"/>
        <v>-5.3934073563823883</v>
      </c>
      <c r="F115" s="17">
        <f t="shared" si="4"/>
        <v>6.3934073563823883</v>
      </c>
      <c r="G115" s="17">
        <f t="shared" si="5"/>
        <v>40.87565762464444</v>
      </c>
    </row>
    <row r="116" spans="1:25" ht="18" customHeight="1" x14ac:dyDescent="0.2">
      <c r="A116" s="4">
        <v>44333</v>
      </c>
      <c r="B116" s="5">
        <v>2</v>
      </c>
      <c r="C116" s="5">
        <v>246</v>
      </c>
      <c r="E116" s="17">
        <f t="shared" si="3"/>
        <v>-5.3597976735390471</v>
      </c>
      <c r="F116" s="17">
        <f t="shared" si="4"/>
        <v>7.3597976735390471</v>
      </c>
      <c r="G116" s="17">
        <f t="shared" si="5"/>
        <v>54.166621795430771</v>
      </c>
    </row>
    <row r="117" spans="1:25" ht="18" customHeight="1" x14ac:dyDescent="0.2">
      <c r="A117" s="4">
        <v>44334</v>
      </c>
      <c r="B117" s="5">
        <v>2</v>
      </c>
      <c r="C117" s="5">
        <v>233</v>
      </c>
      <c r="E117" s="17">
        <f t="shared" si="3"/>
        <v>-5.796723550502489</v>
      </c>
      <c r="F117" s="17">
        <f t="shared" si="4"/>
        <v>7.796723550502489</v>
      </c>
      <c r="G117" s="17">
        <f t="shared" si="5"/>
        <v>60.788898122960141</v>
      </c>
    </row>
    <row r="118" spans="1:25" ht="18" customHeight="1" x14ac:dyDescent="0.2">
      <c r="A118" s="4">
        <v>44335</v>
      </c>
      <c r="B118" s="5">
        <v>2</v>
      </c>
      <c r="C118" s="5">
        <v>211</v>
      </c>
      <c r="E118" s="17">
        <f t="shared" si="3"/>
        <v>-6.5361365730560061</v>
      </c>
      <c r="F118" s="17">
        <f t="shared" si="4"/>
        <v>8.5361365730560053</v>
      </c>
      <c r="G118" s="17">
        <f t="shared" si="5"/>
        <v>72.865627593864318</v>
      </c>
    </row>
    <row r="119" spans="1:25" ht="18" customHeight="1" x14ac:dyDescent="0.2">
      <c r="A119" s="4">
        <v>44336</v>
      </c>
      <c r="B119" s="5">
        <v>1</v>
      </c>
      <c r="C119" s="5">
        <v>208</v>
      </c>
      <c r="E119" s="17">
        <f t="shared" si="3"/>
        <v>-6.6369656215860315</v>
      </c>
      <c r="F119" s="17">
        <f t="shared" si="4"/>
        <v>7.6369656215860315</v>
      </c>
      <c r="G119" s="17">
        <f t="shared" si="5"/>
        <v>58.323243905286922</v>
      </c>
    </row>
    <row r="120" spans="1:25" ht="18" customHeight="1" x14ac:dyDescent="0.2">
      <c r="A120" s="4">
        <v>44337</v>
      </c>
      <c r="B120" s="5">
        <v>3</v>
      </c>
      <c r="C120" s="5">
        <v>207</v>
      </c>
      <c r="E120" s="17">
        <f t="shared" si="3"/>
        <v>-6.6705753044293736</v>
      </c>
      <c r="F120" s="17">
        <f t="shared" si="4"/>
        <v>9.6705753044293736</v>
      </c>
      <c r="G120" s="17">
        <f t="shared" si="5"/>
        <v>93.520026718639272</v>
      </c>
    </row>
    <row r="121" spans="1:25" ht="18" customHeight="1" x14ac:dyDescent="0.25">
      <c r="A121" s="4">
        <v>44338</v>
      </c>
      <c r="B121" s="5">
        <v>0</v>
      </c>
      <c r="C121" s="5">
        <v>210</v>
      </c>
      <c r="E121" s="17">
        <f t="shared" si="3"/>
        <v>-6.5697462558993482</v>
      </c>
      <c r="F121" s="17">
        <f t="shared" si="4"/>
        <v>6.5697462558993482</v>
      </c>
      <c r="G121" s="17">
        <f t="shared" si="5"/>
        <v>43.161565866903501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0</v>
      </c>
      <c r="C122" s="5">
        <v>220</v>
      </c>
      <c r="E122" s="17">
        <f t="shared" si="3"/>
        <v>-6.2336494274659309</v>
      </c>
      <c r="F122" s="17">
        <f t="shared" si="4"/>
        <v>6.2336494274659309</v>
      </c>
      <c r="G122" s="17">
        <f t="shared" si="5"/>
        <v>38.858385184546329</v>
      </c>
    </row>
    <row r="123" spans="1:25" ht="18" customHeight="1" x14ac:dyDescent="0.2">
      <c r="A123" s="4">
        <v>44340</v>
      </c>
      <c r="B123" s="5">
        <v>1</v>
      </c>
      <c r="C123" s="5">
        <v>239</v>
      </c>
      <c r="E123" s="17">
        <f t="shared" si="3"/>
        <v>-5.5950654534424391</v>
      </c>
      <c r="F123" s="17">
        <f t="shared" si="4"/>
        <v>6.5950654534424391</v>
      </c>
      <c r="G123" s="17">
        <f t="shared" si="5"/>
        <v>43.494888335189927</v>
      </c>
    </row>
    <row r="124" spans="1:25" ht="18" customHeight="1" x14ac:dyDescent="0.2">
      <c r="A124" s="4">
        <v>44341</v>
      </c>
      <c r="B124" s="5">
        <v>3</v>
      </c>
      <c r="C124" s="5">
        <v>237</v>
      </c>
      <c r="E124" s="17">
        <f t="shared" si="3"/>
        <v>-5.6622848191291224</v>
      </c>
      <c r="F124" s="17">
        <f t="shared" si="4"/>
        <v>8.6622848191291233</v>
      </c>
      <c r="G124" s="17">
        <f t="shared" si="5"/>
        <v>75.035178287714871</v>
      </c>
    </row>
    <row r="125" spans="1:25" ht="18" customHeight="1" x14ac:dyDescent="0.2">
      <c r="A125" s="4">
        <v>44342</v>
      </c>
      <c r="B125" s="5">
        <v>1</v>
      </c>
      <c r="C125" s="5">
        <v>233</v>
      </c>
      <c r="E125" s="17">
        <f t="shared" si="3"/>
        <v>-5.796723550502489</v>
      </c>
      <c r="F125" s="17">
        <f t="shared" si="4"/>
        <v>6.796723550502489</v>
      </c>
      <c r="G125" s="17">
        <f t="shared" si="5"/>
        <v>46.195451021955158</v>
      </c>
    </row>
    <row r="126" spans="1:25" ht="18" customHeight="1" x14ac:dyDescent="0.25">
      <c r="A126" s="4">
        <v>44343</v>
      </c>
      <c r="B126" s="5">
        <v>0</v>
      </c>
      <c r="C126" s="5">
        <v>233</v>
      </c>
      <c r="E126" s="17">
        <f t="shared" si="3"/>
        <v>-5.796723550502489</v>
      </c>
      <c r="F126" s="17">
        <f t="shared" si="4"/>
        <v>5.796723550502489</v>
      </c>
      <c r="G126" s="17">
        <f t="shared" si="5"/>
        <v>33.602003920950182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246</v>
      </c>
      <c r="E127" s="17">
        <f t="shared" si="3"/>
        <v>-5.3597976735390471</v>
      </c>
      <c r="F127" s="17">
        <f t="shared" si="4"/>
        <v>6.3597976735390471</v>
      </c>
      <c r="G127" s="17">
        <f t="shared" si="5"/>
        <v>40.447026448352673</v>
      </c>
    </row>
    <row r="128" spans="1:25" ht="18" customHeight="1" x14ac:dyDescent="0.2">
      <c r="A128" s="4">
        <v>44345</v>
      </c>
      <c r="B128" s="5">
        <v>0</v>
      </c>
      <c r="C128" s="5">
        <v>244</v>
      </c>
      <c r="E128" s="17">
        <f t="shared" si="3"/>
        <v>-5.4270170392257295</v>
      </c>
      <c r="F128" s="17">
        <f t="shared" si="4"/>
        <v>5.4270170392257295</v>
      </c>
      <c r="G128" s="17">
        <f t="shared" si="5"/>
        <v>29.452513944046405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17">
        <f t="shared" si="3"/>
        <v>-4.5195556024555046</v>
      </c>
      <c r="F129" s="17">
        <f t="shared" si="4"/>
        <v>4.5195556024555046</v>
      </c>
      <c r="G129" s="17">
        <f t="shared" si="5"/>
        <v>20.426382843686937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17">
        <f t="shared" si="3"/>
        <v>-4.116239408335403</v>
      </c>
      <c r="F130" s="17">
        <f t="shared" si="4"/>
        <v>6.116239408335403</v>
      </c>
      <c r="G130" s="17">
        <f t="shared" si="5"/>
        <v>37.408384500075002</v>
      </c>
    </row>
    <row r="132" spans="1:24" ht="18" customHeight="1" x14ac:dyDescent="0.35">
      <c r="O132" s="21" t="s">
        <v>48</v>
      </c>
      <c r="P132">
        <f>ROUND((P40-0) / (P73 * SQRT( (1/B133) + (POWER(P34,2) / P36))),4)</f>
        <v>-7.6967999999999996</v>
      </c>
      <c r="U132" s="21" t="s">
        <v>49</v>
      </c>
      <c r="V132">
        <f xml:space="preserve"> ROUND((P41-0) / (P73 / SQRT(P36)),4)</f>
        <v>46.5578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9.3791641120333225E-12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497359.64990231313</v>
      </c>
      <c r="O179" s="121"/>
    </row>
    <row r="180" spans="13:19" ht="18" customHeight="1" x14ac:dyDescent="0.2">
      <c r="M180" s="105" t="s">
        <v>62</v>
      </c>
      <c r="N180" s="122">
        <f>SUM(G11:G130)</f>
        <v>27074.94176435324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497359.64990231313</v>
      </c>
      <c r="P188" s="117"/>
      <c r="Q188" s="117">
        <f>O188/N188</f>
        <v>497359.64990231313</v>
      </c>
      <c r="R188" s="117"/>
      <c r="S188" s="77">
        <f>Q188/Q189</f>
        <v>2167.6293599915298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27074.94176435324</v>
      </c>
      <c r="P189" s="117"/>
      <c r="Q189" s="117">
        <f>O189/N189</f>
        <v>229.44865901994271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9.3791641120333225E-12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45642</v>
      </c>
      <c r="E208" s="17">
        <f>$P$234 + $P$235*C208</f>
        <v>1440.38810307676</v>
      </c>
      <c r="F208" s="17">
        <f>B208-E208</f>
        <v>235.61189692324001</v>
      </c>
      <c r="G208" s="17">
        <f>POWER(F208,2)</f>
        <v>55512.965971767473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38719</v>
      </c>
      <c r="E209" s="17">
        <f t="shared" ref="E209:E224" si="6">$P$234 + $P$235*C209</f>
        <v>1207.2852448355447</v>
      </c>
      <c r="F209" s="17">
        <f t="shared" ref="F209:F224" si="7">B209-E209</f>
        <v>-44.285244835544745</v>
      </c>
      <c r="G209" s="17">
        <f t="shared" ref="G209:G224" si="8">POWER(F209,2)</f>
        <v>1961.1829101441424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27454</v>
      </c>
      <c r="E210" s="17">
        <f t="shared" si="6"/>
        <v>827.98382954054387</v>
      </c>
      <c r="F210" s="17">
        <f t="shared" si="7"/>
        <v>-186.98382954054387</v>
      </c>
      <c r="G210" s="17">
        <f t="shared" si="8"/>
        <v>34962.952509647163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18463</v>
      </c>
      <c r="E211" s="17">
        <f t="shared" si="6"/>
        <v>525.24978383105849</v>
      </c>
      <c r="F211" s="17">
        <f t="shared" si="7"/>
        <v>-170.24978383105849</v>
      </c>
      <c r="G211" s="17">
        <f t="shared" si="8"/>
        <v>28984.988894522146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12112</v>
      </c>
      <c r="E212" s="17">
        <f t="shared" si="6"/>
        <v>311.40661574064131</v>
      </c>
      <c r="F212" s="17">
        <f t="shared" si="7"/>
        <v>-88.406615740641314</v>
      </c>
      <c r="G212" s="17">
        <f t="shared" si="8"/>
        <v>7815.7297067134086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7986</v>
      </c>
      <c r="E213" s="17">
        <f t="shared" si="6"/>
        <v>172.4809486738705</v>
      </c>
      <c r="F213" s="17">
        <f t="shared" si="7"/>
        <v>-28.4809486738705</v>
      </c>
      <c r="G213" s="17">
        <f t="shared" si="8"/>
        <v>811.16443736364579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5933</v>
      </c>
      <c r="E214" s="17">
        <f t="shared" si="6"/>
        <v>103.35482301025425</v>
      </c>
      <c r="F214" s="17">
        <f t="shared" si="7"/>
        <v>-19.35482301025425</v>
      </c>
      <c r="G214" s="17">
        <f t="shared" si="8"/>
        <v>374.60917375826739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4841</v>
      </c>
      <c r="E215" s="17">
        <f t="shared" si="6"/>
        <v>66.586323631457901</v>
      </c>
      <c r="F215" s="17">
        <f t="shared" si="7"/>
        <v>2.4136763685420988</v>
      </c>
      <c r="G215" s="17">
        <f t="shared" si="8"/>
        <v>5.825833612058573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3845</v>
      </c>
      <c r="E216" s="17">
        <f t="shared" si="6"/>
        <v>33.050219802445866</v>
      </c>
      <c r="F216" s="17">
        <f t="shared" si="7"/>
        <v>8.9497801975541336</v>
      </c>
      <c r="G216" s="17">
        <f t="shared" si="8"/>
        <v>80.098565584532111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3441</v>
      </c>
      <c r="E217" s="17">
        <f t="shared" si="6"/>
        <v>19.447221863770281</v>
      </c>
      <c r="F217" s="17">
        <f t="shared" si="7"/>
        <v>17.552778136229719</v>
      </c>
      <c r="G217" s="17">
        <f t="shared" si="8"/>
        <v>308.10002029970406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3080</v>
      </c>
      <c r="E218" s="17">
        <f t="shared" si="6"/>
        <v>7.2920677651022601</v>
      </c>
      <c r="F218" s="17">
        <f t="shared" si="7"/>
        <v>21.70793223489774</v>
      </c>
      <c r="G218" s="17">
        <f t="shared" si="8"/>
        <v>471.23432191491241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2749</v>
      </c>
      <c r="E219" s="17">
        <f t="shared" si="6"/>
        <v>-3.8529627242581768</v>
      </c>
      <c r="F219" s="17">
        <f t="shared" si="7"/>
        <v>23.852962724258177</v>
      </c>
      <c r="G219" s="17">
        <f t="shared" si="8"/>
        <v>568.96383072485003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2304</v>
      </c>
      <c r="E220" s="17">
        <f t="shared" si="6"/>
        <v>-18.836462928987459</v>
      </c>
      <c r="F220" s="17">
        <f t="shared" si="7"/>
        <v>30.836462928987459</v>
      </c>
      <c r="G220" s="17">
        <f t="shared" si="8"/>
        <v>950.88744597081779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2006</v>
      </c>
      <c r="E221" s="17">
        <f t="shared" si="6"/>
        <v>-28.87035744810953</v>
      </c>
      <c r="F221" s="17">
        <f t="shared" si="7"/>
        <v>43.87035744810953</v>
      </c>
      <c r="G221" s="17">
        <f t="shared" si="8"/>
        <v>1924.6082626248992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1730</v>
      </c>
      <c r="E222" s="17">
        <f t="shared" si="6"/>
        <v>-38.163494653739384</v>
      </c>
      <c r="F222" s="17">
        <f t="shared" si="7"/>
        <v>53.163494653739384</v>
      </c>
      <c r="G222" s="17">
        <f t="shared" si="8"/>
        <v>2826.3571637981763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1535</v>
      </c>
      <c r="E223" s="17">
        <f t="shared" si="6"/>
        <v>-44.72929811423873</v>
      </c>
      <c r="F223" s="17">
        <f t="shared" si="7"/>
        <v>54.72929811423873</v>
      </c>
      <c r="G223" s="81">
        <f t="shared" si="8"/>
        <v>2995.2960720772153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1703</v>
      </c>
      <c r="D224" s="31"/>
      <c r="E224" s="17">
        <f t="shared" si="6"/>
        <v>-39.072605902116216</v>
      </c>
      <c r="F224" s="17">
        <f t="shared" si="7"/>
        <v>45.072605902116216</v>
      </c>
      <c r="G224" s="17">
        <f t="shared" si="8"/>
        <v>2031.5398028074815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10796.64705882353</v>
      </c>
      <c r="Q228" s="130"/>
    </row>
    <row r="229" spans="1:25" ht="18" customHeight="1" x14ac:dyDescent="0.2">
      <c r="A229" s="1"/>
      <c r="O229" s="14"/>
      <c r="P229" s="130">
        <f>AVERAGE(B208:B224)</f>
        <v>267.11764705882354</v>
      </c>
      <c r="Q229" s="130"/>
    </row>
    <row r="230" spans="1:25" ht="18" customHeight="1" x14ac:dyDescent="0.2">
      <c r="A230" s="1"/>
      <c r="O230" s="14"/>
      <c r="P230" s="130">
        <f>SUMPRODUCT(POWER(C208:C224-P228,2))</f>
        <v>3025670821.8823528</v>
      </c>
      <c r="Q230" s="130"/>
    </row>
    <row r="231" spans="1:25" ht="18" customHeight="1" x14ac:dyDescent="0.2">
      <c r="A231" s="1"/>
      <c r="O231" s="14"/>
      <c r="P231" s="130">
        <f>SUMPRODUCT(POWER(B208:B224-P229,2))</f>
        <v>3572855.7647058833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101876717.70588236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-96.413956123810522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3.3670786976919734E-2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0.96009172653095642</v>
      </c>
      <c r="Q244" s="120"/>
    </row>
    <row r="245" spans="1:25" ht="18" customHeight="1" x14ac:dyDescent="0.2">
      <c r="A245" s="1"/>
      <c r="O245" s="32"/>
      <c r="P245" s="122">
        <f>P232 / (SQRT(P230) * SQRT(P231))</f>
        <v>0.97984270499450898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97.497523019247652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0.31200917552090623</v>
      </c>
      <c r="Q266" s="127"/>
      <c r="T266" s="16"/>
      <c r="U266" s="127">
        <f xml:space="preserve"> SQRT( 1/P230 )</f>
        <v>1.8179802523419314E-5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53.32800529360825</v>
      </c>
      <c r="Q269" s="119"/>
      <c r="T269" s="19" t="s">
        <v>36</v>
      </c>
      <c r="U269" s="119">
        <f>P258*P260*U266</f>
        <v>3.1072567131625807E-3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-149.74199999999999</v>
      </c>
      <c r="Q271" s="120"/>
      <c r="T271" s="16" t="s">
        <v>37</v>
      </c>
      <c r="U271" s="120">
        <f>ROUND(P235-U269,4)</f>
        <v>3.0599999999999999E-2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-43.085999999999999</v>
      </c>
      <c r="Q272" s="122"/>
      <c r="T272" s="13" t="s">
        <v>38</v>
      </c>
      <c r="U272" s="122">
        <f>ROUND(P235+U269,4)</f>
        <v>3.6799999999999999E-2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97.497523019247652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0.31200917552090623</v>
      </c>
      <c r="Q290" s="127"/>
      <c r="T290" s="16"/>
      <c r="U290" s="127">
        <f xml:space="preserve"> SQRT( 1/P230 )</f>
        <v>1.8179802523419314E-5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64.838954728008872</v>
      </c>
      <c r="Q293" s="119"/>
      <c r="T293" s="19" t="s">
        <v>36</v>
      </c>
      <c r="U293" s="119">
        <f>P282*P284*U290</f>
        <v>3.7779638717744804E-3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-161.25290000000001</v>
      </c>
      <c r="Q295" s="120"/>
      <c r="T295" s="16" t="s">
        <v>37</v>
      </c>
      <c r="U295" s="120">
        <f>ROUND(P235-U293,4)</f>
        <v>2.9899999999999999E-2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-31.574999999999999</v>
      </c>
      <c r="Q296" s="122"/>
      <c r="T296" s="13" t="s">
        <v>38</v>
      </c>
      <c r="U296" s="122">
        <f>ROUND(P235+U293,4)</f>
        <v>3.7400000000000003E-2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-3.1694</v>
      </c>
      <c r="T319" s="21" t="s">
        <v>49</v>
      </c>
      <c r="U319">
        <f>ROUND( (P235-0) / (P284 / SQRT(P230)),4)</f>
        <v>18.996400000000001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-1051.4705882352928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3501621.0971527947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142586.50492333088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3501621.0971527947</v>
      </c>
      <c r="P371" s="117"/>
      <c r="Q371" s="117">
        <f>O371/N371</f>
        <v>3501621.0971527947</v>
      </c>
      <c r="R371" s="117"/>
      <c r="S371" s="77">
        <f>Q371/Q372</f>
        <v>368.36807582550944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142586.50492333088</v>
      </c>
      <c r="P372" s="117"/>
      <c r="Q372" s="117">
        <f>O372/N372</f>
        <v>9505.7669948887251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-1051.4705882352928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2D59-53FB-4580-85AE-19C34EF7A6C5}">
  <dimension ref="A3:AD444"/>
  <sheetViews>
    <sheetView topLeftCell="F269" zoomScale="106" zoomScaleNormal="106" workbookViewId="0">
      <selection activeCell="L55" sqref="L5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82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47369</v>
      </c>
      <c r="E11" s="17">
        <f>$P$40 + $P$41*C11</f>
        <v>36.082645064951294</v>
      </c>
      <c r="F11" s="17">
        <f>B11-E11</f>
        <v>238.91735493504871</v>
      </c>
      <c r="G11" s="17">
        <f>POWER(F11,2)</f>
        <v>57081.502489160041</v>
      </c>
    </row>
    <row r="12" spans="1:30" ht="18" customHeight="1" x14ac:dyDescent="0.2">
      <c r="A12" s="4">
        <v>44229</v>
      </c>
      <c r="B12" s="5">
        <v>260</v>
      </c>
      <c r="C12" s="5">
        <v>57995</v>
      </c>
      <c r="E12" s="17">
        <f t="shared" ref="E12:E59" si="0">$P$40 + $P$41*C12</f>
        <v>34.165563133777383</v>
      </c>
      <c r="F12" s="17">
        <f t="shared" ref="F12:F75" si="1">B12-E12</f>
        <v>225.83443686622263</v>
      </c>
      <c r="G12" s="17">
        <f t="shared" ref="G12:G75" si="2">POWER(F12,2)</f>
        <v>51001.192874683897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53401</v>
      </c>
      <c r="E13" s="17">
        <f t="shared" si="0"/>
        <v>34.994386246125671</v>
      </c>
      <c r="F13" s="17">
        <f t="shared" si="1"/>
        <v>205.00561375387434</v>
      </c>
      <c r="G13" s="17">
        <f t="shared" si="2"/>
        <v>42027.301670602712</v>
      </c>
    </row>
    <row r="14" spans="1:30" ht="18" customHeight="1" x14ac:dyDescent="0.2">
      <c r="A14" s="4">
        <v>44231</v>
      </c>
      <c r="B14" s="5">
        <v>225</v>
      </c>
      <c r="C14" s="5">
        <v>50384</v>
      </c>
      <c r="E14" s="17">
        <f t="shared" si="0"/>
        <v>35.538696069798902</v>
      </c>
      <c r="F14" s="17">
        <f t="shared" si="1"/>
        <v>189.4613039302011</v>
      </c>
      <c r="G14" s="17">
        <f t="shared" si="2"/>
        <v>35895.585686932034</v>
      </c>
    </row>
    <row r="15" spans="1:30" ht="18" customHeight="1" x14ac:dyDescent="0.2">
      <c r="A15" s="4">
        <v>44232</v>
      </c>
      <c r="B15" s="5">
        <v>258</v>
      </c>
      <c r="C15" s="5">
        <v>49625</v>
      </c>
      <c r="E15" s="17">
        <f t="shared" si="0"/>
        <v>35.675630493454179</v>
      </c>
      <c r="F15" s="17">
        <f t="shared" si="1"/>
        <v>222.32436950654582</v>
      </c>
      <c r="G15" s="17">
        <f t="shared" si="2"/>
        <v>49428.125276483122</v>
      </c>
    </row>
    <row r="16" spans="1:30" ht="18" customHeight="1" x14ac:dyDescent="0.2">
      <c r="A16" s="4">
        <v>44233</v>
      </c>
      <c r="B16" s="5">
        <v>214</v>
      </c>
      <c r="C16" s="5">
        <v>30356</v>
      </c>
      <c r="E16" s="17">
        <f t="shared" si="0"/>
        <v>39.152032877398305</v>
      </c>
      <c r="F16" s="17">
        <f t="shared" si="1"/>
        <v>174.84796712260169</v>
      </c>
      <c r="G16" s="17">
        <f t="shared" si="2"/>
        <v>30571.811606906402</v>
      </c>
    </row>
    <row r="17" spans="1:24" ht="18" customHeight="1" x14ac:dyDescent="0.2">
      <c r="A17" s="4">
        <v>44234</v>
      </c>
      <c r="B17" s="5">
        <v>204</v>
      </c>
      <c r="C17" s="5">
        <v>15085</v>
      </c>
      <c r="E17" s="17">
        <f t="shared" si="0"/>
        <v>41.907139048201707</v>
      </c>
      <c r="F17" s="17">
        <f t="shared" si="1"/>
        <v>162.09286095179829</v>
      </c>
      <c r="G17" s="17">
        <f t="shared" si="2"/>
        <v>26274.095571539012</v>
      </c>
    </row>
    <row r="18" spans="1:24" ht="18" customHeight="1" x14ac:dyDescent="0.2">
      <c r="A18" s="4">
        <v>44235</v>
      </c>
      <c r="B18" s="5">
        <v>196</v>
      </c>
      <c r="C18" s="5">
        <v>34923</v>
      </c>
      <c r="E18" s="17">
        <f t="shared" si="0"/>
        <v>38.328080950081223</v>
      </c>
      <c r="F18" s="17">
        <f t="shared" si="1"/>
        <v>157.67191904991878</v>
      </c>
      <c r="G18" s="17">
        <f t="shared" si="2"/>
        <v>24860.434056884144</v>
      </c>
    </row>
    <row r="19" spans="1:24" ht="18" customHeight="1" x14ac:dyDescent="0.2">
      <c r="A19" s="4">
        <v>44236</v>
      </c>
      <c r="B19" s="5">
        <v>203</v>
      </c>
      <c r="C19" s="5">
        <v>38694</v>
      </c>
      <c r="E19" s="17">
        <f t="shared" si="0"/>
        <v>37.647738774054794</v>
      </c>
      <c r="F19" s="17">
        <f t="shared" si="1"/>
        <v>165.3522612259452</v>
      </c>
      <c r="G19" s="17">
        <f t="shared" si="2"/>
        <v>27341.370292533222</v>
      </c>
    </row>
    <row r="20" spans="1:24" ht="18" customHeight="1" x14ac:dyDescent="0.2">
      <c r="A20" s="4">
        <v>44237</v>
      </c>
      <c r="B20" s="5">
        <v>161</v>
      </c>
      <c r="C20" s="5">
        <v>37621</v>
      </c>
      <c r="E20" s="17">
        <f t="shared" si="0"/>
        <v>37.841323275480505</v>
      </c>
      <c r="F20" s="17">
        <f t="shared" si="1"/>
        <v>123.15867672451949</v>
      </c>
      <c r="G20" s="17">
        <f t="shared" si="2"/>
        <v>15168.059652534699</v>
      </c>
    </row>
    <row r="21" spans="1:24" ht="18" customHeight="1" x14ac:dyDescent="0.2">
      <c r="A21" s="4">
        <v>44238</v>
      </c>
      <c r="B21" s="5">
        <v>167</v>
      </c>
      <c r="C21" s="5">
        <v>37347</v>
      </c>
      <c r="E21" s="17">
        <f t="shared" si="0"/>
        <v>37.890756782834323</v>
      </c>
      <c r="F21" s="17">
        <f t="shared" si="1"/>
        <v>129.10924321716567</v>
      </c>
      <c r="G21" s="17">
        <f t="shared" si="2"/>
        <v>16669.19668410924</v>
      </c>
    </row>
    <row r="22" spans="1:24" ht="18" customHeight="1" x14ac:dyDescent="0.2">
      <c r="A22" s="4">
        <v>44239</v>
      </c>
      <c r="B22" s="5">
        <v>149</v>
      </c>
      <c r="C22" s="5">
        <v>38752</v>
      </c>
      <c r="E22" s="17">
        <f t="shared" si="0"/>
        <v>37.637274746950702</v>
      </c>
      <c r="F22" s="17">
        <f t="shared" si="1"/>
        <v>111.36272525304929</v>
      </c>
      <c r="G22" s="17">
        <f t="shared" si="2"/>
        <v>12401.656575786143</v>
      </c>
    </row>
    <row r="23" spans="1:24" ht="18" customHeight="1" x14ac:dyDescent="0.2">
      <c r="A23" s="4">
        <v>44240</v>
      </c>
      <c r="B23" s="5">
        <v>149</v>
      </c>
      <c r="C23" s="5">
        <v>21483</v>
      </c>
      <c r="E23" s="17">
        <f t="shared" si="0"/>
        <v>40.752848610064049</v>
      </c>
      <c r="F23" s="17">
        <f t="shared" si="1"/>
        <v>108.24715138993595</v>
      </c>
      <c r="G23" s="17">
        <f t="shared" si="2"/>
        <v>11717.445784035712</v>
      </c>
    </row>
    <row r="24" spans="1:24" ht="18" customHeight="1" x14ac:dyDescent="0.2">
      <c r="A24" s="4">
        <v>44241</v>
      </c>
      <c r="B24" s="5">
        <v>138</v>
      </c>
      <c r="C24" s="5">
        <v>12100</v>
      </c>
      <c r="E24" s="17">
        <f t="shared" si="0"/>
        <v>42.445675615541639</v>
      </c>
      <c r="F24" s="17">
        <f t="shared" si="1"/>
        <v>95.554324384458369</v>
      </c>
      <c r="G24" s="17">
        <f t="shared" si="2"/>
        <v>9130.6289085702956</v>
      </c>
    </row>
    <row r="25" spans="1:24" ht="18" customHeight="1" x14ac:dyDescent="0.2">
      <c r="A25" s="4">
        <v>44242</v>
      </c>
      <c r="B25" s="5">
        <v>90</v>
      </c>
      <c r="C25" s="5">
        <v>33135</v>
      </c>
      <c r="E25" s="17">
        <f t="shared" si="0"/>
        <v>38.650661647703942</v>
      </c>
      <c r="F25" s="17">
        <f t="shared" si="1"/>
        <v>51.349338352296058</v>
      </c>
      <c r="G25" s="17">
        <f t="shared" si="2"/>
        <v>2636.7545492185827</v>
      </c>
    </row>
    <row r="26" spans="1:24" ht="18" customHeight="1" x14ac:dyDescent="0.2">
      <c r="A26" s="4">
        <v>44243</v>
      </c>
      <c r="B26" s="5">
        <v>111</v>
      </c>
      <c r="C26" s="5">
        <v>32083</v>
      </c>
      <c r="E26" s="17">
        <f t="shared" si="0"/>
        <v>38.840457449660931</v>
      </c>
      <c r="F26" s="17">
        <f t="shared" si="1"/>
        <v>72.159542550339069</v>
      </c>
      <c r="G26" s="17">
        <f t="shared" si="2"/>
        <v>5206.9995810741948</v>
      </c>
    </row>
    <row r="27" spans="1:24" ht="18" customHeight="1" x14ac:dyDescent="0.2">
      <c r="A27" s="4">
        <v>44244</v>
      </c>
      <c r="B27" s="5">
        <v>127</v>
      </c>
      <c r="C27" s="5">
        <v>34354</v>
      </c>
      <c r="E27" s="17">
        <f t="shared" si="0"/>
        <v>38.43073666425758</v>
      </c>
      <c r="F27" s="17">
        <f t="shared" si="1"/>
        <v>88.56926333574242</v>
      </c>
      <c r="G27" s="17">
        <f t="shared" si="2"/>
        <v>7844.5144078360863</v>
      </c>
    </row>
    <row r="28" spans="1:24" ht="18" customHeight="1" x14ac:dyDescent="0.2">
      <c r="A28" s="4">
        <v>44245</v>
      </c>
      <c r="B28" s="5">
        <v>105</v>
      </c>
      <c r="C28" s="5">
        <v>33985</v>
      </c>
      <c r="E28" s="17">
        <f t="shared" si="0"/>
        <v>38.497309526350861</v>
      </c>
      <c r="F28" s="17">
        <f t="shared" si="1"/>
        <v>66.502690473649139</v>
      </c>
      <c r="G28" s="17">
        <f t="shared" si="2"/>
        <v>4422.6078402339836</v>
      </c>
    </row>
    <row r="29" spans="1:24" ht="18" customHeight="1" x14ac:dyDescent="0.2">
      <c r="A29" s="4">
        <v>44246</v>
      </c>
      <c r="B29" s="5">
        <v>67</v>
      </c>
      <c r="C29" s="5">
        <v>33887</v>
      </c>
      <c r="E29" s="17">
        <f t="shared" si="0"/>
        <v>38.51499012387157</v>
      </c>
      <c r="F29" s="17">
        <f t="shared" si="1"/>
        <v>28.48500987612843</v>
      </c>
      <c r="G29" s="17">
        <f t="shared" si="2"/>
        <v>811.39578764313421</v>
      </c>
    </row>
    <row r="30" spans="1:24" ht="18" customHeight="1" x14ac:dyDescent="0.2">
      <c r="A30" s="4">
        <v>44247</v>
      </c>
      <c r="B30" s="5">
        <v>76</v>
      </c>
      <c r="C30" s="5">
        <v>21848</v>
      </c>
      <c r="E30" s="17">
        <f t="shared" si="0"/>
        <v>40.686997405012434</v>
      </c>
      <c r="F30" s="17">
        <f t="shared" si="1"/>
        <v>35.313002594987566</v>
      </c>
      <c r="G30" s="17">
        <f t="shared" si="2"/>
        <v>1247.0081522735986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10854</v>
      </c>
      <c r="E31" s="17">
        <f t="shared" si="0"/>
        <v>42.670471784019213</v>
      </c>
      <c r="F31" s="17">
        <f t="shared" si="1"/>
        <v>22.329528215980787</v>
      </c>
      <c r="G31" s="17">
        <f t="shared" si="2"/>
        <v>498.60783034828211</v>
      </c>
    </row>
    <row r="32" spans="1:24" ht="18" customHeight="1" x14ac:dyDescent="0.2">
      <c r="A32" s="4">
        <v>44249</v>
      </c>
      <c r="B32" s="5">
        <v>61</v>
      </c>
      <c r="C32" s="5">
        <v>31296</v>
      </c>
      <c r="E32" s="17">
        <f t="shared" si="0"/>
        <v>38.982443472607841</v>
      </c>
      <c r="F32" s="17">
        <f t="shared" si="1"/>
        <v>22.017556527392159</v>
      </c>
      <c r="G32" s="17">
        <f t="shared" si="2"/>
        <v>484.77279543690906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17">
        <f t="shared" si="0"/>
        <v>38.931747065431111</v>
      </c>
      <c r="F33" s="17">
        <f t="shared" si="1"/>
        <v>24.068252934568889</v>
      </c>
      <c r="G33" s="17">
        <f t="shared" si="2"/>
        <v>579.28079932238393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50</v>
      </c>
      <c r="C34" s="5">
        <v>31235</v>
      </c>
      <c r="E34" s="17">
        <f t="shared" si="0"/>
        <v>38.993448742493179</v>
      </c>
      <c r="F34" s="17">
        <f t="shared" si="1"/>
        <v>11.006551257506821</v>
      </c>
      <c r="G34" s="17">
        <f t="shared" si="2"/>
        <v>121.14417058412499</v>
      </c>
      <c r="O34" s="14"/>
      <c r="P34" s="130">
        <f>AVERAGE(C11:C130)</f>
        <v>37526.716666666667</v>
      </c>
      <c r="Q34" s="130"/>
    </row>
    <row r="35" spans="1:24" ht="18" customHeight="1" x14ac:dyDescent="0.2">
      <c r="A35" s="4">
        <v>44252</v>
      </c>
      <c r="B35" s="5">
        <v>49</v>
      </c>
      <c r="C35" s="5">
        <v>30974</v>
      </c>
      <c r="E35" s="17">
        <f t="shared" si="0"/>
        <v>39.040536864461593</v>
      </c>
      <c r="F35" s="17">
        <f t="shared" si="1"/>
        <v>9.9594631355384067</v>
      </c>
      <c r="G35" s="17">
        <f t="shared" si="2"/>
        <v>99.190905948148512</v>
      </c>
      <c r="O35" s="14"/>
      <c r="P35" s="130">
        <f>AVERAGE(B11:B130)</f>
        <v>37.858333333333334</v>
      </c>
      <c r="Q35" s="130"/>
    </row>
    <row r="36" spans="1:24" ht="18" customHeight="1" x14ac:dyDescent="0.2">
      <c r="A36" s="4">
        <v>44253</v>
      </c>
      <c r="B36" s="5">
        <v>58</v>
      </c>
      <c r="C36" s="5">
        <v>32910</v>
      </c>
      <c r="E36" s="17">
        <f t="shared" si="0"/>
        <v>38.691254856297405</v>
      </c>
      <c r="F36" s="17">
        <f t="shared" si="1"/>
        <v>19.308745143702595</v>
      </c>
      <c r="G36" s="17">
        <f t="shared" si="2"/>
        <v>372.82763902445856</v>
      </c>
      <c r="O36" s="14"/>
      <c r="P36" s="130">
        <f>SUMPRODUCT(POWER(C11:C130-P34,2))</f>
        <v>38761835126.366646</v>
      </c>
      <c r="Q36" s="130"/>
    </row>
    <row r="37" spans="1:24" ht="18" customHeight="1" x14ac:dyDescent="0.2">
      <c r="A37" s="4">
        <v>44254</v>
      </c>
      <c r="B37" s="5">
        <v>33</v>
      </c>
      <c r="C37" s="5">
        <v>20380</v>
      </c>
      <c r="E37" s="17">
        <f t="shared" si="0"/>
        <v>40.951845539302219</v>
      </c>
      <c r="F37" s="17">
        <f t="shared" si="1"/>
        <v>-7.9518455393022194</v>
      </c>
      <c r="G37" s="17">
        <f t="shared" si="2"/>
        <v>63.231847480920607</v>
      </c>
      <c r="O37" s="14"/>
      <c r="P37" s="130">
        <f>SUMPRODUCT(POWER(B11:B130-P35,2))</f>
        <v>524434.59166666621</v>
      </c>
      <c r="Q37" s="130"/>
    </row>
    <row r="38" spans="1:24" ht="18" customHeight="1" x14ac:dyDescent="0.2">
      <c r="A38" s="4">
        <v>44255</v>
      </c>
      <c r="B38" s="5">
        <v>41</v>
      </c>
      <c r="C38" s="5">
        <v>11439</v>
      </c>
      <c r="E38" s="17">
        <f t="shared" si="0"/>
        <v>42.564929441676213</v>
      </c>
      <c r="F38" s="17">
        <f t="shared" si="1"/>
        <v>-1.5649294416762132</v>
      </c>
      <c r="G38" s="17">
        <f t="shared" si="2"/>
        <v>2.4490041574250241</v>
      </c>
      <c r="O38" s="14"/>
      <c r="P38" s="130">
        <f xml:space="preserve"> SUMPRODUCT( (B11:B130-P35) * (C11:C130-P34))</f>
        <v>-6993187.8166666692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34</v>
      </c>
      <c r="C39" s="5">
        <v>26639</v>
      </c>
      <c r="E39" s="17">
        <f t="shared" si="0"/>
        <v>39.822632683362301</v>
      </c>
      <c r="F39" s="17">
        <f t="shared" si="1"/>
        <v>-5.8226326833623006</v>
      </c>
      <c r="G39" s="17">
        <f t="shared" si="2"/>
        <v>33.903051365358863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29735</v>
      </c>
      <c r="E40" s="17">
        <f t="shared" si="0"/>
        <v>39.264070133116263</v>
      </c>
      <c r="F40" s="17">
        <f t="shared" si="1"/>
        <v>-1.2640701331162632</v>
      </c>
      <c r="G40" s="17">
        <f t="shared" si="2"/>
        <v>1.5978733014365671</v>
      </c>
      <c r="O40" s="16"/>
      <c r="P40" s="120">
        <f>P35 - P34*P41</f>
        <v>44.628688166567841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29388</v>
      </c>
      <c r="E41" s="17">
        <f t="shared" si="0"/>
        <v>39.326673881480403</v>
      </c>
      <c r="F41" s="17">
        <f t="shared" si="1"/>
        <v>1.6733261185195971</v>
      </c>
      <c r="G41" s="17">
        <f t="shared" si="2"/>
        <v>2.8000202989198608</v>
      </c>
      <c r="O41" s="13"/>
      <c r="P41" s="122">
        <f>P38/P36</f>
        <v>-1.8041426041538861E-4</v>
      </c>
      <c r="Q41" s="122"/>
    </row>
    <row r="42" spans="1:24" ht="18" customHeight="1" x14ac:dyDescent="0.2">
      <c r="A42" s="4">
        <v>44259</v>
      </c>
      <c r="B42" s="5">
        <v>28</v>
      </c>
      <c r="C42" s="5">
        <v>28081</v>
      </c>
      <c r="E42" s="17">
        <f t="shared" si="0"/>
        <v>39.562475319843315</v>
      </c>
      <c r="F42" s="17">
        <f t="shared" si="1"/>
        <v>-11.562475319843315</v>
      </c>
      <c r="G42" s="17">
        <f t="shared" si="2"/>
        <v>133.69083552198578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17">
        <f t="shared" si="0"/>
        <v>39.462345405312774</v>
      </c>
      <c r="F43" s="17">
        <f t="shared" si="1"/>
        <v>-11.462345405312774</v>
      </c>
      <c r="G43" s="17">
        <f t="shared" si="2"/>
        <v>131.38536219069488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17">
        <f t="shared" si="0"/>
        <v>41.040068112645343</v>
      </c>
      <c r="F44" s="17">
        <f t="shared" si="1"/>
        <v>-15.040068112645343</v>
      </c>
      <c r="G44" s="17">
        <f t="shared" si="2"/>
        <v>226.20364883301127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17">
        <f t="shared" si="0"/>
        <v>42.933515775704848</v>
      </c>
      <c r="F45" s="17">
        <f t="shared" si="1"/>
        <v>-14.933515775704848</v>
      </c>
      <c r="G45" s="17">
        <f t="shared" si="2"/>
        <v>223.00989342322555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25303</v>
      </c>
      <c r="E46" s="17">
        <f t="shared" si="0"/>
        <v>40.063666135277259</v>
      </c>
      <c r="F46" s="17">
        <f t="shared" si="1"/>
        <v>-15.063666135277259</v>
      </c>
      <c r="G46" s="17">
        <f t="shared" si="2"/>
        <v>226.91403743509892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17">
        <f t="shared" si="0"/>
        <v>40.206193401005422</v>
      </c>
      <c r="F47" s="17">
        <f t="shared" si="1"/>
        <v>-10.206193401005422</v>
      </c>
      <c r="G47" s="17">
        <f t="shared" si="2"/>
        <v>104.16638373872661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17">
        <f t="shared" si="0"/>
        <v>39.824797654487291</v>
      </c>
      <c r="F48" s="17">
        <f t="shared" si="1"/>
        <v>-17.824797654487291</v>
      </c>
      <c r="G48" s="17">
        <f t="shared" si="2"/>
        <v>317.72341142341566</v>
      </c>
    </row>
    <row r="49" spans="1:24" ht="18" customHeight="1" x14ac:dyDescent="0.2">
      <c r="A49" s="4">
        <v>44266</v>
      </c>
      <c r="B49" s="5">
        <v>18</v>
      </c>
      <c r="C49" s="5">
        <v>24313</v>
      </c>
      <c r="E49" s="17">
        <f t="shared" si="0"/>
        <v>40.242276253088498</v>
      </c>
      <c r="F49" s="17">
        <f t="shared" si="1"/>
        <v>-22.242276253088498</v>
      </c>
      <c r="G49" s="17">
        <f t="shared" si="2"/>
        <v>494.7188529187045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15</v>
      </c>
      <c r="C50" s="5">
        <v>27281</v>
      </c>
      <c r="E50" s="17">
        <f t="shared" si="0"/>
        <v>39.706806728175621</v>
      </c>
      <c r="F50" s="17">
        <f t="shared" si="1"/>
        <v>-24.706806728175621</v>
      </c>
      <c r="G50" s="17">
        <f t="shared" si="2"/>
        <v>610.42629870342421</v>
      </c>
      <c r="O50" s="15"/>
      <c r="P50" s="120">
        <f>(POWER(P38,2)/(P36*P37))</f>
        <v>2.4057734328321134E-3</v>
      </c>
      <c r="Q50" s="120"/>
    </row>
    <row r="51" spans="1:24" ht="18" customHeight="1" x14ac:dyDescent="0.2">
      <c r="A51" s="4">
        <v>44268</v>
      </c>
      <c r="B51" s="5">
        <v>19</v>
      </c>
      <c r="C51" s="5">
        <v>21016</v>
      </c>
      <c r="E51" s="17">
        <f t="shared" si="0"/>
        <v>40.837102069678032</v>
      </c>
      <c r="F51" s="17">
        <f t="shared" si="1"/>
        <v>-21.837102069678032</v>
      </c>
      <c r="G51" s="17">
        <f t="shared" si="2"/>
        <v>476.85902680153657</v>
      </c>
      <c r="O51" s="32"/>
      <c r="P51" s="122">
        <f>P38 / (SQRT(P36) * SQRT(P37))</f>
        <v>-4.9048684312956996E-2</v>
      </c>
      <c r="Q51" s="122"/>
    </row>
    <row r="52" spans="1:24" ht="18" customHeight="1" x14ac:dyDescent="0.2">
      <c r="A52" s="4">
        <v>44269</v>
      </c>
      <c r="B52" s="5">
        <v>15</v>
      </c>
      <c r="C52" s="5">
        <v>9709</v>
      </c>
      <c r="E52" s="17">
        <f t="shared" si="0"/>
        <v>42.877046112194833</v>
      </c>
      <c r="F52" s="17">
        <f t="shared" si="1"/>
        <v>-27.877046112194833</v>
      </c>
      <c r="G52" s="17">
        <f t="shared" si="2"/>
        <v>777.12969994143702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26427</v>
      </c>
      <c r="E53" s="17">
        <f t="shared" si="0"/>
        <v>39.860880506570368</v>
      </c>
      <c r="F53" s="17">
        <f t="shared" si="1"/>
        <v>-29.860880506570368</v>
      </c>
      <c r="G53" s="17">
        <f t="shared" si="2"/>
        <v>891.67218462767414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41394</v>
      </c>
      <c r="E54" s="17">
        <f t="shared" si="0"/>
        <v>37.160620270933244</v>
      </c>
      <c r="F54" s="17">
        <f t="shared" si="1"/>
        <v>-24.160620270933244</v>
      </c>
      <c r="G54" s="17">
        <f t="shared" si="2"/>
        <v>583.73557187623032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48102</v>
      </c>
      <c r="E55" s="17">
        <f t="shared" si="0"/>
        <v>35.950401412066817</v>
      </c>
      <c r="F55" s="17">
        <f t="shared" si="1"/>
        <v>-20.950401412066817</v>
      </c>
      <c r="G55" s="17">
        <f t="shared" si="2"/>
        <v>438.91931932673128</v>
      </c>
    </row>
    <row r="56" spans="1:24" ht="18" customHeight="1" x14ac:dyDescent="0.2">
      <c r="A56" s="4">
        <v>44273</v>
      </c>
      <c r="B56" s="5">
        <v>21</v>
      </c>
      <c r="C56" s="5">
        <v>52896</v>
      </c>
      <c r="E56" s="17">
        <f t="shared" si="0"/>
        <v>35.085495447635445</v>
      </c>
      <c r="F56" s="17">
        <f t="shared" si="1"/>
        <v>-14.085495447635445</v>
      </c>
      <c r="G56" s="17">
        <f t="shared" si="2"/>
        <v>198.40118200535883</v>
      </c>
    </row>
    <row r="57" spans="1:24" ht="18" customHeight="1" x14ac:dyDescent="0.2">
      <c r="A57" s="4">
        <v>44274</v>
      </c>
      <c r="B57" s="5">
        <v>11</v>
      </c>
      <c r="C57" s="5">
        <v>53485</v>
      </c>
      <c r="E57" s="17">
        <f t="shared" si="0"/>
        <v>34.979231448250779</v>
      </c>
      <c r="F57" s="17">
        <f t="shared" si="1"/>
        <v>-23.979231448250779</v>
      </c>
      <c r="G57" s="17">
        <f t="shared" si="2"/>
        <v>575.00354084877915</v>
      </c>
    </row>
    <row r="58" spans="1:24" ht="18" customHeight="1" x14ac:dyDescent="0.2">
      <c r="A58" s="4">
        <v>44275</v>
      </c>
      <c r="B58" s="5">
        <v>8</v>
      </c>
      <c r="C58" s="5">
        <v>33514</v>
      </c>
      <c r="E58" s="17">
        <f t="shared" si="0"/>
        <v>38.58228464300651</v>
      </c>
      <c r="F58" s="17">
        <f t="shared" si="1"/>
        <v>-30.58228464300651</v>
      </c>
      <c r="G58" s="17">
        <f t="shared" si="2"/>
        <v>935.27613398587187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10254</v>
      </c>
      <c r="E59" s="17">
        <f t="shared" si="0"/>
        <v>42.778720340268443</v>
      </c>
      <c r="F59" s="17">
        <f t="shared" si="1"/>
        <v>-36.778720340268443</v>
      </c>
      <c r="G59" s="17">
        <f t="shared" si="2"/>
        <v>1352.6742698676758</v>
      </c>
    </row>
    <row r="60" spans="1:24" ht="18" customHeight="1" x14ac:dyDescent="0.2">
      <c r="A60" s="4">
        <v>44277</v>
      </c>
      <c r="B60" s="5">
        <v>16</v>
      </c>
      <c r="C60" s="5">
        <v>30283</v>
      </c>
      <c r="E60" s="17">
        <f t="shared" ref="E60:E97" si="3">$P$40 + $P$41*C60</f>
        <v>39.165203118408627</v>
      </c>
      <c r="F60" s="17">
        <f t="shared" si="1"/>
        <v>-23.165203118408627</v>
      </c>
      <c r="G60" s="17">
        <f t="shared" si="2"/>
        <v>536.62663551712876</v>
      </c>
    </row>
    <row r="61" spans="1:24" ht="18" customHeight="1" x14ac:dyDescent="0.2">
      <c r="A61" s="4">
        <v>44278</v>
      </c>
      <c r="B61" s="5">
        <v>10</v>
      </c>
      <c r="C61" s="5">
        <v>31200</v>
      </c>
      <c r="E61" s="17">
        <f t="shared" si="3"/>
        <v>38.999763241607717</v>
      </c>
      <c r="F61" s="17">
        <f t="shared" si="1"/>
        <v>-28.999763241607717</v>
      </c>
      <c r="G61" s="17">
        <f t="shared" si="2"/>
        <v>840.98626806930213</v>
      </c>
    </row>
    <row r="62" spans="1:24" ht="18" customHeight="1" x14ac:dyDescent="0.2">
      <c r="A62" s="4">
        <v>44279</v>
      </c>
      <c r="B62" s="5">
        <v>11</v>
      </c>
      <c r="C62" s="5">
        <v>29256</v>
      </c>
      <c r="E62" s="17">
        <f t="shared" si="3"/>
        <v>39.35048856385523</v>
      </c>
      <c r="F62" s="17">
        <f t="shared" si="1"/>
        <v>-28.35048856385523</v>
      </c>
      <c r="G62" s="17">
        <f t="shared" si="2"/>
        <v>803.75020180928618</v>
      </c>
    </row>
    <row r="63" spans="1:24" ht="18" customHeight="1" x14ac:dyDescent="0.2">
      <c r="A63" s="4">
        <v>44280</v>
      </c>
      <c r="B63" s="5">
        <v>9</v>
      </c>
      <c r="C63" s="5">
        <v>27478</v>
      </c>
      <c r="E63" s="17">
        <f t="shared" si="3"/>
        <v>39.671265118873791</v>
      </c>
      <c r="F63" s="17">
        <f t="shared" si="1"/>
        <v>-30.671265118873791</v>
      </c>
      <c r="G63" s="17">
        <f t="shared" si="2"/>
        <v>940.72650399224415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30147</v>
      </c>
      <c r="E64" s="17">
        <f t="shared" si="3"/>
        <v>39.189739457825119</v>
      </c>
      <c r="F64" s="17">
        <f t="shared" si="1"/>
        <v>-34.189739457825119</v>
      </c>
      <c r="G64" s="17">
        <f t="shared" si="2"/>
        <v>1168.9382841939639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17">
        <f t="shared" si="3"/>
        <v>40.631068984283658</v>
      </c>
      <c r="F65" s="17">
        <f t="shared" si="1"/>
        <v>-32.631068984283658</v>
      </c>
      <c r="G65" s="17">
        <f t="shared" si="2"/>
        <v>1064.7866630570788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17">
        <f t="shared" si="3"/>
        <v>42.672095512362951</v>
      </c>
      <c r="F66" s="17">
        <f t="shared" si="1"/>
        <v>-32.672095512362951</v>
      </c>
      <c r="G66" s="17">
        <f t="shared" si="2"/>
        <v>1067.4658251689673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6</v>
      </c>
      <c r="C67" s="5">
        <v>30192</v>
      </c>
      <c r="E67" s="17">
        <f t="shared" si="3"/>
        <v>39.181620816106431</v>
      </c>
      <c r="F67" s="17">
        <f t="shared" si="1"/>
        <v>-33.181620816106431</v>
      </c>
      <c r="G67" s="17">
        <f t="shared" si="2"/>
        <v>1101.0199599838677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17">
        <f t="shared" si="3"/>
        <v>39.35265353498022</v>
      </c>
      <c r="F68" s="17">
        <f t="shared" si="1"/>
        <v>-37.35265353498022</v>
      </c>
      <c r="G68" s="17">
        <f t="shared" si="2"/>
        <v>1395.2207261042704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3</v>
      </c>
      <c r="C69" s="5">
        <v>28880</v>
      </c>
      <c r="E69" s="17">
        <f t="shared" si="3"/>
        <v>39.418324325771415</v>
      </c>
      <c r="F69" s="17">
        <f t="shared" si="1"/>
        <v>-36.418324325771415</v>
      </c>
      <c r="G69" s="17">
        <f t="shared" si="2"/>
        <v>1326.2943466970739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11</v>
      </c>
      <c r="C70" s="5">
        <v>28742</v>
      </c>
      <c r="E70" s="17">
        <f t="shared" si="3"/>
        <v>39.443221493708741</v>
      </c>
      <c r="F70" s="17">
        <f t="shared" si="1"/>
        <v>-28.443221493708741</v>
      </c>
      <c r="G70" s="17">
        <f t="shared" si="2"/>
        <v>809.0168489401749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9</v>
      </c>
      <c r="C71" s="5">
        <v>14921</v>
      </c>
      <c r="E71" s="17">
        <f t="shared" si="3"/>
        <v>41.936726986909825</v>
      </c>
      <c r="F71" s="17">
        <f t="shared" si="1"/>
        <v>-32.936726986909825</v>
      </c>
      <c r="G71" s="17">
        <f t="shared" si="2"/>
        <v>1084.8279846102339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7</v>
      </c>
      <c r="C72" s="5">
        <v>23135</v>
      </c>
      <c r="E72" s="17">
        <f t="shared" si="3"/>
        <v>40.454804251857823</v>
      </c>
      <c r="F72" s="17">
        <f t="shared" si="1"/>
        <v>-33.454804251857823</v>
      </c>
      <c r="G72" s="17">
        <f t="shared" si="2"/>
        <v>1119.2239275301242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17">
        <f t="shared" si="3"/>
        <v>42.390829680375361</v>
      </c>
      <c r="F73" s="17">
        <f t="shared" si="1"/>
        <v>-38.390829680375361</v>
      </c>
      <c r="G73" s="17">
        <f t="shared" si="2"/>
        <v>1473.8558035475899</v>
      </c>
      <c r="O73" s="102" t="s">
        <v>35</v>
      </c>
      <c r="P73" s="119">
        <f xml:space="preserve"> SQRT((1/ (B133-2)) * SUM(G11:G130))</f>
        <v>66.585800444517389</v>
      </c>
      <c r="Q73" s="119"/>
    </row>
    <row r="74" spans="1:23" ht="18" customHeight="1" x14ac:dyDescent="0.2">
      <c r="A74" s="4">
        <v>44291</v>
      </c>
      <c r="B74" s="5">
        <v>6</v>
      </c>
      <c r="C74" s="5">
        <v>59246</v>
      </c>
      <c r="E74" s="17">
        <f t="shared" si="3"/>
        <v>33.939864893997729</v>
      </c>
      <c r="F74" s="17">
        <f t="shared" si="1"/>
        <v>-27.939864893997729</v>
      </c>
      <c r="G74" s="17">
        <f t="shared" si="2"/>
        <v>780.63605029484677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17">
        <f t="shared" si="3"/>
        <v>33.13954723479506</v>
      </c>
      <c r="F75" s="17">
        <f t="shared" si="1"/>
        <v>-31.13954723479506</v>
      </c>
      <c r="G75" s="17">
        <f t="shared" si="2"/>
        <v>969.6714019880327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17">
        <f t="shared" si="3"/>
        <v>33.201609740377961</v>
      </c>
      <c r="F76" s="17">
        <f t="shared" ref="F76:F130" si="4">B76-E76</f>
        <v>-30.201609740377961</v>
      </c>
      <c r="G76" s="17">
        <f t="shared" ref="G76:G130" si="5">POWER(F76,2)</f>
        <v>912.13723091009297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17">
        <f t="shared" si="3"/>
        <v>34.112521341215256</v>
      </c>
      <c r="F77" s="17">
        <f t="shared" si="4"/>
        <v>-25.112521341215256</v>
      </c>
      <c r="G77" s="17">
        <f t="shared" si="5"/>
        <v>630.63872811299166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5</v>
      </c>
      <c r="C78" s="5">
        <v>60156</v>
      </c>
      <c r="E78" s="17">
        <f t="shared" si="3"/>
        <v>33.775687917019724</v>
      </c>
      <c r="F78" s="17">
        <f t="shared" si="4"/>
        <v>-28.775687917019724</v>
      </c>
      <c r="G78" s="17">
        <f t="shared" si="5"/>
        <v>828.04021509771496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17">
        <f t="shared" si="3"/>
        <v>38.89151468535848</v>
      </c>
      <c r="F79" s="17">
        <f t="shared" si="4"/>
        <v>-32.89151468535848</v>
      </c>
      <c r="G79" s="17">
        <f t="shared" si="5"/>
        <v>1081.8517382971525</v>
      </c>
      <c r="O79" s="16"/>
      <c r="P79" s="127">
        <f xml:space="preserve"> SQRT( (1/B133) + (POWER(P34,2) / P36))</f>
        <v>0.21133927159051091</v>
      </c>
      <c r="Q79" s="127"/>
      <c r="T79" s="16"/>
      <c r="U79" s="127">
        <f xml:space="preserve"> SQRT( 1/P36 )</f>
        <v>5.0792294834464523E-6</v>
      </c>
      <c r="V79" s="127"/>
    </row>
    <row r="80" spans="1:23" ht="18" customHeight="1" x14ac:dyDescent="0.2">
      <c r="A80" s="4">
        <v>44297</v>
      </c>
      <c r="B80" s="5">
        <v>6</v>
      </c>
      <c r="C80" s="5">
        <v>12842</v>
      </c>
      <c r="E80" s="17">
        <f t="shared" si="3"/>
        <v>42.311808234313418</v>
      </c>
      <c r="F80" s="17">
        <f t="shared" si="4"/>
        <v>-36.311808234313418</v>
      </c>
      <c r="G80" s="17">
        <f t="shared" si="5"/>
        <v>1318.5474172455517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</v>
      </c>
      <c r="C81" s="5">
        <v>38795</v>
      </c>
      <c r="E81" s="17">
        <f t="shared" si="3"/>
        <v>37.629516933752839</v>
      </c>
      <c r="F81" s="17">
        <f t="shared" si="4"/>
        <v>-35.629516933752839</v>
      </c>
      <c r="G81" s="17">
        <f t="shared" si="5"/>
        <v>1269.4624769325803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17">
        <f t="shared" si="3"/>
        <v>37.14438298749586</v>
      </c>
      <c r="F82" s="17">
        <f t="shared" si="4"/>
        <v>-32.14438298749586</v>
      </c>
      <c r="G82" s="17">
        <f t="shared" si="5"/>
        <v>1033.2613576468132</v>
      </c>
      <c r="O82" s="19" t="s">
        <v>36</v>
      </c>
      <c r="P82" s="119">
        <f>P71*P73*P79</f>
        <v>23.329862477224513</v>
      </c>
      <c r="Q82" s="119"/>
      <c r="T82" s="19" t="s">
        <v>36</v>
      </c>
      <c r="U82" s="119">
        <f>P71*P73*U79</f>
        <v>5.6069903358363967E-4</v>
      </c>
      <c r="V82" s="119"/>
    </row>
    <row r="83" spans="1:23" ht="18" customHeight="1" x14ac:dyDescent="0.2">
      <c r="A83" s="4">
        <v>44300</v>
      </c>
      <c r="B83" s="5">
        <v>8</v>
      </c>
      <c r="C83" s="5">
        <v>41634</v>
      </c>
      <c r="E83" s="17">
        <f t="shared" si="3"/>
        <v>37.11732084843355</v>
      </c>
      <c r="F83" s="17">
        <f t="shared" si="4"/>
        <v>-29.11732084843355</v>
      </c>
      <c r="G83" s="17">
        <f t="shared" si="5"/>
        <v>847.81837339062304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17">
        <f t="shared" si="3"/>
        <v>37.036495259767456</v>
      </c>
      <c r="F84" s="17">
        <f t="shared" si="4"/>
        <v>-35.036495259767456</v>
      </c>
      <c r="G84" s="17">
        <f t="shared" si="5"/>
        <v>1227.5560000877074</v>
      </c>
      <c r="O84" s="16" t="s">
        <v>37</v>
      </c>
      <c r="P84" s="120">
        <f>ROUND(P40-P82,4)</f>
        <v>21.2988</v>
      </c>
      <c r="Q84" s="120"/>
      <c r="T84" s="16" t="s">
        <v>37</v>
      </c>
      <c r="U84" s="120">
        <f>ROUND(P41-U82,4)</f>
        <v>-6.9999999999999999E-4</v>
      </c>
      <c r="V84" s="120"/>
    </row>
    <row r="85" spans="1:23" ht="18" customHeight="1" x14ac:dyDescent="0.2">
      <c r="A85" s="4">
        <v>44302</v>
      </c>
      <c r="B85" s="5">
        <v>4</v>
      </c>
      <c r="C85" s="5">
        <v>47052</v>
      </c>
      <c r="E85" s="17">
        <f t="shared" si="3"/>
        <v>36.139836385502974</v>
      </c>
      <c r="F85" s="17">
        <f t="shared" si="4"/>
        <v>-32.139836385502974</v>
      </c>
      <c r="G85" s="17">
        <f t="shared" si="5"/>
        <v>1032.9690828869009</v>
      </c>
      <c r="O85" s="13" t="s">
        <v>38</v>
      </c>
      <c r="P85" s="122">
        <f>ROUND(P40+P82,4)</f>
        <v>67.958600000000004</v>
      </c>
      <c r="Q85" s="122"/>
      <c r="T85" s="13" t="s">
        <v>38</v>
      </c>
      <c r="U85" s="122">
        <f>ROUND(P41+U82,4)</f>
        <v>4.0000000000000002E-4</v>
      </c>
      <c r="V85" s="122"/>
    </row>
    <row r="86" spans="1:23" ht="18" customHeight="1" x14ac:dyDescent="0.2">
      <c r="A86" s="4">
        <v>44303</v>
      </c>
      <c r="B86" s="5">
        <v>5</v>
      </c>
      <c r="C86" s="5">
        <v>31461</v>
      </c>
      <c r="E86" s="17">
        <f t="shared" si="3"/>
        <v>38.952675119639302</v>
      </c>
      <c r="F86" s="17">
        <f t="shared" si="4"/>
        <v>-33.952675119639302</v>
      </c>
      <c r="G86" s="17">
        <f t="shared" si="5"/>
        <v>1152.7841477797738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17">
        <f t="shared" si="3"/>
        <v>42.025490803034202</v>
      </c>
      <c r="F87" s="17">
        <f t="shared" si="4"/>
        <v>-39.025490803034202</v>
      </c>
      <c r="G87" s="17">
        <f t="shared" si="5"/>
        <v>1522.988932417707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17">
        <f t="shared" si="3"/>
        <v>30.427199243710113</v>
      </c>
      <c r="F88" s="17">
        <f t="shared" si="4"/>
        <v>-29.427199243710113</v>
      </c>
      <c r="G88" s="17">
        <f t="shared" si="5"/>
        <v>865.96005532901302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17">
        <f t="shared" si="3"/>
        <v>27.14041224746256</v>
      </c>
      <c r="F89" s="17">
        <f t="shared" si="4"/>
        <v>-22.14041224746256</v>
      </c>
      <c r="G89" s="17">
        <f t="shared" si="5"/>
        <v>490.19785448759012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17">
        <f t="shared" si="3"/>
        <v>26.813862436110707</v>
      </c>
      <c r="F90" s="17">
        <f t="shared" si="4"/>
        <v>-25.813862436110707</v>
      </c>
      <c r="G90" s="17">
        <f t="shared" si="5"/>
        <v>666.35549387044739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4</v>
      </c>
      <c r="C91" s="5">
        <v>98063</v>
      </c>
      <c r="E91" s="17">
        <f t="shared" si="3"/>
        <v>26.936724547453586</v>
      </c>
      <c r="F91" s="17">
        <f t="shared" si="4"/>
        <v>-22.936724547453586</v>
      </c>
      <c r="G91" s="17">
        <f t="shared" si="5"/>
        <v>526.09333296575994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17">
        <f t="shared" si="3"/>
        <v>28.653727063826842</v>
      </c>
      <c r="F92" s="17">
        <f t="shared" si="4"/>
        <v>-27.653727063826842</v>
      </c>
      <c r="G92" s="17">
        <f t="shared" si="5"/>
        <v>764.72862052062919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2</v>
      </c>
      <c r="C93" s="5">
        <v>41386</v>
      </c>
      <c r="E93" s="17">
        <f t="shared" si="3"/>
        <v>37.162063585016568</v>
      </c>
      <c r="F93" s="17">
        <f t="shared" si="4"/>
        <v>-35.162063585016568</v>
      </c>
      <c r="G93" s="17">
        <f t="shared" si="5"/>
        <v>1236.3707155567481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6</v>
      </c>
      <c r="C94" s="5">
        <v>14485</v>
      </c>
      <c r="E94" s="17">
        <f t="shared" si="3"/>
        <v>42.015387604450936</v>
      </c>
      <c r="F94" s="17">
        <f t="shared" si="4"/>
        <v>-36.015387604450936</v>
      </c>
      <c r="G94" s="17">
        <f t="shared" si="5"/>
        <v>1297.1081442988382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0</v>
      </c>
      <c r="C95" s="5">
        <v>53464</v>
      </c>
      <c r="E95" s="17">
        <f t="shared" si="3"/>
        <v>34.9830201477195</v>
      </c>
      <c r="F95" s="17">
        <f t="shared" si="4"/>
        <v>-34.9830201477195</v>
      </c>
      <c r="G95" s="17">
        <f t="shared" si="5"/>
        <v>1223.8116986557484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5</v>
      </c>
      <c r="C96" s="5">
        <v>57452</v>
      </c>
      <c r="E96" s="17">
        <f t="shared" si="3"/>
        <v>34.263528077182933</v>
      </c>
      <c r="F96" s="17">
        <f t="shared" si="4"/>
        <v>-29.263528077182933</v>
      </c>
      <c r="G96" s="17">
        <f t="shared" si="5"/>
        <v>856.35407552407389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17">
        <f t="shared" si="3"/>
        <v>35.004489444708938</v>
      </c>
      <c r="F97" s="17">
        <f t="shared" si="4"/>
        <v>-32.004489444708938</v>
      </c>
      <c r="G97" s="17">
        <f t="shared" si="5"/>
        <v>1024.2873446164858</v>
      </c>
      <c r="O97" s="102" t="s">
        <v>35</v>
      </c>
      <c r="P97" s="119">
        <f xml:space="preserve"> SQRT((1/ (B133-2)) * SUM(G11:G130))</f>
        <v>66.585800444517389</v>
      </c>
      <c r="Q97" s="119"/>
    </row>
    <row r="98" spans="1:22" ht="18" customHeight="1" x14ac:dyDescent="0.2">
      <c r="A98" s="4">
        <v>44315</v>
      </c>
      <c r="B98" s="5">
        <v>1</v>
      </c>
      <c r="C98" s="5">
        <v>54101</v>
      </c>
      <c r="E98" s="17">
        <f t="shared" ref="E98:E130" si="6">$P$40 + $P$41*C98</f>
        <v>34.8680962638349</v>
      </c>
      <c r="F98" s="17">
        <f t="shared" si="4"/>
        <v>-33.8680962638349</v>
      </c>
      <c r="G98" s="17">
        <f t="shared" si="5"/>
        <v>1147.0479445363876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17">
        <f>$P$40 + $P$41*C99</f>
        <v>33.051685489972769</v>
      </c>
      <c r="F99" s="17">
        <f t="shared" si="4"/>
        <v>-33.051685489972769</v>
      </c>
      <c r="G99" s="17">
        <f t="shared" si="5"/>
        <v>1092.4139137280765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17">
        <f t="shared" si="6"/>
        <v>38.953938019462207</v>
      </c>
      <c r="F100" s="17">
        <f t="shared" si="4"/>
        <v>-36.953938019462207</v>
      </c>
      <c r="G100" s="17">
        <f t="shared" si="5"/>
        <v>1365.5935351462545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17">
        <f t="shared" si="6"/>
        <v>41.536387743048081</v>
      </c>
      <c r="F101" s="17">
        <f t="shared" si="4"/>
        <v>-40.536387743048081</v>
      </c>
      <c r="G101" s="17">
        <f t="shared" si="5"/>
        <v>1643.1987312547387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17">
        <f t="shared" si="6"/>
        <v>35.245162068103063</v>
      </c>
      <c r="F102" s="17">
        <f t="shared" si="4"/>
        <v>-35.245162068103063</v>
      </c>
      <c r="G102" s="17">
        <f t="shared" si="5"/>
        <v>1242.221449206851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17">
        <f t="shared" si="6"/>
        <v>35.146114639135014</v>
      </c>
      <c r="F103" s="17">
        <f t="shared" si="4"/>
        <v>-31.146114639135014</v>
      </c>
      <c r="G103" s="17">
        <f t="shared" si="5"/>
        <v>970.08045711414047</v>
      </c>
      <c r="O103" s="16"/>
      <c r="P103" s="127">
        <f>SQRT( (1/B133) + (POWER(P34,2) / P36))</f>
        <v>0.21133927159051091</v>
      </c>
      <c r="Q103" s="127"/>
      <c r="T103" s="16"/>
      <c r="U103" s="127">
        <f>SQRT( 1/P36 )</f>
        <v>5.0792294834464523E-6</v>
      </c>
      <c r="V103" s="127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17">
        <f t="shared" si="6"/>
        <v>35.742383769807873</v>
      </c>
      <c r="F104" s="17">
        <f t="shared" si="4"/>
        <v>-33.742383769807873</v>
      </c>
      <c r="G104" s="17">
        <f t="shared" si="5"/>
        <v>1138.5484624689936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17">
        <f t="shared" si="6"/>
        <v>35.863622152807018</v>
      </c>
      <c r="F105" s="17">
        <f t="shared" si="4"/>
        <v>-30.863622152807018</v>
      </c>
      <c r="G105" s="17">
        <f t="shared" si="5"/>
        <v>952.56317239124007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17">
        <f t="shared" si="6"/>
        <v>35.996046219951907</v>
      </c>
      <c r="F106" s="17">
        <f t="shared" si="4"/>
        <v>-34.996046219951907</v>
      </c>
      <c r="G106" s="17">
        <f t="shared" si="5"/>
        <v>1224.7232510290103</v>
      </c>
      <c r="O106" s="19" t="s">
        <v>36</v>
      </c>
      <c r="P106" s="119">
        <f>P95*P97*P103</f>
        <v>27.86677638188576</v>
      </c>
      <c r="Q106" s="119"/>
      <c r="T106" s="19" t="s">
        <v>36</v>
      </c>
      <c r="U106" s="119">
        <f>P95*P97*U103</f>
        <v>6.6973710632320827E-4</v>
      </c>
      <c r="V106" s="119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17">
        <f t="shared" si="6"/>
        <v>38.945999792003931</v>
      </c>
      <c r="F107" s="17">
        <f t="shared" si="4"/>
        <v>-36.945999792003931</v>
      </c>
      <c r="G107" s="17">
        <f t="shared" si="5"/>
        <v>1365.0069006307544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17">
        <f>$P$40 + $P$41*C108</f>
        <v>41.752884855546547</v>
      </c>
      <c r="F108" s="17">
        <f t="shared" si="4"/>
        <v>-40.752884855546547</v>
      </c>
      <c r="G108" s="17">
        <f t="shared" si="5"/>
        <v>1660.7976240494352</v>
      </c>
      <c r="O108" s="16" t="s">
        <v>37</v>
      </c>
      <c r="P108" s="120">
        <f>ROUND(P40-P106,4)</f>
        <v>16.761900000000001</v>
      </c>
      <c r="Q108" s="120"/>
      <c r="T108" s="16" t="s">
        <v>37</v>
      </c>
      <c r="U108" s="120">
        <f>ROUND(P41-U106,4)</f>
        <v>-8.9999999999999998E-4</v>
      </c>
      <c r="V108" s="120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17">
        <f t="shared" si="6"/>
        <v>37.514051807086993</v>
      </c>
      <c r="F109" s="17">
        <f t="shared" si="4"/>
        <v>-36.514051807086993</v>
      </c>
      <c r="G109" s="17">
        <f t="shared" si="5"/>
        <v>1333.275979370633</v>
      </c>
      <c r="O109" s="13" t="s">
        <v>38</v>
      </c>
      <c r="P109" s="122">
        <f>ROUND(P40+P106,4)</f>
        <v>72.495500000000007</v>
      </c>
      <c r="Q109" s="122"/>
      <c r="T109" s="13" t="s">
        <v>38</v>
      </c>
      <c r="U109" s="122">
        <f>ROUND(P41+U106,4)</f>
        <v>5.0000000000000001E-4</v>
      </c>
      <c r="V109" s="122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17">
        <f t="shared" si="6"/>
        <v>37.074201840194277</v>
      </c>
      <c r="F110" s="17">
        <f t="shared" si="4"/>
        <v>-36.074201840194277</v>
      </c>
      <c r="G110" s="17">
        <f t="shared" si="5"/>
        <v>1301.3480384070763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17">
        <f t="shared" si="6"/>
        <v>36.724198174988416</v>
      </c>
      <c r="F111" s="17">
        <f t="shared" si="4"/>
        <v>-32.724198174988416</v>
      </c>
      <c r="G111" s="17">
        <f t="shared" si="5"/>
        <v>1070.8731461959151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17">
        <f t="shared" si="6"/>
        <v>37.367194599108863</v>
      </c>
      <c r="F112" s="17">
        <f t="shared" si="4"/>
        <v>-36.367194599108863</v>
      </c>
      <c r="G112" s="17">
        <f t="shared" si="5"/>
        <v>1322.572843009453</v>
      </c>
    </row>
    <row r="113" spans="1:25" ht="18" customHeight="1" x14ac:dyDescent="0.2">
      <c r="A113" s="4">
        <v>44330</v>
      </c>
      <c r="B113" s="5">
        <v>0</v>
      </c>
      <c r="C113" s="5">
        <v>46370</v>
      </c>
      <c r="E113" s="17">
        <f t="shared" si="6"/>
        <v>36.26287891110627</v>
      </c>
      <c r="F113" s="17">
        <f t="shared" si="4"/>
        <v>-36.26287891110627</v>
      </c>
      <c r="G113" s="17">
        <f t="shared" si="5"/>
        <v>1314.9963869215558</v>
      </c>
    </row>
    <row r="114" spans="1:25" ht="18" customHeight="1" x14ac:dyDescent="0.2">
      <c r="A114" s="4">
        <v>44331</v>
      </c>
      <c r="B114" s="5">
        <v>7</v>
      </c>
      <c r="C114" s="5">
        <v>30962</v>
      </c>
      <c r="E114" s="17">
        <f t="shared" si="6"/>
        <v>39.042701835586577</v>
      </c>
      <c r="F114" s="17">
        <f t="shared" si="4"/>
        <v>-32.042701835586577</v>
      </c>
      <c r="G114" s="17">
        <f t="shared" si="5"/>
        <v>1026.7347409243034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15707</v>
      </c>
      <c r="E115" s="17">
        <f t="shared" si="6"/>
        <v>41.794921378223329</v>
      </c>
      <c r="F115" s="17">
        <f t="shared" si="4"/>
        <v>-40.794921378223329</v>
      </c>
      <c r="G115" s="17">
        <f t="shared" si="5"/>
        <v>1664.2256102554227</v>
      </c>
    </row>
    <row r="116" spans="1:25" ht="18" customHeight="1" x14ac:dyDescent="0.2">
      <c r="A116" s="4">
        <v>44333</v>
      </c>
      <c r="B116" s="5">
        <v>2</v>
      </c>
      <c r="C116" s="5">
        <v>43293</v>
      </c>
      <c r="E116" s="17">
        <f t="shared" si="6"/>
        <v>36.818013590404419</v>
      </c>
      <c r="F116" s="17">
        <f t="shared" si="4"/>
        <v>-34.818013590404419</v>
      </c>
      <c r="G116" s="17">
        <f t="shared" si="5"/>
        <v>1212.2940703815868</v>
      </c>
    </row>
    <row r="117" spans="1:25" ht="18" customHeight="1" x14ac:dyDescent="0.2">
      <c r="A117" s="4">
        <v>44334</v>
      </c>
      <c r="B117" s="5">
        <v>2</v>
      </c>
      <c r="C117" s="5">
        <v>41470</v>
      </c>
      <c r="E117" s="17">
        <f t="shared" si="6"/>
        <v>37.146908787141676</v>
      </c>
      <c r="F117" s="17">
        <f t="shared" si="4"/>
        <v>-35.146908787141676</v>
      </c>
      <c r="G117" s="17">
        <f t="shared" si="5"/>
        <v>1235.3051972916567</v>
      </c>
    </row>
    <row r="118" spans="1:25" ht="18" customHeight="1" x14ac:dyDescent="0.2">
      <c r="A118" s="4">
        <v>44335</v>
      </c>
      <c r="B118" s="5">
        <v>2</v>
      </c>
      <c r="C118" s="5">
        <v>44399</v>
      </c>
      <c r="E118" s="17">
        <f t="shared" si="6"/>
        <v>36.618475418385003</v>
      </c>
      <c r="F118" s="17">
        <f t="shared" si="4"/>
        <v>-34.618475418385003</v>
      </c>
      <c r="G118" s="17">
        <f t="shared" si="5"/>
        <v>1198.4388402933266</v>
      </c>
    </row>
    <row r="119" spans="1:25" ht="18" customHeight="1" x14ac:dyDescent="0.2">
      <c r="A119" s="4">
        <v>44336</v>
      </c>
      <c r="B119" s="5">
        <v>1</v>
      </c>
      <c r="C119" s="5">
        <v>44577</v>
      </c>
      <c r="E119" s="17">
        <f t="shared" si="6"/>
        <v>36.586361680031061</v>
      </c>
      <c r="F119" s="17">
        <f t="shared" si="4"/>
        <v>-35.586361680031061</v>
      </c>
      <c r="G119" s="17">
        <f t="shared" si="5"/>
        <v>1266.3891376219831</v>
      </c>
    </row>
    <row r="120" spans="1:25" ht="18" customHeight="1" x14ac:dyDescent="0.2">
      <c r="A120" s="4">
        <v>44337</v>
      </c>
      <c r="B120" s="5">
        <v>3</v>
      </c>
      <c r="C120" s="5">
        <v>45378</v>
      </c>
      <c r="E120" s="17">
        <f t="shared" si="6"/>
        <v>36.441849857438335</v>
      </c>
      <c r="F120" s="17">
        <f t="shared" si="4"/>
        <v>-33.441849857438335</v>
      </c>
      <c r="G120" s="17">
        <f t="shared" si="5"/>
        <v>1118.3573218874483</v>
      </c>
    </row>
    <row r="121" spans="1:25" ht="18" customHeight="1" x14ac:dyDescent="0.25">
      <c r="A121" s="4">
        <v>44338</v>
      </c>
      <c r="B121" s="5">
        <v>0</v>
      </c>
      <c r="C121" s="5">
        <v>33560</v>
      </c>
      <c r="E121" s="17">
        <f t="shared" si="6"/>
        <v>38.573985587027401</v>
      </c>
      <c r="F121" s="17">
        <f t="shared" si="4"/>
        <v>-38.573985587027401</v>
      </c>
      <c r="G121" s="17">
        <f t="shared" si="5"/>
        <v>1487.9523640681978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0</v>
      </c>
      <c r="C122" s="5">
        <v>16152</v>
      </c>
      <c r="E122" s="17">
        <f t="shared" si="6"/>
        <v>41.714637032338487</v>
      </c>
      <c r="F122" s="17">
        <f t="shared" si="4"/>
        <v>-41.714637032338487</v>
      </c>
      <c r="G122" s="17">
        <f t="shared" si="5"/>
        <v>1740.1109427397455</v>
      </c>
    </row>
    <row r="123" spans="1:25" ht="18" customHeight="1" x14ac:dyDescent="0.2">
      <c r="A123" s="4">
        <v>44340</v>
      </c>
      <c r="B123" s="5">
        <v>1</v>
      </c>
      <c r="C123" s="5">
        <v>42680</v>
      </c>
      <c r="E123" s="17">
        <f t="shared" si="6"/>
        <v>36.928607532039052</v>
      </c>
      <c r="F123" s="17">
        <f t="shared" si="4"/>
        <v>-35.928607532039052</v>
      </c>
      <c r="G123" s="17">
        <f t="shared" si="5"/>
        <v>1290.8648391912934</v>
      </c>
    </row>
    <row r="124" spans="1:25" ht="18" customHeight="1" x14ac:dyDescent="0.2">
      <c r="A124" s="4">
        <v>44341</v>
      </c>
      <c r="B124" s="5">
        <v>3</v>
      </c>
      <c r="C124" s="5">
        <v>43590</v>
      </c>
      <c r="E124" s="17">
        <f t="shared" si="6"/>
        <v>36.764430555061054</v>
      </c>
      <c r="F124" s="17">
        <f t="shared" si="4"/>
        <v>-33.764430555061054</v>
      </c>
      <c r="G124" s="17">
        <f t="shared" si="5"/>
        <v>1140.0367707075404</v>
      </c>
    </row>
    <row r="125" spans="1:25" ht="18" customHeight="1" x14ac:dyDescent="0.2">
      <c r="A125" s="4">
        <v>44342</v>
      </c>
      <c r="B125" s="5">
        <v>1</v>
      </c>
      <c r="C125" s="5">
        <v>50409</v>
      </c>
      <c r="E125" s="17">
        <f t="shared" si="6"/>
        <v>35.534185713288515</v>
      </c>
      <c r="F125" s="17">
        <f t="shared" si="4"/>
        <v>-34.534185713288515</v>
      </c>
      <c r="G125" s="17">
        <f t="shared" si="5"/>
        <v>1192.6099828799006</v>
      </c>
    </row>
    <row r="126" spans="1:25" ht="18" customHeight="1" x14ac:dyDescent="0.25">
      <c r="A126" s="4">
        <v>44343</v>
      </c>
      <c r="B126" s="5">
        <v>0</v>
      </c>
      <c r="C126" s="5">
        <v>53947</v>
      </c>
      <c r="E126" s="17">
        <f t="shared" si="6"/>
        <v>34.895880059938875</v>
      </c>
      <c r="F126" s="17">
        <f t="shared" si="4"/>
        <v>-34.895880059938875</v>
      </c>
      <c r="G126" s="17">
        <f t="shared" si="5"/>
        <v>1217.7224451576396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59275</v>
      </c>
      <c r="E127" s="17">
        <f t="shared" si="6"/>
        <v>33.934632880445683</v>
      </c>
      <c r="F127" s="17">
        <f t="shared" si="4"/>
        <v>-32.934632880445683</v>
      </c>
      <c r="G127" s="17">
        <f t="shared" si="5"/>
        <v>1084.6900429697339</v>
      </c>
    </row>
    <row r="128" spans="1:25" ht="18" customHeight="1" x14ac:dyDescent="0.2">
      <c r="A128" s="4">
        <v>44345</v>
      </c>
      <c r="B128" s="5">
        <v>0</v>
      </c>
      <c r="C128" s="5">
        <v>43319</v>
      </c>
      <c r="E128" s="17">
        <f t="shared" si="6"/>
        <v>36.813322819633619</v>
      </c>
      <c r="F128" s="17">
        <f t="shared" si="4"/>
        <v>-36.813322819633619</v>
      </c>
      <c r="G128" s="17">
        <f t="shared" si="5"/>
        <v>1355.2207370225574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17">
        <f t="shared" si="6"/>
        <v>40.95383009616679</v>
      </c>
      <c r="F129" s="17">
        <f t="shared" si="4"/>
        <v>-40.95383009616679</v>
      </c>
      <c r="G129" s="17">
        <f t="shared" si="5"/>
        <v>1677.2161995456968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17">
        <f t="shared" si="6"/>
        <v>35.640990955454427</v>
      </c>
      <c r="F130" s="17">
        <f t="shared" si="4"/>
        <v>-33.640990955454427</v>
      </c>
      <c r="G130" s="17">
        <f t="shared" si="5"/>
        <v>1131.7162724649666</v>
      </c>
    </row>
    <row r="132" spans="1:24" ht="18" customHeight="1" x14ac:dyDescent="0.35">
      <c r="O132" s="21" t="s">
        <v>48</v>
      </c>
      <c r="P132">
        <f>ROUND((P40-0) / (P73 * SQRT( (1/B133) + (POWER(P34,2) / P36))),4)</f>
        <v>3.1714000000000002</v>
      </c>
      <c r="U132" s="21" t="s">
        <v>49</v>
      </c>
      <c r="V132">
        <f xml:space="preserve"> ROUND((P41-0) / (P73 / SQRT(P36)),4)</f>
        <v>-0.53339999999999999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9.3791641120333225E-12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1261.6708078898246</v>
      </c>
      <c r="O179" s="121"/>
    </row>
    <row r="180" spans="13:19" ht="18" customHeight="1" x14ac:dyDescent="0.2">
      <c r="M180" s="105" t="s">
        <v>62</v>
      </c>
      <c r="N180" s="122">
        <f>SUM(G11:G130)</f>
        <v>523172.9208587769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1261.6708078898246</v>
      </c>
      <c r="P188" s="117"/>
      <c r="Q188" s="117">
        <f>O188/N188</f>
        <v>1261.6708078898246</v>
      </c>
      <c r="R188" s="117"/>
      <c r="S188" s="77">
        <f>Q188/Q189</f>
        <v>0.28456586607468276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523172.9208587769</v>
      </c>
      <c r="P189" s="117"/>
      <c r="Q189" s="117">
        <f>O189/N189</f>
        <v>4433.6688208370924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9.3791641120333225E-12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304215</v>
      </c>
      <c r="E208" s="17">
        <f>$P$234 + $P$235*C208</f>
        <v>241.91308708730821</v>
      </c>
      <c r="F208" s="17">
        <f>B208-E208</f>
        <v>1434.0869129126918</v>
      </c>
      <c r="G208" s="17">
        <f>POWER(F208,2)</f>
        <v>2056605.2737874545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220920</v>
      </c>
      <c r="E209" s="17">
        <f t="shared" ref="E209:E224" si="7">$P$234 + $P$235*C209</f>
        <v>291.60224818927509</v>
      </c>
      <c r="F209" s="17">
        <f t="shared" ref="F209:F224" si="8">B209-E209</f>
        <v>871.39775181072491</v>
      </c>
      <c r="G209" s="17">
        <f t="shared" ref="G209:G224" si="9">POWER(F209,2)</f>
        <v>759334.04186078568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200146</v>
      </c>
      <c r="E210" s="17">
        <f t="shared" si="7"/>
        <v>303.99486038367161</v>
      </c>
      <c r="F210" s="17">
        <f t="shared" si="8"/>
        <v>337.00513961632839</v>
      </c>
      <c r="G210" s="17">
        <f t="shared" si="9"/>
        <v>113572.46412782099</v>
      </c>
    </row>
    <row r="211" spans="1:25" ht="18" customHeight="1" x14ac:dyDescent="0.2">
      <c r="A211" s="107">
        <f t="shared" ref="A211:A224" si="10">A210 + 7</f>
        <v>44249</v>
      </c>
      <c r="B211" s="17">
        <f>SUM(B32:B38)</f>
        <v>355</v>
      </c>
      <c r="C211" s="17">
        <f>SUM(C32:C38)</f>
        <v>189811</v>
      </c>
      <c r="E211" s="17">
        <f t="shared" si="7"/>
        <v>310.1601461750015</v>
      </c>
      <c r="F211" s="17">
        <f t="shared" si="8"/>
        <v>44.839853824998499</v>
      </c>
      <c r="G211" s="17">
        <f t="shared" si="9"/>
        <v>2010.6124910472327</v>
      </c>
    </row>
    <row r="212" spans="1:25" ht="18" customHeight="1" x14ac:dyDescent="0.2">
      <c r="A212" s="107">
        <f t="shared" si="10"/>
        <v>44256</v>
      </c>
      <c r="B212" s="17">
        <f>SUM(B39:B45)</f>
        <v>223</v>
      </c>
      <c r="C212" s="17">
        <f>SUM(C39:C45)</f>
        <v>171766</v>
      </c>
      <c r="E212" s="17">
        <f t="shared" si="7"/>
        <v>320.92478885565453</v>
      </c>
      <c r="F212" s="17">
        <f t="shared" si="8"/>
        <v>-97.924788855654526</v>
      </c>
      <c r="G212" s="17">
        <f t="shared" si="9"/>
        <v>9589.2642724245216</v>
      </c>
    </row>
    <row r="213" spans="1:25" ht="18" customHeight="1" x14ac:dyDescent="0.2">
      <c r="A213" s="107">
        <f t="shared" si="10"/>
        <v>44263</v>
      </c>
      <c r="B213" s="17">
        <f>SUM(B46:B52)</f>
        <v>144</v>
      </c>
      <c r="C213" s="17">
        <f>SUM(C46:C52)</f>
        <v>158762</v>
      </c>
      <c r="E213" s="17">
        <f t="shared" si="7"/>
        <v>328.68225150011074</v>
      </c>
      <c r="F213" s="17">
        <f t="shared" si="8"/>
        <v>-184.68225150011074</v>
      </c>
      <c r="G213" s="17">
        <f t="shared" si="9"/>
        <v>34107.534019150153</v>
      </c>
    </row>
    <row r="214" spans="1:25" ht="18" customHeight="1" x14ac:dyDescent="0.2">
      <c r="A214" s="107">
        <f t="shared" si="10"/>
        <v>44270</v>
      </c>
      <c r="B214" s="17">
        <f>SUM(B53:B59)</f>
        <v>84</v>
      </c>
      <c r="C214" s="17">
        <f>SUM(C53:C59)</f>
        <v>266072</v>
      </c>
      <c r="E214" s="17">
        <f t="shared" si="7"/>
        <v>264.6670779860695</v>
      </c>
      <c r="F214" s="17">
        <f t="shared" si="8"/>
        <v>-180.6670779860695</v>
      </c>
      <c r="G214" s="17">
        <f t="shared" si="9"/>
        <v>32640.593068024518</v>
      </c>
    </row>
    <row r="215" spans="1:25" ht="18" customHeight="1" x14ac:dyDescent="0.2">
      <c r="A215" s="107">
        <f t="shared" si="10"/>
        <v>44277</v>
      </c>
      <c r="B215" s="17">
        <f>SUM(B60:B66)</f>
        <v>69</v>
      </c>
      <c r="C215" s="17">
        <f>SUM(C60:C66)</f>
        <v>181367</v>
      </c>
      <c r="E215" s="17">
        <f t="shared" si="7"/>
        <v>315.19736661254291</v>
      </c>
      <c r="F215" s="17">
        <f t="shared" si="8"/>
        <v>-246.19736661254291</v>
      </c>
      <c r="G215" s="17">
        <f t="shared" si="9"/>
        <v>60613.143326950856</v>
      </c>
    </row>
    <row r="216" spans="1:25" ht="18" customHeight="1" x14ac:dyDescent="0.2">
      <c r="A216" s="107">
        <f t="shared" si="10"/>
        <v>44284</v>
      </c>
      <c r="B216" s="17">
        <f>SUM(B67:B73)</f>
        <v>42</v>
      </c>
      <c r="C216" s="17">
        <f>SUM(C67:C73)</f>
        <v>167518</v>
      </c>
      <c r="E216" s="17">
        <f t="shared" si="7"/>
        <v>323.45890922735941</v>
      </c>
      <c r="F216" s="17">
        <f t="shared" si="8"/>
        <v>-281.45890922735941</v>
      </c>
      <c r="G216" s="17">
        <f t="shared" si="9"/>
        <v>79219.11758345495</v>
      </c>
    </row>
    <row r="217" spans="1:25" ht="18" customHeight="1" x14ac:dyDescent="0.2">
      <c r="A217" s="107">
        <f t="shared" si="10"/>
        <v>44291</v>
      </c>
      <c r="B217" s="17">
        <f>SUM(B74:B80)</f>
        <v>37</v>
      </c>
      <c r="C217" s="17">
        <f>SUM(C74:C80)</f>
        <v>349353</v>
      </c>
      <c r="E217" s="17">
        <f t="shared" si="7"/>
        <v>214.98626850491334</v>
      </c>
      <c r="F217" s="17">
        <f t="shared" si="8"/>
        <v>-177.98626850491334</v>
      </c>
      <c r="G217" s="17">
        <f t="shared" si="9"/>
        <v>31679.111776303107</v>
      </c>
    </row>
    <row r="218" spans="1:25" ht="18" customHeight="1" x14ac:dyDescent="0.2">
      <c r="A218" s="107">
        <f t="shared" si="10"/>
        <v>44298</v>
      </c>
      <c r="B218" s="17">
        <f>SUM(B81:B87)</f>
        <v>29</v>
      </c>
      <c r="C218" s="17">
        <f>SUM(C81:C87)</f>
        <v>256937</v>
      </c>
      <c r="E218" s="17">
        <f t="shared" si="7"/>
        <v>270.11651056505343</v>
      </c>
      <c r="F218" s="17">
        <f t="shared" si="8"/>
        <v>-241.11651056505343</v>
      </c>
      <c r="G218" s="17">
        <f t="shared" si="9"/>
        <v>58137.171667067523</v>
      </c>
    </row>
    <row r="219" spans="1:25" ht="18" customHeight="1" x14ac:dyDescent="0.2">
      <c r="A219" s="107">
        <f t="shared" si="10"/>
        <v>44305</v>
      </c>
      <c r="B219" s="17">
        <f>SUM(B88:B94)</f>
        <v>20</v>
      </c>
      <c r="C219" s="17">
        <f>SUM(C88:C94)</f>
        <v>516874</v>
      </c>
      <c r="E219" s="17">
        <f t="shared" si="7"/>
        <v>115.05256351706788</v>
      </c>
      <c r="F219" s="17">
        <f t="shared" si="8"/>
        <v>-95.052563517067881</v>
      </c>
      <c r="G219" s="17">
        <f t="shared" si="9"/>
        <v>9034.9898311662237</v>
      </c>
    </row>
    <row r="220" spans="1:25" ht="18" customHeight="1" x14ac:dyDescent="0.2">
      <c r="A220" s="107">
        <f t="shared" si="10"/>
        <v>44312</v>
      </c>
      <c r="B220" s="17">
        <f>SUM(B95:B101)</f>
        <v>12</v>
      </c>
      <c r="C220" s="17">
        <f>SUM(C95:C101)</f>
        <v>331125</v>
      </c>
      <c r="E220" s="17">
        <f t="shared" si="7"/>
        <v>225.86007880044912</v>
      </c>
      <c r="F220" s="17">
        <f t="shared" si="8"/>
        <v>-213.86007880044912</v>
      </c>
      <c r="G220" s="17">
        <f t="shared" si="9"/>
        <v>45736.133304534305</v>
      </c>
    </row>
    <row r="221" spans="1:25" ht="18" customHeight="1" x14ac:dyDescent="0.2">
      <c r="A221" s="107">
        <f t="shared" si="10"/>
        <v>44319</v>
      </c>
      <c r="B221" s="17">
        <f>SUM(B102:B108)</f>
        <v>15</v>
      </c>
      <c r="C221" s="17">
        <f>SUM(C102:C108)</f>
        <v>297696</v>
      </c>
      <c r="E221" s="17">
        <f t="shared" si="7"/>
        <v>245.80195966337786</v>
      </c>
      <c r="F221" s="17">
        <f t="shared" si="8"/>
        <v>-230.80195966337786</v>
      </c>
      <c r="G221" s="17">
        <f t="shared" si="9"/>
        <v>53269.5445844555</v>
      </c>
    </row>
    <row r="222" spans="1:25" ht="18" customHeight="1" x14ac:dyDescent="0.2">
      <c r="A222" s="107">
        <f t="shared" si="10"/>
        <v>44326</v>
      </c>
      <c r="B222" s="17">
        <f>SUM(B109:B115)</f>
        <v>15</v>
      </c>
      <c r="C222" s="17">
        <f>SUM(C109:C115)</f>
        <v>258409</v>
      </c>
      <c r="E222" s="17">
        <f t="shared" si="7"/>
        <v>269.23839729124234</v>
      </c>
      <c r="F222" s="17">
        <f t="shared" si="8"/>
        <v>-254.23839729124234</v>
      </c>
      <c r="G222" s="17">
        <f t="shared" si="9"/>
        <v>64637.162657219582</v>
      </c>
    </row>
    <row r="223" spans="1:25" ht="18" customHeight="1" x14ac:dyDescent="0.2">
      <c r="A223" s="108">
        <f t="shared" si="10"/>
        <v>44333</v>
      </c>
      <c r="B223" s="81">
        <f>SUM(B116:B122)</f>
        <v>10</v>
      </c>
      <c r="C223" s="81">
        <f>SUM(C116:C122)</f>
        <v>268829</v>
      </c>
      <c r="E223" s="17">
        <f t="shared" si="7"/>
        <v>263.02240523070452</v>
      </c>
      <c r="F223" s="17">
        <f t="shared" si="8"/>
        <v>-253.02240523070452</v>
      </c>
      <c r="G223" s="81">
        <f t="shared" si="9"/>
        <v>64020.337548730851</v>
      </c>
    </row>
    <row r="224" spans="1:25" ht="18" customHeight="1" x14ac:dyDescent="0.2">
      <c r="A224" s="107">
        <f t="shared" si="10"/>
        <v>44340</v>
      </c>
      <c r="B224" s="17">
        <f>SUM(B123:B129)</f>
        <v>6</v>
      </c>
      <c r="C224" s="17">
        <f>SUM(C123:C129)</f>
        <v>313589</v>
      </c>
      <c r="D224" s="31"/>
      <c r="E224" s="17">
        <f t="shared" si="7"/>
        <v>236.32108041019868</v>
      </c>
      <c r="F224" s="17">
        <f t="shared" si="8"/>
        <v>-230.32108041019868</v>
      </c>
      <c r="G224" s="17">
        <f t="shared" si="9"/>
        <v>53047.800081321206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261964.0588235294</v>
      </c>
      <c r="Q228" s="130"/>
    </row>
    <row r="229" spans="1:25" ht="18" customHeight="1" x14ac:dyDescent="0.2">
      <c r="A229" s="1"/>
      <c r="O229" s="14"/>
      <c r="P229" s="130">
        <f>AVERAGE(B208:B224)</f>
        <v>267.11764705882354</v>
      </c>
      <c r="Q229" s="130"/>
    </row>
    <row r="230" spans="1:25" ht="18" customHeight="1" x14ac:dyDescent="0.2">
      <c r="A230" s="1"/>
      <c r="O230" s="14"/>
      <c r="P230" s="130">
        <f>SUMPRODUCT(POWER(C208:C224-P228,2))</f>
        <v>128142551236.94116</v>
      </c>
      <c r="Q230" s="130"/>
    </row>
    <row r="231" spans="1:25" ht="18" customHeight="1" x14ac:dyDescent="0.2">
      <c r="A231" s="1"/>
      <c r="O231" s="14"/>
      <c r="P231" s="130">
        <f>SUMPRODUCT(POWER(B208:B224-P229,2))</f>
        <v>3572855.7647058833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-76442714.117647052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423.39082458217399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-5.9654434362166819E-4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1.2763310841831448E-2</v>
      </c>
      <c r="Q244" s="120"/>
    </row>
    <row r="245" spans="1:25" ht="18" customHeight="1" x14ac:dyDescent="0.2">
      <c r="A245" s="1"/>
      <c r="O245" s="32"/>
      <c r="P245" s="122">
        <f>P232 / (SQRT(P230) * SQRT(P231))</f>
        <v>-0.11297482392918985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484.92296955206615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0.77094827119238174</v>
      </c>
      <c r="Q266" s="127"/>
      <c r="T266" s="16"/>
      <c r="U266" s="127">
        <f xml:space="preserve"> SQRT( 1/P230 )</f>
        <v>2.7935298534182896E-6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655.37879589309205</v>
      </c>
      <c r="Q269" s="119"/>
      <c r="T269" s="19" t="s">
        <v>36</v>
      </c>
      <c r="U269" s="119">
        <f>P258*P260*U266</f>
        <v>2.3747640406444645E-3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-231.988</v>
      </c>
      <c r="Q271" s="120"/>
      <c r="T271" s="16" t="s">
        <v>37</v>
      </c>
      <c r="U271" s="120">
        <f>ROUND(P235-U269,4)</f>
        <v>-3.0000000000000001E-3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1078.7696000000001</v>
      </c>
      <c r="Q272" s="122"/>
      <c r="T272" s="13" t="s">
        <v>38</v>
      </c>
      <c r="U272" s="122">
        <f>ROUND(P235+U269,4)</f>
        <v>1.8E-3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484.92296955206615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0.77094827119238174</v>
      </c>
      <c r="Q290" s="127"/>
      <c r="T290" s="16"/>
      <c r="U290" s="127">
        <f xml:space="preserve"> SQRT( 1/P230 )</f>
        <v>2.7935298534182896E-6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796.84353169876374</v>
      </c>
      <c r="Q293" s="119"/>
      <c r="T293" s="19" t="s">
        <v>36</v>
      </c>
      <c r="U293" s="119">
        <f>P282*P284*U290</f>
        <v>2.8873612893131244E-3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-373.45269999999999</v>
      </c>
      <c r="Q295" s="120"/>
      <c r="T295" s="16" t="s">
        <v>37</v>
      </c>
      <c r="U295" s="120">
        <f>ROUND(P235-U293,4)</f>
        <v>-3.5000000000000001E-3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1220.2344000000001</v>
      </c>
      <c r="Q296" s="122"/>
      <c r="T296" s="13" t="s">
        <v>38</v>
      </c>
      <c r="U296" s="122">
        <f>ROUND(P235+U293,4)</f>
        <v>2.3E-3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1.1325000000000001</v>
      </c>
      <c r="T319" s="21" t="s">
        <v>49</v>
      </c>
      <c r="U319">
        <f>ROUND( (P235-0) / (P284 / SQRT(P230)),4)</f>
        <v>-0.44040000000000001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-1051.4705882352928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116953.30608821282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3527254.2959879111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116953.30608821282</v>
      </c>
      <c r="P371" s="117"/>
      <c r="Q371" s="117">
        <f>O371/N371</f>
        <v>116953.30608821282</v>
      </c>
      <c r="R371" s="117"/>
      <c r="S371" s="77">
        <f>Q371/Q372</f>
        <v>0.49735557578556983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3527254.2959879111</v>
      </c>
      <c r="P372" s="117"/>
      <c r="Q372" s="117">
        <f>O372/N372</f>
        <v>235150.28639919407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-1051.4705882352928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8DA-2599-44F4-BED7-2E883585DC7B}">
  <dimension ref="A3:AD444"/>
  <sheetViews>
    <sheetView topLeftCell="F269" zoomScale="110" zoomScaleNormal="110" workbookViewId="0">
      <selection activeCell="P348" sqref="P34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83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0.2036</v>
      </c>
      <c r="E11" s="17">
        <f>$P$40 + $P$41*C11</f>
        <v>276.48671424343269</v>
      </c>
      <c r="F11" s="17">
        <f>B11-E11</f>
        <v>-1.4867142434326865</v>
      </c>
      <c r="G11" s="17">
        <f>POWER(F11,2)</f>
        <v>2.2103192416256254</v>
      </c>
    </row>
    <row r="12" spans="1:30" ht="18" customHeight="1" x14ac:dyDescent="0.2">
      <c r="A12" s="4">
        <v>44229</v>
      </c>
      <c r="B12" s="5">
        <v>260</v>
      </c>
      <c r="C12" s="5">
        <v>0.19889999999999999</v>
      </c>
      <c r="E12" s="17">
        <f t="shared" ref="E12:E75" si="0">$P$40 + $P$41*C12</f>
        <v>269.80383987860347</v>
      </c>
      <c r="F12" s="17">
        <f t="shared" ref="F12:F75" si="1">B12-E12</f>
        <v>-9.8038398786034691</v>
      </c>
      <c r="G12" s="17">
        <f t="shared" ref="G12:G75" si="2">POWER(F12,2)</f>
        <v>96.115276365295685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0.19259999999999999</v>
      </c>
      <c r="E13" s="17">
        <f t="shared" si="0"/>
        <v>260.84594445340679</v>
      </c>
      <c r="F13" s="17">
        <f t="shared" si="1"/>
        <v>-20.845944453406787</v>
      </c>
      <c r="G13" s="17">
        <f t="shared" si="2"/>
        <v>434.55340015452117</v>
      </c>
    </row>
    <row r="14" spans="1:30" ht="18" customHeight="1" x14ac:dyDescent="0.2">
      <c r="A14" s="4">
        <v>44231</v>
      </c>
      <c r="B14" s="5">
        <v>225</v>
      </c>
      <c r="C14" s="5">
        <v>0.17910000000000001</v>
      </c>
      <c r="E14" s="17">
        <f t="shared" si="0"/>
        <v>241.65045425655688</v>
      </c>
      <c r="F14" s="17">
        <f t="shared" si="1"/>
        <v>-16.650454256556884</v>
      </c>
      <c r="G14" s="17">
        <f t="shared" si="2"/>
        <v>277.23762694969327</v>
      </c>
    </row>
    <row r="15" spans="1:30" ht="18" customHeight="1" x14ac:dyDescent="0.2">
      <c r="A15" s="4">
        <v>44232</v>
      </c>
      <c r="B15" s="5">
        <v>258</v>
      </c>
      <c r="C15" s="5">
        <v>0.17030000000000001</v>
      </c>
      <c r="E15" s="17">
        <f t="shared" si="0"/>
        <v>229.1378384245362</v>
      </c>
      <c r="F15" s="17">
        <f t="shared" si="1"/>
        <v>28.862161575463801</v>
      </c>
      <c r="G15" s="17">
        <f t="shared" si="2"/>
        <v>833.02437080817913</v>
      </c>
    </row>
    <row r="16" spans="1:30" ht="18" customHeight="1" x14ac:dyDescent="0.2">
      <c r="A16" s="4">
        <v>44233</v>
      </c>
      <c r="B16" s="5">
        <v>214</v>
      </c>
      <c r="C16" s="5">
        <v>0.16170000000000001</v>
      </c>
      <c r="E16" s="17">
        <f t="shared" si="0"/>
        <v>216.90960022506141</v>
      </c>
      <c r="F16" s="17">
        <f t="shared" si="1"/>
        <v>-2.9096002250614106</v>
      </c>
      <c r="G16" s="17">
        <f t="shared" si="2"/>
        <v>8.4657734696774103</v>
      </c>
    </row>
    <row r="17" spans="1:24" ht="18" customHeight="1" x14ac:dyDescent="0.2">
      <c r="A17" s="4">
        <v>44234</v>
      </c>
      <c r="B17" s="5">
        <v>204</v>
      </c>
      <c r="C17" s="5">
        <v>0.14760000000000001</v>
      </c>
      <c r="E17" s="17">
        <f t="shared" si="0"/>
        <v>196.8609771305737</v>
      </c>
      <c r="F17" s="17">
        <f t="shared" si="1"/>
        <v>7.1390228694262987</v>
      </c>
      <c r="G17" s="17">
        <f t="shared" si="2"/>
        <v>50.965647530191703</v>
      </c>
    </row>
    <row r="18" spans="1:24" ht="18" customHeight="1" x14ac:dyDescent="0.2">
      <c r="A18" s="4">
        <v>44235</v>
      </c>
      <c r="B18" s="5">
        <v>196</v>
      </c>
      <c r="C18" s="5">
        <v>0.1426</v>
      </c>
      <c r="E18" s="17">
        <f t="shared" si="0"/>
        <v>189.75153631692558</v>
      </c>
      <c r="F18" s="17">
        <f t="shared" si="1"/>
        <v>6.2484636830744194</v>
      </c>
      <c r="G18" s="17">
        <f t="shared" si="2"/>
        <v>39.043298398699939</v>
      </c>
    </row>
    <row r="19" spans="1:24" ht="18" customHeight="1" x14ac:dyDescent="0.2">
      <c r="A19" s="4">
        <v>44236</v>
      </c>
      <c r="B19" s="5">
        <v>203</v>
      </c>
      <c r="C19" s="5">
        <v>0.14180000000000001</v>
      </c>
      <c r="E19" s="17">
        <f t="shared" si="0"/>
        <v>188.61402578674188</v>
      </c>
      <c r="F19" s="17">
        <f t="shared" si="1"/>
        <v>14.385974213258123</v>
      </c>
      <c r="G19" s="17">
        <f t="shared" si="2"/>
        <v>206.95625406452768</v>
      </c>
    </row>
    <row r="20" spans="1:24" ht="18" customHeight="1" x14ac:dyDescent="0.2">
      <c r="A20" s="4">
        <v>44237</v>
      </c>
      <c r="B20" s="5">
        <v>161</v>
      </c>
      <c r="C20" s="5">
        <v>0.13220000000000001</v>
      </c>
      <c r="E20" s="17">
        <f t="shared" si="0"/>
        <v>174.96389942453749</v>
      </c>
      <c r="F20" s="17">
        <f t="shared" si="1"/>
        <v>-13.963899424537487</v>
      </c>
      <c r="G20" s="17">
        <f t="shared" si="2"/>
        <v>194.99048713859838</v>
      </c>
    </row>
    <row r="21" spans="1:24" ht="18" customHeight="1" x14ac:dyDescent="0.2">
      <c r="A21" s="4">
        <v>44238</v>
      </c>
      <c r="B21" s="5">
        <v>167</v>
      </c>
      <c r="C21" s="5">
        <v>0.1211</v>
      </c>
      <c r="E21" s="17">
        <f t="shared" si="0"/>
        <v>159.18094081823858</v>
      </c>
      <c r="F21" s="17">
        <f t="shared" si="1"/>
        <v>7.8190591817614177</v>
      </c>
      <c r="G21" s="17">
        <f t="shared" si="2"/>
        <v>61.137686487887528</v>
      </c>
    </row>
    <row r="22" spans="1:24" ht="18" customHeight="1" x14ac:dyDescent="0.2">
      <c r="A22" s="4">
        <v>44239</v>
      </c>
      <c r="B22" s="5">
        <v>149</v>
      </c>
      <c r="C22" s="5">
        <v>0.10929999999999999</v>
      </c>
      <c r="E22" s="17">
        <f t="shared" si="0"/>
        <v>142.40266049802898</v>
      </c>
      <c r="F22" s="17">
        <f t="shared" si="1"/>
        <v>6.597339501971021</v>
      </c>
      <c r="G22" s="17">
        <f t="shared" si="2"/>
        <v>43.524888504267238</v>
      </c>
    </row>
    <row r="23" spans="1:24" ht="18" customHeight="1" x14ac:dyDescent="0.2">
      <c r="A23" s="4">
        <v>44240</v>
      </c>
      <c r="B23" s="5">
        <v>149</v>
      </c>
      <c r="C23" s="5">
        <v>9.9000000000000005E-2</v>
      </c>
      <c r="E23" s="17">
        <f t="shared" si="0"/>
        <v>127.75721242191388</v>
      </c>
      <c r="F23" s="17">
        <f t="shared" si="1"/>
        <v>21.242787578086123</v>
      </c>
      <c r="G23" s="17">
        <f t="shared" si="2"/>
        <v>451.25602408769009</v>
      </c>
    </row>
    <row r="24" spans="1:24" ht="18" customHeight="1" x14ac:dyDescent="0.2">
      <c r="A24" s="4">
        <v>44241</v>
      </c>
      <c r="B24" s="5">
        <v>138</v>
      </c>
      <c r="C24" s="5">
        <v>9.2100000000000001E-2</v>
      </c>
      <c r="E24" s="17">
        <f t="shared" si="0"/>
        <v>117.94618409907945</v>
      </c>
      <c r="F24" s="17">
        <f t="shared" si="1"/>
        <v>20.053815900920554</v>
      </c>
      <c r="G24" s="17">
        <f t="shared" si="2"/>
        <v>402.15553218801409</v>
      </c>
    </row>
    <row r="25" spans="1:24" ht="18" customHeight="1" x14ac:dyDescent="0.2">
      <c r="A25" s="4">
        <v>44242</v>
      </c>
      <c r="B25" s="5">
        <v>90</v>
      </c>
      <c r="C25" s="5">
        <v>8.7300000000000003E-2</v>
      </c>
      <c r="E25" s="17">
        <f t="shared" si="0"/>
        <v>111.12112091797725</v>
      </c>
      <c r="F25" s="17">
        <f t="shared" si="1"/>
        <v>-21.121120917977251</v>
      </c>
      <c r="G25" s="17">
        <f t="shared" si="2"/>
        <v>446.10174883181617</v>
      </c>
    </row>
    <row r="26" spans="1:24" ht="18" customHeight="1" x14ac:dyDescent="0.2">
      <c r="A26" s="4">
        <v>44243</v>
      </c>
      <c r="B26" s="5">
        <v>111</v>
      </c>
      <c r="C26" s="5">
        <v>8.5000000000000006E-2</v>
      </c>
      <c r="E26" s="17">
        <f t="shared" si="0"/>
        <v>107.85077814369912</v>
      </c>
      <c r="F26" s="17">
        <f t="shared" si="1"/>
        <v>3.1492218563008834</v>
      </c>
      <c r="G26" s="17">
        <f t="shared" si="2"/>
        <v>9.9175983002031813</v>
      </c>
    </row>
    <row r="27" spans="1:24" ht="18" customHeight="1" x14ac:dyDescent="0.2">
      <c r="A27" s="4">
        <v>44244</v>
      </c>
      <c r="B27" s="5">
        <v>127</v>
      </c>
      <c r="C27" s="5">
        <v>7.6399999999999996E-2</v>
      </c>
      <c r="E27" s="17">
        <f t="shared" si="0"/>
        <v>95.622539944224329</v>
      </c>
      <c r="F27" s="17">
        <f t="shared" si="1"/>
        <v>31.377460055775671</v>
      </c>
      <c r="G27" s="17">
        <f t="shared" si="2"/>
        <v>984.54499955179779</v>
      </c>
    </row>
    <row r="28" spans="1:24" ht="18" customHeight="1" x14ac:dyDescent="0.2">
      <c r="A28" s="4">
        <v>44245</v>
      </c>
      <c r="B28" s="5">
        <v>105</v>
      </c>
      <c r="C28" s="5">
        <v>7.0199999999999999E-2</v>
      </c>
      <c r="E28" s="17">
        <f t="shared" si="0"/>
        <v>86.806833335300652</v>
      </c>
      <c r="F28" s="17">
        <f t="shared" si="1"/>
        <v>18.193166664699348</v>
      </c>
      <c r="G28" s="17">
        <f t="shared" si="2"/>
        <v>330.99131328952757</v>
      </c>
    </row>
    <row r="29" spans="1:24" ht="18" customHeight="1" x14ac:dyDescent="0.2">
      <c r="A29" s="4">
        <v>44246</v>
      </c>
      <c r="B29" s="5">
        <v>67</v>
      </c>
      <c r="C29" s="5">
        <v>6.7400000000000002E-2</v>
      </c>
      <c r="E29" s="17">
        <f t="shared" si="0"/>
        <v>82.825546479657703</v>
      </c>
      <c r="F29" s="17">
        <f t="shared" si="1"/>
        <v>-15.825546479657703</v>
      </c>
      <c r="G29" s="17">
        <f t="shared" si="2"/>
        <v>250.4479213798063</v>
      </c>
    </row>
    <row r="30" spans="1:24" ht="18" customHeight="1" x14ac:dyDescent="0.2">
      <c r="A30" s="4">
        <v>44247</v>
      </c>
      <c r="B30" s="5">
        <v>76</v>
      </c>
      <c r="C30" s="5">
        <v>6.0900000000000003E-2</v>
      </c>
      <c r="E30" s="17">
        <f t="shared" si="0"/>
        <v>73.583273421915138</v>
      </c>
      <c r="F30" s="17">
        <f t="shared" si="1"/>
        <v>2.4167265780848624</v>
      </c>
      <c r="G30" s="17">
        <f t="shared" si="2"/>
        <v>5.8405673532217683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5.8799999999999998E-2</v>
      </c>
      <c r="E31" s="17">
        <f t="shared" si="0"/>
        <v>70.597308280182915</v>
      </c>
      <c r="F31" s="17">
        <f t="shared" si="1"/>
        <v>-5.597308280182915</v>
      </c>
      <c r="G31" s="17">
        <f t="shared" si="2"/>
        <v>31.329859983404223</v>
      </c>
    </row>
    <row r="32" spans="1:24" ht="18" customHeight="1" x14ac:dyDescent="0.2">
      <c r="A32" s="4">
        <v>44249</v>
      </c>
      <c r="B32" s="5">
        <v>61</v>
      </c>
      <c r="C32" s="5">
        <v>5.5500000000000001E-2</v>
      </c>
      <c r="E32" s="17">
        <f t="shared" si="0"/>
        <v>65.905077343175151</v>
      </c>
      <c r="F32" s="17">
        <f t="shared" si="1"/>
        <v>-4.9050773431751509</v>
      </c>
      <c r="G32" s="17">
        <f t="shared" si="2"/>
        <v>24.059783742530197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17">
        <f t="shared" si="0"/>
        <v>62.776923385169979</v>
      </c>
      <c r="F33" s="17">
        <f t="shared" si="1"/>
        <v>0.2230766148300205</v>
      </c>
      <c r="G33" s="17">
        <f t="shared" si="2"/>
        <v>4.9763176084021324E-2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17">
        <f t="shared" si="0"/>
        <v>57.800314815616275</v>
      </c>
      <c r="F34" s="17">
        <f t="shared" si="1"/>
        <v>-7.8003148156162752</v>
      </c>
      <c r="G34" s="17">
        <f t="shared" si="2"/>
        <v>60.844911222722764</v>
      </c>
      <c r="O34" s="14"/>
      <c r="P34" s="130">
        <f>AVERAGE(C11:C130)</f>
        <v>3.5775000000000036E-2</v>
      </c>
      <c r="Q34" s="130"/>
    </row>
    <row r="35" spans="1:24" ht="18" customHeight="1" x14ac:dyDescent="0.2">
      <c r="A35" s="4">
        <v>44252</v>
      </c>
      <c r="B35" s="5">
        <v>49</v>
      </c>
      <c r="C35" s="5">
        <v>4.65E-2</v>
      </c>
      <c r="E35" s="17">
        <f t="shared" si="0"/>
        <v>53.108083878608525</v>
      </c>
      <c r="F35" s="17">
        <f t="shared" si="1"/>
        <v>-4.1080838786085252</v>
      </c>
      <c r="G35" s="17">
        <f t="shared" si="2"/>
        <v>16.876353153683265</v>
      </c>
      <c r="O35" s="14"/>
      <c r="P35" s="130">
        <f>AVERAGE(B11:B130)</f>
        <v>37.858333333333334</v>
      </c>
      <c r="Q35" s="130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17">
        <f t="shared" si="0"/>
        <v>46.709587146325205</v>
      </c>
      <c r="F36" s="17">
        <f t="shared" si="1"/>
        <v>11.290412853674795</v>
      </c>
      <c r="G36" s="17">
        <f t="shared" si="2"/>
        <v>127.47342240642502</v>
      </c>
      <c r="O36" s="14"/>
      <c r="P36" s="130">
        <f>SUMPRODUCT(POWER(C11:C130-P34,2))</f>
        <v>0.25541458500000003</v>
      </c>
      <c r="Q36" s="130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17">
        <f t="shared" si="0"/>
        <v>43.439244372047064</v>
      </c>
      <c r="F37" s="17">
        <f t="shared" si="1"/>
        <v>-10.439244372047064</v>
      </c>
      <c r="G37" s="17">
        <f t="shared" si="2"/>
        <v>108.97782305931629</v>
      </c>
      <c r="O37" s="14"/>
      <c r="P37" s="130">
        <f>SUMPRODUCT(POWER(B11:B130-P35,2))</f>
        <v>524434.59166666621</v>
      </c>
      <c r="Q37" s="130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17">
        <f t="shared" si="0"/>
        <v>39.74233514895004</v>
      </c>
      <c r="F38" s="17">
        <f t="shared" si="1"/>
        <v>1.2576648510499595</v>
      </c>
      <c r="G38" s="17">
        <f t="shared" si="2"/>
        <v>1.5817208775665168</v>
      </c>
      <c r="O38" s="14"/>
      <c r="P38" s="130">
        <f xml:space="preserve"> SUMPRODUCT( (B11:B130-P35) * (C11:C130-P34))</f>
        <v>363.17097499999988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17">
        <f t="shared" si="0"/>
        <v>39.884523965222996</v>
      </c>
      <c r="F39" s="17">
        <f t="shared" si="1"/>
        <v>-5.8845239652229964</v>
      </c>
      <c r="G39" s="17">
        <f t="shared" si="2"/>
        <v>34.627622297283779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17">
        <f t="shared" si="0"/>
        <v>37.751691721128566</v>
      </c>
      <c r="F40" s="17">
        <f t="shared" si="1"/>
        <v>0.24830827887143414</v>
      </c>
      <c r="G40" s="17">
        <f t="shared" si="2"/>
        <v>6.1657001356093907E-2</v>
      </c>
      <c r="O40" s="16"/>
      <c r="P40" s="120">
        <f>P35 - P34*P41</f>
        <v>-13.009715688319076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17">
        <f t="shared" si="0"/>
        <v>34.339160130577461</v>
      </c>
      <c r="F41" s="17">
        <f t="shared" si="1"/>
        <v>6.6608398694225386</v>
      </c>
      <c r="G41" s="17">
        <f t="shared" si="2"/>
        <v>44.366787766088862</v>
      </c>
      <c r="O41" s="13"/>
      <c r="P41" s="122">
        <f>P38/P36</f>
        <v>1421.8881627296257</v>
      </c>
      <c r="Q41" s="122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17">
        <f t="shared" si="0"/>
        <v>32.49070551902895</v>
      </c>
      <c r="F42" s="17">
        <f t="shared" si="1"/>
        <v>-4.4907055190289498</v>
      </c>
      <c r="G42" s="17">
        <f t="shared" si="2"/>
        <v>20.166436058637068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17">
        <f t="shared" si="0"/>
        <v>32.917271967847839</v>
      </c>
      <c r="F43" s="17">
        <f t="shared" si="1"/>
        <v>-4.9172719678478387</v>
      </c>
      <c r="G43" s="17">
        <f t="shared" si="2"/>
        <v>24.179563605782157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17">
        <f t="shared" si="0"/>
        <v>32.49070551902895</v>
      </c>
      <c r="F44" s="17">
        <f t="shared" si="1"/>
        <v>-6.4907055190289498</v>
      </c>
      <c r="G44" s="17">
        <f t="shared" si="2"/>
        <v>42.129258134752867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17">
        <f t="shared" si="0"/>
        <v>32.775083151574869</v>
      </c>
      <c r="F45" s="17">
        <f t="shared" si="1"/>
        <v>-4.7750831515748686</v>
      </c>
      <c r="G45" s="17">
        <f t="shared" si="2"/>
        <v>22.80141910445418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17">
        <f t="shared" si="0"/>
        <v>32.917271967847839</v>
      </c>
      <c r="F46" s="17">
        <f t="shared" si="1"/>
        <v>-7.9172719678478387</v>
      </c>
      <c r="G46" s="17">
        <f t="shared" si="2"/>
        <v>62.683195412869189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17">
        <f t="shared" si="0"/>
        <v>35.761048293307084</v>
      </c>
      <c r="F47" s="17">
        <f t="shared" si="1"/>
        <v>-5.7610482933070841</v>
      </c>
      <c r="G47" s="17">
        <f t="shared" si="2"/>
        <v>33.189677437816464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17">
        <f t="shared" si="0"/>
        <v>33.628216049212654</v>
      </c>
      <c r="F48" s="17">
        <f t="shared" si="1"/>
        <v>-11.628216049212654</v>
      </c>
      <c r="G48" s="17">
        <f t="shared" si="2"/>
        <v>135.21540848716674</v>
      </c>
    </row>
    <row r="49" spans="1:24" ht="18" customHeight="1" x14ac:dyDescent="0.2">
      <c r="A49" s="4">
        <v>44266</v>
      </c>
      <c r="B49" s="5">
        <v>18</v>
      </c>
      <c r="C49" s="5">
        <v>3.2300000000000002E-2</v>
      </c>
      <c r="E49" s="17">
        <f t="shared" si="0"/>
        <v>32.917271967847839</v>
      </c>
      <c r="F49" s="17">
        <f t="shared" si="1"/>
        <v>-14.917271967847839</v>
      </c>
      <c r="G49" s="17">
        <f t="shared" si="2"/>
        <v>222.52500296273894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15</v>
      </c>
      <c r="C50" s="5">
        <v>3.0200000000000001E-2</v>
      </c>
      <c r="E50" s="17">
        <f t="shared" si="0"/>
        <v>29.931306826115623</v>
      </c>
      <c r="F50" s="17">
        <f t="shared" si="1"/>
        <v>-14.931306826115623</v>
      </c>
      <c r="G50" s="17">
        <f t="shared" si="2"/>
        <v>222.94392353560701</v>
      </c>
      <c r="O50" s="15"/>
      <c r="P50" s="120">
        <f>(POWER(P38,2)/(P36*P37))</f>
        <v>0.98465760765013832</v>
      </c>
      <c r="Q50" s="120"/>
    </row>
    <row r="51" spans="1:24" ht="18" customHeight="1" x14ac:dyDescent="0.2">
      <c r="A51" s="4">
        <v>44268</v>
      </c>
      <c r="B51" s="5">
        <v>19</v>
      </c>
      <c r="C51" s="5">
        <v>2.7199999999999998E-2</v>
      </c>
      <c r="E51" s="17">
        <f t="shared" si="0"/>
        <v>25.665642337926741</v>
      </c>
      <c r="F51" s="17">
        <f t="shared" si="1"/>
        <v>-6.6656423379267409</v>
      </c>
      <c r="G51" s="17">
        <f t="shared" si="2"/>
        <v>44.43078777716147</v>
      </c>
      <c r="O51" s="32"/>
      <c r="P51" s="122">
        <f>P38 / (SQRT(P36) * SQRT(P37))</f>
        <v>0.99229915229739973</v>
      </c>
      <c r="Q51" s="122"/>
    </row>
    <row r="52" spans="1:24" ht="18" customHeight="1" x14ac:dyDescent="0.2">
      <c r="A52" s="4">
        <v>44269</v>
      </c>
      <c r="B52" s="5">
        <v>15</v>
      </c>
      <c r="C52" s="5">
        <v>2.6200000000000001E-2</v>
      </c>
      <c r="E52" s="17">
        <f t="shared" si="0"/>
        <v>24.243754175197118</v>
      </c>
      <c r="F52" s="17">
        <f t="shared" si="1"/>
        <v>-9.2437541751971182</v>
      </c>
      <c r="G52" s="17">
        <f t="shared" si="2"/>
        <v>85.446991251474159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2.5399999999999999E-2</v>
      </c>
      <c r="E53" s="17">
        <f t="shared" si="0"/>
        <v>23.106243645013414</v>
      </c>
      <c r="F53" s="17">
        <f t="shared" si="1"/>
        <v>-13.106243645013414</v>
      </c>
      <c r="G53" s="17">
        <f t="shared" si="2"/>
        <v>171.7736224824545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2.0299999999999999E-2</v>
      </c>
      <c r="E54" s="17">
        <f t="shared" si="0"/>
        <v>15.854614015092324</v>
      </c>
      <c r="F54" s="17">
        <f t="shared" si="1"/>
        <v>-2.8546140150923236</v>
      </c>
      <c r="G54" s="17">
        <f t="shared" si="2"/>
        <v>8.1488211751615172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1.83E-2</v>
      </c>
      <c r="E55" s="17">
        <f t="shared" si="0"/>
        <v>13.010837689633075</v>
      </c>
      <c r="F55" s="17">
        <f t="shared" si="1"/>
        <v>1.9891623103669254</v>
      </c>
      <c r="G55" s="17">
        <f t="shared" si="2"/>
        <v>3.9567666969842845</v>
      </c>
    </row>
    <row r="56" spans="1:24" ht="18" customHeight="1" x14ac:dyDescent="0.2">
      <c r="A56" s="4">
        <v>44273</v>
      </c>
      <c r="B56" s="5">
        <v>21</v>
      </c>
      <c r="C56" s="5">
        <v>1.5299999999999999E-2</v>
      </c>
      <c r="E56" s="17">
        <f t="shared" si="0"/>
        <v>8.7451732014441959</v>
      </c>
      <c r="F56" s="17">
        <f t="shared" si="1"/>
        <v>12.254826798555804</v>
      </c>
      <c r="G56" s="17">
        <f t="shared" si="2"/>
        <v>150.1807798626015</v>
      </c>
    </row>
    <row r="57" spans="1:24" ht="18" customHeight="1" x14ac:dyDescent="0.2">
      <c r="A57" s="4">
        <v>44274</v>
      </c>
      <c r="B57" s="5">
        <v>11</v>
      </c>
      <c r="C57" s="5">
        <v>1.37E-2</v>
      </c>
      <c r="E57" s="17">
        <f t="shared" si="0"/>
        <v>6.4701521410767953</v>
      </c>
      <c r="F57" s="17">
        <f t="shared" si="1"/>
        <v>4.5298478589232047</v>
      </c>
      <c r="G57" s="17">
        <f t="shared" si="2"/>
        <v>20.519521624991143</v>
      </c>
    </row>
    <row r="58" spans="1:24" ht="18" customHeight="1" x14ac:dyDescent="0.2">
      <c r="A58" s="4">
        <v>44275</v>
      </c>
      <c r="B58" s="5">
        <v>8</v>
      </c>
      <c r="C58" s="5">
        <v>1.2699999999999999E-2</v>
      </c>
      <c r="E58" s="17">
        <f t="shared" si="0"/>
        <v>5.048263978347169</v>
      </c>
      <c r="F58" s="17">
        <f t="shared" si="1"/>
        <v>2.951736021652831</v>
      </c>
      <c r="G58" s="17">
        <f t="shared" si="2"/>
        <v>8.7127455415228816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1.23E-2</v>
      </c>
      <c r="E59" s="17">
        <f t="shared" si="0"/>
        <v>4.4795087132553206</v>
      </c>
      <c r="F59" s="17">
        <f t="shared" si="1"/>
        <v>1.5204912867446794</v>
      </c>
      <c r="G59" s="17">
        <f t="shared" si="2"/>
        <v>2.3118937530664909</v>
      </c>
    </row>
    <row r="60" spans="1:24" ht="18" customHeight="1" x14ac:dyDescent="0.2">
      <c r="A60" s="4">
        <v>44277</v>
      </c>
      <c r="B60" s="5">
        <v>16</v>
      </c>
      <c r="C60" s="5">
        <v>1.21E-2</v>
      </c>
      <c r="E60" s="17">
        <f t="shared" si="0"/>
        <v>4.1951310807093947</v>
      </c>
      <c r="F60" s="17">
        <f t="shared" si="1"/>
        <v>11.804868919290605</v>
      </c>
      <c r="G60" s="17">
        <f t="shared" si="2"/>
        <v>139.35493020163335</v>
      </c>
    </row>
    <row r="61" spans="1:24" ht="18" customHeight="1" x14ac:dyDescent="0.2">
      <c r="A61" s="4">
        <v>44278</v>
      </c>
      <c r="B61" s="5">
        <v>10</v>
      </c>
      <c r="C61" s="5">
        <v>1.2800000000000001E-2</v>
      </c>
      <c r="E61" s="17">
        <f t="shared" si="0"/>
        <v>5.1904527946201355</v>
      </c>
      <c r="F61" s="17">
        <f t="shared" si="1"/>
        <v>4.8095472053798645</v>
      </c>
      <c r="G61" s="17">
        <f t="shared" si="2"/>
        <v>23.131744320777266</v>
      </c>
    </row>
    <row r="62" spans="1:24" ht="18" customHeight="1" x14ac:dyDescent="0.2">
      <c r="A62" s="4">
        <v>44279</v>
      </c>
      <c r="B62" s="5">
        <v>11</v>
      </c>
      <c r="C62" s="5">
        <v>1.34E-2</v>
      </c>
      <c r="E62" s="17">
        <f t="shared" si="0"/>
        <v>6.0435856922579099</v>
      </c>
      <c r="F62" s="17">
        <f t="shared" si="1"/>
        <v>4.9564143077420901</v>
      </c>
      <c r="G62" s="17">
        <f t="shared" si="2"/>
        <v>24.566042789990501</v>
      </c>
    </row>
    <row r="63" spans="1:24" ht="18" customHeight="1" x14ac:dyDescent="0.2">
      <c r="A63" s="4">
        <v>44280</v>
      </c>
      <c r="B63" s="5">
        <v>9</v>
      </c>
      <c r="C63" s="5">
        <v>1.46E-2</v>
      </c>
      <c r="E63" s="17">
        <f t="shared" si="0"/>
        <v>7.7498514875334585</v>
      </c>
      <c r="F63" s="17">
        <f t="shared" si="1"/>
        <v>1.2501485124665415</v>
      </c>
      <c r="G63" s="17">
        <f t="shared" si="2"/>
        <v>1.5628713032223063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1.6E-2</v>
      </c>
      <c r="E64" s="17">
        <f t="shared" si="0"/>
        <v>9.7404949153549367</v>
      </c>
      <c r="F64" s="17">
        <f t="shared" si="1"/>
        <v>-4.7404949153549367</v>
      </c>
      <c r="G64" s="17">
        <f t="shared" si="2"/>
        <v>22.472292042506009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17">
        <f t="shared" si="0"/>
        <v>10.309250180446789</v>
      </c>
      <c r="F65" s="17">
        <f t="shared" si="1"/>
        <v>-2.3092501804467886</v>
      </c>
      <c r="G65" s="17">
        <f t="shared" si="2"/>
        <v>5.3326363958935259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17">
        <f t="shared" si="0"/>
        <v>9.5983060990819737</v>
      </c>
      <c r="F66" s="17">
        <f t="shared" si="1"/>
        <v>0.40169390091802626</v>
      </c>
      <c r="G66" s="17">
        <f t="shared" si="2"/>
        <v>0.16135799003474111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17">
        <f t="shared" si="0"/>
        <v>10.024872547900859</v>
      </c>
      <c r="F67" s="17">
        <f t="shared" si="1"/>
        <v>-4.0248725479008591</v>
      </c>
      <c r="G67" s="17">
        <f t="shared" si="2"/>
        <v>16.199599026845952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17">
        <f t="shared" si="0"/>
        <v>9.8826837316278962</v>
      </c>
      <c r="F68" s="17">
        <f t="shared" si="1"/>
        <v>-7.8826837316278962</v>
      </c>
      <c r="G68" s="17">
        <f t="shared" si="2"/>
        <v>62.136702812871093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17">
        <f t="shared" si="0"/>
        <v>10.309250180446789</v>
      </c>
      <c r="F69" s="17">
        <f t="shared" si="1"/>
        <v>-7.3092501804467886</v>
      </c>
      <c r="G69" s="17">
        <f t="shared" si="2"/>
        <v>53.42513820036141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11</v>
      </c>
      <c r="C70" s="5">
        <v>1.72E-2</v>
      </c>
      <c r="E70" s="17">
        <f t="shared" si="0"/>
        <v>11.446760710630485</v>
      </c>
      <c r="F70" s="17">
        <f t="shared" si="1"/>
        <v>-0.44676071063048539</v>
      </c>
      <c r="G70" s="17">
        <f t="shared" si="2"/>
        <v>0.1995951325630563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17">
        <f t="shared" si="0"/>
        <v>14.290537036089734</v>
      </c>
      <c r="F71" s="17">
        <f t="shared" si="1"/>
        <v>-5.2905370360897344</v>
      </c>
      <c r="G71" s="17">
        <f t="shared" si="2"/>
        <v>27.989782130237153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17">
        <f t="shared" si="0"/>
        <v>13.579592954724927</v>
      </c>
      <c r="F72" s="17">
        <f t="shared" si="1"/>
        <v>-6.5795929547249266</v>
      </c>
      <c r="G72" s="17">
        <f t="shared" si="2"/>
        <v>43.291043449865889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17">
        <f t="shared" si="0"/>
        <v>11.873327159449378</v>
      </c>
      <c r="F73" s="17">
        <f t="shared" si="1"/>
        <v>-7.8733271594493779</v>
      </c>
      <c r="G73" s="17">
        <f t="shared" si="2"/>
        <v>61.989280559723213</v>
      </c>
      <c r="O73" s="102" t="s">
        <v>35</v>
      </c>
      <c r="P73" s="119">
        <f xml:space="preserve"> SQRT((1/ (B133-2)) * SUM(G11:G130))</f>
        <v>8.2575498413853055</v>
      </c>
      <c r="Q73" s="119"/>
    </row>
    <row r="74" spans="1:23" ht="18" customHeight="1" x14ac:dyDescent="0.2">
      <c r="A74" s="4">
        <v>44291</v>
      </c>
      <c r="B74" s="5">
        <v>6</v>
      </c>
      <c r="C74" s="5">
        <v>1.41E-2</v>
      </c>
      <c r="E74" s="17">
        <f t="shared" si="0"/>
        <v>7.0389074061686472</v>
      </c>
      <c r="F74" s="17">
        <f t="shared" si="1"/>
        <v>-1.0389074061686472</v>
      </c>
      <c r="G74" s="17">
        <f t="shared" si="2"/>
        <v>1.0793285985920664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17">
        <f t="shared" si="0"/>
        <v>7.0389074061686472</v>
      </c>
      <c r="F75" s="17">
        <f t="shared" si="1"/>
        <v>-5.0389074061686472</v>
      </c>
      <c r="G75" s="17">
        <f t="shared" si="2"/>
        <v>25.390587847941244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17">
        <f t="shared" ref="E76:E130" si="3">$P$40 + $P$41*C76</f>
        <v>4.7638863458012466</v>
      </c>
      <c r="F76" s="17">
        <f t="shared" ref="F76:F130" si="4">B76-E76</f>
        <v>-1.7638863458012466</v>
      </c>
      <c r="G76" s="17">
        <f t="shared" ref="G76:G130" si="5">POWER(F76,2)</f>
        <v>3.1112950409040749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17">
        <f t="shared" si="3"/>
        <v>3.0576205505256944</v>
      </c>
      <c r="F77" s="17">
        <f t="shared" si="4"/>
        <v>5.9423794494743056</v>
      </c>
      <c r="G77" s="17">
        <f t="shared" si="5"/>
        <v>35.311873521534551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17">
        <f t="shared" si="3"/>
        <v>1.4935435715231069</v>
      </c>
      <c r="F78" s="17">
        <f t="shared" si="4"/>
        <v>3.5064564284768931</v>
      </c>
      <c r="G78" s="17">
        <f t="shared" si="5"/>
        <v>12.295236684806929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17">
        <f t="shared" si="3"/>
        <v>2.4888652854338442</v>
      </c>
      <c r="F79" s="17">
        <f t="shared" si="4"/>
        <v>3.5111347145661558</v>
      </c>
      <c r="G79" s="17">
        <f t="shared" si="5"/>
        <v>12.32806698383156</v>
      </c>
      <c r="O79" s="16"/>
      <c r="P79" s="127">
        <f xml:space="preserve"> SQRT( (1/B133) + (POWER(P34,2) / P36))</f>
        <v>0.11551713549623858</v>
      </c>
      <c r="Q79" s="127"/>
      <c r="T79" s="16"/>
      <c r="U79" s="127">
        <f xml:space="preserve"> SQRT( 1/P36 )</f>
        <v>1.9786872410690108</v>
      </c>
      <c r="V79" s="127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17">
        <f t="shared" si="3"/>
        <v>3.9107534481634723</v>
      </c>
      <c r="F80" s="17">
        <f t="shared" si="4"/>
        <v>2.0892465518365277</v>
      </c>
      <c r="G80" s="17">
        <f t="shared" si="5"/>
        <v>4.3649511543608206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17">
        <f t="shared" si="3"/>
        <v>5.4748304271660579</v>
      </c>
      <c r="F81" s="17">
        <f t="shared" si="4"/>
        <v>-3.4748304271660579</v>
      </c>
      <c r="G81" s="17">
        <f t="shared" si="5"/>
        <v>12.074446497559048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17">
        <f t="shared" si="3"/>
        <v>4.6216975295282836</v>
      </c>
      <c r="F82" s="17">
        <f t="shared" si="4"/>
        <v>0.37830247047171639</v>
      </c>
      <c r="G82" s="17">
        <f t="shared" si="5"/>
        <v>0.14311275916500385</v>
      </c>
      <c r="O82" s="19" t="s">
        <v>36</v>
      </c>
      <c r="P82" s="119">
        <f>P71*P73*P79</f>
        <v>1.5814226780980436</v>
      </c>
      <c r="Q82" s="119"/>
      <c r="T82" s="19" t="s">
        <v>36</v>
      </c>
      <c r="U82" s="119">
        <f>P71*P73*U79</f>
        <v>27.08811002322399</v>
      </c>
      <c r="V82" s="119"/>
    </row>
    <row r="83" spans="1:23" ht="18" customHeight="1" x14ac:dyDescent="0.2">
      <c r="A83" s="4">
        <v>44300</v>
      </c>
      <c r="B83" s="5">
        <v>8</v>
      </c>
      <c r="C83" s="5">
        <v>1.34E-2</v>
      </c>
      <c r="E83" s="17">
        <f t="shared" si="3"/>
        <v>6.0435856922579099</v>
      </c>
      <c r="F83" s="17">
        <f t="shared" si="4"/>
        <v>1.9564143077420901</v>
      </c>
      <c r="G83" s="17">
        <f t="shared" si="5"/>
        <v>3.8275569435379619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17">
        <f t="shared" si="3"/>
        <v>6.7545297736227212</v>
      </c>
      <c r="F84" s="17">
        <f t="shared" si="4"/>
        <v>-4.7545297736227212</v>
      </c>
      <c r="G84" s="17">
        <f t="shared" si="5"/>
        <v>22.605553368264925</v>
      </c>
      <c r="O84" s="16" t="s">
        <v>37</v>
      </c>
      <c r="P84" s="120">
        <f>ROUND(P40-P82,4)</f>
        <v>-14.591100000000001</v>
      </c>
      <c r="Q84" s="120"/>
      <c r="T84" s="16" t="s">
        <v>37</v>
      </c>
      <c r="U84" s="120">
        <f>ROUND(P41-U82,4)</f>
        <v>1394.8000999999999</v>
      </c>
      <c r="V84" s="120"/>
    </row>
    <row r="85" spans="1:23" ht="18" customHeight="1" x14ac:dyDescent="0.2">
      <c r="A85" s="4">
        <v>44302</v>
      </c>
      <c r="B85" s="5">
        <v>4</v>
      </c>
      <c r="C85" s="5">
        <v>1.4E-2</v>
      </c>
      <c r="E85" s="17">
        <f t="shared" si="3"/>
        <v>6.8967185898956842</v>
      </c>
      <c r="F85" s="17">
        <f t="shared" si="4"/>
        <v>-2.8967185898956842</v>
      </c>
      <c r="G85" s="17">
        <f t="shared" si="5"/>
        <v>8.3909785890472417</v>
      </c>
      <c r="O85" s="13" t="s">
        <v>38</v>
      </c>
      <c r="P85" s="122">
        <f>ROUND(P40+P82,4)</f>
        <v>-11.4283</v>
      </c>
      <c r="Q85" s="122"/>
      <c r="T85" s="13" t="s">
        <v>38</v>
      </c>
      <c r="U85" s="122">
        <f>ROUND(P41+U82,4)</f>
        <v>1448.9763</v>
      </c>
      <c r="V85" s="122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17">
        <f t="shared" si="3"/>
        <v>7.1810962224416102</v>
      </c>
      <c r="F86" s="17">
        <f t="shared" si="4"/>
        <v>-2.1810962224416102</v>
      </c>
      <c r="G86" s="17">
        <f t="shared" si="5"/>
        <v>4.7571807315490622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17">
        <f t="shared" si="3"/>
        <v>6.3279633248038323</v>
      </c>
      <c r="F87" s="17">
        <f t="shared" si="4"/>
        <v>-3.3279633248038323</v>
      </c>
      <c r="G87" s="17">
        <f t="shared" si="5"/>
        <v>11.075339891239377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17">
        <f t="shared" si="3"/>
        <v>3.4841869993445798</v>
      </c>
      <c r="F88" s="17">
        <f t="shared" si="4"/>
        <v>-2.4841869993445798</v>
      </c>
      <c r="G88" s="17">
        <f t="shared" si="5"/>
        <v>6.1711850477126271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17">
        <f t="shared" si="3"/>
        <v>1.0669771227042197</v>
      </c>
      <c r="F89" s="17">
        <f t="shared" si="4"/>
        <v>3.9330228772957803</v>
      </c>
      <c r="G89" s="17">
        <f t="shared" si="5"/>
        <v>15.468668953331978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17">
        <f t="shared" si="3"/>
        <v>-1.2080439376631826</v>
      </c>
      <c r="F90" s="17">
        <f t="shared" si="4"/>
        <v>2.2080439376631826</v>
      </c>
      <c r="G90" s="17">
        <f t="shared" si="5"/>
        <v>4.8754580306511324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4</v>
      </c>
      <c r="C91" s="5">
        <v>7.6E-3</v>
      </c>
      <c r="E91" s="17">
        <f t="shared" si="3"/>
        <v>-2.2033656515739217</v>
      </c>
      <c r="F91" s="17">
        <f t="shared" si="4"/>
        <v>6.2033656515739217</v>
      </c>
      <c r="G91" s="17">
        <f t="shared" si="5"/>
        <v>38.48174540712715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17">
        <f t="shared" si="3"/>
        <v>-3.198687365484659</v>
      </c>
      <c r="F92" s="17">
        <f t="shared" si="4"/>
        <v>4.198687365484659</v>
      </c>
      <c r="G92" s="17">
        <f t="shared" si="5"/>
        <v>17.628975593080508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2</v>
      </c>
      <c r="C93" s="5">
        <v>6.6E-3</v>
      </c>
      <c r="E93" s="17">
        <f t="shared" si="3"/>
        <v>-3.6252538143035462</v>
      </c>
      <c r="F93" s="17">
        <f t="shared" si="4"/>
        <v>5.6252538143035462</v>
      </c>
      <c r="G93" s="17">
        <f t="shared" si="5"/>
        <v>31.643480475336595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17">
        <f t="shared" si="3"/>
        <v>-3.4830649980305832</v>
      </c>
      <c r="F94" s="17">
        <f t="shared" si="4"/>
        <v>9.4830649980305832</v>
      </c>
      <c r="G94" s="17">
        <f t="shared" si="5"/>
        <v>89.928521756872783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17">
        <f>$P$40 + $P$41*C95</f>
        <v>-3.0564985492116961</v>
      </c>
      <c r="F95" s="17">
        <f t="shared" si="4"/>
        <v>3.0564985492116961</v>
      </c>
      <c r="G95" s="17">
        <f t="shared" si="5"/>
        <v>9.3421833813332036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17">
        <f t="shared" si="3"/>
        <v>-2.4877432841198459</v>
      </c>
      <c r="F96" s="17">
        <f t="shared" si="4"/>
        <v>7.4877432841198459</v>
      </c>
      <c r="G96" s="17">
        <f t="shared" si="5"/>
        <v>56.066299488881853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17">
        <f t="shared" si="3"/>
        <v>-1.4924215702091086</v>
      </c>
      <c r="F97" s="17">
        <f t="shared" si="4"/>
        <v>4.4924215702091086</v>
      </c>
      <c r="G97" s="17">
        <f t="shared" si="5"/>
        <v>20.181851564480073</v>
      </c>
      <c r="O97" s="102" t="s">
        <v>35</v>
      </c>
      <c r="P97" s="119">
        <f xml:space="preserve"> SQRT((1/ (B133-2)) * SUM(G11:G130))</f>
        <v>8.2575498413853055</v>
      </c>
      <c r="Q97" s="119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17">
        <f t="shared" si="3"/>
        <v>-0.63928867257133426</v>
      </c>
      <c r="F98" s="17">
        <f t="shared" si="4"/>
        <v>1.6392886725713343</v>
      </c>
      <c r="G98" s="17">
        <f t="shared" si="5"/>
        <v>2.6872673520206871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17">
        <f t="shared" si="3"/>
        <v>-7.0533407479482335E-2</v>
      </c>
      <c r="F99" s="17">
        <f t="shared" si="4"/>
        <v>7.0533407479482335E-2</v>
      </c>
      <c r="G99" s="17">
        <f t="shared" si="5"/>
        <v>4.9749615706666944E-3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17">
        <f t="shared" si="3"/>
        <v>-7.0533407479482335E-2</v>
      </c>
      <c r="F100" s="17">
        <f t="shared" si="4"/>
        <v>2.0705334074794823</v>
      </c>
      <c r="G100" s="17">
        <f t="shared" si="5"/>
        <v>4.2871085914885958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17">
        <f t="shared" si="3"/>
        <v>-0.78147748884429546</v>
      </c>
      <c r="F101" s="17">
        <f t="shared" si="4"/>
        <v>1.7814774888442955</v>
      </c>
      <c r="G101" s="17">
        <f t="shared" si="5"/>
        <v>3.1736620432589771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17">
        <f t="shared" si="3"/>
        <v>-0.78147748884429546</v>
      </c>
      <c r="F102" s="17">
        <f t="shared" si="4"/>
        <v>0.78147748884429546</v>
      </c>
      <c r="G102" s="17">
        <f t="shared" si="5"/>
        <v>0.6107070655703859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17">
        <f t="shared" si="3"/>
        <v>-1.0658551213902214</v>
      </c>
      <c r="F103" s="17">
        <f t="shared" si="4"/>
        <v>5.0658551213902214</v>
      </c>
      <c r="G103" s="17">
        <f t="shared" si="5"/>
        <v>25.662888110915535</v>
      </c>
      <c r="O103" s="16"/>
      <c r="P103" s="127">
        <f>SQRT( (1/B133) + (POWER(P34,2) / P36))</f>
        <v>0.11551713549623858</v>
      </c>
      <c r="Q103" s="127"/>
      <c r="T103" s="16"/>
      <c r="U103" s="127">
        <f>SQRT( 1/P36 )</f>
        <v>1.9786872410690108</v>
      </c>
      <c r="V103" s="127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17">
        <f t="shared" si="3"/>
        <v>-1.7767992027550328</v>
      </c>
      <c r="F104" s="17">
        <f t="shared" si="4"/>
        <v>3.7767992027550328</v>
      </c>
      <c r="G104" s="17">
        <f t="shared" si="5"/>
        <v>14.264212217931052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17">
        <f t="shared" si="3"/>
        <v>-2.0611768353009587</v>
      </c>
      <c r="F105" s="17">
        <f t="shared" si="4"/>
        <v>7.0611768353009587</v>
      </c>
      <c r="G105" s="17">
        <f t="shared" si="5"/>
        <v>49.860218299390866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17">
        <f t="shared" si="3"/>
        <v>-1.7767992027550328</v>
      </c>
      <c r="F106" s="17">
        <f t="shared" si="4"/>
        <v>2.7767992027550328</v>
      </c>
      <c r="G106" s="17">
        <f t="shared" si="5"/>
        <v>7.710613812420986</v>
      </c>
      <c r="O106" s="19" t="s">
        <v>36</v>
      </c>
      <c r="P106" s="119">
        <f>P95*P97*P103</f>
        <v>1.8889589331622958</v>
      </c>
      <c r="Q106" s="119"/>
      <c r="T106" s="19" t="s">
        <v>36</v>
      </c>
      <c r="U106" s="119">
        <f>P95*P97*U103</f>
        <v>32.355883167422107</v>
      </c>
      <c r="V106" s="119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17">
        <f t="shared" si="3"/>
        <v>-2.0611768353009587</v>
      </c>
      <c r="F107" s="17">
        <f t="shared" si="4"/>
        <v>4.0611768353009587</v>
      </c>
      <c r="G107" s="17">
        <f t="shared" si="5"/>
        <v>16.49315728758511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17">
        <f>$P$40 + $P$41*C108</f>
        <v>-2.0611768353009587</v>
      </c>
      <c r="F108" s="17">
        <f t="shared" si="4"/>
        <v>3.0611768353009587</v>
      </c>
      <c r="G108" s="17">
        <f t="shared" si="5"/>
        <v>9.3708036169831939</v>
      </c>
      <c r="O108" s="16" t="s">
        <v>37</v>
      </c>
      <c r="P108" s="120">
        <f>ROUND(P40-P106,4)</f>
        <v>-14.8987</v>
      </c>
      <c r="Q108" s="120"/>
      <c r="T108" s="16" t="s">
        <v>37</v>
      </c>
      <c r="U108" s="120">
        <f>ROUND(P41-U106,4)</f>
        <v>1389.5323000000001</v>
      </c>
      <c r="V108" s="120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17">
        <f t="shared" si="3"/>
        <v>-1.6346103864820698</v>
      </c>
      <c r="F109" s="17">
        <f t="shared" si="4"/>
        <v>2.6346103864820698</v>
      </c>
      <c r="G109" s="17">
        <f t="shared" si="5"/>
        <v>6.9411718885592011</v>
      </c>
      <c r="O109" s="13" t="s">
        <v>38</v>
      </c>
      <c r="P109" s="122">
        <f>ROUND(P40+P106,4)</f>
        <v>-11.120799999999999</v>
      </c>
      <c r="Q109" s="122"/>
      <c r="T109" s="13" t="s">
        <v>38</v>
      </c>
      <c r="U109" s="122">
        <f>ROUND(P41+U106,4)</f>
        <v>1454.2439999999999</v>
      </c>
      <c r="V109" s="122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17">
        <f t="shared" si="3"/>
        <v>-1.0658551213902214</v>
      </c>
      <c r="F110" s="17">
        <f t="shared" si="4"/>
        <v>2.0658551213902214</v>
      </c>
      <c r="G110" s="17">
        <f t="shared" si="5"/>
        <v>4.2677573825742066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17">
        <f t="shared" si="3"/>
        <v>-0.3549110400254083</v>
      </c>
      <c r="F111" s="17">
        <f t="shared" si="4"/>
        <v>4.3549110400254083</v>
      </c>
      <c r="G111" s="17">
        <f t="shared" si="5"/>
        <v>18.965250166535185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17">
        <f t="shared" si="3"/>
        <v>0.35603304133940661</v>
      </c>
      <c r="F112" s="17">
        <f t="shared" si="4"/>
        <v>0.64396695866059339</v>
      </c>
      <c r="G112" s="17">
        <f t="shared" si="5"/>
        <v>0.41469344384657442</v>
      </c>
    </row>
    <row r="113" spans="1:25" ht="18" customHeight="1" x14ac:dyDescent="0.2">
      <c r="A113" s="4">
        <v>44330</v>
      </c>
      <c r="B113" s="5">
        <v>0</v>
      </c>
      <c r="C113" s="5">
        <v>9.7999999999999997E-3</v>
      </c>
      <c r="E113" s="17">
        <f t="shared" si="3"/>
        <v>0.92478830643125498</v>
      </c>
      <c r="F113" s="17">
        <f t="shared" si="4"/>
        <v>-0.92478830643125498</v>
      </c>
      <c r="G113" s="17">
        <f t="shared" si="5"/>
        <v>0.85523341171198874</v>
      </c>
    </row>
    <row r="114" spans="1:25" ht="18" customHeight="1" x14ac:dyDescent="0.2">
      <c r="A114" s="4">
        <v>44331</v>
      </c>
      <c r="B114" s="5">
        <v>7</v>
      </c>
      <c r="C114" s="5">
        <v>0.01</v>
      </c>
      <c r="E114" s="17">
        <f t="shared" si="3"/>
        <v>1.2091659389771809</v>
      </c>
      <c r="F114" s="17">
        <f t="shared" si="4"/>
        <v>5.7908340610228191</v>
      </c>
      <c r="G114" s="17">
        <f t="shared" si="5"/>
        <v>33.533759122302037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1.01E-2</v>
      </c>
      <c r="E115" s="17">
        <f t="shared" si="3"/>
        <v>1.3513547552501421</v>
      </c>
      <c r="F115" s="17">
        <f t="shared" si="4"/>
        <v>-0.35135475525014215</v>
      </c>
      <c r="G115" s="17">
        <f t="shared" si="5"/>
        <v>0.12345016403688729</v>
      </c>
    </row>
    <row r="116" spans="1:25" ht="18" customHeight="1" x14ac:dyDescent="0.2">
      <c r="A116" s="4">
        <v>44333</v>
      </c>
      <c r="B116" s="5">
        <v>2</v>
      </c>
      <c r="C116" s="5">
        <v>1.01E-2</v>
      </c>
      <c r="E116" s="17">
        <f t="shared" si="3"/>
        <v>1.3513547552501421</v>
      </c>
      <c r="F116" s="17">
        <f t="shared" si="4"/>
        <v>0.64864524474985785</v>
      </c>
      <c r="G116" s="17">
        <f t="shared" si="5"/>
        <v>0.420740653536603</v>
      </c>
    </row>
    <row r="117" spans="1:25" ht="18" customHeight="1" x14ac:dyDescent="0.2">
      <c r="A117" s="4">
        <v>44334</v>
      </c>
      <c r="B117" s="5">
        <v>2</v>
      </c>
      <c r="C117" s="5">
        <v>1.0500000000000001E-2</v>
      </c>
      <c r="E117" s="17">
        <f t="shared" si="3"/>
        <v>1.9201100203419941</v>
      </c>
      <c r="F117" s="17">
        <f t="shared" si="4"/>
        <v>7.9889979658005927E-2</v>
      </c>
      <c r="G117" s="17">
        <f t="shared" si="5"/>
        <v>6.382408849756601E-3</v>
      </c>
    </row>
    <row r="118" spans="1:25" ht="18" customHeight="1" x14ac:dyDescent="0.2">
      <c r="A118" s="4">
        <v>44335</v>
      </c>
      <c r="B118" s="5">
        <v>2</v>
      </c>
      <c r="C118" s="5">
        <v>1.06E-2</v>
      </c>
      <c r="E118" s="17">
        <f t="shared" si="3"/>
        <v>2.0622988366149571</v>
      </c>
      <c r="F118" s="17">
        <f t="shared" si="4"/>
        <v>-6.2298836614957054E-2</v>
      </c>
      <c r="G118" s="17">
        <f t="shared" si="5"/>
        <v>3.8811450435771136E-3</v>
      </c>
    </row>
    <row r="119" spans="1:25" ht="18" customHeight="1" x14ac:dyDescent="0.2">
      <c r="A119" s="4">
        <v>44336</v>
      </c>
      <c r="B119" s="5">
        <v>1</v>
      </c>
      <c r="C119" s="5">
        <v>1.0500000000000001E-2</v>
      </c>
      <c r="E119" s="17">
        <f t="shared" si="3"/>
        <v>1.9201100203419941</v>
      </c>
      <c r="F119" s="17">
        <f t="shared" si="4"/>
        <v>-0.92011002034199407</v>
      </c>
      <c r="G119" s="17">
        <f t="shared" si="5"/>
        <v>0.84660244953374475</v>
      </c>
    </row>
    <row r="120" spans="1:25" ht="18" customHeight="1" x14ac:dyDescent="0.2">
      <c r="A120" s="4">
        <v>44337</v>
      </c>
      <c r="B120" s="5">
        <v>3</v>
      </c>
      <c r="C120" s="5">
        <v>1.09E-2</v>
      </c>
      <c r="E120" s="17">
        <f t="shared" si="3"/>
        <v>2.4888652854338442</v>
      </c>
      <c r="F120" s="17">
        <f t="shared" si="4"/>
        <v>0.51113471456615578</v>
      </c>
      <c r="G120" s="17">
        <f t="shared" si="5"/>
        <v>0.26125869643462551</v>
      </c>
    </row>
    <row r="121" spans="1:25" ht="18" customHeight="1" x14ac:dyDescent="0.25">
      <c r="A121" s="4">
        <v>44338</v>
      </c>
      <c r="B121" s="5">
        <v>0</v>
      </c>
      <c r="C121" s="5">
        <v>1.0999999999999999E-2</v>
      </c>
      <c r="E121" s="17">
        <f t="shared" si="3"/>
        <v>2.6310541017068054</v>
      </c>
      <c r="F121" s="17">
        <f t="shared" si="4"/>
        <v>-2.6310541017068054</v>
      </c>
      <c r="G121" s="17">
        <f t="shared" si="5"/>
        <v>6.9224456861082047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0</v>
      </c>
      <c r="C122" s="5">
        <v>1.1299999999999999E-2</v>
      </c>
      <c r="E122" s="17">
        <f t="shared" si="3"/>
        <v>3.0576205505256944</v>
      </c>
      <c r="F122" s="17">
        <f t="shared" si="4"/>
        <v>-3.0576205505256944</v>
      </c>
      <c r="G122" s="17">
        <f t="shared" si="5"/>
        <v>9.3490434309970496</v>
      </c>
    </row>
    <row r="123" spans="1:25" ht="18" customHeight="1" x14ac:dyDescent="0.2">
      <c r="A123" s="4">
        <v>44340</v>
      </c>
      <c r="B123" s="5">
        <v>1</v>
      </c>
      <c r="C123" s="5">
        <v>1.15E-2</v>
      </c>
      <c r="E123" s="17">
        <f t="shared" si="3"/>
        <v>3.3419981830716203</v>
      </c>
      <c r="F123" s="17">
        <f t="shared" si="4"/>
        <v>-2.3419981830716203</v>
      </c>
      <c r="G123" s="17">
        <f t="shared" si="5"/>
        <v>5.4849554895107708</v>
      </c>
    </row>
    <row r="124" spans="1:25" ht="18" customHeight="1" x14ac:dyDescent="0.2">
      <c r="A124" s="4">
        <v>44341</v>
      </c>
      <c r="B124" s="5">
        <v>3</v>
      </c>
      <c r="C124" s="5">
        <v>1.14E-2</v>
      </c>
      <c r="E124" s="17">
        <f t="shared" si="3"/>
        <v>3.1998093667986574</v>
      </c>
      <c r="F124" s="17">
        <f t="shared" si="4"/>
        <v>-0.19980936679865735</v>
      </c>
      <c r="G124" s="17">
        <f t="shared" si="5"/>
        <v>3.9923783060480396E-2</v>
      </c>
    </row>
    <row r="125" spans="1:25" ht="18" customHeight="1" x14ac:dyDescent="0.2">
      <c r="A125" s="4">
        <v>44342</v>
      </c>
      <c r="B125" s="5">
        <v>1</v>
      </c>
      <c r="C125" s="5">
        <v>1.14E-2</v>
      </c>
      <c r="E125" s="17">
        <f t="shared" si="3"/>
        <v>3.1998093667986574</v>
      </c>
      <c r="F125" s="17">
        <f t="shared" si="4"/>
        <v>-2.1998093667986574</v>
      </c>
      <c r="G125" s="17">
        <f t="shared" si="5"/>
        <v>4.8391612502551098</v>
      </c>
    </row>
    <row r="126" spans="1:25" ht="18" customHeight="1" x14ac:dyDescent="0.25">
      <c r="A126" s="4">
        <v>44343</v>
      </c>
      <c r="B126" s="5">
        <v>0</v>
      </c>
      <c r="C126" s="5">
        <v>1.15E-2</v>
      </c>
      <c r="E126" s="17">
        <f t="shared" si="3"/>
        <v>3.3419981830716203</v>
      </c>
      <c r="F126" s="17">
        <f t="shared" si="4"/>
        <v>-3.3419981830716203</v>
      </c>
      <c r="G126" s="17">
        <f t="shared" si="5"/>
        <v>11.168951855654011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1.11E-2</v>
      </c>
      <c r="E127" s="17">
        <f t="shared" si="3"/>
        <v>2.7732429179797702</v>
      </c>
      <c r="F127" s="17">
        <f t="shared" si="4"/>
        <v>-1.7732429179797702</v>
      </c>
      <c r="G127" s="17">
        <f t="shared" si="5"/>
        <v>3.14439044616541</v>
      </c>
    </row>
    <row r="128" spans="1:25" ht="18" customHeight="1" x14ac:dyDescent="0.2">
      <c r="A128" s="4">
        <v>44345</v>
      </c>
      <c r="B128" s="5">
        <v>0</v>
      </c>
      <c r="C128" s="5">
        <v>1.0999999999999999E-2</v>
      </c>
      <c r="E128" s="17">
        <f t="shared" si="3"/>
        <v>2.6310541017068054</v>
      </c>
      <c r="F128" s="17">
        <f t="shared" si="4"/>
        <v>-2.6310541017068054</v>
      </c>
      <c r="G128" s="17">
        <f t="shared" si="5"/>
        <v>6.9224456861082047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17">
        <f t="shared" si="3"/>
        <v>2.6310541017068054</v>
      </c>
      <c r="F129" s="17">
        <f t="shared" si="4"/>
        <v>-2.6310541017068054</v>
      </c>
      <c r="G129" s="17">
        <f t="shared" si="5"/>
        <v>6.9224456861082047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17">
        <f t="shared" si="3"/>
        <v>3.0576205505256944</v>
      </c>
      <c r="F130" s="17">
        <f t="shared" si="4"/>
        <v>-1.0576205505256944</v>
      </c>
      <c r="G130" s="17">
        <f t="shared" si="5"/>
        <v>1.1185612288942728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-13.6386</v>
      </c>
      <c r="U132" s="21" t="s">
        <v>49</v>
      </c>
      <c r="V132">
        <f xml:space="preserve"> ROUND((P41-0) / (P73 / SQRT(P36)),4)</f>
        <v>87.023600000000002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9.3791641120333225E-12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516388.51039947622</v>
      </c>
      <c r="O179" s="121"/>
    </row>
    <row r="180" spans="13:19" ht="18" customHeight="1" x14ac:dyDescent="0.2">
      <c r="M180" s="105" t="s">
        <v>62</v>
      </c>
      <c r="N180" s="122">
        <f>SUM(G11:G130)</f>
        <v>8046.0812671895737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516388.51039947622</v>
      </c>
      <c r="P188" s="117"/>
      <c r="Q188" s="117">
        <f>O188/N188</f>
        <v>516388.51039947622</v>
      </c>
      <c r="R188" s="117"/>
      <c r="S188" s="77">
        <f>Q188/Q189</f>
        <v>7573.1082254432476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8046.0812671895737</v>
      </c>
      <c r="P189" s="117"/>
      <c r="Q189" s="117">
        <f>O189/N189</f>
        <v>68.187129382962496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9.3791641120333225E-12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1.2538</v>
      </c>
      <c r="E208" s="17">
        <f>$P$234 + $P$235*C208</f>
        <v>1700.2631356321458</v>
      </c>
      <c r="F208" s="17">
        <f>B208-E208</f>
        <v>-24.263135632145804</v>
      </c>
      <c r="G208" s="17">
        <f>POWER(F208,2)</f>
        <v>588.69975070390342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0.83809999999999985</v>
      </c>
      <c r="E209" s="17">
        <f t="shared" ref="E209:E224" si="6">$P$234 + $P$235*C209</f>
        <v>1105.6552970844637</v>
      </c>
      <c r="F209" s="17">
        <f t="shared" ref="F209:F224" si="7">B209-E209</f>
        <v>57.344702915536345</v>
      </c>
      <c r="G209" s="17">
        <f t="shared" ref="G209:G224" si="8">POWER(F209,2)</f>
        <v>3288.4149524711224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0.50600000000000001</v>
      </c>
      <c r="E210" s="17">
        <f t="shared" si="6"/>
        <v>630.6269997987165</v>
      </c>
      <c r="F210" s="17">
        <f t="shared" si="7"/>
        <v>10.373000201283503</v>
      </c>
      <c r="G210" s="17">
        <f t="shared" si="8"/>
        <v>107.59913317582759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0.32390000000000002</v>
      </c>
      <c r="E211" s="17">
        <f t="shared" si="6"/>
        <v>370.15529568629677</v>
      </c>
      <c r="F211" s="17">
        <f t="shared" si="7"/>
        <v>-15.155295686296768</v>
      </c>
      <c r="G211" s="17">
        <f t="shared" si="8"/>
        <v>229.6829873390854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0.23469999999999999</v>
      </c>
      <c r="E212" s="17">
        <f t="shared" si="6"/>
        <v>242.5656416125579</v>
      </c>
      <c r="F212" s="17">
        <f t="shared" si="7"/>
        <v>-19.565641612557897</v>
      </c>
      <c r="G212" s="17">
        <f t="shared" si="8"/>
        <v>382.81433171105721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0.21529999999999999</v>
      </c>
      <c r="E213" s="17">
        <f t="shared" si="6"/>
        <v>214.81632222880751</v>
      </c>
      <c r="F213" s="17">
        <f t="shared" si="7"/>
        <v>-70.816322228807508</v>
      </c>
      <c r="G213" s="17">
        <f t="shared" si="8"/>
        <v>5014.9514940142963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0.11800000000000001</v>
      </c>
      <c r="E214" s="17">
        <f t="shared" si="6"/>
        <v>75.640612123708991</v>
      </c>
      <c r="F214" s="17">
        <f t="shared" si="7"/>
        <v>8.3593878762910094</v>
      </c>
      <c r="G214" s="17">
        <f t="shared" si="8"/>
        <v>69.879365666281117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0.1012</v>
      </c>
      <c r="E215" s="17">
        <f t="shared" si="6"/>
        <v>51.610273688296274</v>
      </c>
      <c r="F215" s="17">
        <f t="shared" si="7"/>
        <v>17.389726311703726</v>
      </c>
      <c r="G215" s="17">
        <f t="shared" si="8"/>
        <v>302.40258119596086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0.12129999999999998</v>
      </c>
      <c r="E216" s="17">
        <f t="shared" si="6"/>
        <v>80.360857173522163</v>
      </c>
      <c r="F216" s="17">
        <f t="shared" si="7"/>
        <v>-38.360857173522163</v>
      </c>
      <c r="G216" s="17">
        <f t="shared" si="8"/>
        <v>1471.5553630873667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8.4999999999999992E-2</v>
      </c>
      <c r="E217" s="17">
        <f t="shared" si="6"/>
        <v>28.438161625576882</v>
      </c>
      <c r="F217" s="17">
        <f t="shared" si="7"/>
        <v>8.5618383744231181</v>
      </c>
      <c r="G217" s="17">
        <f t="shared" si="8"/>
        <v>73.305076349744297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9.4500000000000001E-2</v>
      </c>
      <c r="E218" s="17">
        <f t="shared" si="6"/>
        <v>42.026745859887654</v>
      </c>
      <c r="F218" s="17">
        <f t="shared" si="7"/>
        <v>-13.026745859887654</v>
      </c>
      <c r="G218" s="17">
        <f t="shared" si="8"/>
        <v>169.69610769810015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5.7600000000000005E-2</v>
      </c>
      <c r="E219" s="17">
        <f t="shared" si="6"/>
        <v>-10.75417606075095</v>
      </c>
      <c r="F219" s="17">
        <f t="shared" si="7"/>
        <v>30.75417606075095</v>
      </c>
      <c r="G219" s="17">
        <f t="shared" si="8"/>
        <v>945.81934517566685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5.7999999999999996E-2</v>
      </c>
      <c r="E220" s="17">
        <f t="shared" si="6"/>
        <v>-10.182025145622092</v>
      </c>
      <c r="F220" s="17">
        <f t="shared" si="7"/>
        <v>22.182025145622092</v>
      </c>
      <c r="G220" s="17">
        <f t="shared" si="8"/>
        <v>492.04223956101077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5.5900000000000005E-2</v>
      </c>
      <c r="E221" s="17">
        <f t="shared" si="6"/>
        <v>-13.185817450048674</v>
      </c>
      <c r="F221" s="17">
        <f t="shared" si="7"/>
        <v>28.185817450048674</v>
      </c>
      <c r="G221" s="17">
        <f t="shared" si="8"/>
        <v>794.44030532746831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6.4600000000000005E-2</v>
      </c>
      <c r="E222" s="17">
        <f t="shared" si="6"/>
        <v>-0.74153504599566133</v>
      </c>
      <c r="F222" s="17">
        <f t="shared" si="7"/>
        <v>15.741535045995661</v>
      </c>
      <c r="G222" s="17">
        <f t="shared" si="8"/>
        <v>247.79592560430962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7.4900000000000008E-2</v>
      </c>
      <c r="E223" s="17">
        <f t="shared" si="6"/>
        <v>13.991351018572843</v>
      </c>
      <c r="F223" s="17">
        <f t="shared" si="7"/>
        <v>-3.9913510185728427</v>
      </c>
      <c r="G223" s="81">
        <f t="shared" si="8"/>
        <v>15.930882953462469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7.8899999999999984E-2</v>
      </c>
      <c r="D224" s="31"/>
      <c r="E224" s="17">
        <f t="shared" si="6"/>
        <v>19.712860169861543</v>
      </c>
      <c r="F224" s="17">
        <f t="shared" si="7"/>
        <v>-13.712860169861543</v>
      </c>
      <c r="G224" s="17">
        <f t="shared" si="8"/>
        <v>188.04253403817515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0.25186470588235305</v>
      </c>
      <c r="Q228" s="130"/>
    </row>
    <row r="229" spans="1:25" ht="18" customHeight="1" x14ac:dyDescent="0.2">
      <c r="A229" s="1"/>
      <c r="O229" s="14"/>
      <c r="P229" s="130">
        <f>AVERAGE(B208:B224)</f>
        <v>267.11764705882354</v>
      </c>
      <c r="Q229" s="130"/>
    </row>
    <row r="230" spans="1:25" ht="18" customHeight="1" x14ac:dyDescent="0.2">
      <c r="A230" s="1"/>
      <c r="O230" s="14"/>
      <c r="P230" s="130">
        <f>SUMPRODUCT(POWER(C208:C224-P228,2))</f>
        <v>1.7392516588235289</v>
      </c>
      <c r="Q230" s="130"/>
    </row>
    <row r="231" spans="1:25" ht="18" customHeight="1" x14ac:dyDescent="0.2">
      <c r="A231" s="1"/>
      <c r="O231" s="14"/>
      <c r="P231" s="130">
        <f>SUMPRODUCT(POWER(B208:B224-P229,2))</f>
        <v>3572855.7647058833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2487.7860705882345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-93.143907839308781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1430.3772878221844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0.99597434844189425</v>
      </c>
      <c r="Q244" s="120"/>
    </row>
    <row r="245" spans="1:25" ht="18" customHeight="1" x14ac:dyDescent="0.2">
      <c r="A245" s="1"/>
      <c r="O245" s="32"/>
      <c r="P245" s="122">
        <f>P232 / (SQRT(P230) * SQRT(P231))</f>
        <v>0.99798514439940145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30.965650190787041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0.30870145673420601</v>
      </c>
      <c r="Q266" s="127"/>
      <c r="T266" s="16"/>
      <c r="U266" s="127">
        <f xml:space="preserve"> SQRT( 1/P230 )</f>
        <v>0.75826111801607254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16.757656095730706</v>
      </c>
      <c r="Q269" s="119"/>
      <c r="T269" s="19" t="s">
        <v>36</v>
      </c>
      <c r="U269" s="119">
        <f>P258*P260*U266</f>
        <v>41.161707433788216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-109.9016</v>
      </c>
      <c r="Q271" s="120"/>
      <c r="T271" s="16" t="s">
        <v>37</v>
      </c>
      <c r="U271" s="120">
        <f>ROUND(P235-U269,4)</f>
        <v>1389.2156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-76.386300000000006</v>
      </c>
      <c r="Q272" s="122"/>
      <c r="T272" s="13" t="s">
        <v>38</v>
      </c>
      <c r="U272" s="122">
        <f>ROUND(P235+U269,4)</f>
        <v>1471.539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30.965650190787041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0.30870145673420601</v>
      </c>
      <c r="Q290" s="127"/>
      <c r="T290" s="16"/>
      <c r="U290" s="127">
        <f xml:space="preserve"> SQRT( 1/P230 )</f>
        <v>0.75826111801607254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20.374827428035378</v>
      </c>
      <c r="Q293" s="119"/>
      <c r="T293" s="19" t="s">
        <v>36</v>
      </c>
      <c r="U293" s="119">
        <f>P282*P284*U290</f>
        <v>50.046538777005885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-113.5187</v>
      </c>
      <c r="Q295" s="120"/>
      <c r="T295" s="16" t="s">
        <v>37</v>
      </c>
      <c r="U295" s="120">
        <f>ROUND(P235-U293,4)</f>
        <v>1380.3307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-72.769099999999995</v>
      </c>
      <c r="Q296" s="122"/>
      <c r="T296" s="13" t="s">
        <v>38</v>
      </c>
      <c r="U296" s="122">
        <f>ROUND(P235+U293,4)</f>
        <v>1480.4238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-9.7439999999999998</v>
      </c>
      <c r="T319" s="21" t="s">
        <v>49</v>
      </c>
      <c r="U319">
        <f>ROUND( (P235-0) / (P284 / SQRT(P230)),4)</f>
        <v>60.918799999999997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P348" t="s">
        <v>115</v>
      </c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-1051.4705882352928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3629824.5297000511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14383.072376072842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3629824.5297000511</v>
      </c>
      <c r="P371" s="117"/>
      <c r="Q371" s="117">
        <f>O371/N371</f>
        <v>3629824.5297000511</v>
      </c>
      <c r="R371" s="117"/>
      <c r="S371" s="77">
        <f>Q371/Q372</f>
        <v>3785.5172053557512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14383.072376072842</v>
      </c>
      <c r="P372" s="117"/>
      <c r="Q372" s="117">
        <f>O372/N372</f>
        <v>958.87149173818943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-1051.4705882352928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68AD-2DC9-46B9-AA4D-0DCF3D931BF3}">
  <dimension ref="A3:AD444"/>
  <sheetViews>
    <sheetView topLeftCell="F270" zoomScale="110" zoomScaleNormal="110" workbookViewId="0">
      <selection activeCell="M260" sqref="M26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84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1" customFormat="1" ht="22.5" customHeight="1" x14ac:dyDescent="0.2">
      <c r="A6" s="80"/>
      <c r="B6" s="80"/>
      <c r="C6" s="80"/>
      <c r="D6" s="131" t="s">
        <v>75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80"/>
      <c r="AC6" s="80"/>
      <c r="AD6" s="80"/>
    </row>
    <row r="8" spans="1:30" ht="18" customHeight="1" x14ac:dyDescent="0.2">
      <c r="A8" s="129" t="s">
        <v>28</v>
      </c>
      <c r="B8" s="129"/>
      <c r="C8" s="129"/>
      <c r="D8" s="129"/>
      <c r="E8" s="129"/>
      <c r="F8" s="129"/>
      <c r="G8" s="129"/>
    </row>
    <row r="10" spans="1:30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80488</v>
      </c>
      <c r="E11" s="17">
        <f>$P$40 + $P$41*C11</f>
        <v>83.223825718384944</v>
      </c>
      <c r="F11" s="17">
        <f>B11-E11</f>
        <v>191.77617428161506</v>
      </c>
      <c r="G11" s="17">
        <f>POWER(F11,2)</f>
        <v>36778.101022092393</v>
      </c>
    </row>
    <row r="12" spans="1:30" ht="18" customHeight="1" x14ac:dyDescent="0.2">
      <c r="A12" s="4">
        <v>44229</v>
      </c>
      <c r="B12" s="5">
        <v>260</v>
      </c>
      <c r="C12" s="5">
        <v>82431</v>
      </c>
      <c r="E12" s="17">
        <f t="shared" ref="E12:E75" si="0">$P$40 + $P$41*C12</f>
        <v>83.078065536197869</v>
      </c>
      <c r="F12" s="17">
        <f t="shared" ref="F12:F75" si="1">B12-E12</f>
        <v>176.92193446380213</v>
      </c>
      <c r="G12" s="17">
        <f t="shared" ref="G12:G75" si="2">POWER(F12,2)</f>
        <v>31301.370894413896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87588</v>
      </c>
      <c r="E13" s="17">
        <f t="shared" si="0"/>
        <v>82.691197157639564</v>
      </c>
      <c r="F13" s="17">
        <f t="shared" si="1"/>
        <v>157.30880284236042</v>
      </c>
      <c r="G13" s="17">
        <f t="shared" si="2"/>
        <v>24746.059451696623</v>
      </c>
    </row>
    <row r="14" spans="1:30" ht="18" customHeight="1" x14ac:dyDescent="0.2">
      <c r="A14" s="4">
        <v>44231</v>
      </c>
      <c r="B14" s="5">
        <v>225</v>
      </c>
      <c r="C14" s="5">
        <v>96711</v>
      </c>
      <c r="E14" s="17">
        <f t="shared" si="0"/>
        <v>82.006806966135329</v>
      </c>
      <c r="F14" s="17">
        <f t="shared" si="1"/>
        <v>142.99319303386466</v>
      </c>
      <c r="G14" s="17">
        <f t="shared" si="2"/>
        <v>20447.05325402008</v>
      </c>
    </row>
    <row r="15" spans="1:30" ht="18" customHeight="1" x14ac:dyDescent="0.2">
      <c r="A15" s="4">
        <v>44232</v>
      </c>
      <c r="B15" s="5">
        <v>258</v>
      </c>
      <c r="C15" s="5">
        <v>106652</v>
      </c>
      <c r="E15" s="17">
        <f t="shared" si="0"/>
        <v>81.261051962984652</v>
      </c>
      <c r="F15" s="17">
        <f t="shared" si="1"/>
        <v>176.73894803701535</v>
      </c>
      <c r="G15" s="17">
        <f t="shared" si="2"/>
        <v>31236.655753230811</v>
      </c>
    </row>
    <row r="16" spans="1:30" ht="18" customHeight="1" x14ac:dyDescent="0.2">
      <c r="A16" s="4">
        <v>44233</v>
      </c>
      <c r="B16" s="5">
        <v>214</v>
      </c>
      <c r="C16" s="5">
        <v>115522</v>
      </c>
      <c r="E16" s="17">
        <f t="shared" si="0"/>
        <v>80.595641352588672</v>
      </c>
      <c r="F16" s="17">
        <f t="shared" si="1"/>
        <v>133.40435864741133</v>
      </c>
      <c r="G16" s="17">
        <f t="shared" si="2"/>
        <v>17796.72290612715</v>
      </c>
    </row>
    <row r="17" spans="1:24" ht="18" customHeight="1" x14ac:dyDescent="0.2">
      <c r="A17" s="4">
        <v>44234</v>
      </c>
      <c r="B17" s="5">
        <v>204</v>
      </c>
      <c r="C17" s="5">
        <v>116262</v>
      </c>
      <c r="E17" s="17">
        <f t="shared" si="0"/>
        <v>80.540127953299717</v>
      </c>
      <c r="F17" s="17">
        <f t="shared" si="1"/>
        <v>123.45987204670028</v>
      </c>
      <c r="G17" s="17">
        <f t="shared" si="2"/>
        <v>15242.340005787606</v>
      </c>
    </row>
    <row r="18" spans="1:24" ht="18" customHeight="1" x14ac:dyDescent="0.2">
      <c r="A18" s="4">
        <v>44235</v>
      </c>
      <c r="B18" s="5">
        <v>196</v>
      </c>
      <c r="C18" s="5">
        <v>118172</v>
      </c>
      <c r="E18" s="17">
        <f t="shared" si="0"/>
        <v>80.396843368648504</v>
      </c>
      <c r="F18" s="17">
        <f t="shared" si="1"/>
        <v>115.6031566313515</v>
      </c>
      <c r="G18" s="17">
        <f t="shared" si="2"/>
        <v>13364.089823132786</v>
      </c>
    </row>
    <row r="19" spans="1:24" ht="18" customHeight="1" x14ac:dyDescent="0.2">
      <c r="A19" s="4">
        <v>44236</v>
      </c>
      <c r="B19" s="5">
        <v>203</v>
      </c>
      <c r="C19" s="5">
        <v>119614</v>
      </c>
      <c r="E19" s="17">
        <f t="shared" si="0"/>
        <v>80.288667258142183</v>
      </c>
      <c r="F19" s="17">
        <f t="shared" si="1"/>
        <v>122.71133274185782</v>
      </c>
      <c r="G19" s="17">
        <f t="shared" si="2"/>
        <v>15058.071183282946</v>
      </c>
    </row>
    <row r="20" spans="1:24" ht="18" customHeight="1" x14ac:dyDescent="0.2">
      <c r="A20" s="4">
        <v>44237</v>
      </c>
      <c r="B20" s="5">
        <v>161</v>
      </c>
      <c r="C20" s="5">
        <v>130118</v>
      </c>
      <c r="E20" s="17">
        <f t="shared" si="0"/>
        <v>79.500677060667613</v>
      </c>
      <c r="F20" s="17">
        <f t="shared" si="1"/>
        <v>81.499322939332387</v>
      </c>
      <c r="G20" s="17">
        <f t="shared" si="2"/>
        <v>6642.1396395695901</v>
      </c>
    </row>
    <row r="21" spans="1:24" ht="18" customHeight="1" x14ac:dyDescent="0.2">
      <c r="A21" s="4">
        <v>44238</v>
      </c>
      <c r="B21" s="5">
        <v>167</v>
      </c>
      <c r="C21" s="5">
        <v>146637</v>
      </c>
      <c r="E21" s="17">
        <f t="shared" si="0"/>
        <v>78.261452948702427</v>
      </c>
      <c r="F21" s="17">
        <f t="shared" si="1"/>
        <v>88.738547051297573</v>
      </c>
      <c r="G21" s="17">
        <f t="shared" si="2"/>
        <v>7874.5297327753533</v>
      </c>
    </row>
    <row r="22" spans="1:24" ht="18" customHeight="1" x14ac:dyDescent="0.2">
      <c r="A22" s="4">
        <v>44239</v>
      </c>
      <c r="B22" s="5">
        <v>149</v>
      </c>
      <c r="C22" s="5">
        <v>171163</v>
      </c>
      <c r="E22" s="17">
        <f t="shared" si="0"/>
        <v>76.421558852809312</v>
      </c>
      <c r="F22" s="17">
        <f t="shared" si="1"/>
        <v>72.578441147190688</v>
      </c>
      <c r="G22" s="17">
        <f t="shared" si="2"/>
        <v>5267.6301193562222</v>
      </c>
    </row>
    <row r="23" spans="1:24" ht="18" customHeight="1" x14ac:dyDescent="0.2">
      <c r="A23" s="4">
        <v>44240</v>
      </c>
      <c r="B23" s="5">
        <v>149</v>
      </c>
      <c r="C23" s="5">
        <v>198253</v>
      </c>
      <c r="E23" s="17">
        <f t="shared" si="0"/>
        <v>74.38931833019069</v>
      </c>
      <c r="F23" s="17">
        <f t="shared" si="1"/>
        <v>74.61068166980931</v>
      </c>
      <c r="G23" s="17">
        <f t="shared" si="2"/>
        <v>5566.7538192336187</v>
      </c>
    </row>
    <row r="24" spans="1:24" ht="18" customHeight="1" x14ac:dyDescent="0.2">
      <c r="A24" s="4">
        <v>44241</v>
      </c>
      <c r="B24" s="5">
        <v>138</v>
      </c>
      <c r="C24" s="5">
        <v>208089</v>
      </c>
      <c r="E24" s="17">
        <f t="shared" si="0"/>
        <v>73.651440228290483</v>
      </c>
      <c r="F24" s="17">
        <f t="shared" si="1"/>
        <v>64.348559771709517</v>
      </c>
      <c r="G24" s="17">
        <f t="shared" si="2"/>
        <v>4140.7371446932721</v>
      </c>
    </row>
    <row r="25" spans="1:24" ht="18" customHeight="1" x14ac:dyDescent="0.2">
      <c r="A25" s="4">
        <v>44242</v>
      </c>
      <c r="B25" s="5">
        <v>90</v>
      </c>
      <c r="C25" s="5">
        <v>218125</v>
      </c>
      <c r="E25" s="17">
        <f t="shared" si="0"/>
        <v>72.898558504960818</v>
      </c>
      <c r="F25" s="17">
        <f t="shared" si="1"/>
        <v>17.101441495039182</v>
      </c>
      <c r="G25" s="17">
        <f t="shared" si="2"/>
        <v>292.45930120824801</v>
      </c>
    </row>
    <row r="26" spans="1:24" ht="18" customHeight="1" x14ac:dyDescent="0.2">
      <c r="A26" s="4">
        <v>44243</v>
      </c>
      <c r="B26" s="5">
        <v>111</v>
      </c>
      <c r="C26" s="5">
        <v>223711</v>
      </c>
      <c r="E26" s="17">
        <f t="shared" si="0"/>
        <v>72.479507358436351</v>
      </c>
      <c r="F26" s="17">
        <f t="shared" si="1"/>
        <v>38.520492641563649</v>
      </c>
      <c r="G26" s="17">
        <f t="shared" si="2"/>
        <v>1483.8283533487593</v>
      </c>
    </row>
    <row r="27" spans="1:24" ht="18" customHeight="1" x14ac:dyDescent="0.2">
      <c r="A27" s="4">
        <v>44244</v>
      </c>
      <c r="B27" s="5">
        <v>127</v>
      </c>
      <c r="C27" s="5">
        <v>229743</v>
      </c>
      <c r="E27" s="17">
        <f t="shared" si="0"/>
        <v>72.026998136124234</v>
      </c>
      <c r="F27" s="17">
        <f t="shared" si="1"/>
        <v>54.973001863875766</v>
      </c>
      <c r="G27" s="17">
        <f t="shared" si="2"/>
        <v>3022.0309339256883</v>
      </c>
    </row>
    <row r="28" spans="1:24" ht="18" customHeight="1" x14ac:dyDescent="0.2">
      <c r="A28" s="4">
        <v>44245</v>
      </c>
      <c r="B28" s="5">
        <v>105</v>
      </c>
      <c r="C28" s="5">
        <v>237696</v>
      </c>
      <c r="E28" s="17">
        <f t="shared" si="0"/>
        <v>71.430379129982256</v>
      </c>
      <c r="F28" s="17">
        <f t="shared" si="1"/>
        <v>33.569620870017744</v>
      </c>
      <c r="G28" s="17">
        <f t="shared" si="2"/>
        <v>1126.9194453567309</v>
      </c>
    </row>
    <row r="29" spans="1:24" ht="18" customHeight="1" x14ac:dyDescent="0.2">
      <c r="A29" s="4">
        <v>44246</v>
      </c>
      <c r="B29" s="5">
        <v>67</v>
      </c>
      <c r="C29" s="5">
        <v>250400</v>
      </c>
      <c r="E29" s="17">
        <f t="shared" si="0"/>
        <v>70.477349096783769</v>
      </c>
      <c r="F29" s="17">
        <f t="shared" si="1"/>
        <v>-3.4773490967837688</v>
      </c>
      <c r="G29" s="17">
        <f t="shared" si="2"/>
        <v>12.091956740902893</v>
      </c>
    </row>
    <row r="30" spans="1:24" ht="18" customHeight="1" x14ac:dyDescent="0.2">
      <c r="A30" s="4">
        <v>44247</v>
      </c>
      <c r="B30" s="5">
        <v>76</v>
      </c>
      <c r="C30" s="5">
        <v>263354</v>
      </c>
      <c r="E30" s="17">
        <f t="shared" si="0"/>
        <v>69.505564536798474</v>
      </c>
      <c r="F30" s="17">
        <f t="shared" si="1"/>
        <v>6.4944354632015262</v>
      </c>
      <c r="G30" s="17">
        <f t="shared" si="2"/>
        <v>42.17769198568962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266858</v>
      </c>
      <c r="E31" s="17">
        <f t="shared" si="0"/>
        <v>69.242701089354568</v>
      </c>
      <c r="F31" s="17">
        <f t="shared" si="1"/>
        <v>-4.2427010893545685</v>
      </c>
      <c r="G31" s="17">
        <f t="shared" si="2"/>
        <v>18.000512533610443</v>
      </c>
    </row>
    <row r="32" spans="1:24" ht="18" customHeight="1" x14ac:dyDescent="0.2">
      <c r="A32" s="4">
        <v>44249</v>
      </c>
      <c r="B32" s="5">
        <v>61</v>
      </c>
      <c r="C32" s="5">
        <v>269203</v>
      </c>
      <c r="E32" s="17">
        <f t="shared" si="0"/>
        <v>69.066783628094299</v>
      </c>
      <c r="F32" s="17">
        <f t="shared" si="1"/>
        <v>-8.0667836280942993</v>
      </c>
      <c r="G32" s="17">
        <f t="shared" si="2"/>
        <v>65.072998102490232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17">
        <f t="shared" si="0"/>
        <v>68.937452411372462</v>
      </c>
      <c r="F33" s="17">
        <f t="shared" si="1"/>
        <v>-5.9374524113724618</v>
      </c>
      <c r="G33" s="17">
        <f t="shared" si="2"/>
        <v>35.25334113731266</v>
      </c>
      <c r="O33" s="13"/>
      <c r="P33" s="119" t="s">
        <v>10</v>
      </c>
      <c r="Q33" s="119"/>
      <c r="R33" s="14"/>
    </row>
    <row r="34" spans="1:24" ht="18" customHeight="1" x14ac:dyDescent="0.2">
      <c r="A34" s="4">
        <v>44251</v>
      </c>
      <c r="B34" s="5">
        <v>50</v>
      </c>
      <c r="C34" s="5">
        <v>273148</v>
      </c>
      <c r="E34" s="17">
        <f t="shared" si="0"/>
        <v>68.770837195398443</v>
      </c>
      <c r="F34" s="17">
        <f t="shared" si="1"/>
        <v>-18.770837195398443</v>
      </c>
      <c r="G34" s="17">
        <f t="shared" si="2"/>
        <v>352.34432901615367</v>
      </c>
      <c r="O34" s="14"/>
      <c r="P34" s="130">
        <f>AVERAGE(C11:C130)</f>
        <v>685215.23333333328</v>
      </c>
      <c r="Q34" s="130"/>
    </row>
    <row r="35" spans="1:24" ht="18" customHeight="1" x14ac:dyDescent="0.2">
      <c r="A35" s="4">
        <v>44252</v>
      </c>
      <c r="B35" s="5">
        <v>49</v>
      </c>
      <c r="C35" s="5">
        <v>276637</v>
      </c>
      <c r="E35" s="17">
        <f t="shared" si="0"/>
        <v>68.509099019561745</v>
      </c>
      <c r="F35" s="17">
        <f t="shared" si="1"/>
        <v>-19.509099019561745</v>
      </c>
      <c r="G35" s="17">
        <f t="shared" si="2"/>
        <v>380.60494455506506</v>
      </c>
      <c r="O35" s="14"/>
      <c r="P35" s="130">
        <f>AVERAGE(B11:B130)</f>
        <v>37.858333333333334</v>
      </c>
      <c r="Q35" s="130"/>
    </row>
    <row r="36" spans="1:24" ht="18" customHeight="1" x14ac:dyDescent="0.2">
      <c r="A36" s="4">
        <v>44253</v>
      </c>
      <c r="B36" s="5">
        <v>58</v>
      </c>
      <c r="C36" s="5">
        <v>279729</v>
      </c>
      <c r="E36" s="17">
        <f t="shared" si="0"/>
        <v>68.277143032262487</v>
      </c>
      <c r="F36" s="17">
        <f t="shared" si="1"/>
        <v>-10.277143032262487</v>
      </c>
      <c r="G36" s="17">
        <f t="shared" si="2"/>
        <v>105.61966890558138</v>
      </c>
      <c r="O36" s="14"/>
      <c r="P36" s="130">
        <f>SUMPRODUCT(POWER(C11:C130-P34,2))</f>
        <v>29096772539851.477</v>
      </c>
      <c r="Q36" s="130"/>
    </row>
    <row r="37" spans="1:24" ht="18" customHeight="1" x14ac:dyDescent="0.2">
      <c r="A37" s="4">
        <v>44254</v>
      </c>
      <c r="B37" s="5">
        <v>33</v>
      </c>
      <c r="C37" s="5">
        <v>285185</v>
      </c>
      <c r="E37" s="17">
        <f t="shared" si="0"/>
        <v>67.867844239667164</v>
      </c>
      <c r="F37" s="17">
        <f t="shared" si="1"/>
        <v>-34.867844239667164</v>
      </c>
      <c r="G37" s="17">
        <f t="shared" si="2"/>
        <v>1215.7665619216907</v>
      </c>
      <c r="O37" s="14"/>
      <c r="P37" s="130">
        <f>SUMPRODUCT(POWER(B11:B130-P35,2))</f>
        <v>524434.59166666621</v>
      </c>
      <c r="Q37" s="130"/>
    </row>
    <row r="38" spans="1:24" ht="18" customHeight="1" x14ac:dyDescent="0.2">
      <c r="A38" s="4">
        <v>44255</v>
      </c>
      <c r="B38" s="5">
        <v>41</v>
      </c>
      <c r="C38" s="5">
        <v>286470</v>
      </c>
      <c r="E38" s="17">
        <f t="shared" si="0"/>
        <v>67.77144597198297</v>
      </c>
      <c r="F38" s="17">
        <f t="shared" si="1"/>
        <v>-26.77144597198297</v>
      </c>
      <c r="G38" s="17">
        <f t="shared" si="2"/>
        <v>716.71031943080322</v>
      </c>
      <c r="O38" s="14"/>
      <c r="P38" s="130">
        <f xml:space="preserve"> SUMPRODUCT( (B11:B130-P35) * (C11:C130-P34))</f>
        <v>-2182784800.0333338</v>
      </c>
      <c r="Q38" s="130"/>
      <c r="T38" s="126" t="s">
        <v>77</v>
      </c>
      <c r="U38" s="126"/>
    </row>
    <row r="39" spans="1:24" ht="18" customHeight="1" x14ac:dyDescent="0.2">
      <c r="A39" s="4">
        <v>44256</v>
      </c>
      <c r="B39" s="5">
        <v>34</v>
      </c>
      <c r="C39" s="5">
        <v>290637</v>
      </c>
      <c r="E39" s="17">
        <f t="shared" si="0"/>
        <v>67.458845519500443</v>
      </c>
      <c r="F39" s="17">
        <f t="shared" si="1"/>
        <v>-33.458845519500443</v>
      </c>
      <c r="G39" s="17">
        <f t="shared" si="2"/>
        <v>1119.4943434977949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291987</v>
      </c>
      <c r="E40" s="17">
        <f t="shared" si="0"/>
        <v>67.357571074851663</v>
      </c>
      <c r="F40" s="17">
        <f t="shared" si="1"/>
        <v>-29.357571074851663</v>
      </c>
      <c r="G40" s="17">
        <f t="shared" si="2"/>
        <v>861.86697941496698</v>
      </c>
      <c r="O40" s="16"/>
      <c r="P40" s="120">
        <f>P35 - P34*P41</f>
        <v>89.261883126451679</v>
      </c>
      <c r="Q40" s="120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293652</v>
      </c>
      <c r="E41" s="17">
        <f t="shared" si="0"/>
        <v>67.232665926451517</v>
      </c>
      <c r="F41" s="17">
        <f t="shared" si="1"/>
        <v>-26.232665926451517</v>
      </c>
      <c r="G41" s="17">
        <f t="shared" si="2"/>
        <v>688.15276160881047</v>
      </c>
      <c r="O41" s="13"/>
      <c r="P41" s="122">
        <f>P38/P36</f>
        <v>-7.5018107147236049E-5</v>
      </c>
      <c r="Q41" s="122"/>
    </row>
    <row r="42" spans="1:24" ht="18" customHeight="1" x14ac:dyDescent="0.2">
      <c r="A42" s="4">
        <v>44259</v>
      </c>
      <c r="B42" s="5">
        <v>28</v>
      </c>
      <c r="C42" s="5">
        <v>298685</v>
      </c>
      <c r="E42" s="17">
        <f t="shared" si="0"/>
        <v>66.855099793179477</v>
      </c>
      <c r="F42" s="17">
        <f t="shared" si="1"/>
        <v>-38.855099793179477</v>
      </c>
      <c r="G42" s="17">
        <f t="shared" si="2"/>
        <v>1509.7187799379358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17">
        <f t="shared" si="0"/>
        <v>66.419319608761185</v>
      </c>
      <c r="F43" s="17">
        <f t="shared" si="1"/>
        <v>-38.419319608761185</v>
      </c>
      <c r="G43" s="17">
        <f t="shared" si="2"/>
        <v>1476.0441192001417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17">
        <f t="shared" si="0"/>
        <v>65.773638760544927</v>
      </c>
      <c r="F44" s="17">
        <f t="shared" si="1"/>
        <v>-39.773638760544927</v>
      </c>
      <c r="G44" s="17">
        <f t="shared" si="2"/>
        <v>1581.9423402543218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17">
        <f t="shared" si="0"/>
        <v>65.462088561562453</v>
      </c>
      <c r="F45" s="17">
        <f t="shared" si="1"/>
        <v>-37.462088561562453</v>
      </c>
      <c r="G45" s="17">
        <f t="shared" si="2"/>
        <v>1403.4080793943483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324862</v>
      </c>
      <c r="E46" s="17">
        <f t="shared" si="0"/>
        <v>64.891350802386285</v>
      </c>
      <c r="F46" s="17">
        <f t="shared" si="1"/>
        <v>-39.891350802386285</v>
      </c>
      <c r="G46" s="17">
        <f t="shared" si="2"/>
        <v>1591.3198688390448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17">
        <f t="shared" si="0"/>
        <v>64.72796136501961</v>
      </c>
      <c r="F47" s="17">
        <f t="shared" si="1"/>
        <v>-34.72796136501961</v>
      </c>
      <c r="G47" s="17">
        <f t="shared" si="2"/>
        <v>1206.0313005702947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17">
        <f t="shared" si="0"/>
        <v>64.58497685279697</v>
      </c>
      <c r="F48" s="17">
        <f t="shared" si="1"/>
        <v>-42.58497685279697</v>
      </c>
      <c r="G48" s="17">
        <f t="shared" si="2"/>
        <v>1813.4802535532538</v>
      </c>
    </row>
    <row r="49" spans="1:24" ht="18" customHeight="1" x14ac:dyDescent="0.2">
      <c r="A49" s="4">
        <v>44266</v>
      </c>
      <c r="B49" s="5">
        <v>18</v>
      </c>
      <c r="C49" s="5">
        <v>337944</v>
      </c>
      <c r="E49" s="17">
        <f t="shared" si="0"/>
        <v>63.909963924686139</v>
      </c>
      <c r="F49" s="17">
        <f t="shared" si="1"/>
        <v>-45.909963924686139</v>
      </c>
      <c r="G49" s="17">
        <f t="shared" si="2"/>
        <v>2107.7247875659828</v>
      </c>
      <c r="P49" s="119" t="s">
        <v>10</v>
      </c>
      <c r="Q49" s="119"/>
    </row>
    <row r="50" spans="1:24" ht="18" customHeight="1" x14ac:dyDescent="0.2">
      <c r="A50" s="4">
        <v>44267</v>
      </c>
      <c r="B50" s="5">
        <v>15</v>
      </c>
      <c r="C50" s="5">
        <v>352247</v>
      </c>
      <c r="E50" s="17">
        <f t="shared" si="0"/>
        <v>62.836979938159217</v>
      </c>
      <c r="F50" s="17">
        <f t="shared" si="1"/>
        <v>-47.836979938159217</v>
      </c>
      <c r="G50" s="17">
        <f t="shared" si="2"/>
        <v>2288.3766496038475</v>
      </c>
      <c r="O50" s="15"/>
      <c r="P50" s="120">
        <f>(POWER(P38,2)/(P36*P37))</f>
        <v>0.31223795418960137</v>
      </c>
      <c r="Q50" s="120"/>
    </row>
    <row r="51" spans="1:24" ht="18" customHeight="1" x14ac:dyDescent="0.2">
      <c r="A51" s="4">
        <v>44268</v>
      </c>
      <c r="B51" s="5">
        <v>19</v>
      </c>
      <c r="C51" s="5">
        <v>365719</v>
      </c>
      <c r="E51" s="17">
        <f t="shared" si="0"/>
        <v>61.826335998671659</v>
      </c>
      <c r="F51" s="17">
        <f t="shared" si="1"/>
        <v>-42.826335998671659</v>
      </c>
      <c r="G51" s="17">
        <f t="shared" si="2"/>
        <v>1834.09505507112</v>
      </c>
      <c r="O51" s="32"/>
      <c r="P51" s="122">
        <f>P38 / (SQRT(P36) * SQRT(P37))</f>
        <v>-0.55878256432140161</v>
      </c>
      <c r="Q51" s="122"/>
    </row>
    <row r="52" spans="1:24" ht="18" customHeight="1" x14ac:dyDescent="0.2">
      <c r="A52" s="4">
        <v>44269</v>
      </c>
      <c r="B52" s="5">
        <v>15</v>
      </c>
      <c r="C52" s="5">
        <v>371084</v>
      </c>
      <c r="E52" s="17">
        <f t="shared" si="0"/>
        <v>61.423863853826738</v>
      </c>
      <c r="F52" s="17">
        <f t="shared" si="1"/>
        <v>-46.423863853826738</v>
      </c>
      <c r="G52" s="17">
        <f t="shared" si="2"/>
        <v>2155.1751351186408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377464</v>
      </c>
      <c r="E53" s="17">
        <f t="shared" si="0"/>
        <v>60.945248330227372</v>
      </c>
      <c r="F53" s="17">
        <f t="shared" si="1"/>
        <v>-50.945248330227372</v>
      </c>
      <c r="G53" s="17">
        <f t="shared" si="2"/>
        <v>2595.4183274285347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380479</v>
      </c>
      <c r="E54" s="17">
        <f t="shared" si="0"/>
        <v>60.719068737178453</v>
      </c>
      <c r="F54" s="17">
        <f t="shared" si="1"/>
        <v>-47.719068737178453</v>
      </c>
      <c r="G54" s="17">
        <f t="shared" si="2"/>
        <v>2277.1095211435622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386426</v>
      </c>
      <c r="E55" s="17">
        <f t="shared" si="0"/>
        <v>60.272936053973837</v>
      </c>
      <c r="F55" s="17">
        <f t="shared" si="1"/>
        <v>-45.272936053973837</v>
      </c>
      <c r="G55" s="17">
        <f t="shared" si="2"/>
        <v>2049.6387389472043</v>
      </c>
    </row>
    <row r="56" spans="1:24" ht="18" customHeight="1" x14ac:dyDescent="0.2">
      <c r="A56" s="4">
        <v>44273</v>
      </c>
      <c r="B56" s="5">
        <v>21</v>
      </c>
      <c r="C56" s="5">
        <v>408323</v>
      </c>
      <c r="E56" s="17">
        <f t="shared" si="0"/>
        <v>58.630264561770815</v>
      </c>
      <c r="F56" s="17">
        <f t="shared" si="1"/>
        <v>-37.630264561770815</v>
      </c>
      <c r="G56" s="17">
        <f t="shared" si="2"/>
        <v>1416.0368109888645</v>
      </c>
    </row>
    <row r="57" spans="1:24" ht="18" customHeight="1" x14ac:dyDescent="0.2">
      <c r="A57" s="4">
        <v>44274</v>
      </c>
      <c r="B57" s="5">
        <v>11</v>
      </c>
      <c r="C57" s="5">
        <v>441676</v>
      </c>
      <c r="E57" s="17">
        <f t="shared" si="0"/>
        <v>56.12818563408905</v>
      </c>
      <c r="F57" s="17">
        <f t="shared" si="1"/>
        <v>-45.12818563408905</v>
      </c>
      <c r="G57" s="17">
        <f t="shared" si="2"/>
        <v>2036.5531386248012</v>
      </c>
    </row>
    <row r="58" spans="1:24" ht="18" customHeight="1" x14ac:dyDescent="0.2">
      <c r="A58" s="4">
        <v>44275</v>
      </c>
      <c r="B58" s="5">
        <v>8</v>
      </c>
      <c r="C58" s="5">
        <v>469651</v>
      </c>
      <c r="E58" s="17">
        <f t="shared" si="0"/>
        <v>54.02955408664512</v>
      </c>
      <c r="F58" s="17">
        <f t="shared" si="1"/>
        <v>-46.02955408664512</v>
      </c>
      <c r="G58" s="17">
        <f t="shared" si="2"/>
        <v>2118.7198494153886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482561</v>
      </c>
      <c r="E59" s="17">
        <f t="shared" si="0"/>
        <v>53.061070323374302</v>
      </c>
      <c r="F59" s="17">
        <f t="shared" si="1"/>
        <v>-47.061070323374302</v>
      </c>
      <c r="G59" s="17">
        <f t="shared" si="2"/>
        <v>2214.7443399815816</v>
      </c>
    </row>
    <row r="60" spans="1:24" ht="18" customHeight="1" x14ac:dyDescent="0.2">
      <c r="A60" s="4">
        <v>44277</v>
      </c>
      <c r="B60" s="5">
        <v>16</v>
      </c>
      <c r="C60" s="5">
        <v>488236</v>
      </c>
      <c r="E60" s="17">
        <f t="shared" si="0"/>
        <v>52.635342565313742</v>
      </c>
      <c r="F60" s="17">
        <f t="shared" si="1"/>
        <v>-36.635342565313742</v>
      </c>
      <c r="G60" s="17">
        <f t="shared" si="2"/>
        <v>1342.1483248778889</v>
      </c>
    </row>
    <row r="61" spans="1:24" ht="18" customHeight="1" x14ac:dyDescent="0.2">
      <c r="A61" s="4">
        <v>44278</v>
      </c>
      <c r="B61" s="5">
        <v>10</v>
      </c>
      <c r="C61" s="5">
        <v>495868</v>
      </c>
      <c r="E61" s="17">
        <f t="shared" si="0"/>
        <v>52.062804371566031</v>
      </c>
      <c r="F61" s="17">
        <f t="shared" si="1"/>
        <v>-42.062804371566031</v>
      </c>
      <c r="G61" s="17">
        <f t="shared" si="2"/>
        <v>1769.2795116006344</v>
      </c>
    </row>
    <row r="62" spans="1:24" ht="18" customHeight="1" x14ac:dyDescent="0.2">
      <c r="A62" s="4">
        <v>44279</v>
      </c>
      <c r="B62" s="5">
        <v>11</v>
      </c>
      <c r="C62" s="5">
        <v>497940</v>
      </c>
      <c r="E62" s="17">
        <f t="shared" si="0"/>
        <v>51.907366853556958</v>
      </c>
      <c r="F62" s="17">
        <f t="shared" si="1"/>
        <v>-40.907366853556958</v>
      </c>
      <c r="G62" s="17">
        <f t="shared" si="2"/>
        <v>1673.4126628914905</v>
      </c>
    </row>
    <row r="63" spans="1:24" ht="18" customHeight="1" x14ac:dyDescent="0.2">
      <c r="A63" s="4">
        <v>44280</v>
      </c>
      <c r="B63" s="5">
        <v>9</v>
      </c>
      <c r="C63" s="5">
        <v>501547</v>
      </c>
      <c r="E63" s="17">
        <f t="shared" si="0"/>
        <v>51.636776541076877</v>
      </c>
      <c r="F63" s="17">
        <f t="shared" si="1"/>
        <v>-42.636776541076877</v>
      </c>
      <c r="G63" s="17">
        <f t="shared" si="2"/>
        <v>1817.8947138137235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506051</v>
      </c>
      <c r="E64" s="17">
        <f t="shared" si="0"/>
        <v>51.298894986485728</v>
      </c>
      <c r="F64" s="17">
        <f t="shared" si="1"/>
        <v>-46.298894986485728</v>
      </c>
      <c r="G64" s="17">
        <f t="shared" si="2"/>
        <v>2143.5876769696333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17">
        <f t="shared" si="0"/>
        <v>51.114650515332116</v>
      </c>
      <c r="F65" s="17">
        <f t="shared" si="1"/>
        <v>-43.114650515332116</v>
      </c>
      <c r="G65" s="17">
        <f t="shared" si="2"/>
        <v>1858.8730890592278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17">
        <f t="shared" si="0"/>
        <v>51.000773028682616</v>
      </c>
      <c r="F66" s="17">
        <f t="shared" si="1"/>
        <v>-41.000773028682616</v>
      </c>
      <c r="G66" s="17">
        <f t="shared" si="2"/>
        <v>1681.0633889495477</v>
      </c>
      <c r="M66" s="129" t="s">
        <v>40</v>
      </c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 ht="18" customHeight="1" x14ac:dyDescent="0.2">
      <c r="A67" s="4">
        <v>44284</v>
      </c>
      <c r="B67" s="5">
        <v>6</v>
      </c>
      <c r="C67" s="5">
        <v>511095</v>
      </c>
      <c r="E67" s="17">
        <f t="shared" si="0"/>
        <v>50.920503654035073</v>
      </c>
      <c r="F67" s="17">
        <f t="shared" si="1"/>
        <v>-44.920503654035073</v>
      </c>
      <c r="G67" s="17">
        <f t="shared" si="2"/>
        <v>2017.8516485321784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17">
        <f t="shared" si="0"/>
        <v>50.723356068452134</v>
      </c>
      <c r="F68" s="17">
        <f t="shared" si="1"/>
        <v>-48.723356068452134</v>
      </c>
      <c r="G68" s="17">
        <f t="shared" si="2"/>
        <v>2373.9654265731715</v>
      </c>
      <c r="P68" s="119" t="s">
        <v>10</v>
      </c>
      <c r="Q68" s="119"/>
    </row>
    <row r="69" spans="1:23" ht="18" customHeight="1" x14ac:dyDescent="0.2">
      <c r="A69" s="4">
        <v>44286</v>
      </c>
      <c r="B69" s="5">
        <v>3</v>
      </c>
      <c r="C69" s="5">
        <v>517319</v>
      </c>
      <c r="E69" s="17">
        <f t="shared" si="0"/>
        <v>50.453590955150673</v>
      </c>
      <c r="F69" s="17">
        <f t="shared" si="1"/>
        <v>-47.453590955150673</v>
      </c>
      <c r="G69" s="17">
        <f t="shared" si="2"/>
        <v>2251.8432945387576</v>
      </c>
      <c r="O69" s="103" t="s">
        <v>41</v>
      </c>
      <c r="P69" s="120">
        <v>0.9</v>
      </c>
      <c r="Q69" s="120"/>
    </row>
    <row r="70" spans="1:23" ht="18" customHeight="1" x14ac:dyDescent="0.2">
      <c r="A70" s="4">
        <v>44287</v>
      </c>
      <c r="B70" s="5">
        <v>11</v>
      </c>
      <c r="C70" s="5">
        <v>527026</v>
      </c>
      <c r="E70" s="17">
        <f t="shared" si="0"/>
        <v>49.725390189072449</v>
      </c>
      <c r="F70" s="17">
        <f t="shared" si="1"/>
        <v>-38.725390189072449</v>
      </c>
      <c r="G70" s="17">
        <f t="shared" si="2"/>
        <v>1499.6558452959086</v>
      </c>
      <c r="O70" s="18" t="s">
        <v>34</v>
      </c>
      <c r="P70" s="121">
        <f>1-P69</f>
        <v>9.9999999999999978E-2</v>
      </c>
      <c r="Q70" s="121"/>
    </row>
    <row r="71" spans="1:23" ht="18" customHeight="1" x14ac:dyDescent="0.2">
      <c r="A71" s="4">
        <v>44288</v>
      </c>
      <c r="B71" s="5">
        <v>9</v>
      </c>
      <c r="C71" s="5">
        <v>569074</v>
      </c>
      <c r="E71" s="17">
        <f t="shared" si="0"/>
        <v>46.571028819745472</v>
      </c>
      <c r="F71" s="17">
        <f t="shared" si="1"/>
        <v>-37.571028819745472</v>
      </c>
      <c r="G71" s="17">
        <f t="shared" si="2"/>
        <v>1411.5822065741447</v>
      </c>
      <c r="O71" s="13"/>
      <c r="P71" s="122">
        <f xml:space="preserve"> _xlfn.T.INV(1-P70/2,B133-2)</f>
        <v>1.6578695221106927</v>
      </c>
      <c r="Q71" s="122"/>
    </row>
    <row r="72" spans="1:23" ht="18" customHeight="1" x14ac:dyDescent="0.2">
      <c r="A72" s="4">
        <v>44289</v>
      </c>
      <c r="B72" s="5">
        <v>7</v>
      </c>
      <c r="C72" s="5">
        <v>585830</v>
      </c>
      <c r="E72" s="17">
        <f t="shared" si="0"/>
        <v>45.314025416386386</v>
      </c>
      <c r="F72" s="17">
        <f t="shared" si="1"/>
        <v>-38.314025416386386</v>
      </c>
      <c r="G72" s="17">
        <f t="shared" si="2"/>
        <v>1467.964543607502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17">
        <f t="shared" si="0"/>
        <v>44.779671439176624</v>
      </c>
      <c r="F73" s="17">
        <f t="shared" si="1"/>
        <v>-40.779671439176624</v>
      </c>
      <c r="G73" s="17">
        <f t="shared" si="2"/>
        <v>1662.9816026871977</v>
      </c>
      <c r="O73" s="102" t="s">
        <v>35</v>
      </c>
      <c r="P73" s="119">
        <f xml:space="preserve"> SQRT((1/ (B133-2)) * SUM(G11:G130))</f>
        <v>55.287094124815134</v>
      </c>
      <c r="Q73" s="119"/>
    </row>
    <row r="74" spans="1:23" ht="18" customHeight="1" x14ac:dyDescent="0.2">
      <c r="A74" s="4">
        <v>44291</v>
      </c>
      <c r="B74" s="5">
        <v>6</v>
      </c>
      <c r="C74" s="5">
        <v>596680</v>
      </c>
      <c r="E74" s="17">
        <f t="shared" si="0"/>
        <v>44.500078953838873</v>
      </c>
      <c r="F74" s="17">
        <f t="shared" si="1"/>
        <v>-38.500078953838873</v>
      </c>
      <c r="G74" s="17">
        <f t="shared" si="2"/>
        <v>1482.256079451827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17">
        <f t="shared" si="0"/>
        <v>44.055971759527232</v>
      </c>
      <c r="F75" s="17">
        <f t="shared" si="1"/>
        <v>-42.055971759527232</v>
      </c>
      <c r="G75" s="17">
        <f t="shared" si="2"/>
        <v>1768.704760638152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17">
        <f t="shared" ref="E76:E130" si="3">$P$40 + $P$41*C76</f>
        <v>43.824765953299455</v>
      </c>
      <c r="F76" s="17">
        <f t="shared" ref="F76:F130" si="4">B76-E76</f>
        <v>-40.824765953299455</v>
      </c>
      <c r="G76" s="17">
        <f t="shared" ref="G76:G130" si="5">POWER(F76,2)</f>
        <v>1666.6615151416784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17">
        <f t="shared" si="3"/>
        <v>43.041651932789456</v>
      </c>
      <c r="F77" s="17">
        <f t="shared" si="4"/>
        <v>-34.041651932789456</v>
      </c>
      <c r="G77" s="17">
        <f t="shared" si="5"/>
        <v>1158.834066313188</v>
      </c>
      <c r="O77" s="121"/>
      <c r="P77" s="121"/>
      <c r="Q77" s="121"/>
      <c r="T77" s="121"/>
      <c r="U77" s="121"/>
      <c r="V77" s="121"/>
    </row>
    <row r="78" spans="1:23" ht="18" customHeight="1" x14ac:dyDescent="0.2">
      <c r="A78" s="4">
        <v>44295</v>
      </c>
      <c r="B78" s="5">
        <v>5</v>
      </c>
      <c r="C78" s="5">
        <v>631127</v>
      </c>
      <c r="E78" s="17">
        <f t="shared" si="3"/>
        <v>41.91593021693803</v>
      </c>
      <c r="F78" s="17">
        <f t="shared" si="4"/>
        <v>-36.91593021693803</v>
      </c>
      <c r="G78" s="17">
        <f t="shared" si="5"/>
        <v>1362.7859037818382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17">
        <f t="shared" si="3"/>
        <v>40.971827338490066</v>
      </c>
      <c r="F79" s="17">
        <f t="shared" si="4"/>
        <v>-34.971827338490066</v>
      </c>
      <c r="G79" s="17">
        <f t="shared" si="5"/>
        <v>1223.0287073931611</v>
      </c>
      <c r="O79" s="16"/>
      <c r="P79" s="127">
        <f xml:space="preserve"> SQRT( (1/B133) + (POWER(P34,2) / P36))</f>
        <v>0.1564283479338304</v>
      </c>
      <c r="Q79" s="127"/>
      <c r="T79" s="16"/>
      <c r="U79" s="127">
        <f xml:space="preserve"> SQRT( 1/P36 )</f>
        <v>1.8538628025483621E-7</v>
      </c>
      <c r="V79" s="127"/>
    </row>
    <row r="80" spans="1:23" ht="18" customHeight="1" x14ac:dyDescent="0.2">
      <c r="A80" s="4">
        <v>44297</v>
      </c>
      <c r="B80" s="5">
        <v>6</v>
      </c>
      <c r="C80" s="5">
        <v>645818</v>
      </c>
      <c r="E80" s="17">
        <f t="shared" si="3"/>
        <v>40.81383920483799</v>
      </c>
      <c r="F80" s="17">
        <f t="shared" si="4"/>
        <v>-34.81383920483799</v>
      </c>
      <c r="G80" s="17">
        <f t="shared" si="5"/>
        <v>1212.0034001803147</v>
      </c>
      <c r="O80" s="13"/>
      <c r="P80" s="128"/>
      <c r="Q80" s="128"/>
      <c r="T80" s="13"/>
      <c r="U80" s="128"/>
      <c r="V80" s="128"/>
    </row>
    <row r="81" spans="1:23" ht="18" customHeight="1" x14ac:dyDescent="0.2">
      <c r="A81" s="4">
        <v>44298</v>
      </c>
      <c r="B81" s="5">
        <v>2</v>
      </c>
      <c r="C81" s="5">
        <v>651251</v>
      </c>
      <c r="E81" s="17">
        <f t="shared" si="3"/>
        <v>40.406265828707056</v>
      </c>
      <c r="F81" s="17">
        <f t="shared" si="4"/>
        <v>-38.406265828707056</v>
      </c>
      <c r="G81" s="17">
        <f t="shared" si="5"/>
        <v>1475.0412549053112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17">
        <f t="shared" si="3"/>
        <v>40.244076681054729</v>
      </c>
      <c r="F82" s="17">
        <f t="shared" si="4"/>
        <v>-35.244076681054729</v>
      </c>
      <c r="G82" s="17">
        <f t="shared" si="5"/>
        <v>1242.1449411000658</v>
      </c>
      <c r="O82" s="19" t="s">
        <v>36</v>
      </c>
      <c r="P82" s="119">
        <f>P71*P73*P79</f>
        <v>14.338032829825384</v>
      </c>
      <c r="Q82" s="119"/>
      <c r="T82" s="19" t="s">
        <v>36</v>
      </c>
      <c r="U82" s="119">
        <f>P71*P73*U79</f>
        <v>1.6992281818493817E-5</v>
      </c>
      <c r="V82" s="119"/>
    </row>
    <row r="83" spans="1:23" ht="18" customHeight="1" x14ac:dyDescent="0.2">
      <c r="A83" s="4">
        <v>44300</v>
      </c>
      <c r="B83" s="5">
        <v>8</v>
      </c>
      <c r="C83" s="5">
        <v>655193</v>
      </c>
      <c r="E83" s="17">
        <f t="shared" si="3"/>
        <v>40.110544450332647</v>
      </c>
      <c r="F83" s="17">
        <f t="shared" si="4"/>
        <v>-32.110544450332647</v>
      </c>
      <c r="G83" s="17">
        <f t="shared" si="5"/>
        <v>1031.0870648967887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17">
        <f t="shared" si="3"/>
        <v>39.293372209177811</v>
      </c>
      <c r="F84" s="17">
        <f t="shared" si="4"/>
        <v>-37.293372209177811</v>
      </c>
      <c r="G84" s="17">
        <f t="shared" si="5"/>
        <v>1390.7956107322759</v>
      </c>
      <c r="O84" s="16" t="s">
        <v>37</v>
      </c>
      <c r="P84" s="120">
        <f>ROUND(P40-P82,4)</f>
        <v>74.923900000000003</v>
      </c>
      <c r="Q84" s="120"/>
      <c r="T84" s="16" t="s">
        <v>37</v>
      </c>
      <c r="U84" s="120">
        <f>ROUND(P41-U82,4)</f>
        <v>-1E-4</v>
      </c>
      <c r="V84" s="120"/>
    </row>
    <row r="85" spans="1:23" ht="18" customHeight="1" x14ac:dyDescent="0.2">
      <c r="A85" s="4">
        <v>44302</v>
      </c>
      <c r="B85" s="5">
        <v>4</v>
      </c>
      <c r="C85" s="5">
        <v>676217</v>
      </c>
      <c r="E85" s="17">
        <f t="shared" si="3"/>
        <v>38.533363765669158</v>
      </c>
      <c r="F85" s="17">
        <f t="shared" si="4"/>
        <v>-34.533363765669158</v>
      </c>
      <c r="G85" s="17">
        <f t="shared" si="5"/>
        <v>1192.5532129720316</v>
      </c>
      <c r="O85" s="13" t="s">
        <v>38</v>
      </c>
      <c r="P85" s="122">
        <f>ROUND(P40+P82,4)</f>
        <v>103.59990000000001</v>
      </c>
      <c r="Q85" s="122"/>
      <c r="T85" s="13" t="s">
        <v>38</v>
      </c>
      <c r="U85" s="122">
        <f>ROUND(P41+U82,4)</f>
        <v>-1E-4</v>
      </c>
      <c r="V85" s="122"/>
    </row>
    <row r="86" spans="1:23" ht="18" customHeight="1" x14ac:dyDescent="0.2">
      <c r="A86" s="4">
        <v>44303</v>
      </c>
      <c r="B86" s="5">
        <v>5</v>
      </c>
      <c r="C86" s="5">
        <v>696172</v>
      </c>
      <c r="E86" s="17">
        <f t="shared" si="3"/>
        <v>37.036377437546065</v>
      </c>
      <c r="F86" s="17">
        <f t="shared" si="4"/>
        <v>-32.036377437546065</v>
      </c>
      <c r="G86" s="17">
        <f t="shared" si="5"/>
        <v>1026.3294793209107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17">
        <f t="shared" si="3"/>
        <v>36.666538169310186</v>
      </c>
      <c r="F87" s="17">
        <f t="shared" si="4"/>
        <v>-33.666538169310186</v>
      </c>
      <c r="G87" s="17">
        <f t="shared" si="5"/>
        <v>1133.4357923056198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17">
        <f t="shared" si="3"/>
        <v>36.235934234285054</v>
      </c>
      <c r="F88" s="17">
        <f t="shared" si="4"/>
        <v>-35.235934234285054</v>
      </c>
      <c r="G88" s="17">
        <f t="shared" si="5"/>
        <v>1241.5710613628614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17">
        <f t="shared" si="3"/>
        <v>35.398207031771868</v>
      </c>
      <c r="F89" s="17">
        <f t="shared" si="4"/>
        <v>-30.398207031771868</v>
      </c>
      <c r="G89" s="17">
        <f t="shared" si="5"/>
        <v>924.05099074646466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17">
        <f t="shared" si="3"/>
        <v>34.724844502018279</v>
      </c>
      <c r="F90" s="17">
        <f t="shared" si="4"/>
        <v>-33.724844502018279</v>
      </c>
      <c r="G90" s="17">
        <f t="shared" si="5"/>
        <v>1137.3651366853126</v>
      </c>
      <c r="M90" s="129" t="s">
        <v>42</v>
      </c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 ht="18" customHeight="1" x14ac:dyDescent="0.2">
      <c r="A91" s="4">
        <v>44308</v>
      </c>
      <c r="B91" s="5">
        <v>4</v>
      </c>
      <c r="C91" s="5">
        <v>750872</v>
      </c>
      <c r="E91" s="17">
        <f t="shared" si="3"/>
        <v>32.932886976592251</v>
      </c>
      <c r="F91" s="17">
        <f t="shared" si="4"/>
        <v>-28.932886976592251</v>
      </c>
      <c r="G91" s="17">
        <f t="shared" si="5"/>
        <v>837.11194880026142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17">
        <f t="shared" si="3"/>
        <v>29.982349804384313</v>
      </c>
      <c r="F92" s="17">
        <f t="shared" si="4"/>
        <v>-28.982349804384313</v>
      </c>
      <c r="G92" s="17">
        <f t="shared" si="5"/>
        <v>839.97660018369538</v>
      </c>
      <c r="P92" s="119" t="s">
        <v>10</v>
      </c>
      <c r="Q92" s="119"/>
    </row>
    <row r="93" spans="1:23" ht="18" customHeight="1" x14ac:dyDescent="0.2">
      <c r="A93" s="4">
        <v>44310</v>
      </c>
      <c r="B93" s="5">
        <v>2</v>
      </c>
      <c r="C93" s="5">
        <v>828138</v>
      </c>
      <c r="E93" s="17">
        <f t="shared" si="3"/>
        <v>27.136537909753912</v>
      </c>
      <c r="F93" s="17">
        <f t="shared" si="4"/>
        <v>-25.136537909753912</v>
      </c>
      <c r="G93" s="17">
        <f t="shared" si="5"/>
        <v>631.84553808849557</v>
      </c>
      <c r="O93" s="103" t="s">
        <v>41</v>
      </c>
      <c r="P93" s="120">
        <v>0.95</v>
      </c>
      <c r="Q93" s="120"/>
    </row>
    <row r="94" spans="1:23" ht="18" customHeight="1" x14ac:dyDescent="0.2">
      <c r="A94" s="4">
        <v>44311</v>
      </c>
      <c r="B94" s="5">
        <v>6</v>
      </c>
      <c r="C94" s="5">
        <v>840420</v>
      </c>
      <c r="E94" s="17">
        <f t="shared" si="3"/>
        <v>26.21516551777156</v>
      </c>
      <c r="F94" s="17">
        <f t="shared" si="4"/>
        <v>-20.21516551777156</v>
      </c>
      <c r="G94" s="17">
        <f t="shared" si="5"/>
        <v>408.65291691090027</v>
      </c>
      <c r="O94" s="18" t="s">
        <v>34</v>
      </c>
      <c r="P94" s="121">
        <f>1-P93</f>
        <v>5.0000000000000044E-2</v>
      </c>
      <c r="Q94" s="121"/>
    </row>
    <row r="95" spans="1:23" ht="18" customHeight="1" x14ac:dyDescent="0.2">
      <c r="A95" s="4">
        <v>44312</v>
      </c>
      <c r="B95" s="5">
        <v>0</v>
      </c>
      <c r="C95" s="5">
        <v>847664</v>
      </c>
      <c r="E95" s="17">
        <f>$P$40 + $P$41*C95</f>
        <v>25.671734349596981</v>
      </c>
      <c r="F95" s="17">
        <f t="shared" si="4"/>
        <v>-25.671734349596981</v>
      </c>
      <c r="G95" s="17">
        <f t="shared" si="5"/>
        <v>659.03794451627755</v>
      </c>
      <c r="O95" s="13"/>
      <c r="P95" s="122">
        <f>_xlfn.T.INV(1-P94/2,B133-2)</f>
        <v>1.9802722492729716</v>
      </c>
      <c r="Q95" s="122"/>
    </row>
    <row r="96" spans="1:23" ht="18" customHeight="1" x14ac:dyDescent="0.2">
      <c r="A96" s="4">
        <v>44313</v>
      </c>
      <c r="B96" s="5">
        <v>5</v>
      </c>
      <c r="C96" s="5">
        <v>856281</v>
      </c>
      <c r="E96" s="17">
        <f t="shared" si="3"/>
        <v>25.025303320309249</v>
      </c>
      <c r="F96" s="17">
        <f t="shared" si="4"/>
        <v>-20.025303320309249</v>
      </c>
      <c r="G96" s="17">
        <f t="shared" si="5"/>
        <v>401.01277307038862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17">
        <f t="shared" si="3"/>
        <v>24.260118627407437</v>
      </c>
      <c r="F97" s="17">
        <f t="shared" si="4"/>
        <v>-21.260118627407437</v>
      </c>
      <c r="G97" s="17">
        <f t="shared" si="5"/>
        <v>451.99264405143668</v>
      </c>
      <c r="O97" s="102" t="s">
        <v>35</v>
      </c>
      <c r="P97" s="119">
        <f xml:space="preserve"> SQRT((1/ (B133-2)) * SUM(G11:G130))</f>
        <v>55.287094124815134</v>
      </c>
      <c r="Q97" s="119"/>
    </row>
    <row r="98" spans="1:22" ht="18" customHeight="1" x14ac:dyDescent="0.2">
      <c r="A98" s="4">
        <v>44315</v>
      </c>
      <c r="B98" s="5">
        <v>1</v>
      </c>
      <c r="C98" s="5">
        <v>885339</v>
      </c>
      <c r="E98" s="17">
        <f t="shared" si="3"/>
        <v>22.845427162824862</v>
      </c>
      <c r="F98" s="17">
        <f t="shared" si="4"/>
        <v>-21.845427162824862</v>
      </c>
      <c r="G98" s="17">
        <f t="shared" si="5"/>
        <v>477.22268792628631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17">
        <f t="shared" si="3"/>
        <v>21.477772051423599</v>
      </c>
      <c r="F99" s="17">
        <f t="shared" si="4"/>
        <v>-21.477772051423599</v>
      </c>
      <c r="G99" s="17">
        <f t="shared" si="5"/>
        <v>461.29469229291271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17">
        <f t="shared" si="3"/>
        <v>20.200363722920471</v>
      </c>
      <c r="F100" s="17">
        <f t="shared" si="4"/>
        <v>-18.200363722920471</v>
      </c>
      <c r="G100" s="17">
        <f t="shared" si="5"/>
        <v>331.25323964659952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17">
        <f t="shared" si="3"/>
        <v>19.491892719021962</v>
      </c>
      <c r="F101" s="17">
        <f t="shared" si="4"/>
        <v>-18.491892719021962</v>
      </c>
      <c r="G101" s="17">
        <f t="shared" si="5"/>
        <v>341.95009633181746</v>
      </c>
      <c r="O101" s="121"/>
      <c r="P101" s="121"/>
      <c r="Q101" s="121"/>
      <c r="T101" s="121"/>
      <c r="U101" s="121"/>
      <c r="V101" s="121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17">
        <f t="shared" si="3"/>
        <v>18.812003613946573</v>
      </c>
      <c r="F102" s="17">
        <f t="shared" si="4"/>
        <v>-18.812003613946573</v>
      </c>
      <c r="G102" s="17">
        <f t="shared" si="5"/>
        <v>353.89147997113889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17">
        <f t="shared" si="3"/>
        <v>17.790557067029809</v>
      </c>
      <c r="F103" s="17">
        <f t="shared" si="4"/>
        <v>-13.790557067029809</v>
      </c>
      <c r="G103" s="17">
        <f t="shared" si="5"/>
        <v>190.17946421900581</v>
      </c>
      <c r="O103" s="16"/>
      <c r="P103" s="127">
        <f>SQRT( (1/B133) + (POWER(P34,2) / P36))</f>
        <v>0.1564283479338304</v>
      </c>
      <c r="Q103" s="127"/>
      <c r="T103" s="16"/>
      <c r="U103" s="127">
        <f>SQRT( 1/P36 )</f>
        <v>1.8538628025483621E-7</v>
      </c>
      <c r="V103" s="127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17">
        <f t="shared" si="3"/>
        <v>16.52207589327719</v>
      </c>
      <c r="F104" s="17">
        <f t="shared" si="4"/>
        <v>-14.52207589327719</v>
      </c>
      <c r="G104" s="17">
        <f t="shared" si="5"/>
        <v>210.8906882501025</v>
      </c>
      <c r="O104" s="13"/>
      <c r="P104" s="128"/>
      <c r="Q104" s="128"/>
      <c r="T104" s="13"/>
      <c r="U104" s="128"/>
      <c r="V104" s="128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17">
        <f t="shared" si="3"/>
        <v>13.343408657234505</v>
      </c>
      <c r="F105" s="17">
        <f t="shared" si="4"/>
        <v>-8.3434086572345052</v>
      </c>
      <c r="G105" s="17">
        <f t="shared" si="5"/>
        <v>69.612468021615683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17">
        <f t="shared" si="3"/>
        <v>9.4952048149027348</v>
      </c>
      <c r="F106" s="17">
        <f t="shared" si="4"/>
        <v>-8.4952048149027348</v>
      </c>
      <c r="G106" s="17">
        <f t="shared" si="5"/>
        <v>72.168504847146608</v>
      </c>
      <c r="O106" s="19" t="s">
        <v>36</v>
      </c>
      <c r="P106" s="119">
        <f>P95*P97*P103</f>
        <v>17.126322755435915</v>
      </c>
      <c r="Q106" s="119"/>
      <c r="T106" s="19" t="s">
        <v>36</v>
      </c>
      <c r="U106" s="119">
        <f>P95*P97*U103</f>
        <v>2.0296738487687977E-5</v>
      </c>
      <c r="V106" s="119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17">
        <f t="shared" si="3"/>
        <v>5.2328260030110698</v>
      </c>
      <c r="F107" s="17">
        <f t="shared" si="4"/>
        <v>-3.2328260030110698</v>
      </c>
      <c r="G107" s="17">
        <f t="shared" si="5"/>
        <v>10.451163965744529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17">
        <f>$P$40 + $P$41*C108</f>
        <v>4.1909745309502568</v>
      </c>
      <c r="F108" s="17">
        <f t="shared" si="4"/>
        <v>-3.1909745309502568</v>
      </c>
      <c r="G108" s="17">
        <f t="shared" si="5"/>
        <v>10.182318457173212</v>
      </c>
      <c r="O108" s="16" t="s">
        <v>37</v>
      </c>
      <c r="P108" s="120">
        <f>ROUND(P40-P106,4)</f>
        <v>72.135599999999997</v>
      </c>
      <c r="Q108" s="120"/>
      <c r="T108" s="16" t="s">
        <v>37</v>
      </c>
      <c r="U108" s="120">
        <f>ROUND(P41-U106,4)</f>
        <v>-1E-4</v>
      </c>
      <c r="V108" s="120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17">
        <f t="shared" si="3"/>
        <v>2.1820646396544277</v>
      </c>
      <c r="F109" s="17">
        <f t="shared" si="4"/>
        <v>-1.1820646396544277</v>
      </c>
      <c r="G109" s="17">
        <f t="shared" si="5"/>
        <v>1.3972768123213519</v>
      </c>
      <c r="O109" s="13" t="s">
        <v>38</v>
      </c>
      <c r="P109" s="122">
        <f>ROUND(P40+P106,4)</f>
        <v>106.3882</v>
      </c>
      <c r="Q109" s="122"/>
      <c r="T109" s="13" t="s">
        <v>38</v>
      </c>
      <c r="U109" s="122">
        <f>ROUND(P41+U106,4)</f>
        <v>-1E-4</v>
      </c>
      <c r="V109" s="122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17">
        <f t="shared" si="3"/>
        <v>0.70533320046108372</v>
      </c>
      <c r="F110" s="17">
        <f t="shared" si="4"/>
        <v>0.29466679953891628</v>
      </c>
      <c r="G110" s="17">
        <f t="shared" si="5"/>
        <v>8.6828522750507869E-2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17">
        <f t="shared" si="3"/>
        <v>-0.49998272707355795</v>
      </c>
      <c r="F111" s="17">
        <f t="shared" si="4"/>
        <v>4.499982727073558</v>
      </c>
      <c r="G111" s="17">
        <f t="shared" si="5"/>
        <v>20.249844543960375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17">
        <f t="shared" si="3"/>
        <v>-1.63403145281832</v>
      </c>
      <c r="F112" s="17">
        <f t="shared" si="4"/>
        <v>2.63403145281832</v>
      </c>
      <c r="G112" s="17">
        <f t="shared" si="5"/>
        <v>6.9381216944361892</v>
      </c>
    </row>
    <row r="113" spans="1:25" ht="18" customHeight="1" x14ac:dyDescent="0.2">
      <c r="A113" s="4">
        <v>44330</v>
      </c>
      <c r="B113" s="5">
        <v>0</v>
      </c>
      <c r="C113" s="5">
        <v>1231250</v>
      </c>
      <c r="E113" s="17">
        <f t="shared" si="3"/>
        <v>-3.1041612985827101</v>
      </c>
      <c r="F113" s="17">
        <f t="shared" si="4"/>
        <v>3.1041612985827101</v>
      </c>
      <c r="G113" s="17">
        <f t="shared" si="5"/>
        <v>9.6358173676186976</v>
      </c>
    </row>
    <row r="114" spans="1:25" ht="18" customHeight="1" x14ac:dyDescent="0.2">
      <c r="A114" s="4">
        <v>44331</v>
      </c>
      <c r="B114" s="5">
        <v>7</v>
      </c>
      <c r="C114" s="5">
        <v>1287442</v>
      </c>
      <c r="E114" s="17">
        <f t="shared" si="3"/>
        <v>-7.3195787754001884</v>
      </c>
      <c r="F114" s="17">
        <f t="shared" si="4"/>
        <v>14.319578775400188</v>
      </c>
      <c r="G114" s="17">
        <f t="shared" si="5"/>
        <v>205.05033630489157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1411270</v>
      </c>
      <c r="E115" s="17">
        <f t="shared" si="3"/>
        <v>-16.608920947228142</v>
      </c>
      <c r="F115" s="17">
        <f t="shared" si="4"/>
        <v>17.608920947228142</v>
      </c>
      <c r="G115" s="17">
        <f t="shared" si="5"/>
        <v>310.07409692573009</v>
      </c>
    </row>
    <row r="116" spans="1:25" ht="18" customHeight="1" x14ac:dyDescent="0.2">
      <c r="A116" s="4">
        <v>44333</v>
      </c>
      <c r="B116" s="5">
        <v>2</v>
      </c>
      <c r="C116" s="5">
        <v>1469159</v>
      </c>
      <c r="E116" s="17">
        <f t="shared" si="3"/>
        <v>-20.95164415187449</v>
      </c>
      <c r="F116" s="17">
        <f t="shared" si="4"/>
        <v>22.95164415187449</v>
      </c>
      <c r="G116" s="17">
        <f t="shared" si="5"/>
        <v>526.77796927427448</v>
      </c>
    </row>
    <row r="117" spans="1:25" ht="18" customHeight="1" x14ac:dyDescent="0.2">
      <c r="A117" s="4">
        <v>44334</v>
      </c>
      <c r="B117" s="5">
        <v>2</v>
      </c>
      <c r="C117" s="5">
        <v>1489854</v>
      </c>
      <c r="E117" s="17">
        <f t="shared" si="3"/>
        <v>-22.504143879286545</v>
      </c>
      <c r="F117" s="17">
        <f t="shared" si="4"/>
        <v>24.504143879286545</v>
      </c>
      <c r="G117" s="17">
        <f t="shared" si="5"/>
        <v>600.45306725677619</v>
      </c>
    </row>
    <row r="118" spans="1:25" ht="18" customHeight="1" x14ac:dyDescent="0.2">
      <c r="A118" s="4">
        <v>44335</v>
      </c>
      <c r="B118" s="5">
        <v>2</v>
      </c>
      <c r="C118" s="5">
        <v>1513415</v>
      </c>
      <c r="E118" s="17">
        <f t="shared" si="3"/>
        <v>-24.271645501782572</v>
      </c>
      <c r="F118" s="17">
        <f t="shared" si="4"/>
        <v>26.271645501782572</v>
      </c>
      <c r="G118" s="17">
        <f t="shared" si="5"/>
        <v>690.19935737133244</v>
      </c>
    </row>
    <row r="119" spans="1:25" ht="18" customHeight="1" x14ac:dyDescent="0.2">
      <c r="A119" s="4">
        <v>44336</v>
      </c>
      <c r="B119" s="5">
        <v>1</v>
      </c>
      <c r="C119" s="5">
        <v>1539964</v>
      </c>
      <c r="E119" s="17">
        <f t="shared" si="3"/>
        <v>-26.263301228434543</v>
      </c>
      <c r="F119" s="17">
        <f t="shared" si="4"/>
        <v>27.263301228434543</v>
      </c>
      <c r="G119" s="17">
        <f t="shared" si="5"/>
        <v>743.28759387236039</v>
      </c>
    </row>
    <row r="120" spans="1:25" ht="18" customHeight="1" x14ac:dyDescent="0.2">
      <c r="A120" s="4">
        <v>44337</v>
      </c>
      <c r="B120" s="5">
        <v>3</v>
      </c>
      <c r="C120" s="5">
        <v>1568208</v>
      </c>
      <c r="E120" s="17">
        <f t="shared" si="3"/>
        <v>-28.382112646701074</v>
      </c>
      <c r="F120" s="17">
        <f t="shared" si="4"/>
        <v>31.382112646701074</v>
      </c>
      <c r="G120" s="17">
        <f t="shared" si="5"/>
        <v>984.83699417023547</v>
      </c>
    </row>
    <row r="121" spans="1:25" ht="18" customHeight="1" x14ac:dyDescent="0.25">
      <c r="A121" s="4">
        <v>44338</v>
      </c>
      <c r="B121" s="5">
        <v>0</v>
      </c>
      <c r="C121" s="5">
        <v>1604322</v>
      </c>
      <c r="E121" s="17">
        <f t="shared" si="3"/>
        <v>-31.091316568216357</v>
      </c>
      <c r="F121" s="17">
        <f t="shared" si="4"/>
        <v>31.091316568216357</v>
      </c>
      <c r="G121" s="17">
        <f t="shared" si="5"/>
        <v>966.66996594504496</v>
      </c>
      <c r="O121" s="125" t="s">
        <v>44</v>
      </c>
      <c r="P121" s="126"/>
      <c r="U121" s="125" t="s">
        <v>44</v>
      </c>
      <c r="V121" s="126"/>
    </row>
    <row r="122" spans="1:25" ht="18" customHeight="1" x14ac:dyDescent="0.2">
      <c r="A122" s="4">
        <v>44339</v>
      </c>
      <c r="B122" s="5">
        <v>0</v>
      </c>
      <c r="C122" s="5">
        <v>1638859</v>
      </c>
      <c r="E122" s="17">
        <f t="shared" si="3"/>
        <v>-33.682216934760447</v>
      </c>
      <c r="F122" s="17">
        <f t="shared" si="4"/>
        <v>33.682216934760447</v>
      </c>
      <c r="G122" s="17">
        <f t="shared" si="5"/>
        <v>1134.4917376402634</v>
      </c>
    </row>
    <row r="123" spans="1:25" ht="18" customHeight="1" x14ac:dyDescent="0.2">
      <c r="A123" s="4">
        <v>44340</v>
      </c>
      <c r="B123" s="5">
        <v>1</v>
      </c>
      <c r="C123" s="5">
        <v>1701479</v>
      </c>
      <c r="E123" s="17">
        <f t="shared" si="3"/>
        <v>-38.37985080432037</v>
      </c>
      <c r="F123" s="17">
        <f t="shared" si="4"/>
        <v>39.37985080432037</v>
      </c>
      <c r="G123" s="17">
        <f t="shared" si="5"/>
        <v>1550.7726493705316</v>
      </c>
    </row>
    <row r="124" spans="1:25" ht="18" customHeight="1" x14ac:dyDescent="0.2">
      <c r="A124" s="4">
        <v>44341</v>
      </c>
      <c r="B124" s="5">
        <v>3</v>
      </c>
      <c r="C124" s="5">
        <v>1725903</v>
      </c>
      <c r="E124" s="17">
        <f t="shared" si="3"/>
        <v>-40.212093053284448</v>
      </c>
      <c r="F124" s="17">
        <f t="shared" si="4"/>
        <v>43.212093053284448</v>
      </c>
      <c r="G124" s="17">
        <f t="shared" si="5"/>
        <v>1867.284986045714</v>
      </c>
    </row>
    <row r="125" spans="1:25" ht="18" customHeight="1" x14ac:dyDescent="0.2">
      <c r="A125" s="4">
        <v>44342</v>
      </c>
      <c r="B125" s="5">
        <v>1</v>
      </c>
      <c r="C125" s="5">
        <v>1745225</v>
      </c>
      <c r="E125" s="17">
        <f t="shared" si="3"/>
        <v>-41.661592919583356</v>
      </c>
      <c r="F125" s="17">
        <f t="shared" si="4"/>
        <v>42.661592919583356</v>
      </c>
      <c r="G125" s="17">
        <f t="shared" si="5"/>
        <v>1820.0115104362446</v>
      </c>
    </row>
    <row r="126" spans="1:25" ht="18" customHeight="1" x14ac:dyDescent="0.25">
      <c r="A126" s="4">
        <v>44343</v>
      </c>
      <c r="B126" s="5">
        <v>0</v>
      </c>
      <c r="C126" s="5">
        <v>1788676</v>
      </c>
      <c r="E126" s="17">
        <f t="shared" si="3"/>
        <v>-44.921204693237897</v>
      </c>
      <c r="F126" s="17">
        <f t="shared" si="4"/>
        <v>44.921204693237897</v>
      </c>
      <c r="G126" s="17">
        <f t="shared" si="5"/>
        <v>2017.9146310917783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1845836</v>
      </c>
      <c r="E127" s="17">
        <f t="shared" si="3"/>
        <v>-49.209239697773924</v>
      </c>
      <c r="F127" s="17">
        <f t="shared" si="4"/>
        <v>50.209239697773924</v>
      </c>
      <c r="G127" s="17">
        <f t="shared" si="5"/>
        <v>2520.9677510285169</v>
      </c>
    </row>
    <row r="128" spans="1:25" ht="18" customHeight="1" x14ac:dyDescent="0.2">
      <c r="A128" s="4">
        <v>44345</v>
      </c>
      <c r="B128" s="5">
        <v>0</v>
      </c>
      <c r="C128" s="5">
        <v>1910212</v>
      </c>
      <c r="E128" s="17">
        <f t="shared" si="3"/>
        <v>-54.038605363484393</v>
      </c>
      <c r="F128" s="17">
        <f t="shared" si="4"/>
        <v>54.038605363484393</v>
      </c>
      <c r="G128" s="17">
        <f t="shared" si="5"/>
        <v>2920.170869630404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17">
        <f t="shared" si="3"/>
        <v>-56.974589022905761</v>
      </c>
      <c r="F129" s="17">
        <f t="shared" si="4"/>
        <v>56.974589022905761</v>
      </c>
      <c r="G129" s="17">
        <f t="shared" si="5"/>
        <v>3246.1037943290135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17">
        <f t="shared" si="3"/>
        <v>-64.836861742471839</v>
      </c>
      <c r="F130" s="17">
        <f t="shared" si="4"/>
        <v>66.836861742471839</v>
      </c>
      <c r="G130" s="17">
        <f t="shared" si="5"/>
        <v>4467.1660875822954</v>
      </c>
    </row>
    <row r="132" spans="1:24" ht="18" customHeight="1" x14ac:dyDescent="0.35">
      <c r="O132" s="21" t="s">
        <v>48</v>
      </c>
      <c r="P132">
        <f>ROUND((P40-0) / (P73 * SQRT( (1/B133) + (POWER(P34,2) / P36))),4)</f>
        <v>10.321099999999999</v>
      </c>
      <c r="U132" s="21" t="s">
        <v>49</v>
      </c>
      <c r="V132">
        <f xml:space="preserve"> ROUND((P41-0) / (P73 / SQRT(P36)),4)</f>
        <v>-7.3192000000000004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4" t="s">
        <v>43</v>
      </c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24" t="s">
        <v>50</v>
      </c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19" t="s">
        <v>10</v>
      </c>
      <c r="O177" s="119"/>
    </row>
    <row r="178" spans="13:19" ht="18" customHeight="1" x14ac:dyDescent="0.2">
      <c r="M178" s="104" t="s">
        <v>60</v>
      </c>
      <c r="N178" s="120" cm="1">
        <f t="array" ref="N178">SUMPRODUCT(B11:B130-P35)</f>
        <v>9.3791641120333225E-12</v>
      </c>
      <c r="O178" s="120"/>
    </row>
    <row r="179" spans="13:19" ht="18" customHeight="1" x14ac:dyDescent="0.2">
      <c r="M179" s="104" t="s">
        <v>61</v>
      </c>
      <c r="N179" s="121">
        <f>SUMPRODUCT(POWER(E11:E130-P35,2))</f>
        <v>163748.38400825878</v>
      </c>
      <c r="O179" s="121"/>
    </row>
    <row r="180" spans="13:19" ht="18" customHeight="1" x14ac:dyDescent="0.2">
      <c r="M180" s="105" t="s">
        <v>62</v>
      </c>
      <c r="N180" s="122">
        <f>SUM(G11:G130)</f>
        <v>360686.20765840786</v>
      </c>
      <c r="O180" s="122"/>
    </row>
    <row r="187" spans="13:19" ht="18" customHeight="1" x14ac:dyDescent="0.25">
      <c r="M187" s="24" t="s">
        <v>52</v>
      </c>
      <c r="N187" s="24" t="s">
        <v>53</v>
      </c>
      <c r="O187" s="123" t="s">
        <v>54</v>
      </c>
      <c r="P187" s="123"/>
      <c r="Q187" s="123" t="s">
        <v>55</v>
      </c>
      <c r="R187" s="123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6">
        <f>N179</f>
        <v>163748.38400825878</v>
      </c>
      <c r="P188" s="117"/>
      <c r="Q188" s="117">
        <f>O188/N188</f>
        <v>163748.38400825878</v>
      </c>
      <c r="R188" s="117"/>
      <c r="S188" s="77">
        <f>Q188/Q189</f>
        <v>53.57096806782797</v>
      </c>
    </row>
    <row r="189" spans="13:19" ht="18" customHeight="1" x14ac:dyDescent="0.25">
      <c r="M189" s="25" t="s">
        <v>58</v>
      </c>
      <c r="N189" s="101">
        <f>B133-2</f>
        <v>118</v>
      </c>
      <c r="O189" s="116">
        <f>N180</f>
        <v>360686.20765840786</v>
      </c>
      <c r="P189" s="117"/>
      <c r="Q189" s="117">
        <f>O189/N189</f>
        <v>3056.6627767661685</v>
      </c>
      <c r="R189" s="117"/>
    </row>
    <row r="190" spans="13:19" ht="18" customHeight="1" x14ac:dyDescent="0.25">
      <c r="M190" s="25" t="s">
        <v>59</v>
      </c>
      <c r="N190" s="101">
        <f>B133-1</f>
        <v>119</v>
      </c>
      <c r="O190" s="117">
        <f>N178</f>
        <v>9.3791641120333225E-12</v>
      </c>
      <c r="P190" s="117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1" customFormat="1" ht="25.5" customHeight="1" x14ac:dyDescent="0.2">
      <c r="A202" s="80"/>
      <c r="B202" s="80"/>
      <c r="C202" s="80"/>
      <c r="D202" s="131" t="s">
        <v>76</v>
      </c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1"/>
    </row>
    <row r="205" spans="1:27" ht="18" customHeight="1" x14ac:dyDescent="0.2">
      <c r="A205" s="132" t="s">
        <v>28</v>
      </c>
      <c r="B205" s="132"/>
      <c r="C205" s="132"/>
      <c r="D205" s="132"/>
      <c r="E205" s="132"/>
      <c r="F205" s="132"/>
      <c r="G205" s="132"/>
    </row>
    <row r="207" spans="1:27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685654</v>
      </c>
      <c r="E208" s="17">
        <f>$P$234 + $P$235*C208</f>
        <v>584.08760011030392</v>
      </c>
      <c r="F208" s="17">
        <f>B208-E208</f>
        <v>1091.9123998896962</v>
      </c>
      <c r="G208" s="17">
        <f>POWER(F208,2)</f>
        <v>1192272.6890328757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1092046</v>
      </c>
      <c r="E209" s="17">
        <f t="shared" ref="E209:E224" si="6">$P$234 + $P$235*C209</f>
        <v>552.12640718459147</v>
      </c>
      <c r="F209" s="17">
        <f t="shared" ref="F209:F224" si="7">B209-E209</f>
        <v>610.87359281540853</v>
      </c>
      <c r="G209" s="17">
        <f t="shared" ref="G209:G224" si="8">POWER(F209,2)</f>
        <v>373166.54639920552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1689887</v>
      </c>
      <c r="E210" s="17">
        <f t="shared" si="6"/>
        <v>505.1084748928613</v>
      </c>
      <c r="F210" s="17">
        <f t="shared" si="7"/>
        <v>135.8915251071387</v>
      </c>
      <c r="G210" s="17">
        <f t="shared" si="8"/>
        <v>18466.506595944109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1941299</v>
      </c>
      <c r="E211" s="17">
        <f t="shared" si="6"/>
        <v>485.33587248966626</v>
      </c>
      <c r="F211" s="17">
        <f t="shared" si="7"/>
        <v>-130.33587248966626</v>
      </c>
      <c r="G211" s="17">
        <f t="shared" si="8"/>
        <v>16987.439657642542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2109810</v>
      </c>
      <c r="E212" s="17">
        <f t="shared" si="6"/>
        <v>472.08312002134824</v>
      </c>
      <c r="F212" s="17">
        <f t="shared" si="7"/>
        <v>-249.08312002134824</v>
      </c>
      <c r="G212" s="17">
        <f t="shared" si="8"/>
        <v>62042.400679569371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2407842</v>
      </c>
      <c r="E213" s="17">
        <f t="shared" si="6"/>
        <v>448.64403103820899</v>
      </c>
      <c r="F213" s="17">
        <f t="shared" si="7"/>
        <v>-304.64403103820899</v>
      </c>
      <c r="G213" s="17">
        <f t="shared" si="8"/>
        <v>92807.985647209251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2946580</v>
      </c>
      <c r="E214" s="17">
        <f t="shared" si="6"/>
        <v>406.27432603807995</v>
      </c>
      <c r="F214" s="17">
        <f t="shared" si="7"/>
        <v>-322.27432603807995</v>
      </c>
      <c r="G214" s="17">
        <f t="shared" si="8"/>
        <v>103860.74122329865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3508174</v>
      </c>
      <c r="E215" s="17">
        <f t="shared" si="6"/>
        <v>362.10708312994558</v>
      </c>
      <c r="F215" s="17">
        <f t="shared" si="7"/>
        <v>-293.10708312994558</v>
      </c>
      <c r="G215" s="17">
        <f t="shared" si="8"/>
        <v>85911.762180944832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3817020</v>
      </c>
      <c r="E216" s="17">
        <f t="shared" si="6"/>
        <v>337.81751396929633</v>
      </c>
      <c r="F216" s="17">
        <f t="shared" si="7"/>
        <v>-295.81751396929633</v>
      </c>
      <c r="G216" s="17">
        <f t="shared" si="8"/>
        <v>87508.001570974826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4341740</v>
      </c>
      <c r="E217" s="17">
        <f t="shared" si="6"/>
        <v>296.55027162205573</v>
      </c>
      <c r="F217" s="17">
        <f t="shared" si="7"/>
        <v>-259.55027162205573</v>
      </c>
      <c r="G217" s="17">
        <f t="shared" si="8"/>
        <v>67366.343499082912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4699434</v>
      </c>
      <c r="E218" s="17">
        <f t="shared" si="6"/>
        <v>268.41899211269094</v>
      </c>
      <c r="F218" s="17">
        <f t="shared" si="7"/>
        <v>-239.41899211269094</v>
      </c>
      <c r="G218" s="17">
        <f t="shared" si="8"/>
        <v>57321.453784256766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5361469</v>
      </c>
      <c r="E219" s="17">
        <f t="shared" si="6"/>
        <v>216.35244464479291</v>
      </c>
      <c r="F219" s="17">
        <f t="shared" si="7"/>
        <v>-196.35244464479291</v>
      </c>
      <c r="G219" s="17">
        <f t="shared" si="8"/>
        <v>38554.282517986467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6209975</v>
      </c>
      <c r="E220" s="17">
        <f t="shared" si="6"/>
        <v>149.62065867305989</v>
      </c>
      <c r="F220" s="17">
        <f t="shared" si="7"/>
        <v>-137.62065867305989</v>
      </c>
      <c r="G220" s="17">
        <f t="shared" si="8"/>
        <v>18939.445693606856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7190879</v>
      </c>
      <c r="E221" s="17">
        <f t="shared" si="6"/>
        <v>72.476271023689378</v>
      </c>
      <c r="F221" s="17">
        <f t="shared" si="7"/>
        <v>-57.476271023689378</v>
      </c>
      <c r="G221" s="17">
        <f t="shared" si="8"/>
        <v>3303.5217307885951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8679404</v>
      </c>
      <c r="E222" s="17">
        <f t="shared" si="6"/>
        <v>-44.590587329196637</v>
      </c>
      <c r="F222" s="17">
        <f t="shared" si="7"/>
        <v>59.590587329196637</v>
      </c>
      <c r="G222" s="17">
        <f t="shared" si="8"/>
        <v>3551.0380982386109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10823781</v>
      </c>
      <c r="E223" s="17">
        <f t="shared" si="6"/>
        <v>-213.2377235977757</v>
      </c>
      <c r="F223" s="17">
        <f t="shared" si="7"/>
        <v>223.2377235977757</v>
      </c>
      <c r="G223" s="81">
        <f t="shared" si="8"/>
        <v>49835.081237116901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12666680</v>
      </c>
      <c r="D224" s="31"/>
      <c r="E224" s="17">
        <f t="shared" si="6"/>
        <v>-358.17475602361685</v>
      </c>
      <c r="F224" s="17">
        <f t="shared" si="7"/>
        <v>364.17475602361685</v>
      </c>
      <c r="G224" s="17">
        <f t="shared" si="8"/>
        <v>132623.25292486086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19" t="s">
        <v>10</v>
      </c>
      <c r="Q227" s="119"/>
      <c r="R227" s="14"/>
    </row>
    <row r="228" spans="1:25" ht="18" customHeight="1" x14ac:dyDescent="0.2">
      <c r="A228" s="1"/>
      <c r="O228" s="14"/>
      <c r="P228" s="130">
        <f>AVERAGE(C208:C224)</f>
        <v>4715980.823529412</v>
      </c>
      <c r="Q228" s="130"/>
    </row>
    <row r="229" spans="1:25" ht="18" customHeight="1" x14ac:dyDescent="0.2">
      <c r="A229" s="1"/>
      <c r="O229" s="14"/>
      <c r="P229" s="130">
        <f>AVERAGE(B208:B224)</f>
        <v>267.11764705882354</v>
      </c>
      <c r="Q229" s="130"/>
    </row>
    <row r="230" spans="1:25" ht="18" customHeight="1" x14ac:dyDescent="0.2">
      <c r="A230" s="1"/>
      <c r="O230" s="14"/>
      <c r="P230" s="130">
        <f>SUMPRODUCT(POWER(C208:C224-P228,2))</f>
        <v>188891567536650.5</v>
      </c>
      <c r="Q230" s="130"/>
    </row>
    <row r="231" spans="1:25" ht="18" customHeight="1" x14ac:dyDescent="0.2">
      <c r="A231" s="1"/>
      <c r="O231" s="14"/>
      <c r="P231" s="130">
        <f>SUMPRODUCT(POWER(B208:B224-P229,2))</f>
        <v>3572855.7647058833</v>
      </c>
      <c r="Q231" s="130"/>
    </row>
    <row r="232" spans="1:25" ht="18" customHeight="1" x14ac:dyDescent="0.2">
      <c r="A232" s="1"/>
      <c r="O232" s="14"/>
      <c r="P232" s="130">
        <f xml:space="preserve"> SUMPRODUCT( (B208:B224-P229) * (C208:C224-P228))</f>
        <v>-14855606980.64706</v>
      </c>
      <c r="Q232" s="130"/>
      <c r="T232" s="126" t="s">
        <v>77</v>
      </c>
      <c r="U232" s="126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0">
        <f>P229 - P228*P235</f>
        <v>638.0116925488519</v>
      </c>
      <c r="Q234" s="120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2">
        <f>P232/P230</f>
        <v>-7.8646215786020392E-5</v>
      </c>
      <c r="Q235" s="122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19" t="s">
        <v>10</v>
      </c>
      <c r="Q243" s="119"/>
    </row>
    <row r="244" spans="1:25" ht="18" customHeight="1" x14ac:dyDescent="0.2">
      <c r="A244" s="1"/>
      <c r="O244" s="15"/>
      <c r="P244" s="120">
        <f>POWER(P232,2) / (P230*P231)</f>
        <v>0.32700376090565664</v>
      </c>
      <c r="Q244" s="120"/>
    </row>
    <row r="245" spans="1:25" ht="18" customHeight="1" x14ac:dyDescent="0.2">
      <c r="A245" s="1"/>
      <c r="O245" s="32"/>
      <c r="P245" s="122">
        <f>P232 / (SQRT(P230) * SQRT(P231))</f>
        <v>-0.57184242664011609</v>
      </c>
      <c r="Q245" s="122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29" t="s">
        <v>40</v>
      </c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5" ht="18" customHeight="1" x14ac:dyDescent="0.2">
      <c r="A254" s="1"/>
    </row>
    <row r="255" spans="1:25" ht="18" customHeight="1" x14ac:dyDescent="0.2">
      <c r="A255" s="1"/>
      <c r="P255" s="119" t="s">
        <v>10</v>
      </c>
      <c r="Q255" s="119"/>
    </row>
    <row r="256" spans="1:25" ht="18" customHeight="1" x14ac:dyDescent="0.2">
      <c r="A256" s="1"/>
      <c r="O256" s="103" t="s">
        <v>41</v>
      </c>
      <c r="P256" s="120">
        <v>0.9</v>
      </c>
      <c r="Q256" s="120"/>
    </row>
    <row r="257" spans="1:22" ht="18" customHeight="1" x14ac:dyDescent="0.2">
      <c r="A257" s="1"/>
      <c r="O257" s="18" t="s">
        <v>34</v>
      </c>
      <c r="P257" s="121">
        <f>1-P256</f>
        <v>9.9999999999999978E-2</v>
      </c>
      <c r="Q257" s="121"/>
    </row>
    <row r="258" spans="1:22" ht="18" customHeight="1" x14ac:dyDescent="0.2">
      <c r="A258" s="1"/>
      <c r="O258" s="13"/>
      <c r="P258" s="122">
        <f xml:space="preserve"> _xlfn.T.INV(1-P257/2,B226-2)</f>
        <v>1.7530503556925723</v>
      </c>
      <c r="Q258" s="122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19">
        <f>SQRT((1/ (B226-2)) * SUM(G208:G224))</f>
        <v>400.37636397716278</v>
      </c>
      <c r="Q260" s="119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1"/>
      <c r="P264" s="121"/>
      <c r="Q264" s="121"/>
      <c r="T264" s="121"/>
      <c r="U264" s="121"/>
      <c r="V264" s="121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7">
        <f>SQRT( (1/B226) + (POWER(P228,2) / P230))</f>
        <v>0.42019703896711136</v>
      </c>
      <c r="Q266" s="127"/>
      <c r="T266" s="16"/>
      <c r="U266" s="127">
        <f xml:space="preserve"> SQRT( 1/P230 )</f>
        <v>7.2760171603953268E-8</v>
      </c>
      <c r="V266" s="127"/>
    </row>
    <row r="267" spans="1:22" ht="18" customHeight="1" x14ac:dyDescent="0.2">
      <c r="A267" s="1"/>
      <c r="O267" s="13"/>
      <c r="P267" s="128"/>
      <c r="Q267" s="128"/>
      <c r="T267" s="13"/>
      <c r="U267" s="128"/>
      <c r="V267" s="128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19">
        <f>P258*P260*P266</f>
        <v>294.92786715395454</v>
      </c>
      <c r="Q269" s="119"/>
      <c r="T269" s="19" t="s">
        <v>36</v>
      </c>
      <c r="U269" s="119">
        <f>P258*P260*U266</f>
        <v>5.1068903954340465E-5</v>
      </c>
      <c r="V269" s="119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0">
        <f>ROUND(P234-P269,4)</f>
        <v>343.0838</v>
      </c>
      <c r="Q271" s="120"/>
      <c r="T271" s="16" t="s">
        <v>37</v>
      </c>
      <c r="U271" s="120">
        <f>ROUND(P235-U269,4)</f>
        <v>-1E-4</v>
      </c>
      <c r="V271" s="120"/>
    </row>
    <row r="272" spans="1:22" ht="18" customHeight="1" x14ac:dyDescent="0.2">
      <c r="A272" s="1"/>
      <c r="O272" s="13" t="s">
        <v>38</v>
      </c>
      <c r="P272" s="122">
        <f>ROUND(P234+P269,4)</f>
        <v>932.93960000000004</v>
      </c>
      <c r="Q272" s="122"/>
      <c r="T272" s="13" t="s">
        <v>38</v>
      </c>
      <c r="U272" s="122">
        <f>ROUND(P235+U269,4)</f>
        <v>0</v>
      </c>
      <c r="V272" s="122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29" t="s">
        <v>42</v>
      </c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 ht="18" customHeight="1" x14ac:dyDescent="0.2">
      <c r="A278" s="1"/>
    </row>
    <row r="279" spans="1:23" ht="18" customHeight="1" x14ac:dyDescent="0.2">
      <c r="A279" s="1"/>
      <c r="P279" s="119" t="s">
        <v>10</v>
      </c>
      <c r="Q279" s="119"/>
    </row>
    <row r="280" spans="1:23" ht="18" customHeight="1" x14ac:dyDescent="0.2">
      <c r="A280" s="1"/>
      <c r="O280" s="103" t="s">
        <v>41</v>
      </c>
      <c r="P280" s="120">
        <v>0.95</v>
      </c>
      <c r="Q280" s="120"/>
    </row>
    <row r="281" spans="1:23" ht="18" customHeight="1" x14ac:dyDescent="0.2">
      <c r="A281" s="1"/>
      <c r="O281" s="18" t="s">
        <v>34</v>
      </c>
      <c r="P281" s="121">
        <f>1-P280</f>
        <v>5.0000000000000044E-2</v>
      </c>
      <c r="Q281" s="121"/>
    </row>
    <row r="282" spans="1:23" ht="18" customHeight="1" x14ac:dyDescent="0.2">
      <c r="A282" s="1"/>
      <c r="O282" s="13"/>
      <c r="P282" s="122">
        <f xml:space="preserve"> _xlfn.T.INV(1-P281/2,B226-2)</f>
        <v>2.1314495455597742</v>
      </c>
      <c r="Q282" s="122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19">
        <f xml:space="preserve"> SQRT((1/ (B226-2)) * SUM(G208:G224))</f>
        <v>400.37636397716278</v>
      </c>
      <c r="Q284" s="119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1"/>
      <c r="P288" s="121"/>
      <c r="Q288" s="121"/>
      <c r="T288" s="121"/>
      <c r="U288" s="121"/>
      <c r="V288" s="121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7">
        <f>SQRT( (1/B226) + (POWER(P228,2) / P230))</f>
        <v>0.42019703896711136</v>
      </c>
      <c r="Q290" s="127"/>
      <c r="T290" s="16"/>
      <c r="U290" s="127">
        <f xml:space="preserve"> SQRT( 1/P230 )</f>
        <v>7.2760171603953268E-8</v>
      </c>
      <c r="V290" s="127"/>
    </row>
    <row r="291" spans="1:25" ht="18" customHeight="1" x14ac:dyDescent="0.2">
      <c r="A291" s="1"/>
      <c r="O291" s="13"/>
      <c r="P291" s="128"/>
      <c r="Q291" s="128"/>
      <c r="T291" s="13"/>
      <c r="U291" s="128"/>
      <c r="V291" s="128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19">
        <f>P282*P284*P290</f>
        <v>358.5885975134247</v>
      </c>
      <c r="Q293" s="119"/>
      <c r="T293" s="19" t="s">
        <v>36</v>
      </c>
      <c r="U293" s="119">
        <f>P282*P284*U290</f>
        <v>6.2092222149951512E-5</v>
      </c>
      <c r="V293" s="119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0">
        <f>ROUND(P234-P293,4)</f>
        <v>279.42309999999998</v>
      </c>
      <c r="Q295" s="120"/>
      <c r="T295" s="16" t="s">
        <v>37</v>
      </c>
      <c r="U295" s="120">
        <f>ROUND(P235-U293,4)</f>
        <v>-1E-4</v>
      </c>
      <c r="V295" s="120"/>
    </row>
    <row r="296" spans="1:25" ht="18" customHeight="1" x14ac:dyDescent="0.2">
      <c r="A296" s="1"/>
      <c r="O296" s="13" t="s">
        <v>38</v>
      </c>
      <c r="P296" s="122">
        <f>ROUND(P234+P293,4)</f>
        <v>996.60029999999995</v>
      </c>
      <c r="Q296" s="122"/>
      <c r="T296" s="13" t="s">
        <v>38</v>
      </c>
      <c r="U296" s="122">
        <f>ROUND(P235+U293,4)</f>
        <v>0</v>
      </c>
      <c r="V296" s="122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6"/>
      <c r="T308" s="125" t="s">
        <v>44</v>
      </c>
      <c r="U308" s="126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3.7923</v>
      </c>
      <c r="T319" s="21" t="s">
        <v>49</v>
      </c>
      <c r="U319">
        <f>ROUND( (P235-0) / (P284 / SQRT(P230)),4)</f>
        <v>-2.6997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4" t="s">
        <v>43</v>
      </c>
      <c r="O322" s="124"/>
      <c r="P322" s="124"/>
      <c r="Q322" s="124"/>
      <c r="R322" s="124"/>
      <c r="S322" s="124"/>
      <c r="T322" s="124"/>
      <c r="U322" s="124"/>
      <c r="V322" s="124"/>
      <c r="W322" s="124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4" t="s">
        <v>50</v>
      </c>
      <c r="O341" s="124"/>
      <c r="P341" s="124"/>
      <c r="Q341" s="124"/>
      <c r="R341" s="124"/>
      <c r="S341" s="124"/>
      <c r="T341" s="124"/>
      <c r="U341" s="124"/>
      <c r="V341" s="124"/>
      <c r="W341" s="124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19" t="s">
        <v>10</v>
      </c>
      <c r="O360" s="119"/>
    </row>
    <row r="361" spans="1:25" ht="18" customHeight="1" x14ac:dyDescent="0.2">
      <c r="A361" s="1"/>
      <c r="M361" s="104" t="s">
        <v>60</v>
      </c>
      <c r="N361" s="120" cm="1">
        <f t="array" ref="N361">SUMPRODUCT(B208:B228-P229)</f>
        <v>-1051.4705882352928</v>
      </c>
      <c r="O361" s="120"/>
    </row>
    <row r="362" spans="1:25" ht="18" customHeight="1" x14ac:dyDescent="0.2">
      <c r="A362" s="1"/>
      <c r="M362" s="104" t="s">
        <v>61</v>
      </c>
      <c r="N362" s="121" cm="1">
        <f t="array" ref="N362">SUMPRODUCT(POWER(E208:E225-P229,2))</f>
        <v>1239689.1096025214</v>
      </c>
      <c r="O362" s="121"/>
    </row>
    <row r="363" spans="1:25" ht="18" customHeight="1" x14ac:dyDescent="0.2">
      <c r="A363" s="1"/>
      <c r="M363" s="105" t="s">
        <v>62</v>
      </c>
      <c r="N363" s="122">
        <f>SUM(G208:G225)</f>
        <v>2404518.4924736028</v>
      </c>
      <c r="O363" s="122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3" t="s">
        <v>54</v>
      </c>
      <c r="P370" s="123"/>
      <c r="Q370" s="123" t="s">
        <v>55</v>
      </c>
      <c r="R370" s="123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6">
        <f>N362</f>
        <v>1239689.1096025214</v>
      </c>
      <c r="P371" s="117"/>
      <c r="Q371" s="117">
        <f>O371/N371</f>
        <v>1239689.1096025214</v>
      </c>
      <c r="R371" s="117"/>
      <c r="S371" s="77">
        <f>Q371/Q372</f>
        <v>7.7334970399450835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6">
        <f>N363</f>
        <v>2404518.4924736028</v>
      </c>
      <c r="P372" s="117"/>
      <c r="Q372" s="117">
        <f>O372/N372</f>
        <v>160301.23283157352</v>
      </c>
      <c r="R372" s="117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7">
        <f>N361</f>
        <v>-1051.4705882352928</v>
      </c>
      <c r="P373" s="117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opLeftCell="A136" zoomScale="80" zoomScaleNormal="80" workbookViewId="0">
      <selection activeCell="G402" sqref="G402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66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1" customFormat="1" ht="18" customHeight="1" x14ac:dyDescent="0.2">
      <c r="A5" s="145" t="s">
        <v>91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4" t="s">
        <v>72</v>
      </c>
      <c r="O6" s="144"/>
      <c r="P6" s="144"/>
      <c r="Q6" s="144"/>
      <c r="R6" s="144"/>
      <c r="S6" s="144"/>
      <c r="T6" s="144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7336.4688497222915</v>
      </c>
      <c r="K8" s="17">
        <f>B8-J8</f>
        <v>-1531.4688497222915</v>
      </c>
      <c r="L8" s="17">
        <f>POWER(K8,2)</f>
        <v>2345396.8376697185</v>
      </c>
      <c r="M8" s="29" t="s">
        <v>70</v>
      </c>
      <c r="N8" s="11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7153.5409259165062</v>
      </c>
      <c r="K9" s="17">
        <f t="shared" ref="K9:K72" si="1">B9-J9</f>
        <v>-1613.5409259165062</v>
      </c>
      <c r="L9" s="17">
        <f t="shared" ref="L9:L72" si="2">POWER(K9,2)</f>
        <v>2603514.3196074963</v>
      </c>
      <c r="M9" s="29" t="s">
        <v>69</v>
      </c>
      <c r="N9" s="11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6879.9460978324423</v>
      </c>
      <c r="K10" s="17">
        <f t="shared" si="1"/>
        <v>2203.0539021675577</v>
      </c>
      <c r="L10" s="17">
        <f t="shared" si="2"/>
        <v>4853446.495855703</v>
      </c>
      <c r="M10" s="29" t="s">
        <v>69</v>
      </c>
      <c r="N10" s="11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6141.4133097294443</v>
      </c>
      <c r="K11" s="17">
        <f t="shared" si="1"/>
        <v>1772.5866902705557</v>
      </c>
      <c r="L11" s="17">
        <f t="shared" si="2"/>
        <v>3142063.574524323</v>
      </c>
      <c r="M11" s="29" t="s">
        <v>69</v>
      </c>
      <c r="N11" s="11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5786.9293347154444</v>
      </c>
      <c r="K12" s="17">
        <f t="shared" si="1"/>
        <v>1129.0706652845556</v>
      </c>
      <c r="L12" s="17">
        <f t="shared" si="2"/>
        <v>1274800.5672061089</v>
      </c>
      <c r="M12" s="29" t="s">
        <v>69</v>
      </c>
      <c r="N12" s="11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5346.1547599719988</v>
      </c>
      <c r="K13" s="17">
        <f t="shared" si="1"/>
        <v>785.84524002800117</v>
      </c>
      <c r="L13" s="17">
        <f t="shared" si="2"/>
        <v>617552.74127466674</v>
      </c>
      <c r="M13" s="29" t="s">
        <v>69</v>
      </c>
      <c r="N13" s="11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4085.9066926095302</v>
      </c>
      <c r="K14" s="17">
        <f t="shared" si="1"/>
        <v>-577.90669260953018</v>
      </c>
      <c r="L14" s="17">
        <f t="shared" si="2"/>
        <v>333976.14536288602</v>
      </c>
      <c r="M14" s="29" t="s">
        <v>69</v>
      </c>
      <c r="N14" s="11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3809.213658821805</v>
      </c>
      <c r="K15" s="17">
        <f t="shared" si="1"/>
        <v>-1304.213658821805</v>
      </c>
      <c r="L15" s="17">
        <f t="shared" si="2"/>
        <v>1700973.2678573595</v>
      </c>
      <c r="M15" s="29" t="s">
        <v>69</v>
      </c>
      <c r="N15" s="11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4068.9255103998398</v>
      </c>
      <c r="K16" s="17">
        <f t="shared" si="1"/>
        <v>-1485.9255103998398</v>
      </c>
      <c r="L16" s="17">
        <f t="shared" si="2"/>
        <v>2207974.6224570246</v>
      </c>
      <c r="M16" s="29" t="s">
        <v>69</v>
      </c>
      <c r="N16" s="11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3696.058502238418</v>
      </c>
      <c r="K17" s="17">
        <f t="shared" si="1"/>
        <v>690.94149776158201</v>
      </c>
      <c r="L17" s="17">
        <f t="shared" si="2"/>
        <v>477400.15332901827</v>
      </c>
      <c r="M17" s="29" t="s">
        <v>69</v>
      </c>
      <c r="N17" s="11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3226.617299145239</v>
      </c>
      <c r="K18" s="17">
        <f t="shared" si="1"/>
        <v>253.38270085476097</v>
      </c>
      <c r="L18" s="17">
        <f t="shared" si="2"/>
        <v>64202.793092453285</v>
      </c>
      <c r="M18" s="29" t="s">
        <v>69</v>
      </c>
      <c r="N18" s="11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2923.0018553531954</v>
      </c>
      <c r="K19" s="17">
        <f t="shared" si="1"/>
        <v>-69.001855353195424</v>
      </c>
      <c r="L19" s="17">
        <f t="shared" si="2"/>
        <v>4761.2560421833041</v>
      </c>
      <c r="M19" s="29" t="s">
        <v>69</v>
      </c>
      <c r="N19" s="11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2455.2719490701706</v>
      </c>
      <c r="K20" s="17">
        <f t="shared" si="1"/>
        <v>400.72805092982935</v>
      </c>
      <c r="L20" s="17">
        <f t="shared" si="2"/>
        <v>160582.9708020199</v>
      </c>
      <c r="M20" s="29" t="s">
        <v>69</v>
      </c>
      <c r="N20" s="11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1934.3141475414543</v>
      </c>
      <c r="K21" s="17">
        <f t="shared" si="1"/>
        <v>-257.3141475414543</v>
      </c>
      <c r="L21" s="17">
        <f t="shared" si="2"/>
        <v>66210.57052498532</v>
      </c>
      <c r="M21" s="29" t="s">
        <v>69</v>
      </c>
      <c r="N21" s="11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1732.0143518527959</v>
      </c>
      <c r="K22" s="17">
        <f t="shared" si="1"/>
        <v>-429.01435185279593</v>
      </c>
      <c r="L22" s="17">
        <f t="shared" si="2"/>
        <v>184053.31409567458</v>
      </c>
      <c r="M22" s="29" t="s">
        <v>69</v>
      </c>
      <c r="N22" s="11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1906.2416484720784</v>
      </c>
      <c r="K23" s="17">
        <f t="shared" si="1"/>
        <v>-404.2416484720784</v>
      </c>
      <c r="L23" s="17">
        <f t="shared" si="2"/>
        <v>163411.3103594234</v>
      </c>
      <c r="M23" s="29" t="s">
        <v>69</v>
      </c>
      <c r="N23" s="11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1685.764068249071</v>
      </c>
      <c r="K24" s="17">
        <f t="shared" si="1"/>
        <v>638.23593175092901</v>
      </c>
      <c r="L24" s="17">
        <f t="shared" si="2"/>
        <v>407345.10457797651</v>
      </c>
      <c r="M24" s="29" t="s">
        <v>69</v>
      </c>
      <c r="N24" s="11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1575.8660924522014</v>
      </c>
      <c r="K25" s="17">
        <f t="shared" si="1"/>
        <v>368.13390754779857</v>
      </c>
      <c r="L25" s="17">
        <f t="shared" si="2"/>
        <v>135522.57388641112</v>
      </c>
      <c r="M25" s="29" t="s">
        <v>69</v>
      </c>
      <c r="N25" s="11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1631.5773622550228</v>
      </c>
      <c r="K26" s="17">
        <f t="shared" si="1"/>
        <v>308.42263774497724</v>
      </c>
      <c r="L26" s="17">
        <f t="shared" si="2"/>
        <v>95124.523473569454</v>
      </c>
      <c r="M26" s="29" t="s">
        <v>69</v>
      </c>
      <c r="N26" s="11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1452.0083295193565</v>
      </c>
      <c r="K27" s="17">
        <f t="shared" si="1"/>
        <v>117.99167048064351</v>
      </c>
      <c r="L27" s="17">
        <f t="shared" si="2"/>
        <v>13922.034302812761</v>
      </c>
      <c r="M27" s="29" t="s">
        <v>69</v>
      </c>
      <c r="N27" s="11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1134.6847814786352</v>
      </c>
      <c r="K28" s="17">
        <f t="shared" si="1"/>
        <v>51.315218521364841</v>
      </c>
      <c r="L28" s="17">
        <f t="shared" si="2"/>
        <v>2633.2516518954253</v>
      </c>
      <c r="M28" s="29" t="s">
        <v>69</v>
      </c>
      <c r="N28" s="11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1026.4587328069813</v>
      </c>
      <c r="K29" s="17">
        <f t="shared" si="1"/>
        <v>-477.45873280698129</v>
      </c>
      <c r="L29" s="17">
        <f t="shared" si="2"/>
        <v>227966.84153364834</v>
      </c>
      <c r="M29" s="29" t="s">
        <v>69</v>
      </c>
      <c r="N29" s="11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1177.8269128172999</v>
      </c>
      <c r="K30" s="17">
        <f t="shared" si="1"/>
        <v>-145.8269128172999</v>
      </c>
      <c r="L30" s="17">
        <f t="shared" si="2"/>
        <v>21265.488501824384</v>
      </c>
      <c r="M30" s="29" t="s">
        <v>69</v>
      </c>
      <c r="N30" s="11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1160.9807049732749</v>
      </c>
      <c r="K31" s="17">
        <f t="shared" si="1"/>
        <v>319.0192950267251</v>
      </c>
      <c r="L31" s="17">
        <f t="shared" si="2"/>
        <v>101773.31059934867</v>
      </c>
      <c r="M31" s="29" t="s">
        <v>69</v>
      </c>
      <c r="N31" s="11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1033.7093540041235</v>
      </c>
      <c r="K32" s="17">
        <f t="shared" si="1"/>
        <v>126.2906459958765</v>
      </c>
      <c r="L32" s="17">
        <f t="shared" si="2"/>
        <v>15949.327266055798</v>
      </c>
      <c r="M32" s="29" t="s">
        <v>69</v>
      </c>
      <c r="N32" s="11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976.1581835349059</v>
      </c>
      <c r="K33" s="17">
        <f t="shared" si="1"/>
        <v>50.841816465094098</v>
      </c>
      <c r="L33" s="17">
        <f t="shared" si="2"/>
        <v>2584.8903014703133</v>
      </c>
      <c r="M33" s="29" t="s">
        <v>69</v>
      </c>
      <c r="N33" s="11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924.93872995729112</v>
      </c>
      <c r="K34" s="17">
        <f t="shared" si="1"/>
        <v>146.06127004270888</v>
      </c>
      <c r="L34" s="17">
        <f t="shared" si="2"/>
        <v>21333.894606489128</v>
      </c>
      <c r="M34" s="29" t="s">
        <v>69</v>
      </c>
      <c r="N34" s="11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683.6244797034725</v>
      </c>
      <c r="K35" s="17">
        <f t="shared" si="1"/>
        <v>34.375520296527498</v>
      </c>
      <c r="L35" s="17">
        <f t="shared" si="2"/>
        <v>1181.6763956569739</v>
      </c>
      <c r="M35" s="29" t="s">
        <v>69</v>
      </c>
      <c r="N35" s="11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761.37216224219185</v>
      </c>
      <c r="K36" s="17">
        <f t="shared" si="1"/>
        <v>-367.37216224219185</v>
      </c>
      <c r="L36" s="17">
        <f t="shared" si="2"/>
        <v>134962.30559050333</v>
      </c>
      <c r="M36" s="29" t="s">
        <v>69</v>
      </c>
      <c r="N36" s="11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830.03420724845978</v>
      </c>
      <c r="K37" s="17">
        <f t="shared" si="1"/>
        <v>-139.03420724845978</v>
      </c>
      <c r="L37" s="17">
        <f t="shared" si="2"/>
        <v>19330.510785207665</v>
      </c>
      <c r="M37" s="29" t="s">
        <v>69</v>
      </c>
      <c r="N37" s="11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791.51861448874445</v>
      </c>
      <c r="K38" s="17">
        <f t="shared" si="1"/>
        <v>187.48138551125555</v>
      </c>
      <c r="L38" s="17">
        <f t="shared" si="2"/>
        <v>35149.269913220021</v>
      </c>
      <c r="M38" s="29" t="s">
        <v>69</v>
      </c>
      <c r="N38" s="11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803.83698567830413</v>
      </c>
      <c r="K39" s="17">
        <f t="shared" si="1"/>
        <v>26.163014321695869</v>
      </c>
      <c r="L39" s="17">
        <f t="shared" si="2"/>
        <v>684.50331839726312</v>
      </c>
      <c r="M39" s="29" t="s">
        <v>69</v>
      </c>
      <c r="N39" s="11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948.09022931759205</v>
      </c>
      <c r="K40" s="17">
        <f t="shared" si="1"/>
        <v>0.90977068240795234</v>
      </c>
      <c r="L40" s="17">
        <f t="shared" si="2"/>
        <v>0.82768269456903132</v>
      </c>
      <c r="M40" s="29" t="s">
        <v>69</v>
      </c>
      <c r="N40" s="11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1018.1576797809839</v>
      </c>
      <c r="K41" s="17">
        <f t="shared" si="1"/>
        <v>-11.157679780983926</v>
      </c>
      <c r="L41" s="17">
        <f t="shared" si="2"/>
        <v>124.49381809497751</v>
      </c>
      <c r="M41" s="29" t="s">
        <v>69</v>
      </c>
      <c r="N41" s="11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929.70042676159244</v>
      </c>
      <c r="K42" s="17">
        <f t="shared" si="1"/>
        <v>-247.70042676159244</v>
      </c>
      <c r="L42" s="17">
        <f t="shared" si="2"/>
        <v>61355.501417875021</v>
      </c>
      <c r="M42" s="29" t="s">
        <v>69</v>
      </c>
      <c r="N42" s="11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1029.7399957085884</v>
      </c>
      <c r="K43" s="17">
        <f t="shared" si="1"/>
        <v>-664.73999570858837</v>
      </c>
      <c r="L43" s="17">
        <f t="shared" si="2"/>
        <v>441879.26189465408</v>
      </c>
      <c r="M43" s="29" t="s">
        <v>69</v>
      </c>
      <c r="N43" s="11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1213.8704862936688</v>
      </c>
      <c r="K44" s="17">
        <f t="shared" si="1"/>
        <v>-366.87048629366882</v>
      </c>
      <c r="L44" s="17">
        <f t="shared" si="2"/>
        <v>134593.95371335305</v>
      </c>
      <c r="M44" s="29" t="s">
        <v>69</v>
      </c>
      <c r="N44" s="11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1121.7355137052671</v>
      </c>
      <c r="K45" s="17">
        <f t="shared" si="1"/>
        <v>-479.73551370526707</v>
      </c>
      <c r="L45" s="17">
        <f t="shared" si="2"/>
        <v>230146.16311005648</v>
      </c>
      <c r="M45" s="29" t="s">
        <v>69</v>
      </c>
      <c r="N45" s="11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1164.2006664503463</v>
      </c>
      <c r="K46" s="17">
        <f t="shared" si="1"/>
        <v>-537.20066645034626</v>
      </c>
      <c r="L46" s="17">
        <f t="shared" si="2"/>
        <v>288584.55603469617</v>
      </c>
      <c r="M46" s="29" t="s">
        <v>69</v>
      </c>
      <c r="N46" s="11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1101.3854755582304</v>
      </c>
      <c r="K47" s="17">
        <f t="shared" si="1"/>
        <v>-524.38547555823038</v>
      </c>
      <c r="L47" s="17">
        <f t="shared" si="2"/>
        <v>274980.12697643141</v>
      </c>
      <c r="M47" s="29" t="s">
        <v>69</v>
      </c>
      <c r="N47" s="11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907.30261462262979</v>
      </c>
      <c r="K48" s="17">
        <f t="shared" si="1"/>
        <v>-343.30261462262979</v>
      </c>
      <c r="L48" s="17">
        <f t="shared" si="2"/>
        <v>117856.68520673386</v>
      </c>
      <c r="M48" s="29" t="s">
        <v>69</v>
      </c>
      <c r="N48" s="11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729.57191149348432</v>
      </c>
      <c r="K49" s="17">
        <f t="shared" si="1"/>
        <v>-188.57191149348432</v>
      </c>
      <c r="L49" s="17">
        <f t="shared" si="2"/>
        <v>35559.365804306486</v>
      </c>
      <c r="M49" s="29" t="s">
        <v>69</v>
      </c>
      <c r="N49" s="11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745.16323951590834</v>
      </c>
      <c r="K50" s="17">
        <f t="shared" si="1"/>
        <v>-489.16323951590834</v>
      </c>
      <c r="L50" s="17">
        <f t="shared" si="2"/>
        <v>239280.67489369793</v>
      </c>
      <c r="M50" s="29" t="s">
        <v>69</v>
      </c>
      <c r="N50" s="11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518.49381090062343</v>
      </c>
      <c r="K51" s="17">
        <f t="shared" si="1"/>
        <v>-134.49381090062343</v>
      </c>
      <c r="L51" s="17">
        <f t="shared" si="2"/>
        <v>18088.585170572653</v>
      </c>
      <c r="M51" s="29" t="s">
        <v>69</v>
      </c>
      <c r="N51" s="11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541.55177028755429</v>
      </c>
      <c r="K52" s="17">
        <f t="shared" si="1"/>
        <v>131.44822971244571</v>
      </c>
      <c r="L52" s="17">
        <f t="shared" si="2"/>
        <v>17278.637094535894</v>
      </c>
      <c r="M52" s="29" t="s">
        <v>69</v>
      </c>
      <c r="N52" s="11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365.61987289986297</v>
      </c>
      <c r="K53" s="17">
        <f t="shared" si="1"/>
        <v>119.38012710013703</v>
      </c>
      <c r="L53" s="17">
        <f t="shared" si="2"/>
        <v>14251.614746444871</v>
      </c>
      <c r="M53" s="29" t="s">
        <v>69</v>
      </c>
      <c r="N53" s="11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308.42056865339373</v>
      </c>
      <c r="K54" s="17">
        <f t="shared" si="1"/>
        <v>259.57943134660627</v>
      </c>
      <c r="L54" s="17">
        <f t="shared" si="2"/>
        <v>67381.481178227477</v>
      </c>
      <c r="M54" s="29" t="s">
        <v>69</v>
      </c>
      <c r="N54" s="11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115.15626880313478</v>
      </c>
      <c r="K55" s="17">
        <f t="shared" si="1"/>
        <v>341.84373119686524</v>
      </c>
      <c r="L55" s="17">
        <f t="shared" si="2"/>
        <v>116857.13655859465</v>
      </c>
      <c r="M55" s="29" t="s">
        <v>69</v>
      </c>
      <c r="N55" s="11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-102.61491377011194</v>
      </c>
      <c r="K56" s="17">
        <f t="shared" si="1"/>
        <v>552.61491377011191</v>
      </c>
      <c r="L56" s="17">
        <f t="shared" si="2"/>
        <v>305383.24292114825</v>
      </c>
      <c r="M56" s="29" t="s">
        <v>69</v>
      </c>
      <c r="N56" s="11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15.403466944903519</v>
      </c>
      <c r="K57" s="17">
        <f t="shared" si="1"/>
        <v>232.59653305509647</v>
      </c>
      <c r="L57" s="17">
        <f t="shared" si="2"/>
        <v>54101.147189250587</v>
      </c>
      <c r="M57" s="29" t="s">
        <v>69</v>
      </c>
      <c r="N57" s="11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89.02154346373834</v>
      </c>
      <c r="K58" s="17">
        <f t="shared" si="1"/>
        <v>344.97845653626166</v>
      </c>
      <c r="L58" s="17">
        <f t="shared" si="2"/>
        <v>119010.13547414138</v>
      </c>
      <c r="M58" s="29" t="s">
        <v>69</v>
      </c>
      <c r="N58" s="11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144.92420108585077</v>
      </c>
      <c r="K59" s="17">
        <f t="shared" si="1"/>
        <v>430.07579891414923</v>
      </c>
      <c r="L59" s="17">
        <f t="shared" si="2"/>
        <v>184965.19281164373</v>
      </c>
      <c r="M59" s="29" t="s">
        <v>69</v>
      </c>
      <c r="N59" s="11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233.89337043059081</v>
      </c>
      <c r="K60" s="17">
        <f t="shared" si="1"/>
        <v>189.10662956940919</v>
      </c>
      <c r="L60" s="17">
        <f t="shared" si="2"/>
        <v>35761.317347101751</v>
      </c>
      <c r="M60" s="29" t="s">
        <v>69</v>
      </c>
      <c r="N60" s="11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387.70059431765162</v>
      </c>
      <c r="K61" s="17">
        <f t="shared" si="1"/>
        <v>100.29940568234838</v>
      </c>
      <c r="L61" s="17">
        <f t="shared" si="2"/>
        <v>10059.970780232299</v>
      </c>
      <c r="M61" s="29" t="s">
        <v>69</v>
      </c>
      <c r="N61" s="11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405.28525210815337</v>
      </c>
      <c r="K62" s="17">
        <f t="shared" si="1"/>
        <v>-61.285252108153372</v>
      </c>
      <c r="L62" s="17">
        <f t="shared" si="2"/>
        <v>3755.8821259599172</v>
      </c>
      <c r="M62" s="29" t="s">
        <v>69</v>
      </c>
      <c r="N62" s="11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262.73545368471787</v>
      </c>
      <c r="K63" s="17">
        <f t="shared" si="1"/>
        <v>102.26454631528213</v>
      </c>
      <c r="L63" s="17">
        <f t="shared" si="2"/>
        <v>10458.037433070484</v>
      </c>
      <c r="M63" s="29" t="s">
        <v>69</v>
      </c>
      <c r="N63" s="11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435.23223328217949</v>
      </c>
      <c r="K64" s="17">
        <f t="shared" si="1"/>
        <v>-126.23223328217949</v>
      </c>
      <c r="L64" s="17">
        <f t="shared" si="2"/>
        <v>15934.576719406585</v>
      </c>
      <c r="M64" s="29" t="s">
        <v>69</v>
      </c>
      <c r="N64" s="11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457.54087702947436</v>
      </c>
      <c r="K65" s="17">
        <f t="shared" si="1"/>
        <v>-69.540877029474359</v>
      </c>
      <c r="L65" s="17">
        <f t="shared" si="2"/>
        <v>4835.9335780284746</v>
      </c>
      <c r="M65" s="29" t="s">
        <v>69</v>
      </c>
      <c r="N65" s="11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515.78020013306718</v>
      </c>
      <c r="K66" s="17">
        <f t="shared" si="1"/>
        <v>102.21979986693282</v>
      </c>
      <c r="L66" s="17">
        <f t="shared" si="2"/>
        <v>10448.887484835799</v>
      </c>
      <c r="M66" s="29" t="s">
        <v>69</v>
      </c>
      <c r="N66" s="11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604.85805509987028</v>
      </c>
      <c r="K67" s="17">
        <f t="shared" si="1"/>
        <v>-12.858055099870285</v>
      </c>
      <c r="L67" s="17">
        <f t="shared" si="2"/>
        <v>165.32958095130024</v>
      </c>
      <c r="M67" s="29" t="s">
        <v>69</v>
      </c>
      <c r="N67" s="11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672.58386678494946</v>
      </c>
      <c r="K68" s="17">
        <f t="shared" si="1"/>
        <v>-124.58386678494946</v>
      </c>
      <c r="L68" s="17">
        <f t="shared" si="2"/>
        <v>15521.139863090035</v>
      </c>
      <c r="M68" s="29" t="s">
        <v>69</v>
      </c>
      <c r="N68" s="11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681.48735673715839</v>
      </c>
      <c r="K69" s="17">
        <f t="shared" si="1"/>
        <v>-401.48735673715839</v>
      </c>
      <c r="L69" s="17">
        <f t="shared" si="2"/>
        <v>161192.09761979029</v>
      </c>
      <c r="M69" s="29" t="s">
        <v>69</v>
      </c>
      <c r="N69" s="11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500.0394707892886</v>
      </c>
      <c r="K70" s="17">
        <f t="shared" si="1"/>
        <v>-307.0394707892886</v>
      </c>
      <c r="L70" s="17">
        <f t="shared" si="2"/>
        <v>94273.236622566401</v>
      </c>
      <c r="M70" s="29" t="s">
        <v>69</v>
      </c>
      <c r="N70" s="11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616.80313353904592</v>
      </c>
      <c r="K71" s="17">
        <f t="shared" si="1"/>
        <v>-457.80313353904592</v>
      </c>
      <c r="L71" s="17">
        <f t="shared" si="2"/>
        <v>209583.70907816952</v>
      </c>
      <c r="M71" s="29" t="s">
        <v>69</v>
      </c>
      <c r="N71" s="11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733.70430248251853</v>
      </c>
      <c r="K72" s="17">
        <f t="shared" si="1"/>
        <v>140.29569751748147</v>
      </c>
      <c r="L72" s="17">
        <f t="shared" si="2"/>
        <v>19682.882741916656</v>
      </c>
      <c r="M72" s="29" t="s">
        <v>69</v>
      </c>
      <c r="N72" s="11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656.34620059770509</v>
      </c>
      <c r="K73" s="17">
        <f t="shared" ref="K73:K127" si="4">B73-J73</f>
        <v>6.6537994022949078</v>
      </c>
      <c r="L73" s="17">
        <f t="shared" ref="L73:L127" si="5">POWER(K73,2)</f>
        <v>44.273046485980075</v>
      </c>
      <c r="M73" s="29" t="s">
        <v>69</v>
      </c>
      <c r="N73" s="11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546.07566007552748</v>
      </c>
      <c r="K74" s="17">
        <f t="shared" si="4"/>
        <v>55.92433992447252</v>
      </c>
      <c r="L74" s="17">
        <f t="shared" si="5"/>
        <v>3127.5317959879512</v>
      </c>
      <c r="M74" s="29" t="s">
        <v>69</v>
      </c>
      <c r="N74" s="11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514.92544317783006</v>
      </c>
      <c r="K75" s="17">
        <f t="shared" si="4"/>
        <v>179.07455682216994</v>
      </c>
      <c r="L75" s="17">
        <f t="shared" si="5"/>
        <v>32067.69690105657</v>
      </c>
      <c r="M75" s="29" t="s">
        <v>69</v>
      </c>
      <c r="N75" s="11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333.61100858000583</v>
      </c>
      <c r="K76" s="17">
        <f t="shared" si="4"/>
        <v>267.38899141999417</v>
      </c>
      <c r="L76" s="17">
        <f t="shared" si="5"/>
        <v>71496.872732601711</v>
      </c>
      <c r="M76" s="29" t="s">
        <v>69</v>
      </c>
      <c r="N76" s="11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222.08754200938171</v>
      </c>
      <c r="K77" s="17">
        <f t="shared" si="4"/>
        <v>343.91245799061829</v>
      </c>
      <c r="L77" s="17">
        <f t="shared" si="5"/>
        <v>118275.77876114879</v>
      </c>
      <c r="M77" s="29" t="s">
        <v>69</v>
      </c>
      <c r="N77" s="11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478.75594133163548</v>
      </c>
      <c r="K78" s="17">
        <f t="shared" si="4"/>
        <v>-207.75594133163548</v>
      </c>
      <c r="L78" s="17">
        <f t="shared" si="5"/>
        <v>43162.531158593963</v>
      </c>
      <c r="M78" s="29" t="s">
        <v>69</v>
      </c>
      <c r="N78" s="11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466.94966888976398</v>
      </c>
      <c r="K79" s="17">
        <f t="shared" si="4"/>
        <v>-58.949668889763984</v>
      </c>
      <c r="L79" s="17">
        <f t="shared" si="5"/>
        <v>3475.0634622128077</v>
      </c>
      <c r="M79" s="29" t="s">
        <v>69</v>
      </c>
      <c r="N79" s="11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542.5453330290128</v>
      </c>
      <c r="K80" s="17">
        <f t="shared" si="4"/>
        <v>141.4546669709872</v>
      </c>
      <c r="L80" s="17">
        <f t="shared" si="5"/>
        <v>20009.422807872899</v>
      </c>
      <c r="M80" s="29" t="s">
        <v>69</v>
      </c>
      <c r="N80" s="11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581.30337679107993</v>
      </c>
      <c r="K81" s="17">
        <f t="shared" si="4"/>
        <v>-80.303376791079927</v>
      </c>
      <c r="L81" s="17">
        <f t="shared" si="5"/>
        <v>6448.6323240501542</v>
      </c>
      <c r="M81" s="29" t="s">
        <v>69</v>
      </c>
      <c r="N81" s="11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590.9954715740821</v>
      </c>
      <c r="K82" s="17">
        <f t="shared" si="4"/>
        <v>-37.995471574082103</v>
      </c>
      <c r="L82" s="17">
        <f t="shared" si="5"/>
        <v>1443.6558601368811</v>
      </c>
      <c r="M82" s="29" t="s">
        <v>69</v>
      </c>
      <c r="N82" s="11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512.15722627986634</v>
      </c>
      <c r="K83" s="17">
        <f t="shared" si="4"/>
        <v>136.84277372013366</v>
      </c>
      <c r="L83" s="17">
        <f t="shared" si="5"/>
        <v>18725.944719419706</v>
      </c>
      <c r="M83" s="29" t="s">
        <v>69</v>
      </c>
      <c r="N83" s="11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343.4807775874911</v>
      </c>
      <c r="K84" s="17">
        <f t="shared" si="4"/>
        <v>97.519222412508896</v>
      </c>
      <c r="L84" s="17">
        <f t="shared" si="5"/>
        <v>9509.9987399403781</v>
      </c>
      <c r="M84" s="29" t="s">
        <v>69</v>
      </c>
      <c r="N84" s="11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667.36743716551325</v>
      </c>
      <c r="K85" s="17">
        <f t="shared" si="4"/>
        <v>-447.36743716551325</v>
      </c>
      <c r="L85" s="17">
        <f t="shared" si="5"/>
        <v>200137.62383603945</v>
      </c>
      <c r="M85" s="29" t="s">
        <v>69</v>
      </c>
      <c r="N85" s="11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723.07556547670799</v>
      </c>
      <c r="K86" s="17">
        <f t="shared" si="4"/>
        <v>-299.07556547670799</v>
      </c>
      <c r="L86" s="17">
        <f t="shared" si="5"/>
        <v>89446.193865212656</v>
      </c>
      <c r="M86" s="29" t="s">
        <v>69</v>
      </c>
      <c r="N86" s="11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662.28953285034424</v>
      </c>
      <c r="K87" s="17">
        <f t="shared" si="4"/>
        <v>-52.289532850344244</v>
      </c>
      <c r="L87" s="17">
        <f t="shared" si="5"/>
        <v>2734.1952457072298</v>
      </c>
      <c r="M87" s="29" t="s">
        <v>69</v>
      </c>
      <c r="N87" s="11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594.18148498719404</v>
      </c>
      <c r="K88" s="17">
        <f t="shared" si="4"/>
        <v>41.81851501280596</v>
      </c>
      <c r="L88" s="17">
        <f t="shared" si="5"/>
        <v>1748.7881978762775</v>
      </c>
      <c r="M88" s="29" t="s">
        <v>69</v>
      </c>
      <c r="N88" s="11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466.70100346813865</v>
      </c>
      <c r="K89" s="17">
        <f t="shared" si="4"/>
        <v>39.298996531861349</v>
      </c>
      <c r="L89" s="17">
        <f t="shared" si="5"/>
        <v>1544.4111284112503</v>
      </c>
      <c r="M89" s="29" t="s">
        <v>69</v>
      </c>
      <c r="N89" s="11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147.10891179259738</v>
      </c>
      <c r="K90" s="17">
        <f t="shared" si="4"/>
        <v>419.89108820740262</v>
      </c>
      <c r="L90" s="17">
        <f t="shared" si="5"/>
        <v>176308.52595599677</v>
      </c>
      <c r="M90" s="29" t="s">
        <v>69</v>
      </c>
      <c r="N90" s="11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-65.619561504983437</v>
      </c>
      <c r="K91" s="17">
        <f t="shared" si="4"/>
        <v>543.61956150498349</v>
      </c>
      <c r="L91" s="17">
        <f t="shared" si="5"/>
        <v>295522.22765087051</v>
      </c>
      <c r="M91" s="29" t="s">
        <v>69</v>
      </c>
      <c r="N91" s="11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192.39355655398816</v>
      </c>
      <c r="K92" s="17">
        <f t="shared" si="4"/>
        <v>3.6064434460118378</v>
      </c>
      <c r="L92" s="17">
        <f t="shared" si="5"/>
        <v>13.00643432928174</v>
      </c>
      <c r="M92" s="29" t="s">
        <v>69</v>
      </c>
      <c r="N92" s="11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251.47118302523114</v>
      </c>
      <c r="K93" s="17">
        <f t="shared" si="4"/>
        <v>101.52881697476886</v>
      </c>
      <c r="L93" s="17">
        <f t="shared" si="5"/>
        <v>10308.100676296113</v>
      </c>
      <c r="M93" s="29" t="s">
        <v>69</v>
      </c>
      <c r="N93" s="11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286.68919921938499</v>
      </c>
      <c r="K94" s="17">
        <f t="shared" si="4"/>
        <v>285.31080078061501</v>
      </c>
      <c r="L94" s="17">
        <f t="shared" si="5"/>
        <v>81402.253042075783</v>
      </c>
      <c r="M94" s="29" t="s">
        <v>69</v>
      </c>
      <c r="N94" s="11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341.14677949233874</v>
      </c>
      <c r="K95" s="17">
        <f t="shared" si="4"/>
        <v>128.85322050766126</v>
      </c>
      <c r="L95" s="17">
        <f t="shared" si="5"/>
        <v>16603.152435195978</v>
      </c>
      <c r="M95" s="29" t="s">
        <v>69</v>
      </c>
      <c r="N95" s="11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438.86375768589761</v>
      </c>
      <c r="K96" s="17">
        <f t="shared" si="4"/>
        <v>21.13624231410239</v>
      </c>
      <c r="L96" s="17">
        <f t="shared" si="5"/>
        <v>446.74073916045234</v>
      </c>
      <c r="M96" s="29" t="s">
        <v>69</v>
      </c>
      <c r="N96" s="11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199.73994693028192</v>
      </c>
      <c r="K97" s="17">
        <f t="shared" si="4"/>
        <v>254.26005306971808</v>
      </c>
      <c r="L97" s="17">
        <f t="shared" si="5"/>
        <v>64648.174587015856</v>
      </c>
      <c r="M97" s="29" t="s">
        <v>69</v>
      </c>
      <c r="N97" s="11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46.490603044738407</v>
      </c>
      <c r="K98" s="17">
        <f t="shared" si="4"/>
        <v>283.50939695526159</v>
      </c>
      <c r="L98" s="17">
        <f t="shared" si="5"/>
        <v>80377.578161936093</v>
      </c>
      <c r="M98" s="29" t="s">
        <v>69</v>
      </c>
      <c r="N98" s="11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311.7739028819326</v>
      </c>
      <c r="K99" s="17">
        <f t="shared" si="4"/>
        <v>-131.7739028819326</v>
      </c>
      <c r="L99" s="17">
        <f t="shared" si="5"/>
        <v>17364.361480737003</v>
      </c>
      <c r="M99" s="29" t="s">
        <v>69</v>
      </c>
      <c r="N99" s="11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321.29906423534743</v>
      </c>
      <c r="K100" s="17">
        <f t="shared" si="4"/>
        <v>-63.29906423534743</v>
      </c>
      <c r="L100" s="17">
        <f t="shared" si="5"/>
        <v>4006.7715330706401</v>
      </c>
      <c r="M100" s="29" t="s">
        <v>69</v>
      </c>
      <c r="N100" s="11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249.32095854792783</v>
      </c>
      <c r="K101" s="17">
        <f t="shared" si="4"/>
        <v>137.67904145207217</v>
      </c>
      <c r="L101" s="17">
        <f t="shared" si="5"/>
        <v>18955.518455161407</v>
      </c>
      <c r="M101" s="29" t="s">
        <v>69</v>
      </c>
      <c r="N101" s="11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239.89180452699208</v>
      </c>
      <c r="K102" s="17">
        <f t="shared" si="4"/>
        <v>133.10819547300792</v>
      </c>
      <c r="L102" s="17">
        <f t="shared" si="5"/>
        <v>17717.791702080489</v>
      </c>
      <c r="M102" s="29" t="s">
        <v>69</v>
      </c>
      <c r="N102" s="11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256.0706246278221</v>
      </c>
      <c r="K103" s="17">
        <f t="shared" si="4"/>
        <v>120.9293753721779</v>
      </c>
      <c r="L103" s="17">
        <f t="shared" si="5"/>
        <v>14623.913827905108</v>
      </c>
      <c r="M103" s="29" t="s">
        <v>69</v>
      </c>
      <c r="N103" s="11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153.70102140728932</v>
      </c>
      <c r="K104" s="17">
        <f t="shared" si="4"/>
        <v>252.29897859271068</v>
      </c>
      <c r="L104" s="17">
        <f t="shared" si="5"/>
        <v>63654.774598925083</v>
      </c>
      <c r="M104" s="29" t="s">
        <v>69</v>
      </c>
      <c r="N104" s="11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36.777390869109851</v>
      </c>
      <c r="K105" s="17">
        <f t="shared" si="4"/>
        <v>287.22260913089013</v>
      </c>
      <c r="L105" s="17">
        <f t="shared" si="5"/>
        <v>82496.827195956095</v>
      </c>
      <c r="M105" s="29" t="s">
        <v>69</v>
      </c>
      <c r="N105" s="11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228.99950746062171</v>
      </c>
      <c r="K106" s="17">
        <f t="shared" si="4"/>
        <v>-70.999507460621714</v>
      </c>
      <c r="L106" s="17">
        <f t="shared" si="5"/>
        <v>5040.9300596508783</v>
      </c>
      <c r="M106" s="29" t="s">
        <v>69</v>
      </c>
      <c r="N106" s="11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302.85566157331607</v>
      </c>
      <c r="K107" s="17">
        <f t="shared" si="4"/>
        <v>-34.85566157331607</v>
      </c>
      <c r="L107" s="17">
        <f t="shared" si="5"/>
        <v>1214.9171437135424</v>
      </c>
      <c r="M107" s="29" t="s">
        <v>69</v>
      </c>
      <c r="N107" s="11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377.0536272112858</v>
      </c>
      <c r="K108" s="17">
        <f t="shared" si="4"/>
        <v>107.9463727887142</v>
      </c>
      <c r="L108" s="17">
        <f t="shared" si="5"/>
        <v>11652.419398240057</v>
      </c>
      <c r="M108" s="29" t="s">
        <v>69</v>
      </c>
      <c r="N108" s="11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395.19870651479522</v>
      </c>
      <c r="K109" s="17">
        <f t="shared" si="4"/>
        <v>40.801293485204781</v>
      </c>
      <c r="L109" s="17">
        <f t="shared" si="5"/>
        <v>1664.7455500658141</v>
      </c>
      <c r="M109" s="29" t="s">
        <v>69</v>
      </c>
      <c r="N109" s="11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494.91728823768534</v>
      </c>
      <c r="K110" s="17">
        <f t="shared" si="4"/>
        <v>-44.917288237685341</v>
      </c>
      <c r="L110" s="17">
        <f t="shared" si="5"/>
        <v>2017.562782627306</v>
      </c>
      <c r="M110" s="29" t="s">
        <v>69</v>
      </c>
      <c r="N110" s="11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412.13577421544039</v>
      </c>
      <c r="K111" s="17">
        <f t="shared" si="4"/>
        <v>56.864225784559608</v>
      </c>
      <c r="L111" s="17">
        <f t="shared" si="5"/>
        <v>3233.5401740773736</v>
      </c>
      <c r="M111" s="29" t="s">
        <v>69</v>
      </c>
      <c r="N111" s="11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301.67127488175441</v>
      </c>
      <c r="K112" s="17">
        <f t="shared" si="4"/>
        <v>32.328725118245586</v>
      </c>
      <c r="L112" s="17">
        <f t="shared" si="5"/>
        <v>1045.1464677710831</v>
      </c>
      <c r="M112" s="29" t="s">
        <v>69</v>
      </c>
      <c r="N112" s="11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501.08123182226427</v>
      </c>
      <c r="K113" s="17">
        <f t="shared" si="4"/>
        <v>-302.08123182226427</v>
      </c>
      <c r="L113" s="17">
        <f t="shared" si="5"/>
        <v>91253.07061925657</v>
      </c>
      <c r="M113" s="29" t="s">
        <v>69</v>
      </c>
      <c r="N113" s="11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515.64246920444305</v>
      </c>
      <c r="K114" s="17">
        <f t="shared" si="4"/>
        <v>-129.64246920444305</v>
      </c>
      <c r="L114" s="17">
        <f t="shared" si="5"/>
        <v>16807.169821424963</v>
      </c>
      <c r="M114" s="29" t="s">
        <v>69</v>
      </c>
      <c r="N114" s="11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544.26968458112697</v>
      </c>
      <c r="K115" s="17">
        <f t="shared" si="4"/>
        <v>-33.269684581126967</v>
      </c>
      <c r="L115" s="17">
        <f t="shared" si="5"/>
        <v>1106.8719121276774</v>
      </c>
      <c r="M115" s="29" t="s">
        <v>69</v>
      </c>
      <c r="N115" s="11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555.32787292471983</v>
      </c>
      <c r="K116" s="17">
        <f t="shared" si="4"/>
        <v>-104.32787292471983</v>
      </c>
      <c r="L116" s="17">
        <f t="shared" si="5"/>
        <v>10884.305068996488</v>
      </c>
      <c r="M116" s="29" t="s">
        <v>69</v>
      </c>
      <c r="N116" s="11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589.567120692054</v>
      </c>
      <c r="K117" s="17">
        <f t="shared" si="4"/>
        <v>-30.567120692054004</v>
      </c>
      <c r="L117" s="17">
        <f t="shared" si="5"/>
        <v>934.34886740259606</v>
      </c>
      <c r="M117" s="29" t="s">
        <v>69</v>
      </c>
      <c r="N117" s="11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518.09430951200363</v>
      </c>
      <c r="K118" s="17">
        <f t="shared" si="4"/>
        <v>4.9056904879963668</v>
      </c>
      <c r="L118" s="17">
        <f t="shared" si="5"/>
        <v>24.065799164018031</v>
      </c>
      <c r="M118" s="29" t="s">
        <v>69</v>
      </c>
      <c r="N118" s="11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391.95657448946179</v>
      </c>
      <c r="K119" s="17">
        <f t="shared" si="4"/>
        <v>21.043425510538214</v>
      </c>
      <c r="L119" s="17">
        <f t="shared" si="5"/>
        <v>442.82575721757047</v>
      </c>
      <c r="M119" s="29" t="s">
        <v>69</v>
      </c>
      <c r="N119" s="11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574.09116701499352</v>
      </c>
      <c r="K120" s="17">
        <f t="shared" si="4"/>
        <v>-333.09116701499352</v>
      </c>
      <c r="L120" s="17">
        <f t="shared" si="5"/>
        <v>110949.7255434103</v>
      </c>
      <c r="M120" s="29" t="s">
        <v>69</v>
      </c>
      <c r="N120" s="11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565.74148265480085</v>
      </c>
      <c r="K121" s="17">
        <f t="shared" si="4"/>
        <v>-190.74148265480085</v>
      </c>
      <c r="L121" s="17">
        <f t="shared" si="5"/>
        <v>36382.313205351689</v>
      </c>
      <c r="M121" s="29" t="s">
        <v>69</v>
      </c>
      <c r="N121" s="11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630.99239813331906</v>
      </c>
      <c r="K122" s="17">
        <f t="shared" si="4"/>
        <v>-36.992398133319057</v>
      </c>
      <c r="L122" s="17">
        <f t="shared" si="5"/>
        <v>1368.4375196539872</v>
      </c>
      <c r="M122" s="29" t="s">
        <v>69</v>
      </c>
      <c r="N122" s="11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670.46445406833061</v>
      </c>
      <c r="K123" s="17">
        <f t="shared" si="4"/>
        <v>-98.46445406833061</v>
      </c>
      <c r="L123" s="17">
        <f t="shared" si="5"/>
        <v>9695.2487149743883</v>
      </c>
      <c r="M123" s="29" t="s">
        <v>69</v>
      </c>
      <c r="N123" s="11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675.87203930351041</v>
      </c>
      <c r="K124" s="17">
        <f t="shared" si="4"/>
        <v>-77.872039303510405</v>
      </c>
      <c r="L124" s="17">
        <f t="shared" si="5"/>
        <v>6064.0545052874695</v>
      </c>
      <c r="M124" s="29" t="s">
        <v>69</v>
      </c>
      <c r="N124" s="11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543.82127960097728</v>
      </c>
      <c r="K125" s="17">
        <f t="shared" si="4"/>
        <v>65.178720399022723</v>
      </c>
      <c r="L125" s="17">
        <f t="shared" si="5"/>
        <v>4248.2655928539807</v>
      </c>
      <c r="M125" s="29" t="s">
        <v>69</v>
      </c>
      <c r="N125" s="11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354.9432906248262</v>
      </c>
      <c r="K126" s="17">
        <f t="shared" si="4"/>
        <v>90.056709375173796</v>
      </c>
      <c r="L126" s="17">
        <f t="shared" si="5"/>
        <v>8110.2109034845162</v>
      </c>
      <c r="M126" s="29" t="s">
        <v>69</v>
      </c>
      <c r="N126" s="11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577.41737838064159</v>
      </c>
      <c r="K127" s="17">
        <f t="shared" si="4"/>
        <v>-142.41737838064159</v>
      </c>
      <c r="L127" s="17">
        <f t="shared" si="5"/>
        <v>20282.70966481484</v>
      </c>
      <c r="M127" s="29" t="s">
        <v>68</v>
      </c>
      <c r="N127" s="11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6" t="s">
        <v>87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73</v>
      </c>
      <c r="O133" s="11">
        <f t="array" ref="O133:ED139">TRANSPOSE(N8:T127)</f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>
        <v>1</v>
      </c>
      <c r="BW133" s="11">
        <v>1</v>
      </c>
      <c r="BX133" s="11">
        <v>1</v>
      </c>
      <c r="BY133" s="11">
        <v>1</v>
      </c>
      <c r="BZ133" s="11">
        <v>1</v>
      </c>
      <c r="CA133" s="11">
        <v>1</v>
      </c>
      <c r="CB133" s="11">
        <v>1</v>
      </c>
      <c r="CC133" s="11">
        <v>1</v>
      </c>
      <c r="CD133" s="11">
        <v>1</v>
      </c>
      <c r="CE133" s="11">
        <v>1</v>
      </c>
      <c r="CF133" s="11">
        <v>1</v>
      </c>
      <c r="CG133" s="11">
        <v>1</v>
      </c>
      <c r="CH133" s="11">
        <v>1</v>
      </c>
      <c r="CI133" s="11">
        <v>1</v>
      </c>
      <c r="CJ133" s="11">
        <v>1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1</v>
      </c>
      <c r="CQ133" s="11">
        <v>1</v>
      </c>
      <c r="CR133" s="11">
        <v>1</v>
      </c>
      <c r="CS133" s="11">
        <v>1</v>
      </c>
      <c r="CT133" s="11">
        <v>1</v>
      </c>
      <c r="CU133" s="11">
        <v>1</v>
      </c>
      <c r="CV133" s="11">
        <v>1</v>
      </c>
      <c r="CW133" s="11">
        <v>1</v>
      </c>
      <c r="CX133" s="11">
        <v>1</v>
      </c>
      <c r="CY133" s="11">
        <v>1</v>
      </c>
      <c r="CZ133" s="11">
        <v>1</v>
      </c>
      <c r="DA133" s="11">
        <v>1</v>
      </c>
      <c r="DB133" s="11">
        <v>1</v>
      </c>
      <c r="DC133" s="11">
        <v>1</v>
      </c>
      <c r="DD133" s="11">
        <v>1</v>
      </c>
      <c r="DE133" s="11">
        <v>1</v>
      </c>
      <c r="DF133" s="11">
        <v>1</v>
      </c>
      <c r="DG133" s="11">
        <v>1</v>
      </c>
      <c r="DH133" s="11">
        <v>1</v>
      </c>
      <c r="DI133" s="11">
        <v>1</v>
      </c>
      <c r="DJ133" s="11">
        <v>1</v>
      </c>
      <c r="DK133" s="11">
        <v>1</v>
      </c>
      <c r="DL133" s="11">
        <v>1</v>
      </c>
      <c r="DM133" s="11">
        <v>1</v>
      </c>
      <c r="DN133" s="11">
        <v>1</v>
      </c>
      <c r="DO133" s="11">
        <v>1</v>
      </c>
      <c r="DP133" s="11">
        <v>1</v>
      </c>
      <c r="DQ133" s="11">
        <v>1</v>
      </c>
      <c r="DR133" s="11">
        <v>1</v>
      </c>
      <c r="DS133" s="11">
        <v>1</v>
      </c>
      <c r="DT133" s="11">
        <v>1</v>
      </c>
      <c r="DU133" s="11">
        <v>1</v>
      </c>
      <c r="DV133" s="11">
        <v>1</v>
      </c>
      <c r="DW133" s="11">
        <v>1</v>
      </c>
      <c r="DX133" s="11">
        <v>1</v>
      </c>
      <c r="DY133" s="11">
        <v>1</v>
      </c>
      <c r="DZ133" s="11">
        <v>1</v>
      </c>
      <c r="EA133" s="11">
        <v>1</v>
      </c>
      <c r="EB133" s="11">
        <v>1</v>
      </c>
      <c r="EC133" s="11">
        <v>1</v>
      </c>
      <c r="ED133" s="11">
        <v>1</v>
      </c>
      <c r="EE133" t="s">
        <v>71</v>
      </c>
    </row>
    <row r="134" spans="1:135" ht="18" customHeight="1" x14ac:dyDescent="0.2">
      <c r="N134" s="29" t="s">
        <v>69</v>
      </c>
      <c r="O134" s="11">
        <v>0.82</v>
      </c>
      <c r="P134" s="11">
        <v>0.76</v>
      </c>
      <c r="Q134" s="11">
        <v>0.71</v>
      </c>
      <c r="R134" s="11">
        <v>0.67</v>
      </c>
      <c r="S134" s="11">
        <v>0.64</v>
      </c>
      <c r="T134" s="11">
        <v>0.62</v>
      </c>
      <c r="U134" s="11">
        <v>0.59</v>
      </c>
      <c r="V134" s="11">
        <v>0.56000000000000005</v>
      </c>
      <c r="W134" s="11">
        <v>0.53</v>
      </c>
      <c r="X134" s="11">
        <v>0.51</v>
      </c>
      <c r="Y134" s="11">
        <v>0.49</v>
      </c>
      <c r="Z134" s="11">
        <v>0.48</v>
      </c>
      <c r="AA134" s="11">
        <v>0.48</v>
      </c>
      <c r="AB134" s="11">
        <v>0.48</v>
      </c>
      <c r="AC134" s="11">
        <v>0.48</v>
      </c>
      <c r="AD134" s="11">
        <v>0.47</v>
      </c>
      <c r="AE134" s="11">
        <v>0.47</v>
      </c>
      <c r="AF134" s="11">
        <v>0.47</v>
      </c>
      <c r="AG134" s="11">
        <v>0.48</v>
      </c>
      <c r="AH134" s="11">
        <v>0.48</v>
      </c>
      <c r="AI134" s="11">
        <v>0.49</v>
      </c>
      <c r="AJ134" s="11">
        <v>0.49</v>
      </c>
      <c r="AK134" s="11">
        <v>0.49</v>
      </c>
      <c r="AL134" s="11">
        <v>0.5</v>
      </c>
      <c r="AM134" s="11">
        <v>0.5</v>
      </c>
      <c r="AN134" s="11">
        <v>0.51</v>
      </c>
      <c r="AO134" s="11">
        <v>0.53</v>
      </c>
      <c r="AP134" s="11">
        <v>0.54</v>
      </c>
      <c r="AQ134" s="11">
        <v>0.56000000000000005</v>
      </c>
      <c r="AR134" s="11">
        <v>0.56999999999999995</v>
      </c>
      <c r="AS134" s="11">
        <v>0.59</v>
      </c>
      <c r="AT134" s="11">
        <v>0.61</v>
      </c>
      <c r="AU134" s="11">
        <v>0.64</v>
      </c>
      <c r="AV134" s="11">
        <v>0.66</v>
      </c>
      <c r="AW134" s="11">
        <v>0.67</v>
      </c>
      <c r="AX134" s="11">
        <v>0.67</v>
      </c>
      <c r="AY134" s="11">
        <v>0.67</v>
      </c>
      <c r="AZ134" s="11">
        <v>0.65</v>
      </c>
      <c r="BA134" s="11">
        <v>0.65</v>
      </c>
      <c r="BB134" s="11">
        <v>0.66</v>
      </c>
      <c r="BC134" s="11">
        <v>0.68</v>
      </c>
      <c r="BD134" s="11">
        <v>0.69</v>
      </c>
      <c r="BE134" s="11">
        <v>0.7</v>
      </c>
      <c r="BF134" s="11">
        <v>0.71</v>
      </c>
      <c r="BG134" s="11">
        <v>0.72</v>
      </c>
      <c r="BH134" s="11">
        <v>0.74</v>
      </c>
      <c r="BI134" s="11">
        <v>0.76</v>
      </c>
      <c r="BJ134" s="11">
        <v>0.77</v>
      </c>
      <c r="BK134" s="11">
        <v>0.79</v>
      </c>
      <c r="BL134" s="11">
        <v>0.8</v>
      </c>
      <c r="BM134" s="11">
        <v>0.81</v>
      </c>
      <c r="BN134" s="11">
        <v>0.82</v>
      </c>
      <c r="BO134" s="11">
        <v>0.83</v>
      </c>
      <c r="BP134" s="11">
        <v>0.84</v>
      </c>
      <c r="BQ134" s="11">
        <v>0.86</v>
      </c>
      <c r="BR134" s="11">
        <v>0.89</v>
      </c>
      <c r="BS134" s="11">
        <v>0.92</v>
      </c>
      <c r="BT134" s="11">
        <v>0.94</v>
      </c>
      <c r="BU134" s="11">
        <v>0.97</v>
      </c>
      <c r="BV134" s="11">
        <v>0.98</v>
      </c>
      <c r="BW134" s="11">
        <v>0.98</v>
      </c>
      <c r="BX134" s="11">
        <v>0.97</v>
      </c>
      <c r="BY134" s="11">
        <v>1</v>
      </c>
      <c r="BZ134" s="11">
        <v>1.06</v>
      </c>
      <c r="CA134" s="11">
        <v>1.1399999999999999</v>
      </c>
      <c r="CB134" s="11">
        <v>1.1399999999999999</v>
      </c>
      <c r="CC134" s="11">
        <v>1.1299999999999999</v>
      </c>
      <c r="CD134" s="11">
        <v>1.1200000000000001</v>
      </c>
      <c r="CE134" s="11">
        <v>1.1000000000000001</v>
      </c>
      <c r="CF134" s="11">
        <v>1.07</v>
      </c>
      <c r="CG134" s="11">
        <v>1.04</v>
      </c>
      <c r="CH134" s="11">
        <v>1.01</v>
      </c>
      <c r="CI134" s="11">
        <v>1.01</v>
      </c>
      <c r="CJ134" s="11">
        <v>1</v>
      </c>
      <c r="CK134" s="11">
        <v>1</v>
      </c>
      <c r="CL134" s="11">
        <v>1</v>
      </c>
      <c r="CM134" s="11">
        <v>0.99</v>
      </c>
      <c r="CN134" s="11">
        <v>0.98</v>
      </c>
      <c r="CO134" s="11">
        <v>0.97</v>
      </c>
      <c r="CP134" s="11">
        <v>0.97</v>
      </c>
      <c r="CQ134" s="11">
        <v>0.97</v>
      </c>
      <c r="CR134" s="11">
        <v>0.96</v>
      </c>
      <c r="CS134" s="11">
        <v>0.96</v>
      </c>
      <c r="CT134" s="11">
        <v>0.94</v>
      </c>
      <c r="CU134" s="11">
        <v>0.92</v>
      </c>
      <c r="CV134" s="11">
        <v>0.91</v>
      </c>
      <c r="CW134" s="11">
        <v>0.9</v>
      </c>
      <c r="CX134" s="11">
        <v>0.89</v>
      </c>
      <c r="CY134" s="11">
        <v>0.88</v>
      </c>
      <c r="CZ134" s="11">
        <v>0.87</v>
      </c>
      <c r="DA134" s="11">
        <v>0.86</v>
      </c>
      <c r="DB134" s="11">
        <v>0.86</v>
      </c>
      <c r="DC134" s="11">
        <v>0.85</v>
      </c>
      <c r="DD134" s="11">
        <v>0.85</v>
      </c>
      <c r="DE134" s="11">
        <v>0.87</v>
      </c>
      <c r="DF134" s="11">
        <v>0.89</v>
      </c>
      <c r="DG134" s="11">
        <v>0.91</v>
      </c>
      <c r="DH134" s="11">
        <v>0.93</v>
      </c>
      <c r="DI134" s="11">
        <v>0.95</v>
      </c>
      <c r="DJ134" s="11">
        <v>0.97</v>
      </c>
      <c r="DK134" s="11">
        <v>1</v>
      </c>
      <c r="DL134" s="11">
        <v>1.02</v>
      </c>
      <c r="DM134" s="11">
        <v>1.04</v>
      </c>
      <c r="DN134" s="11">
        <v>1.05</v>
      </c>
      <c r="DO134" s="11">
        <v>1.06</v>
      </c>
      <c r="DP134" s="11">
        <v>1.07</v>
      </c>
      <c r="DQ134" s="11">
        <v>1.08</v>
      </c>
      <c r="DR134" s="11">
        <v>1.0900000000000001</v>
      </c>
      <c r="DS134" s="11">
        <v>1.1000000000000001</v>
      </c>
      <c r="DT134" s="11">
        <v>1.1200000000000001</v>
      </c>
      <c r="DU134" s="11">
        <v>1.1200000000000001</v>
      </c>
      <c r="DV134" s="11">
        <v>1.1200000000000001</v>
      </c>
      <c r="DW134" s="11">
        <v>1.1100000000000001</v>
      </c>
      <c r="DX134" s="11">
        <v>1.1200000000000001</v>
      </c>
      <c r="DY134" s="11">
        <v>1.1299999999999999</v>
      </c>
      <c r="DZ134" s="11">
        <v>1.1399999999999999</v>
      </c>
      <c r="EA134" s="11">
        <v>1.1599999999999999</v>
      </c>
      <c r="EB134" s="11">
        <v>1.1599999999999999</v>
      </c>
      <c r="EC134" s="11">
        <v>1.1599999999999999</v>
      </c>
      <c r="ED134" s="11">
        <v>1.1599999999999999</v>
      </c>
      <c r="EE134" t="s">
        <v>69</v>
      </c>
    </row>
    <row r="135" spans="1:135" ht="18" customHeight="1" x14ac:dyDescent="0.2">
      <c r="N135" s="29" t="s">
        <v>69</v>
      </c>
      <c r="O135" s="11">
        <v>865</v>
      </c>
      <c r="P135" s="11">
        <v>852</v>
      </c>
      <c r="Q135" s="11">
        <v>877</v>
      </c>
      <c r="R135" s="11">
        <v>863</v>
      </c>
      <c r="S135" s="11">
        <v>904</v>
      </c>
      <c r="T135" s="11">
        <v>891</v>
      </c>
      <c r="U135" s="11">
        <v>865</v>
      </c>
      <c r="V135" s="11">
        <v>877</v>
      </c>
      <c r="W135" s="11">
        <v>862</v>
      </c>
      <c r="X135" s="11">
        <v>853</v>
      </c>
      <c r="Y135" s="11">
        <v>836</v>
      </c>
      <c r="Z135" s="11">
        <v>846</v>
      </c>
      <c r="AA135" s="11">
        <v>803</v>
      </c>
      <c r="AB135" s="11">
        <v>795</v>
      </c>
      <c r="AC135" s="11">
        <v>784</v>
      </c>
      <c r="AD135" s="11">
        <v>752</v>
      </c>
      <c r="AE135" s="11">
        <v>719</v>
      </c>
      <c r="AF135" s="11">
        <v>688</v>
      </c>
      <c r="AG135" s="11">
        <v>669</v>
      </c>
      <c r="AH135" s="11">
        <v>656</v>
      </c>
      <c r="AI135" s="11">
        <v>638</v>
      </c>
      <c r="AJ135" s="11">
        <v>627</v>
      </c>
      <c r="AK135" s="11">
        <v>597</v>
      </c>
      <c r="AL135" s="11">
        <v>567</v>
      </c>
      <c r="AM135" s="11">
        <v>536</v>
      </c>
      <c r="AN135" s="11">
        <v>522</v>
      </c>
      <c r="AO135" s="11">
        <v>492</v>
      </c>
      <c r="AP135" s="11">
        <v>484</v>
      </c>
      <c r="AQ135" s="11">
        <v>469</v>
      </c>
      <c r="AR135" s="11">
        <v>446</v>
      </c>
      <c r="AS135" s="11">
        <v>415</v>
      </c>
      <c r="AT135" s="11">
        <v>399</v>
      </c>
      <c r="AU135" s="11">
        <v>383</v>
      </c>
      <c r="AV135" s="11">
        <v>363</v>
      </c>
      <c r="AW135" s="11">
        <v>354</v>
      </c>
      <c r="AX135" s="11">
        <v>342</v>
      </c>
      <c r="AY135" s="11">
        <v>312</v>
      </c>
      <c r="AZ135" s="11">
        <v>283</v>
      </c>
      <c r="BA135" s="11">
        <v>273</v>
      </c>
      <c r="BB135" s="11">
        <v>266</v>
      </c>
      <c r="BC135" s="11">
        <v>253</v>
      </c>
      <c r="BD135" s="11">
        <v>242</v>
      </c>
      <c r="BE135" s="11">
        <v>231</v>
      </c>
      <c r="BF135" s="11">
        <v>213</v>
      </c>
      <c r="BG135" s="11">
        <v>205</v>
      </c>
      <c r="BH135" s="11">
        <v>187</v>
      </c>
      <c r="BI135" s="11">
        <v>182</v>
      </c>
      <c r="BJ135" s="11">
        <v>170</v>
      </c>
      <c r="BK135" s="11">
        <v>170</v>
      </c>
      <c r="BL135" s="11">
        <v>165</v>
      </c>
      <c r="BM135" s="11">
        <v>159</v>
      </c>
      <c r="BN135" s="11">
        <v>155</v>
      </c>
      <c r="BO135" s="11">
        <v>154</v>
      </c>
      <c r="BP135" s="11">
        <v>155</v>
      </c>
      <c r="BQ135" s="11">
        <v>148</v>
      </c>
      <c r="BR135" s="11">
        <v>142</v>
      </c>
      <c r="BS135" s="11">
        <v>136</v>
      </c>
      <c r="BT135" s="11">
        <v>129</v>
      </c>
      <c r="BU135" s="11">
        <v>127</v>
      </c>
      <c r="BV135" s="11">
        <v>129</v>
      </c>
      <c r="BW135" s="11">
        <v>131</v>
      </c>
      <c r="BX135" s="11">
        <v>126</v>
      </c>
      <c r="BY135" s="11">
        <v>117</v>
      </c>
      <c r="BZ135" s="11">
        <v>112</v>
      </c>
      <c r="CA135" s="11">
        <v>113</v>
      </c>
      <c r="CB135" s="11">
        <v>116</v>
      </c>
      <c r="CC135" s="11">
        <v>122</v>
      </c>
      <c r="CD135" s="11">
        <v>128</v>
      </c>
      <c r="CE135" s="11">
        <v>119</v>
      </c>
      <c r="CF135" s="11">
        <v>113</v>
      </c>
      <c r="CG135" s="11">
        <v>119</v>
      </c>
      <c r="CH135" s="11">
        <v>118</v>
      </c>
      <c r="CI135" s="11">
        <v>116</v>
      </c>
      <c r="CJ135" s="11">
        <v>109</v>
      </c>
      <c r="CK135" s="11">
        <v>101</v>
      </c>
      <c r="CL135" s="11">
        <v>103</v>
      </c>
      <c r="CM135" s="11">
        <v>109</v>
      </c>
      <c r="CN135" s="11">
        <v>112</v>
      </c>
      <c r="CO135" s="11">
        <v>113</v>
      </c>
      <c r="CP135" s="11">
        <v>110</v>
      </c>
      <c r="CQ135" s="11">
        <v>104</v>
      </c>
      <c r="CR135" s="11">
        <v>98</v>
      </c>
      <c r="CS135" s="11">
        <v>98</v>
      </c>
      <c r="CT135" s="11">
        <v>98</v>
      </c>
      <c r="CU135" s="11">
        <v>91</v>
      </c>
      <c r="CV135" s="11">
        <v>86</v>
      </c>
      <c r="CW135" s="11">
        <v>88</v>
      </c>
      <c r="CX135" s="11">
        <v>89</v>
      </c>
      <c r="CY135" s="11">
        <v>89</v>
      </c>
      <c r="CZ135" s="11">
        <v>84</v>
      </c>
      <c r="DA135" s="11">
        <v>85</v>
      </c>
      <c r="DB135" s="11">
        <v>90</v>
      </c>
      <c r="DC135" s="11">
        <v>87</v>
      </c>
      <c r="DD135" s="11">
        <v>83</v>
      </c>
      <c r="DE135" s="11">
        <v>77</v>
      </c>
      <c r="DF135" s="11">
        <v>75</v>
      </c>
      <c r="DG135" s="11">
        <v>74</v>
      </c>
      <c r="DH135" s="11">
        <v>74</v>
      </c>
      <c r="DI135" s="11">
        <v>73</v>
      </c>
      <c r="DJ135" s="11">
        <v>71</v>
      </c>
      <c r="DK135" s="11">
        <v>71</v>
      </c>
      <c r="DL135" s="11">
        <v>70</v>
      </c>
      <c r="DM135" s="11">
        <v>72</v>
      </c>
      <c r="DN135" s="11">
        <v>71</v>
      </c>
      <c r="DO135" s="11">
        <v>76</v>
      </c>
      <c r="DP135" s="11">
        <v>72</v>
      </c>
      <c r="DQ135" s="11">
        <v>66</v>
      </c>
      <c r="DR135" s="11">
        <v>56</v>
      </c>
      <c r="DS135" s="11">
        <v>58</v>
      </c>
      <c r="DT135" s="11">
        <v>55</v>
      </c>
      <c r="DU135" s="11">
        <v>59</v>
      </c>
      <c r="DV135" s="11">
        <v>58</v>
      </c>
      <c r="DW135" s="11">
        <v>57</v>
      </c>
      <c r="DX135" s="11">
        <v>52</v>
      </c>
      <c r="DY135" s="11">
        <v>53</v>
      </c>
      <c r="DZ135" s="11">
        <v>53</v>
      </c>
      <c r="EA135" s="11">
        <v>52</v>
      </c>
      <c r="EB135" s="11">
        <v>49</v>
      </c>
      <c r="EC135" s="11">
        <v>54</v>
      </c>
      <c r="ED135" s="11">
        <v>52</v>
      </c>
      <c r="EE135" t="s">
        <v>69</v>
      </c>
    </row>
    <row r="136" spans="1:135" ht="18" customHeight="1" x14ac:dyDescent="0.25">
      <c r="A136" s="133" t="s">
        <v>93</v>
      </c>
      <c r="B136" s="133"/>
      <c r="C136" s="133"/>
      <c r="D136" s="133"/>
      <c r="E136" s="133"/>
      <c r="F136" s="133"/>
      <c r="G136" s="133"/>
      <c r="H136" s="133"/>
      <c r="N136" s="29" t="s">
        <v>69</v>
      </c>
      <c r="O136" s="11">
        <v>6869</v>
      </c>
      <c r="P136" s="11">
        <v>6775</v>
      </c>
      <c r="Q136" s="11">
        <v>6684</v>
      </c>
      <c r="R136" s="11">
        <v>6496</v>
      </c>
      <c r="S136" s="11">
        <v>6412</v>
      </c>
      <c r="T136" s="11">
        <v>6158</v>
      </c>
      <c r="U136" s="11">
        <v>6248</v>
      </c>
      <c r="V136" s="11">
        <v>6344</v>
      </c>
      <c r="W136" s="11">
        <v>6070</v>
      </c>
      <c r="X136" s="11">
        <v>5829</v>
      </c>
      <c r="Y136" s="11">
        <v>5570</v>
      </c>
      <c r="Z136" s="11">
        <v>5230</v>
      </c>
      <c r="AA136" s="11">
        <v>4850</v>
      </c>
      <c r="AB136" s="11">
        <v>4826</v>
      </c>
      <c r="AC136" s="11">
        <v>4832</v>
      </c>
      <c r="AD136" s="11">
        <v>4482</v>
      </c>
      <c r="AE136" s="11">
        <v>4137</v>
      </c>
      <c r="AF136" s="11">
        <v>3819</v>
      </c>
      <c r="AG136" s="11">
        <v>3584</v>
      </c>
      <c r="AH136" s="11">
        <v>3284</v>
      </c>
      <c r="AI136" s="11">
        <v>3316</v>
      </c>
      <c r="AJ136" s="11">
        <v>3322</v>
      </c>
      <c r="AK136" s="11">
        <v>3012</v>
      </c>
      <c r="AL136" s="11">
        <v>2767</v>
      </c>
      <c r="AM136" s="11">
        <v>2613</v>
      </c>
      <c r="AN136" s="11">
        <v>2404</v>
      </c>
      <c r="AO136" s="11">
        <v>2180</v>
      </c>
      <c r="AP136" s="11">
        <v>2165</v>
      </c>
      <c r="AQ136" s="11">
        <v>2167</v>
      </c>
      <c r="AR136" s="11">
        <v>1997</v>
      </c>
      <c r="AS136" s="11">
        <v>1827</v>
      </c>
      <c r="AT136" s="11">
        <v>1708</v>
      </c>
      <c r="AU136" s="11">
        <v>1583</v>
      </c>
      <c r="AV136" s="11">
        <v>1416</v>
      </c>
      <c r="AW136" s="11">
        <v>1414</v>
      </c>
      <c r="AX136" s="11">
        <v>1403</v>
      </c>
      <c r="AY136" s="11">
        <v>1278</v>
      </c>
      <c r="AZ136" s="11">
        <v>1201</v>
      </c>
      <c r="BA136" s="11">
        <v>1102</v>
      </c>
      <c r="BB136" s="11">
        <v>1046</v>
      </c>
      <c r="BC136" s="11">
        <v>980</v>
      </c>
      <c r="BD136" s="11">
        <v>976</v>
      </c>
      <c r="BE136" s="11">
        <v>996</v>
      </c>
      <c r="BF136" s="11">
        <v>955</v>
      </c>
      <c r="BG136" s="11">
        <v>856</v>
      </c>
      <c r="BH136" s="11">
        <v>828</v>
      </c>
      <c r="BI136" s="11">
        <v>789</v>
      </c>
      <c r="BJ136" s="11">
        <v>744</v>
      </c>
      <c r="BK136" s="11">
        <v>765</v>
      </c>
      <c r="BL136" s="11">
        <v>771</v>
      </c>
      <c r="BM136" s="11">
        <v>743</v>
      </c>
      <c r="BN136" s="11">
        <v>712</v>
      </c>
      <c r="BO136" s="11">
        <v>695</v>
      </c>
      <c r="BP136" s="11">
        <v>669</v>
      </c>
      <c r="BQ136" s="11">
        <v>618</v>
      </c>
      <c r="BR136" s="11">
        <v>633</v>
      </c>
      <c r="BS136" s="11">
        <v>623</v>
      </c>
      <c r="BT136" s="11">
        <v>584</v>
      </c>
      <c r="BU136" s="11">
        <v>558</v>
      </c>
      <c r="BV136" s="11">
        <v>538</v>
      </c>
      <c r="BW136" s="11">
        <v>513</v>
      </c>
      <c r="BX136" s="11">
        <v>512</v>
      </c>
      <c r="BY136" s="11">
        <v>517</v>
      </c>
      <c r="BZ136" s="11">
        <v>536</v>
      </c>
      <c r="CA136" s="11">
        <v>504</v>
      </c>
      <c r="CB136" s="11">
        <v>488</v>
      </c>
      <c r="CC136" s="11">
        <v>495</v>
      </c>
      <c r="CD136" s="11">
        <v>486</v>
      </c>
      <c r="CE136" s="11">
        <v>466</v>
      </c>
      <c r="CF136" s="11">
        <v>466</v>
      </c>
      <c r="CG136" s="11">
        <v>479</v>
      </c>
      <c r="CH136" s="11">
        <v>459</v>
      </c>
      <c r="CI136" s="11">
        <v>447</v>
      </c>
      <c r="CJ136" s="11">
        <v>423</v>
      </c>
      <c r="CK136" s="11">
        <v>429</v>
      </c>
      <c r="CL136" s="11">
        <v>415</v>
      </c>
      <c r="CM136" s="11">
        <v>428</v>
      </c>
      <c r="CN136" s="11">
        <v>454</v>
      </c>
      <c r="CO136" s="11">
        <v>429</v>
      </c>
      <c r="CP136" s="11">
        <v>397</v>
      </c>
      <c r="CQ136" s="11">
        <v>395</v>
      </c>
      <c r="CR136" s="11">
        <v>384</v>
      </c>
      <c r="CS136" s="11">
        <v>342</v>
      </c>
      <c r="CT136" s="11">
        <v>348</v>
      </c>
      <c r="CU136" s="11">
        <v>365</v>
      </c>
      <c r="CV136" s="11">
        <v>346</v>
      </c>
      <c r="CW136" s="11">
        <v>332</v>
      </c>
      <c r="CX136" s="11">
        <v>324</v>
      </c>
      <c r="CY136" s="11">
        <v>324</v>
      </c>
      <c r="CZ136" s="11">
        <v>302</v>
      </c>
      <c r="DA136" s="11">
        <v>311</v>
      </c>
      <c r="DB136" s="11">
        <v>322</v>
      </c>
      <c r="DC136" s="11">
        <v>296</v>
      </c>
      <c r="DD136" s="11">
        <v>297</v>
      </c>
      <c r="DE136" s="11">
        <v>283</v>
      </c>
      <c r="DF136" s="11">
        <v>280</v>
      </c>
      <c r="DG136" s="11">
        <v>260</v>
      </c>
      <c r="DH136" s="11">
        <v>268</v>
      </c>
      <c r="DI136" s="11">
        <v>277</v>
      </c>
      <c r="DJ136" s="11">
        <v>257</v>
      </c>
      <c r="DK136" s="11">
        <v>248</v>
      </c>
      <c r="DL136" s="11">
        <v>244</v>
      </c>
      <c r="DM136" s="11">
        <v>236</v>
      </c>
      <c r="DN136" s="11">
        <v>223</v>
      </c>
      <c r="DO136" s="11">
        <v>245</v>
      </c>
      <c r="DP136" s="11">
        <v>246</v>
      </c>
      <c r="DQ136" s="11">
        <v>233</v>
      </c>
      <c r="DR136" s="11">
        <v>211</v>
      </c>
      <c r="DS136" s="11">
        <v>208</v>
      </c>
      <c r="DT136" s="11">
        <v>207</v>
      </c>
      <c r="DU136" s="11">
        <v>210</v>
      </c>
      <c r="DV136" s="11">
        <v>220</v>
      </c>
      <c r="DW136" s="11">
        <v>239</v>
      </c>
      <c r="DX136" s="11">
        <v>237</v>
      </c>
      <c r="DY136" s="11">
        <v>233</v>
      </c>
      <c r="DZ136" s="11">
        <v>233</v>
      </c>
      <c r="EA136" s="11">
        <v>246</v>
      </c>
      <c r="EB136" s="11">
        <v>244</v>
      </c>
      <c r="EC136" s="11">
        <v>271</v>
      </c>
      <c r="ED136" s="11">
        <v>283</v>
      </c>
      <c r="EE136" t="s">
        <v>69</v>
      </c>
    </row>
    <row r="137" spans="1:135" ht="18" customHeight="1" x14ac:dyDescent="0.2">
      <c r="N137" s="29" t="s">
        <v>69</v>
      </c>
      <c r="O137" s="11">
        <v>47369</v>
      </c>
      <c r="P137" s="11">
        <v>57995</v>
      </c>
      <c r="Q137" s="11">
        <v>53401</v>
      </c>
      <c r="R137" s="11">
        <v>50384</v>
      </c>
      <c r="S137" s="11">
        <v>49625</v>
      </c>
      <c r="T137" s="11">
        <v>30356</v>
      </c>
      <c r="U137" s="11">
        <v>15085</v>
      </c>
      <c r="V137" s="11">
        <v>34923</v>
      </c>
      <c r="W137" s="11">
        <v>38694</v>
      </c>
      <c r="X137" s="11">
        <v>37621</v>
      </c>
      <c r="Y137" s="11">
        <v>37347</v>
      </c>
      <c r="Z137" s="11">
        <v>38752</v>
      </c>
      <c r="AA137" s="11">
        <v>21483</v>
      </c>
      <c r="AB137" s="11">
        <v>12100</v>
      </c>
      <c r="AC137" s="11">
        <v>33135</v>
      </c>
      <c r="AD137" s="11">
        <v>32083</v>
      </c>
      <c r="AE137" s="11">
        <v>34354</v>
      </c>
      <c r="AF137" s="11">
        <v>33985</v>
      </c>
      <c r="AG137" s="11">
        <v>33887</v>
      </c>
      <c r="AH137" s="11">
        <v>21848</v>
      </c>
      <c r="AI137" s="11">
        <v>10854</v>
      </c>
      <c r="AJ137" s="11">
        <v>31296</v>
      </c>
      <c r="AK137" s="11">
        <v>31577</v>
      </c>
      <c r="AL137" s="11">
        <v>31235</v>
      </c>
      <c r="AM137" s="11">
        <v>30974</v>
      </c>
      <c r="AN137" s="11">
        <v>32910</v>
      </c>
      <c r="AO137" s="11">
        <v>20380</v>
      </c>
      <c r="AP137" s="11">
        <v>11439</v>
      </c>
      <c r="AQ137" s="11">
        <v>26639</v>
      </c>
      <c r="AR137" s="11">
        <v>29735</v>
      </c>
      <c r="AS137" s="11">
        <v>29388</v>
      </c>
      <c r="AT137" s="11">
        <v>28081</v>
      </c>
      <c r="AU137" s="11">
        <v>28636</v>
      </c>
      <c r="AV137" s="11">
        <v>19891</v>
      </c>
      <c r="AW137" s="11">
        <v>9396</v>
      </c>
      <c r="AX137" s="11">
        <v>25303</v>
      </c>
      <c r="AY137" s="11">
        <v>24513</v>
      </c>
      <c r="AZ137" s="11">
        <v>26627</v>
      </c>
      <c r="BA137" s="11">
        <v>24313</v>
      </c>
      <c r="BB137" s="11">
        <v>27281</v>
      </c>
      <c r="BC137" s="11">
        <v>21016</v>
      </c>
      <c r="BD137" s="11">
        <v>9709</v>
      </c>
      <c r="BE137" s="11">
        <v>26427</v>
      </c>
      <c r="BF137" s="11">
        <v>41394</v>
      </c>
      <c r="BG137" s="11">
        <v>48102</v>
      </c>
      <c r="BH137" s="11">
        <v>52896</v>
      </c>
      <c r="BI137" s="11">
        <v>53485</v>
      </c>
      <c r="BJ137" s="11">
        <v>33514</v>
      </c>
      <c r="BK137" s="11">
        <v>10254</v>
      </c>
      <c r="BL137" s="11">
        <v>30283</v>
      </c>
      <c r="BM137" s="11">
        <v>31200</v>
      </c>
      <c r="BN137" s="11">
        <v>29256</v>
      </c>
      <c r="BO137" s="11">
        <v>27478</v>
      </c>
      <c r="BP137" s="11">
        <v>30147</v>
      </c>
      <c r="BQ137" s="11">
        <v>22158</v>
      </c>
      <c r="BR137" s="11">
        <v>10845</v>
      </c>
      <c r="BS137" s="11">
        <v>30192</v>
      </c>
      <c r="BT137" s="11">
        <v>29244</v>
      </c>
      <c r="BU137" s="11">
        <v>28880</v>
      </c>
      <c r="BV137" s="11">
        <v>28742</v>
      </c>
      <c r="BW137" s="11">
        <v>14921</v>
      </c>
      <c r="BX137" s="11">
        <v>23135</v>
      </c>
      <c r="BY137" s="11">
        <v>12404</v>
      </c>
      <c r="BZ137" s="11">
        <v>59246</v>
      </c>
      <c r="CA137" s="11">
        <v>63682</v>
      </c>
      <c r="CB137" s="11">
        <v>63338</v>
      </c>
      <c r="CC137" s="11">
        <v>58289</v>
      </c>
      <c r="CD137" s="11">
        <v>60156</v>
      </c>
      <c r="CE137" s="11">
        <v>31800</v>
      </c>
      <c r="CF137" s="11">
        <v>12842</v>
      </c>
      <c r="CG137" s="11">
        <v>38795</v>
      </c>
      <c r="CH137" s="11">
        <v>41484</v>
      </c>
      <c r="CI137" s="11">
        <v>41634</v>
      </c>
      <c r="CJ137" s="11">
        <v>42082</v>
      </c>
      <c r="CK137" s="11">
        <v>47052</v>
      </c>
      <c r="CL137" s="11">
        <v>31461</v>
      </c>
      <c r="CM137" s="11">
        <v>14429</v>
      </c>
      <c r="CN137" s="11">
        <v>78716</v>
      </c>
      <c r="CO137" s="11">
        <v>96934</v>
      </c>
      <c r="CP137" s="11">
        <v>98744</v>
      </c>
      <c r="CQ137" s="11">
        <v>98063</v>
      </c>
      <c r="CR137" s="11">
        <v>88546</v>
      </c>
      <c r="CS137" s="11">
        <v>41386</v>
      </c>
      <c r="CT137" s="11">
        <v>14485</v>
      </c>
      <c r="CU137" s="11">
        <v>53464</v>
      </c>
      <c r="CV137" s="11">
        <v>57452</v>
      </c>
      <c r="CW137" s="11">
        <v>53345</v>
      </c>
      <c r="CX137" s="11">
        <v>54101</v>
      </c>
      <c r="CY137" s="11">
        <v>64169</v>
      </c>
      <c r="CZ137" s="11">
        <v>31454</v>
      </c>
      <c r="DA137" s="11">
        <v>17140</v>
      </c>
      <c r="DB137" s="11">
        <v>52011</v>
      </c>
      <c r="DC137" s="11">
        <v>52560</v>
      </c>
      <c r="DD137" s="11">
        <v>49255</v>
      </c>
      <c r="DE137" s="11">
        <v>48583</v>
      </c>
      <c r="DF137" s="11">
        <v>47849</v>
      </c>
      <c r="DG137" s="11">
        <v>31498</v>
      </c>
      <c r="DH137" s="11">
        <v>15940</v>
      </c>
      <c r="DI137" s="11">
        <v>39435</v>
      </c>
      <c r="DJ137" s="11">
        <v>41873</v>
      </c>
      <c r="DK137" s="11">
        <v>43813</v>
      </c>
      <c r="DL137" s="11">
        <v>40249</v>
      </c>
      <c r="DM137" s="11">
        <v>46370</v>
      </c>
      <c r="DN137" s="11">
        <v>30962</v>
      </c>
      <c r="DO137" s="11">
        <v>15707</v>
      </c>
      <c r="DP137" s="11">
        <v>43293</v>
      </c>
      <c r="DQ137" s="11">
        <v>41470</v>
      </c>
      <c r="DR137" s="11">
        <v>44399</v>
      </c>
      <c r="DS137" s="11">
        <v>44577</v>
      </c>
      <c r="DT137" s="11">
        <v>45378</v>
      </c>
      <c r="DU137" s="11">
        <v>33560</v>
      </c>
      <c r="DV137" s="11">
        <v>16152</v>
      </c>
      <c r="DW137" s="11">
        <v>42680</v>
      </c>
      <c r="DX137" s="11">
        <v>43590</v>
      </c>
      <c r="DY137" s="11">
        <v>50409</v>
      </c>
      <c r="DZ137" s="11">
        <v>53947</v>
      </c>
      <c r="EA137" s="11">
        <v>59275</v>
      </c>
      <c r="EB137" s="11">
        <v>43319</v>
      </c>
      <c r="EC137" s="11">
        <v>20369</v>
      </c>
      <c r="ED137" s="11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11">
        <v>0.2036</v>
      </c>
      <c r="P138" s="11">
        <v>0.19889999999999999</v>
      </c>
      <c r="Q138" s="11">
        <v>0.19259999999999999</v>
      </c>
      <c r="R138" s="11">
        <v>0.17910000000000001</v>
      </c>
      <c r="S138" s="11">
        <v>0.17030000000000001</v>
      </c>
      <c r="T138" s="11">
        <v>0.16170000000000001</v>
      </c>
      <c r="U138" s="11">
        <v>0.14760000000000001</v>
      </c>
      <c r="V138" s="11">
        <v>0.1426</v>
      </c>
      <c r="W138" s="11">
        <v>0.14180000000000001</v>
      </c>
      <c r="X138" s="11">
        <v>0.13220000000000001</v>
      </c>
      <c r="Y138" s="11">
        <v>0.1211</v>
      </c>
      <c r="Z138" s="11">
        <v>0.10929999999999999</v>
      </c>
      <c r="AA138" s="11">
        <v>9.9000000000000005E-2</v>
      </c>
      <c r="AB138" s="11">
        <v>9.2100000000000001E-2</v>
      </c>
      <c r="AC138" s="11">
        <v>8.7300000000000003E-2</v>
      </c>
      <c r="AD138" s="11">
        <v>8.5000000000000006E-2</v>
      </c>
      <c r="AE138" s="11">
        <v>7.6399999999999996E-2</v>
      </c>
      <c r="AF138" s="11">
        <v>7.0199999999999999E-2</v>
      </c>
      <c r="AG138" s="11">
        <v>6.7400000000000002E-2</v>
      </c>
      <c r="AH138" s="11">
        <v>6.0900000000000003E-2</v>
      </c>
      <c r="AI138" s="11">
        <v>5.8799999999999998E-2</v>
      </c>
      <c r="AJ138" s="11">
        <v>5.5500000000000001E-2</v>
      </c>
      <c r="AK138" s="11">
        <v>5.33E-2</v>
      </c>
      <c r="AL138" s="11">
        <v>4.9799999999999997E-2</v>
      </c>
      <c r="AM138" s="11">
        <v>4.65E-2</v>
      </c>
      <c r="AN138" s="11">
        <v>4.2000000000000003E-2</v>
      </c>
      <c r="AO138" s="11">
        <v>3.9699999999999999E-2</v>
      </c>
      <c r="AP138" s="11">
        <v>3.7100000000000001E-2</v>
      </c>
      <c r="AQ138" s="11">
        <v>3.7199999999999997E-2</v>
      </c>
      <c r="AR138" s="11">
        <v>3.5700000000000003E-2</v>
      </c>
      <c r="AS138" s="11">
        <v>3.3300000000000003E-2</v>
      </c>
      <c r="AT138" s="11">
        <v>3.2000000000000001E-2</v>
      </c>
      <c r="AU138" s="11">
        <v>3.2300000000000002E-2</v>
      </c>
      <c r="AV138" s="11">
        <v>3.2000000000000001E-2</v>
      </c>
      <c r="AW138" s="11">
        <v>3.2199999999999999E-2</v>
      </c>
      <c r="AX138" s="11">
        <v>3.2300000000000002E-2</v>
      </c>
      <c r="AY138" s="11">
        <v>3.4299999999999997E-2</v>
      </c>
      <c r="AZ138" s="11">
        <v>3.2800000000000003E-2</v>
      </c>
      <c r="BA138" s="11">
        <v>3.2300000000000002E-2</v>
      </c>
      <c r="BB138" s="11">
        <v>3.0200000000000001E-2</v>
      </c>
      <c r="BC138" s="11">
        <v>2.7199999999999998E-2</v>
      </c>
      <c r="BD138" s="11">
        <v>2.6200000000000001E-2</v>
      </c>
      <c r="BE138" s="11">
        <v>2.5399999999999999E-2</v>
      </c>
      <c r="BF138" s="11">
        <v>2.0299999999999999E-2</v>
      </c>
      <c r="BG138" s="11">
        <v>1.83E-2</v>
      </c>
      <c r="BH138" s="11">
        <v>1.5299999999999999E-2</v>
      </c>
      <c r="BI138" s="11">
        <v>1.37E-2</v>
      </c>
      <c r="BJ138" s="11">
        <v>1.2699999999999999E-2</v>
      </c>
      <c r="BK138" s="11">
        <v>1.23E-2</v>
      </c>
      <c r="BL138" s="11">
        <v>1.21E-2</v>
      </c>
      <c r="BM138" s="11">
        <v>1.2800000000000001E-2</v>
      </c>
      <c r="BN138" s="11">
        <v>1.34E-2</v>
      </c>
      <c r="BO138" s="11">
        <v>1.46E-2</v>
      </c>
      <c r="BP138" s="11">
        <v>1.6E-2</v>
      </c>
      <c r="BQ138" s="11">
        <v>1.6400000000000001E-2</v>
      </c>
      <c r="BR138" s="11">
        <v>1.5900000000000001E-2</v>
      </c>
      <c r="BS138" s="11">
        <v>1.6199999999999999E-2</v>
      </c>
      <c r="BT138" s="11">
        <v>1.61E-2</v>
      </c>
      <c r="BU138" s="11">
        <v>1.6400000000000001E-2</v>
      </c>
      <c r="BV138" s="11">
        <v>1.72E-2</v>
      </c>
      <c r="BW138" s="11">
        <v>1.9199999999999998E-2</v>
      </c>
      <c r="BX138" s="11">
        <v>1.8700000000000001E-2</v>
      </c>
      <c r="BY138" s="11">
        <v>1.7500000000000002E-2</v>
      </c>
      <c r="BZ138" s="11">
        <v>1.41E-2</v>
      </c>
      <c r="CA138" s="11">
        <v>1.41E-2</v>
      </c>
      <c r="CB138" s="11">
        <v>1.2500000000000001E-2</v>
      </c>
      <c r="CC138" s="11">
        <v>1.1299999999999999E-2</v>
      </c>
      <c r="CD138" s="11">
        <v>1.0200000000000001E-2</v>
      </c>
      <c r="CE138" s="11">
        <v>1.09E-2</v>
      </c>
      <c r="CF138" s="11">
        <v>1.1900000000000001E-2</v>
      </c>
      <c r="CG138" s="11">
        <v>1.2999999999999999E-2</v>
      </c>
      <c r="CH138" s="11">
        <v>1.24E-2</v>
      </c>
      <c r="CI138" s="11">
        <v>1.34E-2</v>
      </c>
      <c r="CJ138" s="11">
        <v>1.3899999999999999E-2</v>
      </c>
      <c r="CK138" s="11">
        <v>1.4E-2</v>
      </c>
      <c r="CL138" s="11">
        <v>1.4200000000000001E-2</v>
      </c>
      <c r="CM138" s="11">
        <v>1.3599999999999999E-2</v>
      </c>
      <c r="CN138" s="11">
        <v>1.1599999999999999E-2</v>
      </c>
      <c r="CO138" s="11">
        <v>9.9000000000000008E-3</v>
      </c>
      <c r="CP138" s="11">
        <v>8.3000000000000001E-3</v>
      </c>
      <c r="CQ138" s="11">
        <v>7.6E-3</v>
      </c>
      <c r="CR138" s="11">
        <v>6.8999999999999999E-3</v>
      </c>
      <c r="CS138" s="11">
        <v>6.6E-3</v>
      </c>
      <c r="CT138" s="11">
        <v>6.7000000000000002E-3</v>
      </c>
      <c r="CU138" s="11">
        <v>7.0000000000000001E-3</v>
      </c>
      <c r="CV138" s="11">
        <v>7.4000000000000003E-3</v>
      </c>
      <c r="CW138" s="11">
        <v>8.0999999999999996E-3</v>
      </c>
      <c r="CX138" s="11">
        <v>8.6999999999999994E-3</v>
      </c>
      <c r="CY138" s="11">
        <v>9.1000000000000004E-3</v>
      </c>
      <c r="CZ138" s="11">
        <v>9.1000000000000004E-3</v>
      </c>
      <c r="DA138" s="11">
        <v>8.6E-3</v>
      </c>
      <c r="DB138" s="11">
        <v>8.6E-3</v>
      </c>
      <c r="DC138" s="11">
        <v>8.3999999999999995E-3</v>
      </c>
      <c r="DD138" s="11">
        <v>7.9000000000000008E-3</v>
      </c>
      <c r="DE138" s="11">
        <v>7.7000000000000002E-3</v>
      </c>
      <c r="DF138" s="11">
        <v>7.9000000000000008E-3</v>
      </c>
      <c r="DG138" s="11">
        <v>7.7000000000000002E-3</v>
      </c>
      <c r="DH138" s="11">
        <v>7.7000000000000002E-3</v>
      </c>
      <c r="DI138" s="11">
        <v>8.0000000000000002E-3</v>
      </c>
      <c r="DJ138" s="11">
        <v>8.3999999999999995E-3</v>
      </c>
      <c r="DK138" s="11">
        <v>8.8999999999999999E-3</v>
      </c>
      <c r="DL138" s="11">
        <v>9.4000000000000004E-3</v>
      </c>
      <c r="DM138" s="11">
        <v>9.7999999999999997E-3</v>
      </c>
      <c r="DN138" s="11">
        <v>0.01</v>
      </c>
      <c r="DO138" s="11">
        <v>1.01E-2</v>
      </c>
      <c r="DP138" s="11">
        <v>1.01E-2</v>
      </c>
      <c r="DQ138" s="11">
        <v>1.0500000000000001E-2</v>
      </c>
      <c r="DR138" s="11">
        <v>1.06E-2</v>
      </c>
      <c r="DS138" s="11">
        <v>1.0500000000000001E-2</v>
      </c>
      <c r="DT138" s="11">
        <v>1.09E-2</v>
      </c>
      <c r="DU138" s="11">
        <v>1.0999999999999999E-2</v>
      </c>
      <c r="DV138" s="11">
        <v>1.1299999999999999E-2</v>
      </c>
      <c r="DW138" s="11">
        <v>1.15E-2</v>
      </c>
      <c r="DX138" s="11">
        <v>1.14E-2</v>
      </c>
      <c r="DY138" s="11">
        <v>1.14E-2</v>
      </c>
      <c r="DZ138" s="11">
        <v>1.15E-2</v>
      </c>
      <c r="EA138" s="11">
        <v>1.11E-2</v>
      </c>
      <c r="EB138" s="11">
        <v>1.0999999999999999E-2</v>
      </c>
      <c r="EC138" s="11">
        <v>1.0999999999999999E-2</v>
      </c>
      <c r="ED138" s="11">
        <v>1.1299999999999999E-2</v>
      </c>
      <c r="EE138" t="s">
        <v>69</v>
      </c>
    </row>
    <row r="139" spans="1:135" ht="18" customHeight="1" x14ac:dyDescent="0.2">
      <c r="N139" s="29" t="s">
        <v>68</v>
      </c>
      <c r="O139" s="11">
        <v>80488</v>
      </c>
      <c r="P139" s="11">
        <v>82431</v>
      </c>
      <c r="Q139" s="11">
        <v>87588</v>
      </c>
      <c r="R139" s="11">
        <v>96711</v>
      </c>
      <c r="S139" s="11">
        <v>106652</v>
      </c>
      <c r="T139" s="11">
        <v>115522</v>
      </c>
      <c r="U139" s="11">
        <v>116262</v>
      </c>
      <c r="V139" s="11">
        <v>118172</v>
      </c>
      <c r="W139" s="11">
        <v>119614</v>
      </c>
      <c r="X139" s="11">
        <v>130118</v>
      </c>
      <c r="Y139" s="11">
        <v>146637</v>
      </c>
      <c r="Z139" s="11">
        <v>171163</v>
      </c>
      <c r="AA139" s="11">
        <v>198253</v>
      </c>
      <c r="AB139" s="11">
        <v>208089</v>
      </c>
      <c r="AC139" s="11">
        <v>218125</v>
      </c>
      <c r="AD139" s="11">
        <v>223711</v>
      </c>
      <c r="AE139" s="11">
        <v>229743</v>
      </c>
      <c r="AF139" s="11">
        <v>237696</v>
      </c>
      <c r="AG139" s="11">
        <v>250400</v>
      </c>
      <c r="AH139" s="11">
        <v>263354</v>
      </c>
      <c r="AI139" s="11">
        <v>266858</v>
      </c>
      <c r="AJ139" s="11">
        <v>269203</v>
      </c>
      <c r="AK139" s="11">
        <v>270927</v>
      </c>
      <c r="AL139" s="11">
        <v>273148</v>
      </c>
      <c r="AM139" s="11">
        <v>276637</v>
      </c>
      <c r="AN139" s="11">
        <v>279729</v>
      </c>
      <c r="AO139" s="11">
        <v>285185</v>
      </c>
      <c r="AP139" s="11">
        <v>286470</v>
      </c>
      <c r="AQ139" s="11">
        <v>290637</v>
      </c>
      <c r="AR139" s="11">
        <v>291987</v>
      </c>
      <c r="AS139" s="11">
        <v>293652</v>
      </c>
      <c r="AT139" s="11">
        <v>298685</v>
      </c>
      <c r="AU139" s="11">
        <v>304494</v>
      </c>
      <c r="AV139" s="11">
        <v>313101</v>
      </c>
      <c r="AW139" s="11">
        <v>317254</v>
      </c>
      <c r="AX139" s="11">
        <v>324862</v>
      </c>
      <c r="AY139" s="11">
        <v>327040</v>
      </c>
      <c r="AZ139" s="11">
        <v>328946</v>
      </c>
      <c r="BA139" s="11">
        <v>337944</v>
      </c>
      <c r="BB139" s="11">
        <v>352247</v>
      </c>
      <c r="BC139" s="11">
        <v>365719</v>
      </c>
      <c r="BD139" s="11">
        <v>371084</v>
      </c>
      <c r="BE139" s="11">
        <v>377464</v>
      </c>
      <c r="BF139" s="11">
        <v>380479</v>
      </c>
      <c r="BG139" s="11">
        <v>386426</v>
      </c>
      <c r="BH139" s="11">
        <v>408323</v>
      </c>
      <c r="BI139" s="11">
        <v>441676</v>
      </c>
      <c r="BJ139" s="11">
        <v>469651</v>
      </c>
      <c r="BK139" s="11">
        <v>482561</v>
      </c>
      <c r="BL139" s="11">
        <v>488236</v>
      </c>
      <c r="BM139" s="11">
        <v>495868</v>
      </c>
      <c r="BN139" s="11">
        <v>497940</v>
      </c>
      <c r="BO139" s="11">
        <v>501547</v>
      </c>
      <c r="BP139" s="11">
        <v>506051</v>
      </c>
      <c r="BQ139" s="11">
        <v>508507</v>
      </c>
      <c r="BR139" s="11">
        <v>510025</v>
      </c>
      <c r="BS139" s="11">
        <v>511095</v>
      </c>
      <c r="BT139" s="11">
        <v>513723</v>
      </c>
      <c r="BU139" s="11">
        <v>517319</v>
      </c>
      <c r="BV139" s="11">
        <v>527026</v>
      </c>
      <c r="BW139" s="11">
        <v>569074</v>
      </c>
      <c r="BX139" s="11">
        <v>585830</v>
      </c>
      <c r="BY139" s="11">
        <v>592953</v>
      </c>
      <c r="BZ139" s="11">
        <v>596680</v>
      </c>
      <c r="CA139" s="11">
        <v>602600</v>
      </c>
      <c r="CB139" s="11">
        <v>605682</v>
      </c>
      <c r="CC139" s="11">
        <v>616121</v>
      </c>
      <c r="CD139" s="11">
        <v>631127</v>
      </c>
      <c r="CE139" s="11">
        <v>643712</v>
      </c>
      <c r="CF139" s="11">
        <v>645818</v>
      </c>
      <c r="CG139" s="11">
        <v>651251</v>
      </c>
      <c r="CH139" s="11">
        <v>653413</v>
      </c>
      <c r="CI139" s="11">
        <v>655193</v>
      </c>
      <c r="CJ139" s="11">
        <v>666086</v>
      </c>
      <c r="CK139" s="11">
        <v>676217</v>
      </c>
      <c r="CL139" s="11">
        <v>696172</v>
      </c>
      <c r="CM139" s="11">
        <v>701102</v>
      </c>
      <c r="CN139" s="11">
        <v>706842</v>
      </c>
      <c r="CO139" s="11">
        <v>718009</v>
      </c>
      <c r="CP139" s="11">
        <v>726985</v>
      </c>
      <c r="CQ139" s="11">
        <v>750872</v>
      </c>
      <c r="CR139" s="11">
        <v>790203</v>
      </c>
      <c r="CS139" s="11">
        <v>828138</v>
      </c>
      <c r="CT139" s="11">
        <v>840420</v>
      </c>
      <c r="CU139" s="11">
        <v>847664</v>
      </c>
      <c r="CV139" s="11">
        <v>856281</v>
      </c>
      <c r="CW139" s="11">
        <v>866481</v>
      </c>
      <c r="CX139" s="11">
        <v>885339</v>
      </c>
      <c r="CY139" s="11">
        <v>903570</v>
      </c>
      <c r="CZ139" s="11">
        <v>920598</v>
      </c>
      <c r="DA139" s="11">
        <v>930042</v>
      </c>
      <c r="DB139" s="11">
        <v>939105</v>
      </c>
      <c r="DC139" s="11">
        <v>952721</v>
      </c>
      <c r="DD139" s="11">
        <v>969630</v>
      </c>
      <c r="DE139" s="11">
        <v>1012002</v>
      </c>
      <c r="DF139" s="11">
        <v>1063299</v>
      </c>
      <c r="DG139" s="11">
        <v>1120117</v>
      </c>
      <c r="DH139" s="11">
        <v>1134005</v>
      </c>
      <c r="DI139" s="11">
        <v>1160784</v>
      </c>
      <c r="DJ139" s="11">
        <v>1180469</v>
      </c>
      <c r="DK139" s="11">
        <v>1196536</v>
      </c>
      <c r="DL139" s="11">
        <v>1211653</v>
      </c>
      <c r="DM139" s="11">
        <v>1231250</v>
      </c>
      <c r="DN139" s="11">
        <v>1287442</v>
      </c>
      <c r="DO139" s="11">
        <v>1411270</v>
      </c>
      <c r="DP139" s="11">
        <v>1469159</v>
      </c>
      <c r="DQ139" s="11">
        <v>1489854</v>
      </c>
      <c r="DR139" s="11">
        <v>1513415</v>
      </c>
      <c r="DS139" s="11">
        <v>1539964</v>
      </c>
      <c r="DT139" s="11">
        <v>1568208</v>
      </c>
      <c r="DU139" s="11">
        <v>1604322</v>
      </c>
      <c r="DV139" s="11">
        <v>1638859</v>
      </c>
      <c r="DW139" s="11">
        <v>1701479</v>
      </c>
      <c r="DX139" s="11">
        <v>1725903</v>
      </c>
      <c r="DY139" s="11">
        <v>1745225</v>
      </c>
      <c r="DZ139" s="11">
        <v>1788676</v>
      </c>
      <c r="EA139" s="11">
        <v>1845836</v>
      </c>
      <c r="EB139" s="11">
        <v>1910212</v>
      </c>
      <c r="EC139" s="11">
        <v>1949349</v>
      </c>
      <c r="ED139" s="11">
        <v>2054154</v>
      </c>
      <c r="EE139" t="s">
        <v>71</v>
      </c>
    </row>
    <row r="142" spans="1:135" ht="18" customHeight="1" x14ac:dyDescent="0.2">
      <c r="O142" s="143" t="s">
        <v>100</v>
      </c>
      <c r="P142" s="143"/>
      <c r="Q142" s="143"/>
      <c r="R142" s="143"/>
      <c r="S142" s="143"/>
      <c r="T142" s="143"/>
      <c r="U142" s="143"/>
      <c r="X142" s="143" t="s">
        <v>99</v>
      </c>
      <c r="Y142" s="143"/>
      <c r="Z142" s="143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11">
        <v>99.889999999999986</v>
      </c>
      <c r="Q143" s="11">
        <v>33704</v>
      </c>
      <c r="R143" s="11">
        <v>183826</v>
      </c>
      <c r="S143" s="11">
        <v>4503206</v>
      </c>
      <c r="T143" s="11">
        <v>4.2930000000000046</v>
      </c>
      <c r="U143" s="11">
        <v>82225828</v>
      </c>
      <c r="V143" t="s">
        <v>71</v>
      </c>
      <c r="X143" s="29" t="s">
        <v>86</v>
      </c>
      <c r="Y143" cm="1">
        <f t="array" ref="Y143">SUMPRODUCT(N8:N127*B8:B127)</f>
        <v>128577</v>
      </c>
      <c r="Z143" t="s">
        <v>71</v>
      </c>
    </row>
    <row r="144" spans="1:135" ht="18" customHeight="1" x14ac:dyDescent="0.2">
      <c r="N144" s="29" t="s">
        <v>69</v>
      </c>
      <c r="O144" s="11">
        <v>99.889999999999986</v>
      </c>
      <c r="P144" s="11">
        <v>88.893900000000031</v>
      </c>
      <c r="Q144" s="11">
        <v>22146.890000000007</v>
      </c>
      <c r="R144" s="11">
        <v>117452.48000000003</v>
      </c>
      <c r="S144" s="11">
        <v>3909655.5200000005</v>
      </c>
      <c r="T144" s="11">
        <v>2.8748780000000012</v>
      </c>
      <c r="U144" s="11">
        <v>78657825.980000004</v>
      </c>
      <c r="V144" t="s">
        <v>69</v>
      </c>
      <c r="X144" s="29" t="s">
        <v>69</v>
      </c>
      <c r="Y144">
        <f>SUMPRODUCT(O8:O127*B8:B127)</f>
        <v>90806.080000000016</v>
      </c>
      <c r="Z144" t="s">
        <v>69</v>
      </c>
    </row>
    <row r="145" spans="1:26" ht="18" customHeight="1" x14ac:dyDescent="0.2">
      <c r="B145" s="29" t="s">
        <v>68</v>
      </c>
      <c r="C145" s="34">
        <f t="array" ref="C145:C151">MMULT(O153:U159,Y143:Y149)</f>
        <v>-989.69628176937522</v>
      </c>
      <c r="D145" t="s">
        <v>71</v>
      </c>
      <c r="N145" s="29" t="s">
        <v>69</v>
      </c>
      <c r="O145" s="11">
        <v>33704</v>
      </c>
      <c r="P145" s="11">
        <v>22146.890000000007</v>
      </c>
      <c r="Q145" s="11">
        <v>18548310</v>
      </c>
      <c r="R145" s="11">
        <v>113478976</v>
      </c>
      <c r="S145" s="11">
        <v>1149940618</v>
      </c>
      <c r="T145" s="11">
        <v>2599.5675999999999</v>
      </c>
      <c r="U145" s="11">
        <v>11624964557</v>
      </c>
      <c r="V145" t="s">
        <v>69</v>
      </c>
      <c r="X145" s="29" t="s">
        <v>69</v>
      </c>
      <c r="Y145" cm="1">
        <f t="array" ref="Y145">SUMPRODUCT(P8:P127*B8:B127)</f>
        <v>75527663</v>
      </c>
      <c r="Z145" t="s">
        <v>69</v>
      </c>
    </row>
    <row r="146" spans="1:26" ht="18" customHeight="1" x14ac:dyDescent="0.2">
      <c r="B146" s="29" t="s">
        <v>69</v>
      </c>
      <c r="C146" s="34">
        <v>490.12868392775454</v>
      </c>
      <c r="D146" t="s">
        <v>69</v>
      </c>
      <c r="E146" s="143" t="s">
        <v>90</v>
      </c>
      <c r="F146" s="143"/>
      <c r="G146" s="143"/>
      <c r="H146" s="143"/>
      <c r="I146" s="143"/>
      <c r="J146" s="143"/>
      <c r="K146" s="143"/>
      <c r="N146" s="29" t="s">
        <v>69</v>
      </c>
      <c r="O146" s="11">
        <v>183826</v>
      </c>
      <c r="P146" s="11">
        <v>117452.48000000003</v>
      </c>
      <c r="Q146" s="11">
        <v>113478976</v>
      </c>
      <c r="R146" s="11">
        <v>721892924</v>
      </c>
      <c r="S146" s="11">
        <v>6411756165</v>
      </c>
      <c r="T146" s="11">
        <v>16901.123500000005</v>
      </c>
      <c r="U146" s="11">
        <v>53937973737</v>
      </c>
      <c r="V146" t="s">
        <v>69</v>
      </c>
      <c r="X146" s="29" t="s">
        <v>69</v>
      </c>
      <c r="Y146" cm="1">
        <f t="array" ref="Y146">SUMPRODUCT(Q8:Q127*B8:B127)</f>
        <v>500585311</v>
      </c>
      <c r="Z146" t="s">
        <v>69</v>
      </c>
    </row>
    <row r="147" spans="1:26" ht="18" customHeight="1" x14ac:dyDescent="0.2">
      <c r="B147" s="29" t="s">
        <v>69</v>
      </c>
      <c r="C147" s="34">
        <v>3.3670321425313903</v>
      </c>
      <c r="D147" t="s">
        <v>69</v>
      </c>
      <c r="N147" s="29" t="s">
        <v>69</v>
      </c>
      <c r="O147" s="11">
        <v>4503206</v>
      </c>
      <c r="P147" s="11">
        <v>3909655.5200000005</v>
      </c>
      <c r="Q147" s="11">
        <v>1149940618</v>
      </c>
      <c r="R147" s="11">
        <v>6411756165</v>
      </c>
      <c r="S147" s="11">
        <v>207752370780</v>
      </c>
      <c r="T147" s="11">
        <v>154729.97150000004</v>
      </c>
      <c r="U147" s="11">
        <v>3317078082135</v>
      </c>
      <c r="V147" t="s">
        <v>69</v>
      </c>
      <c r="X147" s="29" t="s">
        <v>69</v>
      </c>
      <c r="Y147" cm="1">
        <f t="array" ref="Y147">SUMPRODUCT(R8:R127*B8:B127)</f>
        <v>5016683024</v>
      </c>
      <c r="Z147" t="s">
        <v>69</v>
      </c>
    </row>
    <row r="148" spans="1:26" ht="18" customHeight="1" x14ac:dyDescent="0.2">
      <c r="B148" s="29" t="s">
        <v>69</v>
      </c>
      <c r="C148" s="34">
        <v>-1.2744677310908068</v>
      </c>
      <c r="D148" t="s">
        <v>69</v>
      </c>
      <c r="N148" s="29" t="s">
        <v>69</v>
      </c>
      <c r="O148" s="11">
        <v>4.2930000000000046</v>
      </c>
      <c r="P148" s="11">
        <v>2.8748780000000012</v>
      </c>
      <c r="Q148" s="11">
        <v>2599.5675999999999</v>
      </c>
      <c r="R148" s="11">
        <v>16901.123500000005</v>
      </c>
      <c r="S148" s="11">
        <v>154729.97150000004</v>
      </c>
      <c r="T148" s="11">
        <v>0.40899665999999968</v>
      </c>
      <c r="U148" s="11">
        <v>1398601.5219999994</v>
      </c>
      <c r="V148" t="s">
        <v>69</v>
      </c>
      <c r="X148" s="29" t="s">
        <v>69</v>
      </c>
      <c r="Y148" cm="1">
        <f t="array" ref="Y148">SUMPRODUCT(S8:S127*B8:B127)</f>
        <v>12514.191900000014</v>
      </c>
      <c r="Z148" t="s">
        <v>69</v>
      </c>
    </row>
    <row r="149" spans="1:26" ht="18" customHeight="1" x14ac:dyDescent="0.2">
      <c r="B149" s="29" t="s">
        <v>69</v>
      </c>
      <c r="C149" s="34">
        <v>7.5185221206093044E-3</v>
      </c>
      <c r="D149" t="s">
        <v>69</v>
      </c>
      <c r="N149" s="29" t="s">
        <v>68</v>
      </c>
      <c r="O149" s="11">
        <v>82225828</v>
      </c>
      <c r="P149" s="11">
        <v>78657825.980000004</v>
      </c>
      <c r="Q149" s="11">
        <v>11624964557</v>
      </c>
      <c r="R149" s="11">
        <v>53937973737</v>
      </c>
      <c r="S149" s="11">
        <v>3317078082135</v>
      </c>
      <c r="T149" s="11">
        <v>1398601.5219999994</v>
      </c>
      <c r="U149" s="11">
        <v>85439162458898</v>
      </c>
      <c r="V149" t="s">
        <v>71</v>
      </c>
      <c r="X149" s="29" t="s">
        <v>68</v>
      </c>
      <c r="Y149" cm="1">
        <f t="array" ref="Y149">SUMPRODUCT(T8:T127*B8:B127)</f>
        <v>47336476826</v>
      </c>
      <c r="Z149" t="s">
        <v>71</v>
      </c>
    </row>
    <row r="150" spans="1:26" ht="18" customHeight="1" x14ac:dyDescent="0.2">
      <c r="B150" s="29" t="s">
        <v>69</v>
      </c>
      <c r="C150" s="34">
        <v>65851.596656554626</v>
      </c>
      <c r="D150" t="s">
        <v>69</v>
      </c>
    </row>
    <row r="151" spans="1:26" ht="18" customHeight="1" x14ac:dyDescent="0.2">
      <c r="B151" s="29" t="s">
        <v>68</v>
      </c>
      <c r="C151" s="34">
        <v>3.1876784593281096E-5</v>
      </c>
      <c r="D151" t="s">
        <v>71</v>
      </c>
    </row>
    <row r="152" spans="1:26" ht="18" customHeight="1" x14ac:dyDescent="0.2">
      <c r="O152" s="143" t="s">
        <v>98</v>
      </c>
      <c r="P152" s="143"/>
      <c r="Q152" s="143"/>
      <c r="R152" s="143"/>
      <c r="S152" s="143"/>
      <c r="T152" s="143"/>
      <c r="U152" s="143"/>
    </row>
    <row r="153" spans="1:26" ht="18" customHeight="1" x14ac:dyDescent="0.2">
      <c r="N153" s="29" t="s">
        <v>85</v>
      </c>
      <c r="O153" s="34" cm="1">
        <f t="array" ref="O153:U159">MINVERSE(O143:U149)</f>
        <v>1.7104699875133071</v>
      </c>
      <c r="P153" s="34">
        <v>-1.5530671885546812</v>
      </c>
      <c r="Q153" s="34">
        <v>-3.6568771247679913E-3</v>
      </c>
      <c r="R153" s="34">
        <v>3.9679724766726295E-4</v>
      </c>
      <c r="S153" s="34">
        <v>-7.5697407171829588E-7</v>
      </c>
      <c r="T153" s="34">
        <v>-0.1168878960762303</v>
      </c>
      <c r="U153" s="34">
        <v>6.202222306706472E-8</v>
      </c>
      <c r="V153" t="s">
        <v>71</v>
      </c>
    </row>
    <row r="154" spans="1:26" ht="18" customHeight="1" x14ac:dyDescent="0.2">
      <c r="N154" s="29" t="s">
        <v>69</v>
      </c>
      <c r="O154" s="34">
        <v>-1.5530671885546752</v>
      </c>
      <c r="P154" s="34">
        <v>1.6549937356617144</v>
      </c>
      <c r="Q154" s="34">
        <v>2.6319811495136868E-3</v>
      </c>
      <c r="R154" s="34">
        <v>-1.8746462477894514E-4</v>
      </c>
      <c r="S154" s="34">
        <v>-9.2228059723529259E-7</v>
      </c>
      <c r="T154" s="34">
        <v>-3.3559708296823278</v>
      </c>
      <c r="U154" s="34">
        <v>-1.7800100336238559E-7</v>
      </c>
      <c r="V154" t="s">
        <v>69</v>
      </c>
    </row>
    <row r="155" spans="1:26" ht="18" customHeight="1" x14ac:dyDescent="0.2">
      <c r="N155" s="29" t="s">
        <v>69</v>
      </c>
      <c r="O155" s="34">
        <v>-3.6568771247680459E-3</v>
      </c>
      <c r="P155" s="34">
        <v>2.6319811495137593E-3</v>
      </c>
      <c r="Q155" s="34">
        <v>1.3453620646911329E-5</v>
      </c>
      <c r="R155" s="34">
        <v>-2.302103579708601E-6</v>
      </c>
      <c r="S155" s="34">
        <v>3.8753447379226426E-9</v>
      </c>
      <c r="T155" s="34">
        <v>2.76403321988552E-2</v>
      </c>
      <c r="U155" s="34">
        <v>1.1615448252686143E-10</v>
      </c>
      <c r="V155" t="s">
        <v>69</v>
      </c>
    </row>
    <row r="156" spans="1:26" ht="18" customHeight="1" x14ac:dyDescent="0.25">
      <c r="A156" s="133" t="s">
        <v>88</v>
      </c>
      <c r="B156" s="133"/>
      <c r="C156" s="133"/>
      <c r="D156" s="133"/>
      <c r="E156" s="133"/>
      <c r="F156" s="133"/>
      <c r="G156" s="133"/>
      <c r="H156" s="133"/>
      <c r="N156" s="29" t="s">
        <v>69</v>
      </c>
      <c r="O156" s="34">
        <v>3.9679724766727862E-4</v>
      </c>
      <c r="P156" s="34">
        <v>-1.8746462477896287E-4</v>
      </c>
      <c r="Q156" s="34">
        <v>-2.3021035797086251E-6</v>
      </c>
      <c r="R156" s="34">
        <v>5.1095639113633636E-7</v>
      </c>
      <c r="S156" s="34">
        <v>-8.4337292589598866E-10</v>
      </c>
      <c r="T156" s="34">
        <v>-8.8714859052676665E-3</v>
      </c>
      <c r="U156" s="34">
        <v>-4.0663960793255987E-11</v>
      </c>
      <c r="V156" t="s">
        <v>69</v>
      </c>
    </row>
    <row r="157" spans="1:26" ht="18" customHeight="1" x14ac:dyDescent="0.2">
      <c r="N157" s="29" t="s">
        <v>69</v>
      </c>
      <c r="O157" s="34">
        <v>-7.5697407171830266E-7</v>
      </c>
      <c r="P157" s="34">
        <v>-9.2228059723528846E-7</v>
      </c>
      <c r="Q157" s="34">
        <v>3.8753447379226955E-9</v>
      </c>
      <c r="R157" s="34">
        <v>-8.4337292589600086E-10</v>
      </c>
      <c r="S157" s="34">
        <v>3.1587176288964667E-11</v>
      </c>
      <c r="T157" s="34">
        <v>1.2159832675262068E-5</v>
      </c>
      <c r="U157" s="34">
        <v>1.5733531355156977E-13</v>
      </c>
      <c r="V157" t="s">
        <v>69</v>
      </c>
    </row>
    <row r="158" spans="1:26" ht="18" customHeight="1" x14ac:dyDescent="0.2">
      <c r="N158" s="29" t="s">
        <v>69</v>
      </c>
      <c r="O158" s="34">
        <v>-0.11688789607656372</v>
      </c>
      <c r="P158" s="34">
        <v>-3.3559708296819983</v>
      </c>
      <c r="Q158" s="34">
        <v>2.764033219885606E-2</v>
      </c>
      <c r="R158" s="34">
        <v>-8.8714859052677671E-3</v>
      </c>
      <c r="S158" s="34">
        <v>1.2159832675261861E-5</v>
      </c>
      <c r="T158" s="34">
        <v>209.69093920971849</v>
      </c>
      <c r="U158" s="34">
        <v>1.1372710264233905E-6</v>
      </c>
      <c r="V158" t="s">
        <v>69</v>
      </c>
    </row>
    <row r="159" spans="1:26" ht="18" customHeight="1" x14ac:dyDescent="0.2">
      <c r="C159" s="38" t="s">
        <v>10</v>
      </c>
      <c r="N159" s="29" t="s">
        <v>68</v>
      </c>
      <c r="O159" s="34">
        <v>6.2022223067060114E-8</v>
      </c>
      <c r="P159" s="34">
        <v>-1.7800100336238178E-7</v>
      </c>
      <c r="Q159" s="34">
        <v>1.1615448252687681E-10</v>
      </c>
      <c r="R159" s="34">
        <v>-4.0663960793258436E-11</v>
      </c>
      <c r="S159" s="34">
        <v>1.5733531355157012E-13</v>
      </c>
      <c r="T159" s="34">
        <v>1.1372710264234151E-6</v>
      </c>
      <c r="U159" s="34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26662673.449568842</v>
      </c>
    </row>
    <row r="161" spans="1:22" ht="18" customHeight="1" x14ac:dyDescent="0.2">
      <c r="C161" s="52">
        <f>SUMPRODUCT(POWER(B8:B127,2))</f>
        <v>423547897</v>
      </c>
    </row>
    <row r="162" spans="1:22" ht="18" customHeight="1" x14ac:dyDescent="0.2">
      <c r="C162" s="52">
        <f>B130 * POWER(Y10,2)</f>
        <v>137767041.07499999</v>
      </c>
    </row>
    <row r="163" spans="1:22" ht="18" customHeight="1" x14ac:dyDescent="0.2">
      <c r="C163" s="52">
        <f>C161-C162</f>
        <v>285780855.92500001</v>
      </c>
    </row>
    <row r="164" spans="1:22" ht="18" customHeight="1" x14ac:dyDescent="0.2">
      <c r="B164" s="13"/>
      <c r="C164" s="49">
        <f>C163-C160</f>
        <v>259118182.47543117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0.90670238087408428</v>
      </c>
    </row>
    <row r="167" spans="1:22" ht="18" customHeight="1" x14ac:dyDescent="0.2">
      <c r="C167" s="52">
        <f>1 - C160 / (B130 - COUNT(C145:C151)) / (C163 / (B130-1))</f>
        <v>0.90174852499129232</v>
      </c>
    </row>
    <row r="173" spans="1:22" ht="18" customHeight="1" x14ac:dyDescent="0.25">
      <c r="A173" s="133" t="s">
        <v>92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B176" s="138"/>
      <c r="C176" s="138"/>
      <c r="E176" s="138"/>
      <c r="F176" s="138"/>
      <c r="H176" s="138"/>
      <c r="I176" s="138"/>
      <c r="K176" s="138"/>
      <c r="L176" s="138"/>
      <c r="N176" s="138"/>
      <c r="O176" s="138"/>
      <c r="Q176" s="138"/>
      <c r="R176" s="138"/>
      <c r="T176" s="138"/>
      <c r="U176" s="138"/>
    </row>
    <row r="178" spans="2:21" ht="18" customHeight="1" x14ac:dyDescent="0.2">
      <c r="C178" s="38" t="s">
        <v>10</v>
      </c>
      <c r="F178" s="41" t="s">
        <v>10</v>
      </c>
      <c r="I178" s="41" t="s">
        <v>10</v>
      </c>
      <c r="L178" s="41" t="s">
        <v>10</v>
      </c>
      <c r="O178" s="41" t="s">
        <v>10</v>
      </c>
      <c r="R178" s="41" t="s">
        <v>10</v>
      </c>
      <c r="U178" s="41" t="s">
        <v>10</v>
      </c>
    </row>
    <row r="179" spans="2:21" ht="18" customHeight="1" x14ac:dyDescent="0.2">
      <c r="B179" s="16"/>
      <c r="C179" s="48">
        <f>C145</f>
        <v>-989.69628176937522</v>
      </c>
      <c r="D179" s="52"/>
      <c r="E179" s="48"/>
      <c r="F179" s="48">
        <f>C146</f>
        <v>490.12868392775454</v>
      </c>
      <c r="G179" s="52"/>
      <c r="H179" s="48"/>
      <c r="I179" s="48">
        <f>C147</f>
        <v>3.3670321425313903</v>
      </c>
      <c r="J179" s="52"/>
      <c r="K179" s="48"/>
      <c r="L179" s="48">
        <f>C148</f>
        <v>-1.2744677310908068</v>
      </c>
      <c r="M179" s="52"/>
      <c r="N179" s="48"/>
      <c r="O179" s="48">
        <f>C149</f>
        <v>7.5185221206093044E-3</v>
      </c>
      <c r="P179" s="52"/>
      <c r="Q179" s="48"/>
      <c r="R179" s="48">
        <f>C150</f>
        <v>65851.596656554626</v>
      </c>
      <c r="S179" s="52"/>
      <c r="T179" s="48"/>
      <c r="U179" s="48">
        <f>C151</f>
        <v>3.1876784593281096E-5</v>
      </c>
    </row>
    <row r="180" spans="2:21" ht="18" customHeight="1" x14ac:dyDescent="0.2">
      <c r="C180" s="76">
        <f>$C$160/($B$130-(COUNT($C$145:$C$150)+1))</f>
        <v>235952.86238556498</v>
      </c>
      <c r="D180" s="52"/>
      <c r="E180" s="52"/>
      <c r="F180" s="76">
        <f>$C$160/($B$130-(COUNT($C$145:$C$150)+1))</f>
        <v>235952.86238556498</v>
      </c>
      <c r="G180" s="52"/>
      <c r="H180" s="52"/>
      <c r="I180" s="76">
        <f>$C$160/($B$130-(COUNT($C$145:$C$150)+1))</f>
        <v>235952.86238556498</v>
      </c>
      <c r="J180" s="52"/>
      <c r="K180" s="52"/>
      <c r="L180" s="76">
        <f>$C$160/($B$130-(COUNT($C$145:$C$150)+1))</f>
        <v>235952.86238556498</v>
      </c>
      <c r="M180" s="52"/>
      <c r="N180" s="52"/>
      <c r="O180" s="76">
        <f>$C$160/($B$130-(COUNT($C$145:$C$150)+1))</f>
        <v>235952.86238556498</v>
      </c>
      <c r="P180" s="52"/>
      <c r="Q180" s="52"/>
      <c r="R180" s="76">
        <f>$C$160/($B$130-(COUNT($C$145:$C$150)+1))</f>
        <v>235952.86238556498</v>
      </c>
      <c r="S180" s="52"/>
      <c r="T180" s="52"/>
      <c r="U180" s="76">
        <f>$C$160/($B$130-(COUNT($C$145:$C$150)+1))</f>
        <v>235952.86238556498</v>
      </c>
    </row>
    <row r="181" spans="2:21" ht="18" customHeight="1" x14ac:dyDescent="0.2">
      <c r="C181" s="76">
        <f>O153</f>
        <v>1.7104699875133071</v>
      </c>
      <c r="D181" s="52"/>
      <c r="E181" s="52"/>
      <c r="F181" s="76">
        <f>P154</f>
        <v>1.6549937356617144</v>
      </c>
      <c r="G181" s="52"/>
      <c r="H181" s="52"/>
      <c r="I181" s="76">
        <f>Q155</f>
        <v>1.3453620646911329E-5</v>
      </c>
      <c r="J181" s="52"/>
      <c r="K181" s="52"/>
      <c r="L181" s="76">
        <f>R156</f>
        <v>5.1095639113633636E-7</v>
      </c>
      <c r="M181" s="52"/>
      <c r="N181" s="52"/>
      <c r="O181" s="76">
        <f>S157</f>
        <v>3.1587176288964667E-11</v>
      </c>
      <c r="P181" s="52"/>
      <c r="Q181" s="52"/>
      <c r="R181" s="76">
        <f>T158</f>
        <v>209.69093920971849</v>
      </c>
      <c r="S181" s="52"/>
      <c r="T181" s="52"/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0"/>
      <c r="C183" s="142">
        <f>SQRT(C180*C181)</f>
        <v>635.28756447640808</v>
      </c>
      <c r="E183" s="130"/>
      <c r="F183" s="142">
        <f>SQRT(F180*F181)</f>
        <v>624.90039939142355</v>
      </c>
      <c r="H183" s="130"/>
      <c r="I183" s="142">
        <f>SQRT(I180*I181)</f>
        <v>1.7816902932575753</v>
      </c>
      <c r="K183" s="130"/>
      <c r="L183" s="142">
        <f>SQRT(L180*L181)</f>
        <v>0.34721984828465219</v>
      </c>
      <c r="N183" s="130"/>
      <c r="O183" s="142">
        <f>SQRT(O180*O181)</f>
        <v>2.7300338203140747E-3</v>
      </c>
      <c r="Q183" s="130"/>
      <c r="R183" s="142">
        <f>SQRT(R180*R181)</f>
        <v>7034.0015156986265</v>
      </c>
      <c r="T183" s="130"/>
      <c r="U183" s="142">
        <f>SQRT(U180*U181)</f>
        <v>1.5439646465011662E-4</v>
      </c>
    </row>
    <row r="184" spans="2:21" ht="18" customHeight="1" x14ac:dyDescent="0.2">
      <c r="B184" s="122"/>
      <c r="C184" s="128"/>
      <c r="E184" s="122"/>
      <c r="F184" s="128"/>
      <c r="H184" s="122"/>
      <c r="I184" s="128"/>
      <c r="K184" s="122"/>
      <c r="L184" s="128"/>
      <c r="N184" s="122"/>
      <c r="O184" s="128"/>
      <c r="Q184" s="122"/>
      <c r="R184" s="128"/>
      <c r="T184" s="122"/>
      <c r="U184" s="128"/>
    </row>
    <row r="188" spans="2:21" ht="18" customHeight="1" x14ac:dyDescent="0.2">
      <c r="B188" s="132" t="s">
        <v>40</v>
      </c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</row>
    <row r="191" spans="2:21" ht="18" customHeight="1" x14ac:dyDescent="0.2">
      <c r="K191" s="38" t="s">
        <v>10</v>
      </c>
    </row>
    <row r="192" spans="2:21" ht="18" customHeight="1" x14ac:dyDescent="0.2">
      <c r="J192" s="57" t="s">
        <v>41</v>
      </c>
      <c r="K192" s="36">
        <v>0.9</v>
      </c>
    </row>
    <row r="193" spans="2:21" ht="18" customHeight="1" x14ac:dyDescent="0.2">
      <c r="D193" s="31"/>
      <c r="J193" s="58" t="s">
        <v>34</v>
      </c>
      <c r="K193" s="39">
        <f>1-K192</f>
        <v>9.9999999999999978E-2</v>
      </c>
    </row>
    <row r="194" spans="2:21" ht="18" customHeight="1" x14ac:dyDescent="0.2">
      <c r="D194" s="14"/>
      <c r="J194" s="59"/>
      <c r="K194" s="37">
        <f>_xlfn.T.INV(1-K193/2,B130-(COUNT(C146:C151)+1))</f>
        <v>1.6584502163399364</v>
      </c>
    </row>
    <row r="198" spans="2:21" ht="18" customHeight="1" x14ac:dyDescent="0.2">
      <c r="B198" s="138"/>
      <c r="C198" s="138"/>
      <c r="E198" s="138"/>
      <c r="F198" s="138"/>
      <c r="H198" s="138"/>
      <c r="I198" s="138"/>
      <c r="K198" s="138"/>
      <c r="L198" s="138"/>
      <c r="N198" s="138"/>
      <c r="O198" s="138"/>
      <c r="Q198" s="138"/>
      <c r="R198" s="138"/>
      <c r="T198" s="138"/>
      <c r="U198" s="138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-2043.2891</v>
      </c>
      <c r="D200" s="14"/>
      <c r="E200" s="16" t="s">
        <v>37</v>
      </c>
      <c r="F200" s="16">
        <f>ROUND(F179-F183*$K$194,4)</f>
        <v>-546.23749999999995</v>
      </c>
      <c r="H200" s="16" t="s">
        <v>37</v>
      </c>
      <c r="I200" s="16">
        <f>ROUND(I179-I183*$K$194,4)</f>
        <v>0.41220000000000001</v>
      </c>
      <c r="K200" s="16" t="s">
        <v>37</v>
      </c>
      <c r="L200" s="16">
        <f>ROUND(L179-L183*$K$194,4)</f>
        <v>-1.8503000000000001</v>
      </c>
      <c r="N200" s="16" t="s">
        <v>37</v>
      </c>
      <c r="O200" s="16">
        <f>ROUND(O179-O183*$K$194,4)</f>
        <v>3.0000000000000001E-3</v>
      </c>
      <c r="Q200" s="16" t="s">
        <v>37</v>
      </c>
      <c r="R200" s="16">
        <f>ROUND(R179-R183*$K$194,4)</f>
        <v>54186.0553</v>
      </c>
      <c r="T200" s="16" t="s">
        <v>37</v>
      </c>
      <c r="U200" s="16">
        <f>ROUND(U179-U183*$K$194,4)</f>
        <v>-2.0000000000000001E-4</v>
      </c>
    </row>
    <row r="201" spans="2:21" ht="18" customHeight="1" x14ac:dyDescent="0.2">
      <c r="B201" s="13" t="s">
        <v>38</v>
      </c>
      <c r="C201" s="13">
        <f>ROUND(C179+C183*$K$194,4)</f>
        <v>63.896500000000003</v>
      </c>
      <c r="E201" s="13" t="s">
        <v>38</v>
      </c>
      <c r="F201" s="13">
        <f>ROUND(F179+F183*$K$194,4)</f>
        <v>1526.4948999999999</v>
      </c>
      <c r="H201" s="13" t="s">
        <v>38</v>
      </c>
      <c r="I201" s="13">
        <f>ROUND(I179+I183*$K$194,4)</f>
        <v>6.3219000000000003</v>
      </c>
      <c r="K201" s="13" t="s">
        <v>38</v>
      </c>
      <c r="L201" s="13">
        <f>ROUND(L179+L183*$K$194,4)</f>
        <v>-0.6986</v>
      </c>
      <c r="N201" s="13" t="s">
        <v>38</v>
      </c>
      <c r="O201" s="13">
        <f>ROUND(O179+O183*$K$194,4)</f>
        <v>1.2E-2</v>
      </c>
      <c r="Q201" s="13" t="s">
        <v>38</v>
      </c>
      <c r="R201" s="13">
        <f>ROUND(R179+R183*$K$194,4)</f>
        <v>77517.138000000006</v>
      </c>
      <c r="T201" s="13" t="s">
        <v>38</v>
      </c>
      <c r="U201" s="13">
        <f>ROUND(U179+U183*$K$194,4)</f>
        <v>2.9999999999999997E-4</v>
      </c>
    </row>
    <row r="208" spans="2:21" ht="18" customHeight="1" x14ac:dyDescent="0.2">
      <c r="B208" s="132" t="s">
        <v>42</v>
      </c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</row>
    <row r="211" spans="1:21" ht="18" customHeight="1" x14ac:dyDescent="0.2">
      <c r="K211" s="42" t="s">
        <v>10</v>
      </c>
    </row>
    <row r="212" spans="1:21" ht="18" customHeight="1" x14ac:dyDescent="0.2">
      <c r="J212" s="43" t="s">
        <v>41</v>
      </c>
      <c r="K212" s="43">
        <v>0.95</v>
      </c>
    </row>
    <row r="213" spans="1:21" ht="18" customHeight="1" x14ac:dyDescent="0.2">
      <c r="J213" s="18" t="s">
        <v>34</v>
      </c>
      <c r="K213" s="44">
        <f>1-K212</f>
        <v>5.0000000000000044E-2</v>
      </c>
    </row>
    <row r="214" spans="1:21" ht="18" customHeight="1" x14ac:dyDescent="0.2">
      <c r="J214" s="13"/>
      <c r="K214" s="45">
        <f>_xlfn.T.INV(1-K213/2,B130 - (COUNT(C146:C151) + 1))</f>
        <v>1.9811803594146622</v>
      </c>
    </row>
    <row r="218" spans="1:21" ht="18" customHeight="1" x14ac:dyDescent="0.2">
      <c r="B218" s="138"/>
      <c r="C218" s="138"/>
      <c r="E218" s="138"/>
      <c r="F218" s="138"/>
      <c r="H218" s="138"/>
      <c r="I218" s="138"/>
      <c r="K218" s="138"/>
      <c r="L218" s="138"/>
      <c r="N218" s="138"/>
      <c r="O218" s="138"/>
      <c r="Q218" s="138"/>
      <c r="R218" s="138"/>
      <c r="T218" s="138"/>
      <c r="U218" s="138"/>
    </row>
    <row r="220" spans="1:21" ht="18" customHeight="1" x14ac:dyDescent="0.2">
      <c r="A220" s="54"/>
      <c r="B220" s="16" t="s">
        <v>37</v>
      </c>
      <c r="C220" s="16">
        <f>ROUND(C179-C183*$K$214,4)</f>
        <v>-2248.3155000000002</v>
      </c>
      <c r="E220" s="16" t="s">
        <v>37</v>
      </c>
      <c r="F220" s="16">
        <f>ROUND(F179-F183*$K$214,4)</f>
        <v>-747.9117</v>
      </c>
      <c r="H220" s="16" t="s">
        <v>37</v>
      </c>
      <c r="I220" s="16">
        <f>ROUND(I179-I183*$K$214,4)</f>
        <v>-0.1628</v>
      </c>
      <c r="K220" s="16" t="s">
        <v>37</v>
      </c>
      <c r="L220" s="16">
        <f>ROUND(L179-L183*$K$214,4)</f>
        <v>-1.9623999999999999</v>
      </c>
      <c r="N220" s="16" t="s">
        <v>37</v>
      </c>
      <c r="O220" s="16">
        <f>ROUND(O179-O183*$K$214,4)</f>
        <v>2.0999999999999999E-3</v>
      </c>
      <c r="Q220" s="16" t="s">
        <v>37</v>
      </c>
      <c r="R220" s="16">
        <f>ROUND(R179-R183*$K$214,4)</f>
        <v>51915.970999999998</v>
      </c>
      <c r="T220" s="16" t="s">
        <v>37</v>
      </c>
      <c r="U220" s="16">
        <f>ROUND(U179-U183*$K$214,4)</f>
        <v>-2.9999999999999997E-4</v>
      </c>
    </row>
    <row r="221" spans="1:21" ht="18" customHeight="1" x14ac:dyDescent="0.2">
      <c r="B221" s="13" t="s">
        <v>38</v>
      </c>
      <c r="C221" s="13">
        <f>ROUND(C179+C183*$K$214,4)</f>
        <v>268.923</v>
      </c>
      <c r="E221" s="13" t="s">
        <v>38</v>
      </c>
      <c r="F221" s="13">
        <f>ROUND(F179+F183*$K$214,4)</f>
        <v>1728.1691000000001</v>
      </c>
      <c r="H221" s="13" t="s">
        <v>38</v>
      </c>
      <c r="I221" s="13">
        <f>ROUND(I179+I183*$K$214,4)</f>
        <v>6.8968999999999996</v>
      </c>
      <c r="K221" s="13" t="s">
        <v>38</v>
      </c>
      <c r="L221" s="13">
        <f>ROUND(L179+L183*$K$214,4)</f>
        <v>-0.58660000000000001</v>
      </c>
      <c r="N221" s="13" t="s">
        <v>38</v>
      </c>
      <c r="O221" s="13">
        <f>ROUND(O179+O183*$K$214,4)</f>
        <v>1.29E-2</v>
      </c>
      <c r="Q221" s="13" t="s">
        <v>38</v>
      </c>
      <c r="R221" s="13">
        <f>ROUND(R179+R183*$K$214,4)</f>
        <v>79787.222299999994</v>
      </c>
      <c r="T221" s="13" t="s">
        <v>38</v>
      </c>
      <c r="U221" s="13">
        <f>ROUND(U179+U183*$K$214,4)</f>
        <v>2.9999999999999997E-4</v>
      </c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46"/>
      <c r="D230" s="14"/>
    </row>
    <row r="232" spans="1:22" ht="18" customHeight="1" x14ac:dyDescent="0.2">
      <c r="B232" s="138"/>
      <c r="C232" s="138"/>
      <c r="E232" s="138"/>
      <c r="F232" s="138"/>
      <c r="H232" s="138"/>
      <c r="I232" s="138"/>
      <c r="K232" s="138"/>
      <c r="L232" s="138"/>
      <c r="N232" s="138"/>
      <c r="O232" s="138"/>
      <c r="Q232" s="138"/>
      <c r="R232" s="138"/>
      <c r="T232" s="138"/>
      <c r="U232" s="138"/>
    </row>
    <row r="234" spans="1:22" ht="18" customHeight="1" x14ac:dyDescent="0.2">
      <c r="B234" s="132" t="s">
        <v>44</v>
      </c>
      <c r="C234" s="132"/>
      <c r="E234" s="132" t="s">
        <v>44</v>
      </c>
      <c r="F234" s="132"/>
      <c r="H234" s="132" t="s">
        <v>44</v>
      </c>
      <c r="I234" s="132"/>
      <c r="K234" s="132" t="s">
        <v>44</v>
      </c>
      <c r="L234" s="132"/>
      <c r="N234" s="132" t="s">
        <v>44</v>
      </c>
      <c r="O234" s="132"/>
      <c r="Q234" s="132" t="s">
        <v>44</v>
      </c>
      <c r="R234" s="132"/>
      <c r="T234" s="132" t="s">
        <v>44</v>
      </c>
      <c r="U234" s="132"/>
    </row>
    <row r="239" spans="1:22" ht="18" customHeight="1" x14ac:dyDescent="0.25">
      <c r="B239" s="141" t="s">
        <v>45</v>
      </c>
      <c r="C239" s="141"/>
      <c r="E239" s="141" t="s">
        <v>45</v>
      </c>
      <c r="F239" s="141"/>
      <c r="H239" s="141" t="s">
        <v>45</v>
      </c>
      <c r="I239" s="141"/>
      <c r="K239" s="141" t="s">
        <v>45</v>
      </c>
      <c r="L239" s="141"/>
      <c r="N239" s="141" t="s">
        <v>45</v>
      </c>
      <c r="O239" s="141"/>
      <c r="Q239" s="141" t="s">
        <v>45</v>
      </c>
      <c r="R239" s="141"/>
      <c r="T239" s="141" t="s">
        <v>45</v>
      </c>
      <c r="U239" s="141"/>
    </row>
    <row r="246" spans="2:21" ht="18" customHeight="1" x14ac:dyDescent="0.4">
      <c r="B246" s="55" t="s">
        <v>95</v>
      </c>
      <c r="C246">
        <f>C179/C183</f>
        <v>-1.5578713280576553</v>
      </c>
      <c r="E246" s="55" t="s">
        <v>95</v>
      </c>
      <c r="F246">
        <f>F179/F183</f>
        <v>0.78433088601812362</v>
      </c>
      <c r="H246" s="55" t="s">
        <v>95</v>
      </c>
      <c r="I246">
        <f>I179/I183</f>
        <v>1.8897965349383117</v>
      </c>
      <c r="K246" s="55" t="s">
        <v>95</v>
      </c>
      <c r="L246">
        <f>L179/L183</f>
        <v>-3.6704921604769356</v>
      </c>
      <c r="N246" s="55" t="s">
        <v>95</v>
      </c>
      <c r="O246">
        <f>O179/O183</f>
        <v>2.7540032891403308</v>
      </c>
      <c r="Q246" s="55" t="s">
        <v>95</v>
      </c>
      <c r="R246">
        <f>R179/R183</f>
        <v>9.3618968533893128</v>
      </c>
      <c r="T246" s="55" t="s">
        <v>95</v>
      </c>
      <c r="U246">
        <f>U179/U183</f>
        <v>0.20646058616379737</v>
      </c>
    </row>
    <row r="250" spans="2:21" ht="18" customHeight="1" x14ac:dyDescent="0.25">
      <c r="B250" s="140" t="s">
        <v>96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38"/>
      <c r="C274" s="138"/>
      <c r="G274" s="138"/>
      <c r="H274" s="138"/>
      <c r="L274" s="138"/>
      <c r="M274" s="138"/>
    </row>
    <row r="276" spans="2:18" ht="18" customHeight="1" x14ac:dyDescent="0.2">
      <c r="B276" s="115"/>
      <c r="C276" s="115"/>
      <c r="D276" s="115"/>
      <c r="E276" s="115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15"/>
      <c r="C277" s="115"/>
      <c r="D277" s="115"/>
      <c r="E277" s="115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15"/>
      <c r="C278" s="115"/>
      <c r="D278" s="115"/>
      <c r="E278" s="115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38"/>
      <c r="C304" s="138"/>
      <c r="G304" s="138"/>
      <c r="H304" s="138"/>
      <c r="L304" s="138"/>
      <c r="M304" s="138"/>
    </row>
    <row r="306" spans="1:22" ht="18" customHeight="1" x14ac:dyDescent="0.2">
      <c r="B306" s="115"/>
      <c r="C306" s="115"/>
      <c r="D306" s="115"/>
      <c r="E306" s="115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15"/>
      <c r="C307" s="115"/>
      <c r="D307" s="115"/>
      <c r="E307" s="115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15"/>
      <c r="C308" s="115"/>
      <c r="D308" s="115"/>
      <c r="E308" s="115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34" t="s">
        <v>55</v>
      </c>
      <c r="G319" s="135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259118182.47543117</v>
      </c>
      <c r="E320" s="114">
        <f>COUNT(C145:C151) - 1</f>
        <v>6</v>
      </c>
      <c r="F320" s="136">
        <f>D320/E320</f>
        <v>43186363.745905198</v>
      </c>
      <c r="G320" s="137"/>
      <c r="H320" s="77">
        <f>F320/F321</f>
        <v>183.02962426171115</v>
      </c>
      <c r="I320" s="73"/>
    </row>
    <row r="321" spans="3:14" ht="18" customHeight="1" x14ac:dyDescent="0.25">
      <c r="C321" s="25" t="s">
        <v>58</v>
      </c>
      <c r="D321" s="47">
        <f>C160</f>
        <v>26662673.449568842</v>
      </c>
      <c r="E321" s="114">
        <f>B130 - COUNT(C145:C151)</f>
        <v>113</v>
      </c>
      <c r="F321" s="117">
        <f>D321/E321</f>
        <v>235952.86238556498</v>
      </c>
      <c r="G321" s="117"/>
      <c r="H321" s="52"/>
    </row>
    <row r="322" spans="3:14" ht="18" customHeight="1" x14ac:dyDescent="0.25">
      <c r="C322" s="25" t="s">
        <v>59</v>
      </c>
      <c r="D322" s="47">
        <f>C163</f>
        <v>285780855.92500001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5" t="s">
        <v>97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4" t="s">
        <v>72</v>
      </c>
      <c r="O344" s="144"/>
      <c r="P344" s="144"/>
      <c r="Q344" s="144"/>
      <c r="R344" s="144"/>
      <c r="S344" s="144"/>
      <c r="T344" s="144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43756.784684950726</v>
      </c>
      <c r="K346" s="17">
        <f>B346-J346</f>
        <v>1141.2153150492741</v>
      </c>
      <c r="L346" s="17">
        <f>POWER(K346,2)</f>
        <v>1302372.395303014</v>
      </c>
      <c r="M346" s="29" t="s">
        <v>69</v>
      </c>
      <c r="N346" s="52">
        <v>1</v>
      </c>
      <c r="O346" s="53">
        <f t="shared" ref="O346:O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22706.981859165586</v>
      </c>
      <c r="K347" s="17">
        <f t="shared" ref="K347:K362" si="10">B347-J347</f>
        <v>-2364.9818591655858</v>
      </c>
      <c r="L347" s="17">
        <f t="shared" ref="L347:L362" si="11">POWER(K347,2)</f>
        <v>5593139.1941823103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11769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10728.157777642895</v>
      </c>
      <c r="K348" s="17">
        <f t="shared" si="10"/>
        <v>1040.8422223571051</v>
      </c>
      <c r="L348" s="17">
        <f t="shared" si="11"/>
        <v>1083352.5318412774</v>
      </c>
      <c r="M348" s="29" t="s">
        <v>69</v>
      </c>
      <c r="N348" s="52">
        <v>1</v>
      </c>
      <c r="O348" s="53">
        <f t="shared" si="8"/>
        <v>3.5600000000000005</v>
      </c>
      <c r="P348" s="53">
        <f t="shared" si="6"/>
        <v>3825</v>
      </c>
      <c r="Q348" s="53">
        <f t="shared" si="6"/>
        <v>18463</v>
      </c>
      <c r="R348" s="53">
        <f t="shared" si="6"/>
        <v>189811</v>
      </c>
      <c r="S348" s="53">
        <f t="shared" si="6"/>
        <v>0.32390000000000002</v>
      </c>
      <c r="T348" s="53">
        <f t="shared" si="6"/>
        <v>1941299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SUM(B29:B35)</f>
        <v>7037</v>
      </c>
      <c r="C349" s="17">
        <f t="shared" ref="C349:H349" si="15">SUM(C29:C35)</f>
        <v>3.5600000000000005</v>
      </c>
      <c r="D349" s="17">
        <f t="shared" si="15"/>
        <v>3825</v>
      </c>
      <c r="E349" s="17">
        <f t="shared" si="15"/>
        <v>18463</v>
      </c>
      <c r="F349" s="17">
        <f t="shared" si="15"/>
        <v>189811</v>
      </c>
      <c r="G349" s="17">
        <f t="shared" si="15"/>
        <v>0.32390000000000002</v>
      </c>
      <c r="H349" s="17">
        <f t="shared" si="15"/>
        <v>1941299</v>
      </c>
      <c r="J349" s="75">
        <f t="shared" si="14"/>
        <v>6100.547122518843</v>
      </c>
      <c r="K349" s="17">
        <f t="shared" si="10"/>
        <v>936.45287748115697</v>
      </c>
      <c r="L349" s="17">
        <f t="shared" si="11"/>
        <v>876943.99174273876</v>
      </c>
      <c r="M349" s="29" t="s">
        <v>69</v>
      </c>
      <c r="N349" s="52">
        <v>1</v>
      </c>
      <c r="O349" s="53">
        <f t="shared" si="8"/>
        <v>4.3</v>
      </c>
      <c r="P349" s="53">
        <f t="shared" si="6"/>
        <v>2829</v>
      </c>
      <c r="Q349" s="53">
        <f t="shared" si="6"/>
        <v>12112</v>
      </c>
      <c r="R349" s="53">
        <f t="shared" si="6"/>
        <v>171766</v>
      </c>
      <c r="S349" s="53">
        <f t="shared" si="6"/>
        <v>0.23469999999999999</v>
      </c>
      <c r="T349" s="53">
        <f t="shared" si="6"/>
        <v>2109810</v>
      </c>
      <c r="U349" t="s">
        <v>69</v>
      </c>
      <c r="V349" s="7" t="s">
        <v>11</v>
      </c>
      <c r="W349" s="6">
        <f>AVERAGE(B346:B362)</f>
        <v>7537.7647058823532</v>
      </c>
    </row>
    <row r="350" spans="1:29" ht="18" customHeight="1" x14ac:dyDescent="0.2">
      <c r="A350" s="74">
        <f t="shared" si="12"/>
        <v>44256</v>
      </c>
      <c r="B350" s="17">
        <f>SUM(B36:B42)</f>
        <v>5532</v>
      </c>
      <c r="C350" s="17">
        <f t="shared" ref="C350:H350" si="16">SUM(C36:C42)</f>
        <v>4.3</v>
      </c>
      <c r="D350" s="17">
        <f t="shared" si="16"/>
        <v>2829</v>
      </c>
      <c r="E350" s="17">
        <f t="shared" si="16"/>
        <v>12112</v>
      </c>
      <c r="F350" s="17">
        <f t="shared" si="16"/>
        <v>171766</v>
      </c>
      <c r="G350" s="17">
        <f t="shared" si="16"/>
        <v>0.23469999999999999</v>
      </c>
      <c r="H350" s="17">
        <f t="shared" si="16"/>
        <v>2109810</v>
      </c>
      <c r="J350" s="75">
        <f t="shared" si="14"/>
        <v>5029.9779795348813</v>
      </c>
      <c r="K350" s="17">
        <f t="shared" si="10"/>
        <v>502.02202046511866</v>
      </c>
      <c r="L350" s="17">
        <f t="shared" si="11"/>
        <v>252026.10903188001</v>
      </c>
      <c r="M350" s="29" t="s">
        <v>69</v>
      </c>
      <c r="N350" s="52">
        <v>1</v>
      </c>
      <c r="O350" s="53">
        <f t="shared" si="8"/>
        <v>4.67</v>
      </c>
      <c r="P350" s="53">
        <f t="shared" si="6"/>
        <v>1971</v>
      </c>
      <c r="Q350" s="53">
        <f t="shared" si="6"/>
        <v>7986</v>
      </c>
      <c r="R350" s="53">
        <f t="shared" si="6"/>
        <v>158762</v>
      </c>
      <c r="S350" s="53">
        <f t="shared" si="6"/>
        <v>0.21529999999999999</v>
      </c>
      <c r="T350" s="53">
        <f t="shared" si="6"/>
        <v>2407842</v>
      </c>
      <c r="U350" t="s">
        <v>69</v>
      </c>
      <c r="V350" s="7" t="s">
        <v>15</v>
      </c>
      <c r="W350" s="6">
        <f>AVERAGE(C346:C362)</f>
        <v>5.8076470588235294</v>
      </c>
    </row>
    <row r="351" spans="1:29" ht="18" customHeight="1" x14ac:dyDescent="0.2">
      <c r="A351" s="74">
        <f t="shared" si="12"/>
        <v>44263</v>
      </c>
      <c r="B351" s="17">
        <f>SUM(B43:B49)</f>
        <v>4163</v>
      </c>
      <c r="C351" s="17">
        <f t="shared" ref="C351:H351" si="17">SUM(C43:C49)</f>
        <v>4.67</v>
      </c>
      <c r="D351" s="17">
        <f t="shared" si="17"/>
        <v>1971</v>
      </c>
      <c r="E351" s="17">
        <f t="shared" si="17"/>
        <v>7986</v>
      </c>
      <c r="F351" s="17">
        <f t="shared" si="17"/>
        <v>158762</v>
      </c>
      <c r="G351" s="17">
        <f t="shared" si="17"/>
        <v>0.21529999999999999</v>
      </c>
      <c r="H351" s="17">
        <f t="shared" si="17"/>
        <v>2407842</v>
      </c>
      <c r="J351" s="75">
        <f t="shared" si="14"/>
        <v>6414.8235828617462</v>
      </c>
      <c r="K351" s="17">
        <f t="shared" si="10"/>
        <v>-2251.8235828617462</v>
      </c>
      <c r="L351" s="17">
        <f t="shared" si="11"/>
        <v>5070709.4483323116</v>
      </c>
      <c r="M351" s="29" t="s">
        <v>69</v>
      </c>
      <c r="N351" s="52">
        <v>1</v>
      </c>
      <c r="O351" s="53">
        <f t="shared" si="8"/>
        <v>5.19</v>
      </c>
      <c r="P351" s="53">
        <f t="shared" si="6"/>
        <v>1358</v>
      </c>
      <c r="Q351" s="53">
        <f t="shared" si="6"/>
        <v>5933</v>
      </c>
      <c r="R351" s="53">
        <f t="shared" si="6"/>
        <v>266072</v>
      </c>
      <c r="S351" s="53">
        <f t="shared" si="6"/>
        <v>0.11800000000000001</v>
      </c>
      <c r="T351" s="53">
        <f t="shared" si="6"/>
        <v>2946580</v>
      </c>
      <c r="U351" t="s">
        <v>69</v>
      </c>
      <c r="V351" s="7" t="s">
        <v>16</v>
      </c>
      <c r="W351" s="6">
        <f>AVERAGE(D346:D362)</f>
        <v>1979.5294117647059</v>
      </c>
    </row>
    <row r="352" spans="1:29" ht="18" customHeight="1" x14ac:dyDescent="0.2">
      <c r="A352" s="74">
        <f t="shared" si="12"/>
        <v>44270</v>
      </c>
      <c r="B352" s="17">
        <f>SUM(B50:B56)</f>
        <v>3273</v>
      </c>
      <c r="C352" s="17">
        <f t="shared" ref="C352:H352" si="18">SUM(C50:C56)</f>
        <v>5.19</v>
      </c>
      <c r="D352" s="17">
        <f t="shared" si="18"/>
        <v>1358</v>
      </c>
      <c r="E352" s="17">
        <f t="shared" si="18"/>
        <v>5933</v>
      </c>
      <c r="F352" s="17">
        <f t="shared" si="18"/>
        <v>266072</v>
      </c>
      <c r="G352" s="17">
        <f t="shared" si="18"/>
        <v>0.11800000000000001</v>
      </c>
      <c r="H352" s="17">
        <f t="shared" si="18"/>
        <v>2946580</v>
      </c>
      <c r="J352" s="75">
        <f t="shared" si="14"/>
        <v>2878.9322928991887</v>
      </c>
      <c r="K352" s="17">
        <f t="shared" si="10"/>
        <v>394.06770710081128</v>
      </c>
      <c r="L352" s="17">
        <f t="shared" si="11"/>
        <v>155289.35777969079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10796.64705882353</v>
      </c>
    </row>
    <row r="353" spans="1:31" ht="18" customHeight="1" x14ac:dyDescent="0.2">
      <c r="A353" s="74">
        <f t="shared" si="12"/>
        <v>44277</v>
      </c>
      <c r="B353" s="17">
        <f>SUM(B57:B63)</f>
        <v>2877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1671.1078342132878</v>
      </c>
      <c r="K353" s="17">
        <f t="shared" si="10"/>
        <v>1205.8921657867122</v>
      </c>
      <c r="L353" s="17">
        <f t="shared" si="11"/>
        <v>1454175.9155057673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261964.0588235294</v>
      </c>
    </row>
    <row r="354" spans="1:31" ht="18" customHeight="1" x14ac:dyDescent="0.2">
      <c r="A354" s="74">
        <f t="shared" si="12"/>
        <v>44284</v>
      </c>
      <c r="B354" s="17">
        <f>SUM(B64:B70)</f>
        <v>2928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3624.5761882394149</v>
      </c>
      <c r="K354" s="17">
        <f t="shared" si="10"/>
        <v>-696.57618823941493</v>
      </c>
      <c r="L354" s="17">
        <f t="shared" si="11"/>
        <v>485218.38602215284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0.25186470588235305</v>
      </c>
    </row>
    <row r="355" spans="1:31" ht="18" customHeight="1" x14ac:dyDescent="0.2">
      <c r="A355" s="74">
        <f t="shared" si="12"/>
        <v>44291</v>
      </c>
      <c r="B355" s="17">
        <f>SUM(B71:B77)</f>
        <v>4159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3944.3905470927662</v>
      </c>
      <c r="K355" s="17">
        <f t="shared" si="10"/>
        <v>214.60945290723384</v>
      </c>
      <c r="L355" s="17">
        <f t="shared" si="11"/>
        <v>46057.217277142219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4715980.823529412</v>
      </c>
    </row>
    <row r="356" spans="1:31" ht="18" customHeight="1" x14ac:dyDescent="0.2">
      <c r="A356" s="74">
        <f t="shared" si="12"/>
        <v>44298</v>
      </c>
      <c r="B356" s="17">
        <f>SUM(B78:B84)</f>
        <v>3507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3536.9571666270235</v>
      </c>
      <c r="K356" s="17">
        <f t="shared" si="10"/>
        <v>-29.957166627023526</v>
      </c>
      <c r="L356" s="17">
        <f t="shared" si="11"/>
        <v>897.43183231925207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3441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4323.2762680214801</v>
      </c>
      <c r="K357" s="17">
        <f t="shared" si="10"/>
        <v>-882.27626802148006</v>
      </c>
      <c r="L357" s="17">
        <f t="shared" si="11"/>
        <v>778411.41311391047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2835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2316.8755107001843</v>
      </c>
      <c r="K358" s="17">
        <f t="shared" si="10"/>
        <v>518.12448929981565</v>
      </c>
      <c r="L358" s="17">
        <f t="shared" si="11"/>
        <v>268452.98641219479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2305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1927.7458912002132</v>
      </c>
      <c r="K359" s="17">
        <f t="shared" si="10"/>
        <v>377.25410879978676</v>
      </c>
      <c r="L359" s="17">
        <f t="shared" si="11"/>
        <v>142320.66260632136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2600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2334.7953390721627</v>
      </c>
      <c r="K360" s="17">
        <f t="shared" si="10"/>
        <v>265.20466092783727</v>
      </c>
      <c r="L360" s="17">
        <f t="shared" si="11"/>
        <v>70333.51217784913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3042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3176.64548380612</v>
      </c>
      <c r="K361" s="17">
        <f t="shared" si="10"/>
        <v>-134.64548380611996</v>
      </c>
      <c r="L361" s="17">
        <f t="shared" si="11"/>
        <v>18129.406309384111</v>
      </c>
      <c r="M361" s="29" t="s">
        <v>68</v>
      </c>
      <c r="N361" s="52">
        <v>1</v>
      </c>
      <c r="O361" s="53">
        <f t="shared" si="8"/>
        <v>7.98</v>
      </c>
      <c r="P361" s="53">
        <f t="shared" ref="P361" si="28">D362</f>
        <v>370</v>
      </c>
      <c r="Q361" s="53">
        <f t="shared" ref="Q361" si="29">E362</f>
        <v>1703</v>
      </c>
      <c r="R361" s="53">
        <f t="shared" ref="R361" si="30">F362</f>
        <v>313589</v>
      </c>
      <c r="S361" s="53">
        <f t="shared" ref="S361" si="31">G362</f>
        <v>7.8899999999999984E-2</v>
      </c>
      <c r="T361" s="53">
        <f t="shared" ref="T361" si="32">H362</f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3434</v>
      </c>
      <c r="C362" s="17">
        <f t="shared" ref="C362:H362" si="33">SUM(C120:C126)</f>
        <v>7.98</v>
      </c>
      <c r="D362" s="17">
        <f t="shared" si="33"/>
        <v>370</v>
      </c>
      <c r="E362" s="17">
        <f t="shared" si="33"/>
        <v>1703</v>
      </c>
      <c r="F362" s="17">
        <f t="shared" si="33"/>
        <v>313589</v>
      </c>
      <c r="G362" s="17">
        <f t="shared" si="33"/>
        <v>7.8899999999999984E-2</v>
      </c>
      <c r="H362" s="17">
        <f t="shared" si="33"/>
        <v>12666680</v>
      </c>
      <c r="J362" s="75">
        <f t="shared" si="14"/>
        <v>3669.4244714547967</v>
      </c>
      <c r="K362" s="17">
        <f t="shared" si="10"/>
        <v>-235.42447145479673</v>
      </c>
      <c r="L362" s="17">
        <f t="shared" si="11"/>
        <v>55424.681759770399</v>
      </c>
    </row>
    <row r="364" spans="1:31" ht="18" customHeight="1" x14ac:dyDescent="0.2">
      <c r="A364" s="7" t="s">
        <v>32</v>
      </c>
      <c r="B364" s="17">
        <f>COUNT(B346:B362)</f>
        <v>17</v>
      </c>
      <c r="N364" s="143" t="s">
        <v>87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3.5600000000000005</v>
      </c>
      <c r="R366" s="52">
        <v>4.3</v>
      </c>
      <c r="S366" s="52">
        <v>4.67</v>
      </c>
      <c r="T366" s="52">
        <v>5.19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3825</v>
      </c>
      <c r="R367" s="52">
        <v>2829</v>
      </c>
      <c r="S367" s="52">
        <v>1971</v>
      </c>
      <c r="T367" s="52">
        <v>1358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18463</v>
      </c>
      <c r="R368" s="52">
        <v>12112</v>
      </c>
      <c r="S368" s="52">
        <v>7986</v>
      </c>
      <c r="T368" s="52">
        <v>5933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3" t="s">
        <v>93</v>
      </c>
      <c r="B369" s="133"/>
      <c r="C369" s="133"/>
      <c r="D369" s="133"/>
      <c r="E369" s="133"/>
      <c r="F369" s="133"/>
      <c r="G369" s="133"/>
      <c r="H369" s="133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189811</v>
      </c>
      <c r="R369" s="52">
        <v>171766</v>
      </c>
      <c r="S369" s="52">
        <v>158762</v>
      </c>
      <c r="T369" s="52">
        <v>266072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0.32390000000000002</v>
      </c>
      <c r="R370" s="52">
        <v>0.23469999999999999</v>
      </c>
      <c r="S370" s="52">
        <v>0.21529999999999999</v>
      </c>
      <c r="T370" s="52">
        <v>0.11800000000000001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1941299</v>
      </c>
      <c r="R371" s="52">
        <v>2109810</v>
      </c>
      <c r="S371" s="52">
        <v>2407842</v>
      </c>
      <c r="T371" s="52">
        <v>2946580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3" t="s">
        <v>100</v>
      </c>
      <c r="O374" s="143"/>
      <c r="P374" s="143"/>
      <c r="Q374" s="143"/>
      <c r="R374" s="143"/>
      <c r="S374" s="143"/>
      <c r="T374" s="143"/>
      <c r="X374" s="143" t="s">
        <v>99</v>
      </c>
      <c r="Y374" s="143"/>
      <c r="Z374" s="143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98.73</v>
      </c>
      <c r="P376" s="52">
        <v>33652</v>
      </c>
      <c r="Q376" s="52">
        <v>183543</v>
      </c>
      <c r="R376" s="52">
        <v>4453389</v>
      </c>
      <c r="S376" s="52">
        <v>4.2817000000000016</v>
      </c>
      <c r="T376" s="52">
        <v>80171674</v>
      </c>
      <c r="U376" t="s">
        <v>71</v>
      </c>
      <c r="X376" s="29" t="s">
        <v>86</v>
      </c>
      <c r="Y376" s="52">
        <f>SUMPRODUCT(B346:B362*N345:N361)</f>
        <v>128142</v>
      </c>
      <c r="Z376" t="s">
        <v>71</v>
      </c>
    </row>
    <row r="377" spans="1:31" ht="18" customHeight="1" x14ac:dyDescent="0.2">
      <c r="M377" s="29" t="s">
        <v>69</v>
      </c>
      <c r="N377" s="52">
        <v>98.73</v>
      </c>
      <c r="O377" s="52">
        <v>612.06089999999995</v>
      </c>
      <c r="P377" s="52">
        <v>154778.85999999999</v>
      </c>
      <c r="Q377" s="52">
        <v>819479.19999999984</v>
      </c>
      <c r="R377" s="52">
        <v>26954225.27</v>
      </c>
      <c r="S377" s="52">
        <v>19.956159</v>
      </c>
      <c r="T377" s="52">
        <v>533600574.77999997</v>
      </c>
      <c r="U377" t="s">
        <v>69</v>
      </c>
      <c r="X377" s="29" t="s">
        <v>69</v>
      </c>
      <c r="Y377" s="52">
        <f>SUMPRODUCT(B346:B362*O345:O361)</f>
        <v>630312.74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-4817.4992134452368</v>
      </c>
      <c r="D378" t="s">
        <v>71</v>
      </c>
      <c r="M378" s="29" t="s">
        <v>69</v>
      </c>
      <c r="N378" s="52">
        <v>33652</v>
      </c>
      <c r="O378" s="52">
        <v>154778.85999999999</v>
      </c>
      <c r="P378" s="52">
        <v>129366968</v>
      </c>
      <c r="Q378" s="52">
        <v>790502760</v>
      </c>
      <c r="R378" s="52">
        <v>7966802832</v>
      </c>
      <c r="S378" s="52">
        <v>18124.117299999998</v>
      </c>
      <c r="T378" s="52">
        <v>80859744558</v>
      </c>
      <c r="U378" t="s">
        <v>69</v>
      </c>
      <c r="X378" s="29" t="s">
        <v>69</v>
      </c>
      <c r="Y378" s="52">
        <f>SUMPRODUCT(B346:B362*P345:P361)</f>
        <v>528326173</v>
      </c>
      <c r="Z378" t="s">
        <v>69</v>
      </c>
    </row>
    <row r="379" spans="1:31" ht="18" customHeight="1" x14ac:dyDescent="0.2">
      <c r="B379" s="29" t="s">
        <v>69</v>
      </c>
      <c r="C379" s="52">
        <v>258.73979424683239</v>
      </c>
      <c r="D379" t="s">
        <v>69</v>
      </c>
      <c r="E379" s="143" t="s">
        <v>90</v>
      </c>
      <c r="F379" s="143"/>
      <c r="G379" s="143"/>
      <c r="H379" s="143"/>
      <c r="I379" s="143"/>
      <c r="J379" s="143"/>
      <c r="K379" s="143"/>
      <c r="M379" s="29" t="s">
        <v>69</v>
      </c>
      <c r="N379" s="52">
        <v>183543</v>
      </c>
      <c r="O379" s="52">
        <v>819479.19999999984</v>
      </c>
      <c r="P379" s="52">
        <v>790502760</v>
      </c>
      <c r="Q379" s="52">
        <v>5007319813</v>
      </c>
      <c r="R379" s="52">
        <v>44055292531</v>
      </c>
      <c r="S379" s="52">
        <v>117115.44809999998</v>
      </c>
      <c r="T379" s="52">
        <v>375825303193</v>
      </c>
      <c r="U379" t="s">
        <v>69</v>
      </c>
      <c r="X379" s="29" t="s">
        <v>69</v>
      </c>
      <c r="Y379" s="52">
        <f>SUMPRODUCT(B346:B362*Q345:Q361)</f>
        <v>3495483629</v>
      </c>
      <c r="Z379" t="s">
        <v>69</v>
      </c>
    </row>
    <row r="380" spans="1:31" ht="18" customHeight="1" x14ac:dyDescent="0.2">
      <c r="B380" s="29" t="s">
        <v>69</v>
      </c>
      <c r="C380" s="52">
        <v>1.0663149740614752</v>
      </c>
      <c r="D380" t="s">
        <v>69</v>
      </c>
      <c r="M380" s="29" t="s">
        <v>69</v>
      </c>
      <c r="N380" s="52">
        <v>4453389</v>
      </c>
      <c r="O380" s="52">
        <v>26954225.27</v>
      </c>
      <c r="P380" s="52">
        <v>7966802832</v>
      </c>
      <c r="Q380" s="52">
        <v>44055292531</v>
      </c>
      <c r="R380" s="52">
        <v>1294770409197</v>
      </c>
      <c r="S380" s="52">
        <v>1055061.8224000002</v>
      </c>
      <c r="T380" s="52">
        <v>22778051509611</v>
      </c>
      <c r="U380" t="s">
        <v>69</v>
      </c>
      <c r="X380" s="29" t="s">
        <v>69</v>
      </c>
      <c r="Y380" s="52">
        <f>SUMPRODUCT(B346:B362*R345:R361)</f>
        <v>33662128047</v>
      </c>
      <c r="Z380" t="s">
        <v>69</v>
      </c>
    </row>
    <row r="381" spans="1:31" ht="18" customHeight="1" x14ac:dyDescent="0.2">
      <c r="B381" s="29" t="s">
        <v>69</v>
      </c>
      <c r="C381" s="52">
        <v>-0.86265480439248732</v>
      </c>
      <c r="D381" t="s">
        <v>69</v>
      </c>
      <c r="M381" s="29" t="s">
        <v>69</v>
      </c>
      <c r="N381" s="52">
        <v>4.2817000000000016</v>
      </c>
      <c r="O381" s="52">
        <v>19.956159</v>
      </c>
      <c r="P381" s="52">
        <v>18124.117299999998</v>
      </c>
      <c r="Q381" s="52">
        <v>117115.44809999998</v>
      </c>
      <c r="R381" s="52">
        <v>1055061.8224000002</v>
      </c>
      <c r="S381" s="52">
        <v>2.8176607699999994</v>
      </c>
      <c r="T381" s="52">
        <v>9693000.7311000004</v>
      </c>
      <c r="U381" t="s">
        <v>69</v>
      </c>
      <c r="X381" s="29" t="s">
        <v>69</v>
      </c>
      <c r="Y381" s="52">
        <f>SUMPRODUCT(B346:B362*S345:S361)</f>
        <v>86646.484000000011</v>
      </c>
      <c r="Z381" t="s">
        <v>69</v>
      </c>
    </row>
    <row r="382" spans="1:31" ht="18" customHeight="1" x14ac:dyDescent="0.2">
      <c r="B382" s="29" t="s">
        <v>69</v>
      </c>
      <c r="C382" s="52">
        <v>1.126769846421951E-2</v>
      </c>
      <c r="D382" t="s">
        <v>69</v>
      </c>
      <c r="M382" s="29" t="s">
        <v>68</v>
      </c>
      <c r="N382" s="52">
        <v>80171674</v>
      </c>
      <c r="O382" s="52">
        <v>533600574.77999997</v>
      </c>
      <c r="P382" s="52">
        <v>80859744558</v>
      </c>
      <c r="Q382" s="52">
        <v>375825303193</v>
      </c>
      <c r="R382" s="52">
        <v>22778051509611</v>
      </c>
      <c r="S382" s="52">
        <v>9693000.7311000004</v>
      </c>
      <c r="T382" s="52">
        <v>566979644710902</v>
      </c>
      <c r="U382" t="s">
        <v>71</v>
      </c>
      <c r="X382" s="29" t="s">
        <v>68</v>
      </c>
      <c r="Y382" s="52">
        <f>SUMPRODUCT(B346:B362*T345:T361)</f>
        <v>325313869923</v>
      </c>
      <c r="Z382" t="s">
        <v>71</v>
      </c>
    </row>
    <row r="383" spans="1:31" ht="18" customHeight="1" x14ac:dyDescent="0.2">
      <c r="B383" s="29" t="s">
        <v>69</v>
      </c>
      <c r="C383" s="52">
        <v>61253.513727046928</v>
      </c>
      <c r="D383" t="s">
        <v>69</v>
      </c>
    </row>
    <row r="384" spans="1:31" ht="18" customHeight="1" x14ac:dyDescent="0.2">
      <c r="B384" s="29" t="s">
        <v>68</v>
      </c>
      <c r="C384" s="52">
        <v>-6.8651281035927471E-5</v>
      </c>
      <c r="D384" t="s">
        <v>71</v>
      </c>
    </row>
    <row r="385" spans="1:21" ht="18" customHeight="1" x14ac:dyDescent="0.2">
      <c r="N385" s="143" t="s">
        <v>98</v>
      </c>
      <c r="O385" s="143"/>
      <c r="P385" s="143"/>
      <c r="Q385" s="143"/>
      <c r="R385" s="143"/>
      <c r="S385" s="143"/>
      <c r="T385" s="143"/>
    </row>
    <row r="387" spans="1:21" ht="18" customHeight="1" x14ac:dyDescent="0.2">
      <c r="M387" s="29" t="s">
        <v>85</v>
      </c>
      <c r="N387" s="52">
        <f t="array" ref="N387:T393">MINVERSE(N376:T382)</f>
        <v>14.421744536441626</v>
      </c>
      <c r="O387" s="52">
        <v>-1.7497190828836084</v>
      </c>
      <c r="P387" s="52">
        <v>-4.9764551425308936E-3</v>
      </c>
      <c r="Q387" s="52">
        <v>6.3787280137840151E-4</v>
      </c>
      <c r="R387" s="52">
        <v>-2.4559171090599303E-6</v>
      </c>
      <c r="S387" s="52">
        <v>-3.2745777553773214</v>
      </c>
      <c r="T387" s="52">
        <v>4.9002377326474048E-8</v>
      </c>
      <c r="U387" t="s">
        <v>71</v>
      </c>
    </row>
    <row r="388" spans="1:21" ht="18" customHeight="1" x14ac:dyDescent="0.25">
      <c r="A388" s="133" t="s">
        <v>88</v>
      </c>
      <c r="B388" s="133"/>
      <c r="C388" s="133"/>
      <c r="D388" s="133"/>
      <c r="E388" s="133"/>
      <c r="F388" s="133"/>
      <c r="G388" s="133"/>
      <c r="H388" s="133"/>
      <c r="M388" s="29" t="s">
        <v>69</v>
      </c>
      <c r="N388" s="52">
        <v>-1.7497190828835967</v>
      </c>
      <c r="O388" s="52">
        <v>0.26876089618176879</v>
      </c>
      <c r="P388" s="52">
        <v>4.4720073489728178E-4</v>
      </c>
      <c r="Q388" s="52">
        <v>-3.4633807130201208E-5</v>
      </c>
      <c r="R388" s="52">
        <v>-3.0112420151058858E-7</v>
      </c>
      <c r="S388" s="52">
        <v>-0.47925115591417877</v>
      </c>
      <c r="T388" s="52">
        <v>-2.605549010677891E-8</v>
      </c>
      <c r="U388" t="s">
        <v>69</v>
      </c>
    </row>
    <row r="389" spans="1:21" ht="18" customHeight="1" x14ac:dyDescent="0.2">
      <c r="M389" s="29" t="s">
        <v>69</v>
      </c>
      <c r="N389" s="52">
        <v>-4.9764551425309526E-3</v>
      </c>
      <c r="O389" s="52">
        <v>4.4720073489729387E-4</v>
      </c>
      <c r="P389" s="52">
        <v>2.8459767980862473E-6</v>
      </c>
      <c r="Q389" s="52">
        <v>-5.2483084905547328E-7</v>
      </c>
      <c r="R389" s="52">
        <v>1.8491942089877475E-9</v>
      </c>
      <c r="S389" s="52">
        <v>7.1110818327704446E-3</v>
      </c>
      <c r="T389" s="52">
        <v>2.8951945709200717E-11</v>
      </c>
      <c r="U389" t="s">
        <v>69</v>
      </c>
    </row>
    <row r="390" spans="1:21" ht="18" customHeight="1" x14ac:dyDescent="0.2">
      <c r="M390" s="29" t="s">
        <v>69</v>
      </c>
      <c r="N390" s="52">
        <v>6.3787280137842168E-4</v>
      </c>
      <c r="O390" s="52">
        <v>-3.4633807130204447E-5</v>
      </c>
      <c r="P390" s="52">
        <v>-5.2483084905547804E-7</v>
      </c>
      <c r="Q390" s="52">
        <v>1.1808164595195719E-7</v>
      </c>
      <c r="R390" s="52">
        <v>-4.274550309048163E-10</v>
      </c>
      <c r="S390" s="52">
        <v>-2.066808474368108E-3</v>
      </c>
      <c r="T390" s="52">
        <v>-8.5169267974261628E-12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-2.4559171090600764E-6</v>
      </c>
      <c r="O391" s="52">
        <v>-3.0112420151056995E-7</v>
      </c>
      <c r="P391" s="52">
        <v>1.8491942089878039E-9</v>
      </c>
      <c r="Q391" s="52">
        <v>-4.274550309048239E-10</v>
      </c>
      <c r="R391" s="52">
        <v>1.2333663227607582E-11</v>
      </c>
      <c r="S391" s="52">
        <v>6.9979532227706514E-6</v>
      </c>
      <c r="T391" s="52">
        <v>3.5151343156401524E-14</v>
      </c>
      <c r="U391" t="s">
        <v>69</v>
      </c>
    </row>
    <row r="392" spans="1:21" ht="18" customHeight="1" x14ac:dyDescent="0.2">
      <c r="B392" s="16"/>
      <c r="C392" s="48">
        <f>SUM(L346:L362)</f>
        <v>17653254.641230032</v>
      </c>
      <c r="M392" s="29" t="s">
        <v>69</v>
      </c>
      <c r="N392" s="52">
        <v>-3.274577755377817</v>
      </c>
      <c r="O392" s="52">
        <v>-0.47925115591411188</v>
      </c>
      <c r="P392" s="52">
        <v>7.1110818327706242E-3</v>
      </c>
      <c r="Q392" s="52">
        <v>-2.0668084743681293E-3</v>
      </c>
      <c r="R392" s="52">
        <v>6.9979532227706159E-6</v>
      </c>
      <c r="S392" s="52">
        <v>45.547758990901805</v>
      </c>
      <c r="T392" s="52">
        <v>2.1009843031630079E-7</v>
      </c>
      <c r="U392" t="s">
        <v>69</v>
      </c>
    </row>
    <row r="393" spans="1:21" ht="18" customHeight="1" x14ac:dyDescent="0.2">
      <c r="C393" s="52">
        <f>SUMPRODUCT(POWER(B346:B362,2))</f>
        <v>2775745714</v>
      </c>
      <c r="M393" s="29" t="s">
        <v>68</v>
      </c>
      <c r="N393" s="52">
        <v>4.900237732647377E-8</v>
      </c>
      <c r="O393" s="52">
        <v>-2.6055490106778887E-8</v>
      </c>
      <c r="P393" s="52">
        <v>2.8951945709201121E-11</v>
      </c>
      <c r="Q393" s="52">
        <v>-8.5169267974262436E-12</v>
      </c>
      <c r="R393" s="52">
        <v>3.5151343156401796E-14</v>
      </c>
      <c r="S393" s="52">
        <v>2.1009843031630172E-7</v>
      </c>
      <c r="T393" s="52">
        <v>1.5868802837183382E-14</v>
      </c>
      <c r="U393" t="s">
        <v>71</v>
      </c>
    </row>
    <row r="394" spans="1:21" ht="18" customHeight="1" x14ac:dyDescent="0.2">
      <c r="C394" s="52">
        <f>B364 * POWER(W349,2)</f>
        <v>965904244.94117653</v>
      </c>
    </row>
    <row r="395" spans="1:21" ht="18" customHeight="1" x14ac:dyDescent="0.2">
      <c r="C395" s="52">
        <f>C393-C394</f>
        <v>1809841469.0588236</v>
      </c>
    </row>
    <row r="396" spans="1:21" ht="18" customHeight="1" x14ac:dyDescent="0.2">
      <c r="B396" s="13"/>
      <c r="C396" s="49">
        <f>C395-C392</f>
        <v>1792188214.4175935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0.99024596632189543</v>
      </c>
    </row>
    <row r="399" spans="1:21" ht="18" customHeight="1" x14ac:dyDescent="0.2">
      <c r="C399" s="52">
        <f>1 - C392 / (B362 - (COUNT(C379:C384) +1)) / (C395 / (B362-1))</f>
        <v>0.9902288889358235</v>
      </c>
    </row>
    <row r="404" spans="1:22" ht="18" customHeight="1" x14ac:dyDescent="0.25">
      <c r="A404" s="133" t="s">
        <v>92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B407" s="138"/>
      <c r="C407" s="138"/>
      <c r="E407" s="138"/>
      <c r="F407" s="138"/>
      <c r="H407" s="138"/>
      <c r="I407" s="138"/>
      <c r="K407" s="138"/>
      <c r="L407" s="138"/>
      <c r="N407" s="138"/>
      <c r="O407" s="138"/>
      <c r="Q407" s="138"/>
      <c r="R407" s="138"/>
      <c r="T407" s="138"/>
      <c r="U407" s="138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-4817.4992134452368</v>
      </c>
      <c r="D410" s="52"/>
      <c r="E410" s="48"/>
      <c r="F410" s="48">
        <f>C379</f>
        <v>258.73979424683239</v>
      </c>
      <c r="G410" s="52"/>
      <c r="H410" s="48"/>
      <c r="I410" s="48">
        <f>C380</f>
        <v>1.0663149740614752</v>
      </c>
      <c r="J410" s="52"/>
      <c r="K410" s="48"/>
      <c r="L410" s="48">
        <f>C381</f>
        <v>-0.86265480439248732</v>
      </c>
      <c r="M410" s="52"/>
      <c r="N410" s="48"/>
      <c r="O410" s="48">
        <f>C382</f>
        <v>1.126769846421951E-2</v>
      </c>
      <c r="P410" s="52"/>
      <c r="Q410" s="48"/>
      <c r="R410" s="48">
        <f>C383</f>
        <v>61253.513727046928</v>
      </c>
      <c r="S410" s="52"/>
      <c r="T410" s="48"/>
      <c r="U410" s="48">
        <f>C384</f>
        <v>-6.8651281035927471E-5</v>
      </c>
    </row>
    <row r="411" spans="1:22" ht="18" customHeight="1" x14ac:dyDescent="0.2">
      <c r="C411" s="76">
        <f>$C$392/($B$364-(COUNT($C$379:$C$384)+1))</f>
        <v>1765325.4641230032</v>
      </c>
      <c r="D411" s="52"/>
      <c r="E411" s="52"/>
      <c r="F411" s="76">
        <f>$C$392/($B$364-(COUNT($C$379:$C$384)+1))</f>
        <v>1765325.4641230032</v>
      </c>
      <c r="G411" s="52"/>
      <c r="H411" s="52"/>
      <c r="I411" s="76">
        <f>$C$392/($B$364-(COUNT($C$379:$C$384)+1))</f>
        <v>1765325.4641230032</v>
      </c>
      <c r="J411" s="52"/>
      <c r="K411" s="52"/>
      <c r="L411" s="76">
        <f>$C$392/($B$364-(COUNT($C$379:$C$384)+1))</f>
        <v>1765325.4641230032</v>
      </c>
      <c r="M411" s="52"/>
      <c r="N411" s="52"/>
      <c r="O411" s="76">
        <f>$C$392/($B$364-(COUNT($C$379:$C$384)+1))</f>
        <v>1765325.4641230032</v>
      </c>
      <c r="P411" s="52"/>
      <c r="Q411" s="52"/>
      <c r="R411" s="76">
        <f>$C$392/($B$364-(COUNT($C$379:$C$384)+1))</f>
        <v>1765325.4641230032</v>
      </c>
      <c r="S411" s="52"/>
      <c r="T411" s="52"/>
      <c r="U411" s="76">
        <f>$C$392/($B$364-(COUNT($C$379:$C$384)+1))</f>
        <v>1765325.4641230032</v>
      </c>
    </row>
    <row r="412" spans="1:22" ht="18" customHeight="1" x14ac:dyDescent="0.2">
      <c r="C412" s="76">
        <f>N387</f>
        <v>14.421744536441626</v>
      </c>
      <c r="D412" s="52"/>
      <c r="E412" s="52"/>
      <c r="F412" s="76">
        <f>O388</f>
        <v>0.26876089618176879</v>
      </c>
      <c r="G412" s="52"/>
      <c r="H412" s="52"/>
      <c r="I412" s="76">
        <f>P389</f>
        <v>2.8459767980862473E-6</v>
      </c>
      <c r="J412" s="52"/>
      <c r="K412" s="52"/>
      <c r="L412" s="76">
        <f>Q390</f>
        <v>1.1808164595195719E-7</v>
      </c>
      <c r="M412" s="52"/>
      <c r="N412" s="52"/>
      <c r="O412" s="76">
        <f>R391</f>
        <v>1.2333663227607582E-11</v>
      </c>
      <c r="P412" s="52"/>
      <c r="Q412" s="52"/>
      <c r="R412" s="76">
        <f>S392</f>
        <v>45.547758990901805</v>
      </c>
      <c r="S412" s="52"/>
      <c r="T412" s="52"/>
      <c r="U412" s="76">
        <f>T393</f>
        <v>1.5868802837183382E-14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0"/>
      <c r="C414" s="142">
        <f>SQRT(C411*C412)</f>
        <v>5045.6984518753397</v>
      </c>
      <c r="E414" s="130"/>
      <c r="F414" s="142">
        <f>SQRT(F411*F412)</f>
        <v>688.8036395012698</v>
      </c>
      <c r="H414" s="130"/>
      <c r="I414" s="142">
        <f>SQRT(I411*I412)</f>
        <v>2.2414449161121275</v>
      </c>
      <c r="K414" s="130"/>
      <c r="L414" s="142">
        <f>SQRT(L411*L412)</f>
        <v>0.45656602638013594</v>
      </c>
      <c r="N414" s="130"/>
      <c r="O414" s="142">
        <f>SQRT(O411*O412)</f>
        <v>4.6661472074521152E-3</v>
      </c>
      <c r="Q414" s="130"/>
      <c r="R414" s="142">
        <f>SQRT(R411*R412)</f>
        <v>8966.9737805112618</v>
      </c>
      <c r="T414" s="130"/>
      <c r="U414" s="142">
        <f>SQRT(U411*U412)</f>
        <v>1.6737264332508818E-4</v>
      </c>
    </row>
    <row r="415" spans="1:22" ht="18" customHeight="1" x14ac:dyDescent="0.2">
      <c r="B415" s="122"/>
      <c r="C415" s="128"/>
      <c r="E415" s="122"/>
      <c r="F415" s="128"/>
      <c r="H415" s="122"/>
      <c r="I415" s="128"/>
      <c r="K415" s="122"/>
      <c r="L415" s="128"/>
      <c r="N415" s="122"/>
      <c r="O415" s="128"/>
      <c r="Q415" s="122"/>
      <c r="R415" s="128"/>
      <c r="T415" s="122"/>
      <c r="U415" s="128"/>
    </row>
    <row r="419" spans="2:21" ht="18" customHeight="1" x14ac:dyDescent="0.2">
      <c r="B419" s="132" t="s">
        <v>40</v>
      </c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8"/>
      <c r="C429" s="138"/>
      <c r="E429" s="138"/>
      <c r="F429" s="138"/>
      <c r="H429" s="138"/>
      <c r="I429" s="138"/>
      <c r="K429" s="138"/>
      <c r="L429" s="138"/>
      <c r="N429" s="138"/>
      <c r="O429" s="138"/>
      <c r="Q429" s="138"/>
      <c r="R429" s="138"/>
      <c r="T429" s="138"/>
      <c r="U429" s="138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-13962.6315</v>
      </c>
      <c r="D431" s="14"/>
      <c r="E431" s="16" t="s">
        <v>37</v>
      </c>
      <c r="F431" s="16">
        <f>ROUND(F410-F414*$K$425,4)</f>
        <v>-989.69</v>
      </c>
      <c r="H431" s="16" t="s">
        <v>37</v>
      </c>
      <c r="I431" s="16">
        <f>ROUND(I410-I414*$K$425,4)</f>
        <v>-2.9962</v>
      </c>
      <c r="K431" s="16" t="s">
        <v>37</v>
      </c>
      <c r="L431" s="16">
        <f>ROUND(L410-L414*$K$194425,4)</f>
        <v>-0.86270000000000002</v>
      </c>
      <c r="N431" s="16" t="s">
        <v>37</v>
      </c>
      <c r="O431" s="16">
        <f>ROUND(O410-O414*$K$425,4)</f>
        <v>2.8E-3</v>
      </c>
      <c r="Q431" s="16" t="s">
        <v>37</v>
      </c>
      <c r="R431" s="16">
        <f>ROUND(R410-R414*$K$425,4)</f>
        <v>45001.222399999999</v>
      </c>
      <c r="T431" s="16" t="s">
        <v>37</v>
      </c>
      <c r="U431" s="16">
        <f>ROUND(U410-U414*$K$425,4)</f>
        <v>-4.0000000000000002E-4</v>
      </c>
    </row>
    <row r="432" spans="2:21" ht="18" customHeight="1" x14ac:dyDescent="0.2">
      <c r="B432" s="13" t="s">
        <v>38</v>
      </c>
      <c r="C432" s="13">
        <f>ROUND(C410+C414*$K$425,4)</f>
        <v>4327.6331</v>
      </c>
      <c r="E432" s="13" t="s">
        <v>38</v>
      </c>
      <c r="F432" s="13">
        <f>ROUND(F410+F414*$K$425,4)</f>
        <v>1507.1695999999999</v>
      </c>
      <c r="H432" s="13" t="s">
        <v>38</v>
      </c>
      <c r="I432" s="13">
        <f>ROUND(I410+I414*$K$425,4)</f>
        <v>5.1288</v>
      </c>
      <c r="K432" s="13" t="s">
        <v>38</v>
      </c>
      <c r="L432" s="13">
        <f>ROUND(L410+L414*$K$425,4)</f>
        <v>-3.5099999999999999E-2</v>
      </c>
      <c r="N432" s="13" t="s">
        <v>38</v>
      </c>
      <c r="O432" s="13">
        <f>ROUND(O410+O414*$K$194425,4)</f>
        <v>1.1299999999999999E-2</v>
      </c>
      <c r="Q432" s="13" t="s">
        <v>38</v>
      </c>
      <c r="R432" s="13">
        <f>ROUND(R410+R414*$K$425,4)</f>
        <v>77505.805099999998</v>
      </c>
      <c r="T432" s="13" t="s">
        <v>38</v>
      </c>
      <c r="U432" s="13">
        <f>ROUND(U410+U414*$K$425,4)</f>
        <v>2.0000000000000001E-4</v>
      </c>
    </row>
    <row r="439" spans="2:21" ht="18" customHeight="1" x14ac:dyDescent="0.2">
      <c r="B439" s="132" t="s">
        <v>42</v>
      </c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8"/>
      <c r="C449" s="138"/>
      <c r="E449" s="138"/>
      <c r="F449" s="138"/>
      <c r="H449" s="138"/>
      <c r="I449" s="138"/>
      <c r="K449" s="138"/>
      <c r="L449" s="138"/>
      <c r="N449" s="138"/>
      <c r="O449" s="138"/>
      <c r="Q449" s="138"/>
      <c r="R449" s="138"/>
      <c r="T449" s="138"/>
      <c r="U449" s="138"/>
    </row>
    <row r="451" spans="1:22" ht="18" customHeight="1" x14ac:dyDescent="0.2">
      <c r="A451" s="54"/>
      <c r="B451" s="16" t="s">
        <v>37</v>
      </c>
      <c r="C451" s="16">
        <f>ROUND(C410-C414*$K$445,4)</f>
        <v>-16060.016</v>
      </c>
      <c r="E451" s="16" t="s">
        <v>37</v>
      </c>
      <c r="F451" s="16">
        <f>ROUND(F410-F414*$K$445,4)</f>
        <v>-1276.0103999999999</v>
      </c>
      <c r="H451" s="16" t="s">
        <v>37</v>
      </c>
      <c r="I451" s="16">
        <f>ROUND(I410-I414*$K$445,4)</f>
        <v>-3.9279000000000002</v>
      </c>
      <c r="K451" s="16" t="s">
        <v>37</v>
      </c>
      <c r="L451" s="16">
        <f>ROUND(L410-L414*$K$445,4)</f>
        <v>-1.8798999999999999</v>
      </c>
      <c r="N451" s="16" t="s">
        <v>37</v>
      </c>
      <c r="O451" s="16">
        <f>ROUND(O410-O414*$K$445,4)</f>
        <v>8.9999999999999998E-4</v>
      </c>
      <c r="Q451" s="16" t="s">
        <v>37</v>
      </c>
      <c r="R451" s="16">
        <f>ROUND(R410-R414*$K$445,4)</f>
        <v>41273.8511</v>
      </c>
      <c r="T451" s="16" t="s">
        <v>37</v>
      </c>
      <c r="U451" s="16">
        <f>ROUND(U410-U414*$K$445,4)</f>
        <v>-4.0000000000000002E-4</v>
      </c>
    </row>
    <row r="452" spans="1:22" ht="18" customHeight="1" x14ac:dyDescent="0.2">
      <c r="B452" s="13" t="s">
        <v>38</v>
      </c>
      <c r="C452" s="13">
        <f>ROUND(C410+C414*$K$445,4)</f>
        <v>6425.0174999999999</v>
      </c>
      <c r="E452" s="13" t="s">
        <v>38</v>
      </c>
      <c r="F452" s="13">
        <f>ROUND(F410+F414*$K$445,4)</f>
        <v>1793.4899</v>
      </c>
      <c r="H452" s="13" t="s">
        <v>38</v>
      </c>
      <c r="I452" s="13">
        <f>ROUND(I410+I414*$K$445,4)</f>
        <v>6.0606</v>
      </c>
      <c r="K452" s="13" t="s">
        <v>38</v>
      </c>
      <c r="L452" s="13">
        <f>ROUND(L410+L414*$K$445,4)</f>
        <v>0.15459999999999999</v>
      </c>
      <c r="N452" s="13" t="s">
        <v>38</v>
      </c>
      <c r="O452" s="13">
        <f>ROUND(O410+O414*$K$445,4)</f>
        <v>2.1700000000000001E-2</v>
      </c>
      <c r="Q452" s="13" t="s">
        <v>38</v>
      </c>
      <c r="R452" s="13">
        <f>ROUND(R410+R414*$K$445,4)</f>
        <v>81233.176399999997</v>
      </c>
      <c r="T452" s="13" t="s">
        <v>38</v>
      </c>
      <c r="U452" s="13">
        <f>ROUND(U410+U414*$K$445,4)</f>
        <v>2.9999999999999997E-4</v>
      </c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8"/>
      <c r="C463" s="138"/>
      <c r="E463" s="138"/>
      <c r="F463" s="138"/>
      <c r="H463" s="138"/>
      <c r="I463" s="138"/>
      <c r="K463" s="138"/>
      <c r="L463" s="138"/>
      <c r="N463" s="138"/>
      <c r="O463" s="138"/>
      <c r="Q463" s="138"/>
      <c r="R463" s="138"/>
      <c r="T463" s="138"/>
      <c r="U463" s="138"/>
    </row>
    <row r="465" spans="2:21" ht="18" customHeight="1" x14ac:dyDescent="0.2">
      <c r="B465" s="132" t="s">
        <v>44</v>
      </c>
      <c r="C465" s="132"/>
      <c r="E465" s="132" t="s">
        <v>44</v>
      </c>
      <c r="F465" s="132"/>
      <c r="H465" s="132" t="s">
        <v>44</v>
      </c>
      <c r="I465" s="132"/>
      <c r="K465" s="132" t="s">
        <v>44</v>
      </c>
      <c r="L465" s="132"/>
      <c r="N465" s="132" t="s">
        <v>44</v>
      </c>
      <c r="O465" s="132"/>
      <c r="Q465" s="132" t="s">
        <v>44</v>
      </c>
      <c r="R465" s="132"/>
      <c r="T465" s="132" t="s">
        <v>44</v>
      </c>
      <c r="U465" s="132"/>
    </row>
    <row r="470" spans="2:21" ht="18" customHeight="1" x14ac:dyDescent="0.25">
      <c r="B470" s="141" t="s">
        <v>45</v>
      </c>
      <c r="C470" s="141"/>
      <c r="E470" s="141" t="s">
        <v>45</v>
      </c>
      <c r="F470" s="141"/>
      <c r="H470" s="141" t="s">
        <v>45</v>
      </c>
      <c r="I470" s="141"/>
      <c r="K470" s="141" t="s">
        <v>45</v>
      </c>
      <c r="L470" s="141"/>
      <c r="N470" s="141" t="s">
        <v>45</v>
      </c>
      <c r="O470" s="141"/>
      <c r="Q470" s="141" t="s">
        <v>45</v>
      </c>
      <c r="R470" s="141"/>
      <c r="T470" s="141" t="s">
        <v>45</v>
      </c>
      <c r="U470" s="141"/>
    </row>
    <row r="477" spans="2:21" ht="18" customHeight="1" x14ac:dyDescent="0.4">
      <c r="B477" s="55" t="s">
        <v>95</v>
      </c>
      <c r="C477">
        <f>C410/C414</f>
        <v>-0.95477350844355591</v>
      </c>
      <c r="E477" s="55" t="s">
        <v>95</v>
      </c>
      <c r="F477">
        <f>F410/F414</f>
        <v>0.37563650859071196</v>
      </c>
      <c r="H477" s="55" t="s">
        <v>95</v>
      </c>
      <c r="I477">
        <f>I410/I414</f>
        <v>0.4757266022450552</v>
      </c>
      <c r="K477" s="55" t="s">
        <v>95</v>
      </c>
      <c r="L477">
        <f>L410/L414</f>
        <v>-1.8894415145866388</v>
      </c>
      <c r="N477" s="55" t="s">
        <v>95</v>
      </c>
      <c r="O477">
        <f>O410/O414</f>
        <v>2.4147756089272803</v>
      </c>
      <c r="Q477" s="55" t="s">
        <v>95</v>
      </c>
      <c r="R477">
        <f>R410/R414</f>
        <v>6.831012917666242</v>
      </c>
      <c r="T477" s="55" t="s">
        <v>95</v>
      </c>
      <c r="U477">
        <f>U410/U414</f>
        <v>-0.41017026242804783</v>
      </c>
    </row>
    <row r="481" spans="2:21" ht="18" customHeight="1" x14ac:dyDescent="0.25">
      <c r="B481" s="140" t="s">
        <v>96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138"/>
      <c r="C505" s="138"/>
      <c r="G505" s="138"/>
      <c r="H505" s="138"/>
      <c r="L505" s="138"/>
      <c r="M505" s="138"/>
    </row>
    <row r="507" spans="2:22" ht="18" customHeight="1" x14ac:dyDescent="0.2">
      <c r="B507" s="115"/>
      <c r="C507" s="115"/>
      <c r="D507" s="115"/>
      <c r="E507" s="115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15"/>
      <c r="C508" s="115"/>
      <c r="D508" s="115"/>
      <c r="E508" s="115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15"/>
      <c r="C509" s="115"/>
      <c r="D509" s="115"/>
      <c r="E509" s="115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1.9607456713595939</v>
      </c>
      <c r="S523" s="56"/>
    </row>
    <row r="524" spans="2:19" ht="18" customHeight="1" x14ac:dyDescent="0.2">
      <c r="S524" s="56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138"/>
      <c r="C535" s="138"/>
      <c r="G535" s="138"/>
      <c r="H535" s="138"/>
      <c r="L535" s="138"/>
      <c r="M535" s="138"/>
    </row>
    <row r="537" spans="2:22" ht="18" customHeight="1" x14ac:dyDescent="0.2">
      <c r="B537" s="115"/>
      <c r="C537" s="115"/>
      <c r="D537" s="115"/>
      <c r="E537" s="115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15"/>
      <c r="C538" s="115"/>
      <c r="D538" s="115"/>
      <c r="E538" s="115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15"/>
      <c r="C539" s="115"/>
      <c r="D539" s="115"/>
      <c r="E539" s="115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34" t="s">
        <v>55</v>
      </c>
      <c r="G550" s="135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1792188214.4175935</v>
      </c>
      <c r="E551" s="114">
        <f>COUNT(C379:C384)</f>
        <v>6</v>
      </c>
      <c r="F551" s="136">
        <f>D551/E551</f>
        <v>298698035.7362656</v>
      </c>
      <c r="G551" s="137"/>
      <c r="H551" s="77">
        <f>F551/F552</f>
        <v>169.20281376253524</v>
      </c>
      <c r="I551" s="73"/>
    </row>
    <row r="552" spans="1:22" ht="18" customHeight="1" x14ac:dyDescent="0.25">
      <c r="C552" s="25" t="s">
        <v>58</v>
      </c>
      <c r="D552" s="47">
        <f>C392</f>
        <v>17653254.641230032</v>
      </c>
      <c r="E552" s="114">
        <f>B364 - (COUNT(C379:C384) + 1)</f>
        <v>10</v>
      </c>
      <c r="F552" s="117">
        <f>D552/E552</f>
        <v>1765325.4641230032</v>
      </c>
      <c r="G552" s="117"/>
      <c r="H552" s="52"/>
    </row>
    <row r="553" spans="1:22" ht="18" customHeight="1" x14ac:dyDescent="0.25">
      <c r="C553" s="25" t="s">
        <v>59</v>
      </c>
      <c r="D553" s="47">
        <f>C395</f>
        <v>1809841469.0588236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B266:C266"/>
    <mergeCell ref="B268:E270"/>
    <mergeCell ref="G268:J270"/>
    <mergeCell ref="G266:H266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R183:R184"/>
    <mergeCell ref="U183:U184"/>
    <mergeCell ref="Q183:Q184"/>
    <mergeCell ref="T183:T184"/>
    <mergeCell ref="C3:U3"/>
    <mergeCell ref="B239:C239"/>
    <mergeCell ref="E234:F234"/>
    <mergeCell ref="E239:F239"/>
    <mergeCell ref="H234:I234"/>
    <mergeCell ref="H239:I239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H198:I198"/>
    <mergeCell ref="K198:L198"/>
    <mergeCell ref="N198:O198"/>
    <mergeCell ref="L266:M266"/>
    <mergeCell ref="L268:P270"/>
    <mergeCell ref="R266:S266"/>
    <mergeCell ref="R268:V270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K176:L176"/>
    <mergeCell ref="N176:O176"/>
    <mergeCell ref="Q176:R176"/>
    <mergeCell ref="T176:U176"/>
    <mergeCell ref="I183:I184"/>
    <mergeCell ref="L183:L184"/>
    <mergeCell ref="O183:O184"/>
    <mergeCell ref="A228:V228"/>
    <mergeCell ref="Q218:R218"/>
    <mergeCell ref="T218:U218"/>
    <mergeCell ref="B188:U188"/>
    <mergeCell ref="B198:C198"/>
    <mergeCell ref="E198:F198"/>
    <mergeCell ref="H232:I232"/>
    <mergeCell ref="K232:L232"/>
    <mergeCell ref="N232:O232"/>
    <mergeCell ref="Q232:R232"/>
    <mergeCell ref="T232:U232"/>
    <mergeCell ref="Q198:R198"/>
    <mergeCell ref="T198:U198"/>
    <mergeCell ref="B232:C232"/>
    <mergeCell ref="E232:F232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G274:H274"/>
    <mergeCell ref="B298:E300"/>
    <mergeCell ref="G298:J300"/>
    <mergeCell ref="L298:P300"/>
    <mergeCell ref="R298:V300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A532" zoomScale="80" zoomScaleNormal="80" workbookViewId="0">
      <selection activeCell="C559" sqref="C559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101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1" customFormat="1" ht="18" customHeight="1" x14ac:dyDescent="0.2">
      <c r="A5" s="145" t="s">
        <v>91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4" t="s">
        <v>72</v>
      </c>
      <c r="O6" s="144"/>
      <c r="P6" s="144"/>
      <c r="Q6" s="144"/>
      <c r="R6" s="144"/>
      <c r="S6" s="144"/>
      <c r="T6" s="144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267.77060892210335</v>
      </c>
      <c r="K8" s="17">
        <f>B8-J8</f>
        <v>7.2293910778966506</v>
      </c>
      <c r="L8" s="17">
        <f>POWER(K8,2)</f>
        <v>52.264095357171698</v>
      </c>
      <c r="M8" s="29" t="s">
        <v>70</v>
      </c>
      <c r="N8" s="52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262.95695383663161</v>
      </c>
      <c r="K9" s="17">
        <f t="shared" ref="K9:K72" si="1">B9-J9</f>
        <v>-2.9569538366316124</v>
      </c>
      <c r="L9" s="17">
        <f t="shared" ref="L9:L72" si="2">POWER(K9,2)</f>
        <v>8.7435759919704115</v>
      </c>
      <c r="M9" s="29" t="s">
        <v>69</v>
      </c>
      <c r="N9" s="52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253.17920156517917</v>
      </c>
      <c r="K10" s="17">
        <f t="shared" si="1"/>
        <v>-13.17920156517917</v>
      </c>
      <c r="L10" s="17">
        <f t="shared" si="2"/>
        <v>173.69135389562109</v>
      </c>
      <c r="M10" s="29" t="s">
        <v>69</v>
      </c>
      <c r="N10" s="52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237.83861334440368</v>
      </c>
      <c r="K11" s="17">
        <f t="shared" si="1"/>
        <v>-12.838613344403683</v>
      </c>
      <c r="L11" s="17">
        <f t="shared" si="2"/>
        <v>164.82999260710031</v>
      </c>
      <c r="M11" s="29" t="s">
        <v>69</v>
      </c>
      <c r="N11" s="52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224.84541657317016</v>
      </c>
      <c r="K12" s="17">
        <f t="shared" si="1"/>
        <v>33.154583426829845</v>
      </c>
      <c r="L12" s="17">
        <f t="shared" si="2"/>
        <v>1099.2264022066202</v>
      </c>
      <c r="M12" s="29" t="s">
        <v>69</v>
      </c>
      <c r="N12" s="52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211.51131999924999</v>
      </c>
      <c r="K13" s="17">
        <f t="shared" si="1"/>
        <v>2.4886800007500085</v>
      </c>
      <c r="L13" s="17">
        <f t="shared" si="2"/>
        <v>6.1935281461330627</v>
      </c>
      <c r="M13" s="29" t="s">
        <v>69</v>
      </c>
      <c r="N13" s="52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202.73212658266365</v>
      </c>
      <c r="K14" s="17">
        <f t="shared" si="1"/>
        <v>1.2678734173363466</v>
      </c>
      <c r="L14" s="17">
        <f t="shared" si="2"/>
        <v>1.6075030023881458</v>
      </c>
      <c r="M14" s="29" t="s">
        <v>69</v>
      </c>
      <c r="N14" s="52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200.48736311798825</v>
      </c>
      <c r="K15" s="17">
        <f t="shared" si="1"/>
        <v>-4.4873631179882523</v>
      </c>
      <c r="L15" s="17">
        <f t="shared" si="2"/>
        <v>20.13642775268125</v>
      </c>
      <c r="M15" s="29" t="s">
        <v>69</v>
      </c>
      <c r="N15" s="52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194.64464891667251</v>
      </c>
      <c r="K16" s="17">
        <f t="shared" si="1"/>
        <v>8.3553510833274913</v>
      </c>
      <c r="L16" s="17">
        <f t="shared" si="2"/>
        <v>69.81189172566188</v>
      </c>
      <c r="M16" s="29" t="s">
        <v>69</v>
      </c>
      <c r="N16" s="52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181.11791170031546</v>
      </c>
      <c r="K17" s="17">
        <f t="shared" si="1"/>
        <v>-20.11791170031546</v>
      </c>
      <c r="L17" s="17">
        <f t="shared" si="2"/>
        <v>404.73037118168969</v>
      </c>
      <c r="M17" s="29" t="s">
        <v>69</v>
      </c>
      <c r="N17" s="52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166.50054995520318</v>
      </c>
      <c r="K18" s="17">
        <f t="shared" si="1"/>
        <v>0.49945004479681643</v>
      </c>
      <c r="L18" s="17">
        <f t="shared" si="2"/>
        <v>0.24945034724754195</v>
      </c>
      <c r="M18" s="29" t="s">
        <v>69</v>
      </c>
      <c r="N18" s="52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147.23127284714423</v>
      </c>
      <c r="K19" s="17">
        <f t="shared" si="1"/>
        <v>1.7687271528557744</v>
      </c>
      <c r="L19" s="17">
        <f t="shared" si="2"/>
        <v>3.1283957412492942</v>
      </c>
      <c r="M19" s="29" t="s">
        <v>69</v>
      </c>
      <c r="N19" s="52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131.79302564649586</v>
      </c>
      <c r="K20" s="17">
        <f t="shared" si="1"/>
        <v>17.206974353504137</v>
      </c>
      <c r="L20" s="17">
        <f t="shared" si="2"/>
        <v>296.07996640214913</v>
      </c>
      <c r="M20" s="29" t="s">
        <v>69</v>
      </c>
      <c r="N20" s="52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125.39022083798019</v>
      </c>
      <c r="K21" s="17">
        <f t="shared" si="1"/>
        <v>12.609779162019805</v>
      </c>
      <c r="L21" s="17">
        <f t="shared" si="2"/>
        <v>159.00653051490889</v>
      </c>
      <c r="M21" s="29" t="s">
        <v>69</v>
      </c>
      <c r="N21" s="52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122.96788654506337</v>
      </c>
      <c r="K22" s="17">
        <f t="shared" si="1"/>
        <v>-32.967886545063365</v>
      </c>
      <c r="L22" s="17">
        <f t="shared" si="2"/>
        <v>1086.8815432481701</v>
      </c>
      <c r="M22" s="29" t="s">
        <v>69</v>
      </c>
      <c r="N22" s="52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115.0947530770087</v>
      </c>
      <c r="K23" s="17">
        <f t="shared" si="1"/>
        <v>-4.0947530770087042</v>
      </c>
      <c r="L23" s="17">
        <f t="shared" si="2"/>
        <v>16.767002761672252</v>
      </c>
      <c r="M23" s="29" t="s">
        <v>69</v>
      </c>
      <c r="N23" s="52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101.94621171450468</v>
      </c>
      <c r="K24" s="17">
        <f t="shared" si="1"/>
        <v>25.053788285495315</v>
      </c>
      <c r="L24" s="17">
        <f t="shared" si="2"/>
        <v>627.69230745442235</v>
      </c>
      <c r="M24" s="29" t="s">
        <v>69</v>
      </c>
      <c r="N24" s="52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91.307894810327426</v>
      </c>
      <c r="K25" s="17">
        <f t="shared" si="1"/>
        <v>13.692105189672574</v>
      </c>
      <c r="L25" s="17">
        <f t="shared" si="2"/>
        <v>187.47374452505863</v>
      </c>
      <c r="M25" s="29" t="s">
        <v>69</v>
      </c>
      <c r="N25" s="52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84.697501113429666</v>
      </c>
      <c r="K26" s="17">
        <f t="shared" si="1"/>
        <v>-17.697501113429666</v>
      </c>
      <c r="L26" s="17">
        <f t="shared" si="2"/>
        <v>313.20154565984427</v>
      </c>
      <c r="M26" s="29" t="s">
        <v>69</v>
      </c>
      <c r="N26" s="52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72.351401539924666</v>
      </c>
      <c r="K27" s="17">
        <f t="shared" si="1"/>
        <v>3.6485984600753341</v>
      </c>
      <c r="L27" s="17">
        <f t="shared" si="2"/>
        <v>13.312270722864099</v>
      </c>
      <c r="M27" s="29" t="s">
        <v>69</v>
      </c>
      <c r="N27" s="52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72.237430167658857</v>
      </c>
      <c r="K28" s="17">
        <f t="shared" si="1"/>
        <v>-7.2374301676588573</v>
      </c>
      <c r="L28" s="17">
        <f t="shared" si="2"/>
        <v>52.380395431738513</v>
      </c>
      <c r="M28" s="29" t="s">
        <v>69</v>
      </c>
      <c r="N28" s="52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71.116933539365178</v>
      </c>
      <c r="K29" s="17">
        <f t="shared" si="1"/>
        <v>-10.116933539365178</v>
      </c>
      <c r="L29" s="17">
        <f t="shared" si="2"/>
        <v>102.35234423993202</v>
      </c>
      <c r="M29" s="29" t="s">
        <v>69</v>
      </c>
      <c r="N29" s="52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64.153401154874771</v>
      </c>
      <c r="K30" s="17">
        <f t="shared" si="1"/>
        <v>-1.1534011548747714</v>
      </c>
      <c r="L30" s="17">
        <f t="shared" si="2"/>
        <v>1.3303342240664562</v>
      </c>
      <c r="M30" s="29" t="s">
        <v>69</v>
      </c>
      <c r="N30" s="52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57.542659246259483</v>
      </c>
      <c r="K31" s="17">
        <f t="shared" si="1"/>
        <v>-7.5426592462594826</v>
      </c>
      <c r="L31" s="17">
        <f t="shared" si="2"/>
        <v>56.891708505183665</v>
      </c>
      <c r="M31" s="29" t="s">
        <v>69</v>
      </c>
      <c r="N31" s="52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53.391064241277192</v>
      </c>
      <c r="K32" s="17">
        <f t="shared" si="1"/>
        <v>-4.3910642412771921</v>
      </c>
      <c r="L32" s="17">
        <f t="shared" si="2"/>
        <v>19.281445171023243</v>
      </c>
      <c r="M32" s="29" t="s">
        <v>69</v>
      </c>
      <c r="N32" s="52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45.575005288882558</v>
      </c>
      <c r="K33" s="17">
        <f t="shared" si="1"/>
        <v>12.424994711117442</v>
      </c>
      <c r="L33" s="17">
        <f t="shared" si="2"/>
        <v>154.3804935712964</v>
      </c>
      <c r="M33" s="29" t="s">
        <v>69</v>
      </c>
      <c r="N33" s="52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40.036114490646582</v>
      </c>
      <c r="K34" s="17">
        <f t="shared" si="1"/>
        <v>-7.0361144906465825</v>
      </c>
      <c r="L34" s="17">
        <f t="shared" si="2"/>
        <v>49.506907125486819</v>
      </c>
      <c r="M34" s="29" t="s">
        <v>69</v>
      </c>
      <c r="N34" s="52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37.64233058339012</v>
      </c>
      <c r="K35" s="17">
        <f t="shared" si="1"/>
        <v>3.3576694166098804</v>
      </c>
      <c r="L35" s="17">
        <f t="shared" si="2"/>
        <v>11.273943911237334</v>
      </c>
      <c r="M35" s="29" t="s">
        <v>69</v>
      </c>
      <c r="N35" s="52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39.501214121631584</v>
      </c>
      <c r="K36" s="17">
        <f t="shared" si="1"/>
        <v>-5.501214121631584</v>
      </c>
      <c r="L36" s="17">
        <f t="shared" si="2"/>
        <v>30.263356812038761</v>
      </c>
      <c r="M36" s="29" t="s">
        <v>69</v>
      </c>
      <c r="N36" s="52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36.029137696815226</v>
      </c>
      <c r="K37" s="17">
        <f t="shared" si="1"/>
        <v>1.9708623031847736</v>
      </c>
      <c r="L37" s="17">
        <f t="shared" si="2"/>
        <v>3.8842982181147905</v>
      </c>
      <c r="M37" s="29" t="s">
        <v>69</v>
      </c>
      <c r="N37" s="52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32.236889140655379</v>
      </c>
      <c r="K38" s="17">
        <f t="shared" si="1"/>
        <v>8.7631108593446214</v>
      </c>
      <c r="L38" s="17">
        <f t="shared" si="2"/>
        <v>76.792111933163625</v>
      </c>
      <c r="M38" s="29" t="s">
        <v>69</v>
      </c>
      <c r="N38" s="52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29.412379273856196</v>
      </c>
      <c r="K39" s="17">
        <f t="shared" si="1"/>
        <v>-1.412379273856196</v>
      </c>
      <c r="L39" s="17">
        <f t="shared" si="2"/>
        <v>1.9948152132185555</v>
      </c>
      <c r="M39" s="29" t="s">
        <v>69</v>
      </c>
      <c r="N39" s="52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27.906989667547641</v>
      </c>
      <c r="K40" s="17">
        <f t="shared" si="1"/>
        <v>9.3010332452358568E-2</v>
      </c>
      <c r="L40" s="17">
        <f t="shared" si="2"/>
        <v>8.6509219428982653E-3</v>
      </c>
      <c r="M40" s="29" t="s">
        <v>69</v>
      </c>
      <c r="N40" s="52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24.853992525478329</v>
      </c>
      <c r="K41" s="17">
        <f t="shared" si="1"/>
        <v>1.1460074745216708</v>
      </c>
      <c r="L41" s="17">
        <f t="shared" si="2"/>
        <v>1.313333131659538</v>
      </c>
      <c r="M41" s="29" t="s">
        <v>69</v>
      </c>
      <c r="N41" s="52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25.269847377449366</v>
      </c>
      <c r="K42" s="17">
        <f t="shared" si="1"/>
        <v>2.7301526225506336</v>
      </c>
      <c r="L42" s="17">
        <f t="shared" si="2"/>
        <v>7.4537333424201027</v>
      </c>
      <c r="M42" s="29" t="s">
        <v>69</v>
      </c>
      <c r="N42" s="52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26.660010990158963</v>
      </c>
      <c r="K43" s="17">
        <f t="shared" si="1"/>
        <v>-1.6600109901589626</v>
      </c>
      <c r="L43" s="17">
        <f t="shared" si="2"/>
        <v>2.7556364874485393</v>
      </c>
      <c r="M43" s="29" t="s">
        <v>69</v>
      </c>
      <c r="N43" s="52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27.792224252874785</v>
      </c>
      <c r="K44" s="17">
        <f t="shared" si="1"/>
        <v>2.2077757471252148</v>
      </c>
      <c r="L44" s="17">
        <f t="shared" si="2"/>
        <v>4.8742737495943009</v>
      </c>
      <c r="M44" s="29" t="s">
        <v>69</v>
      </c>
      <c r="N44" s="52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27.056220741637251</v>
      </c>
      <c r="K45" s="17">
        <f t="shared" si="1"/>
        <v>-5.0562207416372509</v>
      </c>
      <c r="L45" s="17">
        <f t="shared" si="2"/>
        <v>25.565368188162751</v>
      </c>
      <c r="M45" s="29" t="s">
        <v>69</v>
      </c>
      <c r="N45" s="52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24.95607343084114</v>
      </c>
      <c r="K46" s="17">
        <f t="shared" si="1"/>
        <v>-6.9560734308411405</v>
      </c>
      <c r="L46" s="17">
        <f t="shared" si="2"/>
        <v>48.386957575254037</v>
      </c>
      <c r="M46" s="29" t="s">
        <v>69</v>
      </c>
      <c r="N46" s="52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22.408461417734117</v>
      </c>
      <c r="K47" s="17">
        <f t="shared" si="1"/>
        <v>-7.4084614177341166</v>
      </c>
      <c r="L47" s="17">
        <f t="shared" si="2"/>
        <v>54.885300578054995</v>
      </c>
      <c r="M47" s="29" t="s">
        <v>69</v>
      </c>
      <c r="N47" s="52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18.920666184668139</v>
      </c>
      <c r="K48" s="17">
        <f t="shared" si="1"/>
        <v>7.9333815331860791E-2</v>
      </c>
      <c r="L48" s="17">
        <f t="shared" si="2"/>
        <v>6.2938542551097907E-3</v>
      </c>
      <c r="M48" s="29" t="s">
        <v>69</v>
      </c>
      <c r="N48" s="52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18.354414497494361</v>
      </c>
      <c r="K49" s="17">
        <f t="shared" si="1"/>
        <v>-3.3544144974943606</v>
      </c>
      <c r="L49" s="17">
        <f t="shared" si="2"/>
        <v>11.252096621000344</v>
      </c>
      <c r="M49" s="29" t="s">
        <v>69</v>
      </c>
      <c r="N49" s="52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19.614341856977479</v>
      </c>
      <c r="K50" s="17">
        <f t="shared" si="1"/>
        <v>-9.6143418569774788</v>
      </c>
      <c r="L50" s="17">
        <f t="shared" si="2"/>
        <v>92.435569342829154</v>
      </c>
      <c r="M50" s="29" t="s">
        <v>69</v>
      </c>
      <c r="N50" s="52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16.097281391801463</v>
      </c>
      <c r="K51" s="17">
        <f t="shared" si="1"/>
        <v>-3.097281391801463</v>
      </c>
      <c r="L51" s="17">
        <f t="shared" si="2"/>
        <v>9.5931520199996072</v>
      </c>
      <c r="M51" s="29" t="s">
        <v>69</v>
      </c>
      <c r="N51" s="52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12.830436967324637</v>
      </c>
      <c r="K52" s="17">
        <f t="shared" si="1"/>
        <v>2.169563032675363</v>
      </c>
      <c r="L52" s="17">
        <f t="shared" si="2"/>
        <v>4.7070037527515183</v>
      </c>
      <c r="M52" s="29" t="s">
        <v>69</v>
      </c>
      <c r="N52" s="52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11.074349607403612</v>
      </c>
      <c r="K53" s="17">
        <f t="shared" si="1"/>
        <v>9.9256503925963884</v>
      </c>
      <c r="L53" s="17">
        <f t="shared" si="2"/>
        <v>98.518535716048845</v>
      </c>
      <c r="M53" s="29" t="s">
        <v>69</v>
      </c>
      <c r="N53" s="52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9.1077363771564919</v>
      </c>
      <c r="K54" s="17">
        <f t="shared" si="1"/>
        <v>1.8922636228435081</v>
      </c>
      <c r="L54" s="17">
        <f t="shared" si="2"/>
        <v>3.5806616183368383</v>
      </c>
      <c r="M54" s="29" t="s">
        <v>69</v>
      </c>
      <c r="N54" s="52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7.3179532986284928</v>
      </c>
      <c r="K55" s="17">
        <f t="shared" si="1"/>
        <v>0.68204670137150725</v>
      </c>
      <c r="L55" s="17">
        <f t="shared" si="2"/>
        <v>0.46518770285175398</v>
      </c>
      <c r="M55" s="29" t="s">
        <v>69</v>
      </c>
      <c r="N55" s="52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6.5270932901855128</v>
      </c>
      <c r="K56" s="17">
        <f t="shared" si="1"/>
        <v>-0.52709329018551276</v>
      </c>
      <c r="L56" s="17">
        <f t="shared" si="2"/>
        <v>0.27782733655858916</v>
      </c>
      <c r="M56" s="29" t="s">
        <v>69</v>
      </c>
      <c r="N56" s="52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7.6349830424634364</v>
      </c>
      <c r="K57" s="17">
        <f t="shared" si="1"/>
        <v>8.3650169575365645</v>
      </c>
      <c r="L57" s="17">
        <f t="shared" si="2"/>
        <v>69.973508699874287</v>
      </c>
      <c r="M57" s="29" t="s">
        <v>69</v>
      </c>
      <c r="N57" s="52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8.073927093136458</v>
      </c>
      <c r="K58" s="17">
        <f t="shared" si="1"/>
        <v>1.926072906863542</v>
      </c>
      <c r="L58" s="17">
        <f t="shared" si="2"/>
        <v>3.7097568425537748</v>
      </c>
      <c r="M58" s="29" t="s">
        <v>69</v>
      </c>
      <c r="N58" s="52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8.0821854085125899</v>
      </c>
      <c r="K59" s="17">
        <f t="shared" si="1"/>
        <v>2.9178145914874101</v>
      </c>
      <c r="L59" s="17">
        <f t="shared" si="2"/>
        <v>8.5136419902968417</v>
      </c>
      <c r="M59" s="29" t="s">
        <v>69</v>
      </c>
      <c r="N59" s="52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8.725193786017039</v>
      </c>
      <c r="K60" s="17">
        <f t="shared" si="1"/>
        <v>0.27480621398296101</v>
      </c>
      <c r="L60" s="17">
        <f t="shared" si="2"/>
        <v>7.551845524364896E-2</v>
      </c>
      <c r="M60" s="29" t="s">
        <v>69</v>
      </c>
      <c r="N60" s="52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9.3427655871226545</v>
      </c>
      <c r="K61" s="17">
        <f t="shared" si="1"/>
        <v>-4.3427655871226545</v>
      </c>
      <c r="L61" s="17">
        <f t="shared" si="2"/>
        <v>18.859612944696774</v>
      </c>
      <c r="M61" s="29" t="s">
        <v>69</v>
      </c>
      <c r="N61" s="52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8.6766478049527631</v>
      </c>
      <c r="K62" s="17">
        <f t="shared" si="1"/>
        <v>-0.67664780495276311</v>
      </c>
      <c r="L62" s="17">
        <f t="shared" si="2"/>
        <v>0.45785225194739254</v>
      </c>
      <c r="M62" s="29" t="s">
        <v>69</v>
      </c>
      <c r="N62" s="52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8.5577860363013798</v>
      </c>
      <c r="K63" s="17">
        <f t="shared" si="1"/>
        <v>1.4422139636986202</v>
      </c>
      <c r="L63" s="17">
        <f t="shared" si="2"/>
        <v>2.0799811170872848</v>
      </c>
      <c r="M63" s="29" t="s">
        <v>69</v>
      </c>
      <c r="N63" s="52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9.7262289696819355</v>
      </c>
      <c r="K64" s="17">
        <f t="shared" si="1"/>
        <v>-3.7262289696819355</v>
      </c>
      <c r="L64" s="17">
        <f t="shared" si="2"/>
        <v>13.884782334496899</v>
      </c>
      <c r="M64" s="29" t="s">
        <v>69</v>
      </c>
      <c r="N64" s="52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9.1744631870724493</v>
      </c>
      <c r="K65" s="17">
        <f t="shared" si="1"/>
        <v>-7.1744631870724493</v>
      </c>
      <c r="L65" s="17">
        <f t="shared" si="2"/>
        <v>51.47292202265777</v>
      </c>
      <c r="M65" s="29" t="s">
        <v>69</v>
      </c>
      <c r="N65" s="52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8.8883435370456816</v>
      </c>
      <c r="K66" s="17">
        <f t="shared" si="1"/>
        <v>-5.8883435370456816</v>
      </c>
      <c r="L66" s="17">
        <f t="shared" si="2"/>
        <v>34.67258961026765</v>
      </c>
      <c r="M66" s="29" t="s">
        <v>69</v>
      </c>
      <c r="N66" s="52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8.9332938610432695</v>
      </c>
      <c r="K67" s="17">
        <f t="shared" si="1"/>
        <v>2.0667061389567305</v>
      </c>
      <c r="L67" s="17">
        <f t="shared" si="2"/>
        <v>4.2712742648014368</v>
      </c>
      <c r="M67" s="29" t="s">
        <v>69</v>
      </c>
      <c r="N67" s="52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9.4343810086765973</v>
      </c>
      <c r="K68" s="17">
        <f t="shared" si="1"/>
        <v>-0.43438100867659735</v>
      </c>
      <c r="L68" s="17">
        <f t="shared" si="2"/>
        <v>0.18868686069889815</v>
      </c>
      <c r="M68" s="29" t="s">
        <v>69</v>
      </c>
      <c r="N68" s="52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9.7116106666432422</v>
      </c>
      <c r="K69" s="17">
        <f t="shared" si="1"/>
        <v>-2.7116106666432422</v>
      </c>
      <c r="L69" s="17">
        <f t="shared" si="2"/>
        <v>7.3528324074534082</v>
      </c>
      <c r="M69" s="29" t="s">
        <v>69</v>
      </c>
      <c r="N69" s="52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8.9966081759761156</v>
      </c>
      <c r="K70" s="17">
        <f t="shared" si="1"/>
        <v>-4.9966081759761156</v>
      </c>
      <c r="L70" s="17">
        <f t="shared" si="2"/>
        <v>24.966093264231365</v>
      </c>
      <c r="M70" s="29" t="s">
        <v>69</v>
      </c>
      <c r="N70" s="52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8.4832160948309241</v>
      </c>
      <c r="K71" s="17">
        <f t="shared" si="1"/>
        <v>-2.4832160948309241</v>
      </c>
      <c r="L71" s="17">
        <f t="shared" si="2"/>
        <v>6.1663621736273448</v>
      </c>
      <c r="M71" s="29" t="s">
        <v>69</v>
      </c>
      <c r="N71" s="52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7.6080513060104025</v>
      </c>
      <c r="K72" s="17">
        <f t="shared" si="1"/>
        <v>-5.6080513060104025</v>
      </c>
      <c r="L72" s="17">
        <f t="shared" si="2"/>
        <v>31.450239450844983</v>
      </c>
      <c r="M72" s="29" t="s">
        <v>69</v>
      </c>
      <c r="N72" s="52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5.5599640180821428</v>
      </c>
      <c r="K73" s="17">
        <f t="shared" ref="K73:K127" si="4">B73-J73</f>
        <v>-2.5599640180821428</v>
      </c>
      <c r="L73" s="17">
        <f t="shared" ref="L73:L127" si="5">POWER(K73,2)</f>
        <v>6.5534157738752699</v>
      </c>
      <c r="M73" s="29" t="s">
        <v>69</v>
      </c>
      <c r="N73" s="52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4.0255202946377784</v>
      </c>
      <c r="K74" s="17">
        <f t="shared" si="4"/>
        <v>4.9744797053622216</v>
      </c>
      <c r="L74" s="17">
        <f t="shared" si="5"/>
        <v>24.745448339060616</v>
      </c>
      <c r="M74" s="29" t="s">
        <v>69</v>
      </c>
      <c r="N74" s="52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2.4646262572245767</v>
      </c>
      <c r="K75" s="17">
        <f t="shared" si="4"/>
        <v>2.5353737427754233</v>
      </c>
      <c r="L75" s="17">
        <f t="shared" si="5"/>
        <v>6.4281200155550584</v>
      </c>
      <c r="M75" s="29" t="s">
        <v>69</v>
      </c>
      <c r="N75" s="52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2.2875977898228936</v>
      </c>
      <c r="K76" s="17">
        <f t="shared" si="4"/>
        <v>3.7124022101771064</v>
      </c>
      <c r="L76" s="17">
        <f t="shared" si="5"/>
        <v>13.781930170127865</v>
      </c>
      <c r="M76" s="29" t="s">
        <v>69</v>
      </c>
      <c r="N76" s="52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2.9980730254063834</v>
      </c>
      <c r="K77" s="17">
        <f t="shared" si="4"/>
        <v>3.0019269745936166</v>
      </c>
      <c r="L77" s="17">
        <f t="shared" si="5"/>
        <v>9.0115655607927838</v>
      </c>
      <c r="M77" s="29" t="s">
        <v>69</v>
      </c>
      <c r="N77" s="52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4.8814505701611601</v>
      </c>
      <c r="K78" s="17">
        <f t="shared" si="4"/>
        <v>-2.8814505701611601</v>
      </c>
      <c r="L78" s="17">
        <f t="shared" si="5"/>
        <v>8.3027573882820747</v>
      </c>
      <c r="M78" s="29" t="s">
        <v>69</v>
      </c>
      <c r="N78" s="52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4.1324844104647411</v>
      </c>
      <c r="K79" s="17">
        <f t="shared" si="4"/>
        <v>0.86751558953525887</v>
      </c>
      <c r="L79" s="17">
        <f t="shared" si="5"/>
        <v>0.75258329808670776</v>
      </c>
      <c r="M79" s="29" t="s">
        <v>69</v>
      </c>
      <c r="N79" s="52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4.8959184217023255</v>
      </c>
      <c r="K80" s="17">
        <f t="shared" si="4"/>
        <v>3.1040815782976745</v>
      </c>
      <c r="L80" s="17">
        <f t="shared" si="5"/>
        <v>9.6353224447269827</v>
      </c>
      <c r="M80" s="29" t="s">
        <v>69</v>
      </c>
      <c r="N80" s="52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5.3669773506236043</v>
      </c>
      <c r="K81" s="17">
        <f t="shared" si="4"/>
        <v>-3.3669773506236043</v>
      </c>
      <c r="L81" s="17">
        <f t="shared" si="5"/>
        <v>11.336536479612345</v>
      </c>
      <c r="M81" s="29" t="s">
        <v>69</v>
      </c>
      <c r="N81" s="52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6.4275577642939696</v>
      </c>
      <c r="K82" s="17">
        <f t="shared" si="4"/>
        <v>-2.4275577642939696</v>
      </c>
      <c r="L82" s="17">
        <f t="shared" si="5"/>
        <v>5.893036698983936</v>
      </c>
      <c r="M82" s="29" t="s">
        <v>69</v>
      </c>
      <c r="N82" s="52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5.5213873183071351</v>
      </c>
      <c r="K83" s="17">
        <f t="shared" si="4"/>
        <v>-0.52138731830713514</v>
      </c>
      <c r="L83" s="17">
        <f t="shared" si="5"/>
        <v>0.27184473569150586</v>
      </c>
      <c r="M83" s="29" t="s">
        <v>69</v>
      </c>
      <c r="N83" s="52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4.1992833524312836</v>
      </c>
      <c r="K84" s="17">
        <f t="shared" si="4"/>
        <v>-1.1992833524312836</v>
      </c>
      <c r="L84" s="17">
        <f t="shared" si="5"/>
        <v>1.4382805594188184</v>
      </c>
      <c r="M84" s="29" t="s">
        <v>69</v>
      </c>
      <c r="N84" s="52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5.307195420435459</v>
      </c>
      <c r="K85" s="17">
        <f t="shared" si="4"/>
        <v>-4.307195420435459</v>
      </c>
      <c r="L85" s="17">
        <f t="shared" si="5"/>
        <v>18.551932389820191</v>
      </c>
      <c r="M85" s="29" t="s">
        <v>69</v>
      </c>
      <c r="N85" s="52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3.8551747810945298</v>
      </c>
      <c r="K86" s="17">
        <f t="shared" si="4"/>
        <v>1.1448252189054702</v>
      </c>
      <c r="L86" s="17">
        <f t="shared" si="5"/>
        <v>1.3106247818419576</v>
      </c>
      <c r="M86" s="29" t="s">
        <v>69</v>
      </c>
      <c r="N86" s="52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1.9853818887519439</v>
      </c>
      <c r="K87" s="17">
        <f t="shared" si="4"/>
        <v>-0.98538188875194388</v>
      </c>
      <c r="L87" s="17">
        <f t="shared" si="5"/>
        <v>0.97097746668034834</v>
      </c>
      <c r="M87" s="29" t="s">
        <v>69</v>
      </c>
      <c r="N87" s="52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1.7769481540293939</v>
      </c>
      <c r="K88" s="17">
        <f t="shared" si="4"/>
        <v>2.2230518459706063</v>
      </c>
      <c r="L88" s="17">
        <f t="shared" si="5"/>
        <v>4.9419595098733202</v>
      </c>
      <c r="M88" s="29" t="s">
        <v>69</v>
      </c>
      <c r="N88" s="52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1.0461703488185758</v>
      </c>
      <c r="K89" s="17">
        <f t="shared" si="4"/>
        <v>-4.6170348818575846E-2</v>
      </c>
      <c r="L89" s="17">
        <f t="shared" si="5"/>
        <v>2.1317011100289679E-3</v>
      </c>
      <c r="M89" s="29" t="s">
        <v>69</v>
      </c>
      <c r="N89" s="52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-2.0171467565979415</v>
      </c>
      <c r="K90" s="17">
        <f t="shared" si="4"/>
        <v>4.017146756597942</v>
      </c>
      <c r="L90" s="17">
        <f t="shared" si="5"/>
        <v>16.137468064045365</v>
      </c>
      <c r="M90" s="29" t="s">
        <v>69</v>
      </c>
      <c r="N90" s="52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-2.761661907871801</v>
      </c>
      <c r="K91" s="17">
        <f t="shared" si="4"/>
        <v>8.761661907871801</v>
      </c>
      <c r="L91" s="17">
        <f t="shared" si="5"/>
        <v>76.766719387851722</v>
      </c>
      <c r="M91" s="29" t="s">
        <v>69</v>
      </c>
      <c r="N91" s="52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1.441957024324686E-2</v>
      </c>
      <c r="K92" s="17">
        <f t="shared" si="4"/>
        <v>-1.441957024324686E-2</v>
      </c>
      <c r="L92" s="17">
        <f t="shared" si="5"/>
        <v>2.079240059999303E-4</v>
      </c>
      <c r="M92" s="29" t="s">
        <v>69</v>
      </c>
      <c r="N92" s="52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0.49284692672980879</v>
      </c>
      <c r="K93" s="17">
        <f t="shared" si="4"/>
        <v>4.5071530732701914</v>
      </c>
      <c r="L93" s="17">
        <f t="shared" si="5"/>
        <v>20.314428825888932</v>
      </c>
      <c r="M93" s="29" t="s">
        <v>69</v>
      </c>
      <c r="N93" s="52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0.49153143463743354</v>
      </c>
      <c r="K94" s="17">
        <f t="shared" si="4"/>
        <v>2.5084685653625662</v>
      </c>
      <c r="L94" s="17">
        <f t="shared" si="5"/>
        <v>6.2924145434121312</v>
      </c>
      <c r="M94" s="29" t="s">
        <v>69</v>
      </c>
      <c r="N94" s="52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0.81436571638704103</v>
      </c>
      <c r="K95" s="17">
        <f t="shared" si="4"/>
        <v>0.18563428361295897</v>
      </c>
      <c r="L95" s="17">
        <f t="shared" si="5"/>
        <v>3.4460087252496489E-2</v>
      </c>
      <c r="M95" s="29" t="s">
        <v>69</v>
      </c>
      <c r="N95" s="52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1.5876116016914055</v>
      </c>
      <c r="K96" s="17">
        <f t="shared" si="4"/>
        <v>-1.5876116016914055</v>
      </c>
      <c r="L96" s="17">
        <f t="shared" si="5"/>
        <v>2.5205105978251501</v>
      </c>
      <c r="M96" s="29" t="s">
        <v>69</v>
      </c>
      <c r="N96" s="52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0.2352390846131151</v>
      </c>
      <c r="K97" s="17">
        <f t="shared" si="4"/>
        <v>1.7647609153868848</v>
      </c>
      <c r="L97" s="17">
        <f t="shared" si="5"/>
        <v>3.1143810884771557</v>
      </c>
      <c r="M97" s="29" t="s">
        <v>69</v>
      </c>
      <c r="N97" s="52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-0.59156578466622189</v>
      </c>
      <c r="K98" s="17">
        <f t="shared" si="4"/>
        <v>1.5915657846662219</v>
      </c>
      <c r="L98" s="17">
        <f t="shared" si="5"/>
        <v>2.5330816469202064</v>
      </c>
      <c r="M98" s="29" t="s">
        <v>69</v>
      </c>
      <c r="N98" s="52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0.6167799378712534</v>
      </c>
      <c r="K99" s="17">
        <f t="shared" si="4"/>
        <v>-0.6167799378712534</v>
      </c>
      <c r="L99" s="17">
        <f t="shared" si="5"/>
        <v>0.38041749176046719</v>
      </c>
      <c r="M99" s="29" t="s">
        <v>69</v>
      </c>
      <c r="N99" s="52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0.10847216200477056</v>
      </c>
      <c r="K100" s="17">
        <f t="shared" si="4"/>
        <v>3.8915278379952296</v>
      </c>
      <c r="L100" s="17">
        <f t="shared" si="5"/>
        <v>15.143988913891826</v>
      </c>
      <c r="M100" s="29" t="s">
        <v>69</v>
      </c>
      <c r="N100" s="52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-0.11326167362057704</v>
      </c>
      <c r="K101" s="17">
        <f t="shared" si="4"/>
        <v>2.1132616736205772</v>
      </c>
      <c r="L101" s="17">
        <f t="shared" si="5"/>
        <v>4.4658749011936427</v>
      </c>
      <c r="M101" s="29" t="s">
        <v>69</v>
      </c>
      <c r="N101" s="52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-0.2090450879338816</v>
      </c>
      <c r="K102" s="17">
        <f t="shared" si="4"/>
        <v>5.2090450879338812</v>
      </c>
      <c r="L102" s="17">
        <f t="shared" si="5"/>
        <v>27.134150728128095</v>
      </c>
      <c r="M102" s="29" t="s">
        <v>69</v>
      </c>
      <c r="N102" s="52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-3.7897504085881994E-3</v>
      </c>
      <c r="K103" s="17">
        <f t="shared" si="4"/>
        <v>1.0037897504085882</v>
      </c>
      <c r="L103" s="17">
        <f t="shared" si="5"/>
        <v>1.0075938630253358</v>
      </c>
      <c r="M103" s="29" t="s">
        <v>69</v>
      </c>
      <c r="N103" s="52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-1.2349917759240223</v>
      </c>
      <c r="K104" s="17">
        <f t="shared" si="4"/>
        <v>3.2349917759240223</v>
      </c>
      <c r="L104" s="17">
        <f t="shared" si="5"/>
        <v>10.465171790296059</v>
      </c>
      <c r="M104" s="29" t="s">
        <v>69</v>
      </c>
      <c r="N104" s="52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-1.6863826932402084</v>
      </c>
      <c r="K105" s="17">
        <f t="shared" si="4"/>
        <v>2.6863826932402084</v>
      </c>
      <c r="L105" s="17">
        <f t="shared" si="5"/>
        <v>7.2166519745405155</v>
      </c>
      <c r="M105" s="29" t="s">
        <v>69</v>
      </c>
      <c r="N105" s="52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-0.26527901179049634</v>
      </c>
      <c r="K106" s="17">
        <f t="shared" si="4"/>
        <v>1.2652790117904964</v>
      </c>
      <c r="L106" s="17">
        <f t="shared" si="5"/>
        <v>1.6009309776775351</v>
      </c>
      <c r="M106" s="29" t="s">
        <v>69</v>
      </c>
      <c r="N106" s="52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-0.18005689296300192</v>
      </c>
      <c r="K107" s="17">
        <f t="shared" si="4"/>
        <v>1.180056892963002</v>
      </c>
      <c r="L107" s="17">
        <f t="shared" si="5"/>
        <v>1.3925342706294939</v>
      </c>
      <c r="M107" s="29" t="s">
        <v>69</v>
      </c>
      <c r="N107" s="52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5.1868665574608064E-2</v>
      </c>
      <c r="K108" s="17">
        <f t="shared" si="4"/>
        <v>3.9481313344253919</v>
      </c>
      <c r="L108" s="17">
        <f t="shared" si="5"/>
        <v>15.587741033871625</v>
      </c>
      <c r="M108" s="29" t="s">
        <v>69</v>
      </c>
      <c r="N108" s="52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0.29639558183874948</v>
      </c>
      <c r="K109" s="17">
        <f t="shared" si="4"/>
        <v>0.70360441816125052</v>
      </c>
      <c r="L109" s="17">
        <f t="shared" si="5"/>
        <v>0.49505917725603188</v>
      </c>
      <c r="M109" s="29" t="s">
        <v>69</v>
      </c>
      <c r="N109" s="52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0.49258777846417934</v>
      </c>
      <c r="K110" s="17">
        <f t="shared" si="4"/>
        <v>-0.49258777846417934</v>
      </c>
      <c r="L110" s="17">
        <f t="shared" si="5"/>
        <v>0.24264271949227542</v>
      </c>
      <c r="M110" s="29" t="s">
        <v>69</v>
      </c>
      <c r="N110" s="52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-0.15590144190422317</v>
      </c>
      <c r="K111" s="17">
        <f t="shared" si="4"/>
        <v>7.1559014419042235</v>
      </c>
      <c r="L111" s="17">
        <f t="shared" si="5"/>
        <v>51.206925446246942</v>
      </c>
      <c r="M111" s="29" t="s">
        <v>69</v>
      </c>
      <c r="N111" s="52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-0.49927172850613044</v>
      </c>
      <c r="K112" s="17">
        <f t="shared" si="4"/>
        <v>1.4992717285061303</v>
      </c>
      <c r="L112" s="17">
        <f t="shared" si="5"/>
        <v>2.2478157158977599</v>
      </c>
      <c r="M112" s="29" t="s">
        <v>69</v>
      </c>
      <c r="N112" s="52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0.89793375629328642</v>
      </c>
      <c r="K113" s="17">
        <f t="shared" si="4"/>
        <v>1.1020662437067137</v>
      </c>
      <c r="L113" s="17">
        <f t="shared" si="5"/>
        <v>1.2145500055178255</v>
      </c>
      <c r="M113" s="29" t="s">
        <v>69</v>
      </c>
      <c r="N113" s="52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1.3297511048327233</v>
      </c>
      <c r="K114" s="17">
        <f t="shared" si="4"/>
        <v>0.6702488951672767</v>
      </c>
      <c r="L114" s="17">
        <f t="shared" si="5"/>
        <v>0.44923358147295506</v>
      </c>
      <c r="M114" s="29" t="s">
        <v>69</v>
      </c>
      <c r="N114" s="52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1.7815303552721189</v>
      </c>
      <c r="K115" s="17">
        <f t="shared" si="4"/>
        <v>0.21846964472788111</v>
      </c>
      <c r="L115" s="17">
        <f t="shared" si="5"/>
        <v>4.7728985667526591E-2</v>
      </c>
      <c r="M115" s="29" t="s">
        <v>69</v>
      </c>
      <c r="N115" s="52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1.4548464199581013</v>
      </c>
      <c r="K116" s="17">
        <f t="shared" si="4"/>
        <v>-0.45484641995810127</v>
      </c>
      <c r="L116" s="17">
        <f t="shared" si="5"/>
        <v>0.20688526574870142</v>
      </c>
      <c r="M116" s="29" t="s">
        <v>69</v>
      </c>
      <c r="N116" s="52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2.0137898352898045</v>
      </c>
      <c r="K117" s="17">
        <f t="shared" si="4"/>
        <v>0.98621016471019551</v>
      </c>
      <c r="L117" s="17">
        <f t="shared" si="5"/>
        <v>0.97261048897771096</v>
      </c>
      <c r="M117" s="29" t="s">
        <v>69</v>
      </c>
      <c r="N117" s="52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1.4179818604204946</v>
      </c>
      <c r="K118" s="17">
        <f t="shared" si="4"/>
        <v>-1.4179818604204946</v>
      </c>
      <c r="L118" s="17">
        <f t="shared" si="5"/>
        <v>2.0106725564815671</v>
      </c>
      <c r="M118" s="29" t="s">
        <v>69</v>
      </c>
      <c r="N118" s="52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1.3474814610948052</v>
      </c>
      <c r="K119" s="17">
        <f t="shared" si="4"/>
        <v>-1.3474814610948052</v>
      </c>
      <c r="L119" s="17">
        <f t="shared" si="5"/>
        <v>1.815706287994191</v>
      </c>
      <c r="M119" s="29" t="s">
        <v>69</v>
      </c>
      <c r="N119" s="52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3.1262843559900979</v>
      </c>
      <c r="K120" s="17">
        <f t="shared" si="4"/>
        <v>-2.1262843559900979</v>
      </c>
      <c r="L120" s="17">
        <f t="shared" si="5"/>
        <v>4.5210851625282258</v>
      </c>
      <c r="M120" s="29" t="s">
        <v>69</v>
      </c>
      <c r="N120" s="52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3.4054328313993736</v>
      </c>
      <c r="K121" s="17">
        <f t="shared" si="4"/>
        <v>-0.40543283139937358</v>
      </c>
      <c r="L121" s="17">
        <f t="shared" si="5"/>
        <v>0.16437578077651288</v>
      </c>
      <c r="M121" s="29" t="s">
        <v>69</v>
      </c>
      <c r="N121" s="52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3.4745614359990697</v>
      </c>
      <c r="K122" s="17">
        <f t="shared" si="4"/>
        <v>-2.4745614359990697</v>
      </c>
      <c r="L122" s="17">
        <f t="shared" si="5"/>
        <v>6.123454300533778</v>
      </c>
      <c r="M122" s="29" t="s">
        <v>69</v>
      </c>
      <c r="N122" s="52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3.6907804445326349</v>
      </c>
      <c r="K123" s="17">
        <f t="shared" si="4"/>
        <v>-3.6907804445326349</v>
      </c>
      <c r="L123" s="17">
        <f t="shared" si="5"/>
        <v>13.621860289744514</v>
      </c>
      <c r="M123" s="29" t="s">
        <v>69</v>
      </c>
      <c r="N123" s="52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3.9028978501338902</v>
      </c>
      <c r="K124" s="17">
        <f t="shared" si="4"/>
        <v>-2.9028978501338902</v>
      </c>
      <c r="L124" s="17">
        <f t="shared" si="5"/>
        <v>8.4268159283119619</v>
      </c>
      <c r="M124" s="29" t="s">
        <v>69</v>
      </c>
      <c r="N124" s="52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3.4178953772515239</v>
      </c>
      <c r="K125" s="17">
        <f t="shared" si="4"/>
        <v>-3.4178953772515239</v>
      </c>
      <c r="L125" s="17">
        <f t="shared" si="5"/>
        <v>11.682008809837336</v>
      </c>
      <c r="M125" s="29" t="s">
        <v>69</v>
      </c>
      <c r="N125" s="52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2.801652990876855</v>
      </c>
      <c r="K126" s="17">
        <f t="shared" si="4"/>
        <v>-2.801652990876855</v>
      </c>
      <c r="L126" s="17">
        <f t="shared" si="5"/>
        <v>7.8492594812892271</v>
      </c>
      <c r="M126" s="29" t="s">
        <v>69</v>
      </c>
      <c r="N126" s="52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4.6844837687213223</v>
      </c>
      <c r="K127" s="17">
        <f t="shared" si="4"/>
        <v>-2.6844837687213223</v>
      </c>
      <c r="L127" s="17">
        <f t="shared" si="5"/>
        <v>7.2064531045282338</v>
      </c>
      <c r="M127" s="29" t="s">
        <v>68</v>
      </c>
      <c r="N127" s="52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6" t="s">
        <v>87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73</v>
      </c>
      <c r="O133" s="52">
        <f t="array" ref="O133:ED139">TRANSPOSE(N8:T127)</f>
        <v>1</v>
      </c>
      <c r="P133" s="52">
        <v>1</v>
      </c>
      <c r="Q133" s="52">
        <v>1</v>
      </c>
      <c r="R133" s="52">
        <v>1</v>
      </c>
      <c r="S133" s="52">
        <v>1</v>
      </c>
      <c r="T133" s="52">
        <v>1</v>
      </c>
      <c r="U133" s="52">
        <v>1</v>
      </c>
      <c r="V133" s="52">
        <v>1</v>
      </c>
      <c r="W133" s="52">
        <v>1</v>
      </c>
      <c r="X133" s="52">
        <v>1</v>
      </c>
      <c r="Y133" s="52">
        <v>1</v>
      </c>
      <c r="Z133" s="52">
        <v>1</v>
      </c>
      <c r="AA133" s="52">
        <v>1</v>
      </c>
      <c r="AB133" s="52">
        <v>1</v>
      </c>
      <c r="AC133" s="52">
        <v>1</v>
      </c>
      <c r="AD133" s="52">
        <v>1</v>
      </c>
      <c r="AE133" s="52">
        <v>1</v>
      </c>
      <c r="AF133" s="52">
        <v>1</v>
      </c>
      <c r="AG133" s="52">
        <v>1</v>
      </c>
      <c r="AH133" s="52">
        <v>1</v>
      </c>
      <c r="AI133" s="52">
        <v>1</v>
      </c>
      <c r="AJ133" s="52">
        <v>1</v>
      </c>
      <c r="AK133" s="52">
        <v>1</v>
      </c>
      <c r="AL133" s="52">
        <v>1</v>
      </c>
      <c r="AM133" s="52">
        <v>1</v>
      </c>
      <c r="AN133" s="52">
        <v>1</v>
      </c>
      <c r="AO133" s="52">
        <v>1</v>
      </c>
      <c r="AP133" s="52">
        <v>1</v>
      </c>
      <c r="AQ133" s="52">
        <v>1</v>
      </c>
      <c r="AR133" s="52">
        <v>1</v>
      </c>
      <c r="AS133" s="52">
        <v>1</v>
      </c>
      <c r="AT133" s="52">
        <v>1</v>
      </c>
      <c r="AU133" s="52">
        <v>1</v>
      </c>
      <c r="AV133" s="52">
        <v>1</v>
      </c>
      <c r="AW133" s="52">
        <v>1</v>
      </c>
      <c r="AX133" s="52">
        <v>1</v>
      </c>
      <c r="AY133" s="52">
        <v>1</v>
      </c>
      <c r="AZ133" s="52">
        <v>1</v>
      </c>
      <c r="BA133" s="52">
        <v>1</v>
      </c>
      <c r="BB133" s="52">
        <v>1</v>
      </c>
      <c r="BC133" s="52">
        <v>1</v>
      </c>
      <c r="BD133" s="52">
        <v>1</v>
      </c>
      <c r="BE133" s="52">
        <v>1</v>
      </c>
      <c r="BF133" s="52">
        <v>1</v>
      </c>
      <c r="BG133" s="52">
        <v>1</v>
      </c>
      <c r="BH133" s="52">
        <v>1</v>
      </c>
      <c r="BI133" s="52">
        <v>1</v>
      </c>
      <c r="BJ133" s="52">
        <v>1</v>
      </c>
      <c r="BK133" s="52">
        <v>1</v>
      </c>
      <c r="BL133" s="52">
        <v>1</v>
      </c>
      <c r="BM133" s="52">
        <v>1</v>
      </c>
      <c r="BN133" s="52">
        <v>1</v>
      </c>
      <c r="BO133" s="52">
        <v>1</v>
      </c>
      <c r="BP133" s="52">
        <v>1</v>
      </c>
      <c r="BQ133" s="52">
        <v>1</v>
      </c>
      <c r="BR133" s="52">
        <v>1</v>
      </c>
      <c r="BS133" s="52">
        <v>1</v>
      </c>
      <c r="BT133" s="52">
        <v>1</v>
      </c>
      <c r="BU133" s="52">
        <v>1</v>
      </c>
      <c r="BV133" s="52">
        <v>1</v>
      </c>
      <c r="BW133" s="52">
        <v>1</v>
      </c>
      <c r="BX133" s="52">
        <v>1</v>
      </c>
      <c r="BY133" s="52">
        <v>1</v>
      </c>
      <c r="BZ133" s="52">
        <v>1</v>
      </c>
      <c r="CA133" s="52">
        <v>1</v>
      </c>
      <c r="CB133" s="52">
        <v>1</v>
      </c>
      <c r="CC133" s="52">
        <v>1</v>
      </c>
      <c r="CD133" s="52">
        <v>1</v>
      </c>
      <c r="CE133" s="52">
        <v>1</v>
      </c>
      <c r="CF133" s="52">
        <v>1</v>
      </c>
      <c r="CG133" s="52">
        <v>1</v>
      </c>
      <c r="CH133" s="52">
        <v>1</v>
      </c>
      <c r="CI133" s="52">
        <v>1</v>
      </c>
      <c r="CJ133" s="52">
        <v>1</v>
      </c>
      <c r="CK133" s="52">
        <v>1</v>
      </c>
      <c r="CL133" s="52">
        <v>1</v>
      </c>
      <c r="CM133" s="52">
        <v>1</v>
      </c>
      <c r="CN133" s="52">
        <v>1</v>
      </c>
      <c r="CO133" s="52">
        <v>1</v>
      </c>
      <c r="CP133" s="52">
        <v>1</v>
      </c>
      <c r="CQ133" s="52">
        <v>1</v>
      </c>
      <c r="CR133" s="52">
        <v>1</v>
      </c>
      <c r="CS133" s="52">
        <v>1</v>
      </c>
      <c r="CT133" s="52">
        <v>1</v>
      </c>
      <c r="CU133" s="52">
        <v>1</v>
      </c>
      <c r="CV133" s="52">
        <v>1</v>
      </c>
      <c r="CW133" s="52">
        <v>1</v>
      </c>
      <c r="CX133" s="52">
        <v>1</v>
      </c>
      <c r="CY133" s="52">
        <v>1</v>
      </c>
      <c r="CZ133" s="52">
        <v>1</v>
      </c>
      <c r="DA133" s="52">
        <v>1</v>
      </c>
      <c r="DB133" s="52">
        <v>1</v>
      </c>
      <c r="DC133" s="52">
        <v>1</v>
      </c>
      <c r="DD133" s="52">
        <v>1</v>
      </c>
      <c r="DE133" s="52">
        <v>1</v>
      </c>
      <c r="DF133" s="52">
        <v>1</v>
      </c>
      <c r="DG133" s="52">
        <v>1</v>
      </c>
      <c r="DH133" s="52">
        <v>1</v>
      </c>
      <c r="DI133" s="52">
        <v>1</v>
      </c>
      <c r="DJ133" s="52">
        <v>1</v>
      </c>
      <c r="DK133" s="52">
        <v>1</v>
      </c>
      <c r="DL133" s="52">
        <v>1</v>
      </c>
      <c r="DM133" s="52">
        <v>1</v>
      </c>
      <c r="DN133" s="52">
        <v>1</v>
      </c>
      <c r="DO133" s="52">
        <v>1</v>
      </c>
      <c r="DP133" s="52">
        <v>1</v>
      </c>
      <c r="DQ133" s="52">
        <v>1</v>
      </c>
      <c r="DR133" s="52">
        <v>1</v>
      </c>
      <c r="DS133" s="52">
        <v>1</v>
      </c>
      <c r="DT133" s="52">
        <v>1</v>
      </c>
      <c r="DU133" s="52">
        <v>1</v>
      </c>
      <c r="DV133" s="52">
        <v>1</v>
      </c>
      <c r="DW133" s="52">
        <v>1</v>
      </c>
      <c r="DX133" s="52">
        <v>1</v>
      </c>
      <c r="DY133" s="52">
        <v>1</v>
      </c>
      <c r="DZ133" s="52">
        <v>1</v>
      </c>
      <c r="EA133" s="52">
        <v>1</v>
      </c>
      <c r="EB133" s="52">
        <v>1</v>
      </c>
      <c r="EC133" s="52">
        <v>1</v>
      </c>
      <c r="ED133" s="52">
        <v>1</v>
      </c>
      <c r="EE133" t="s">
        <v>71</v>
      </c>
    </row>
    <row r="134" spans="1:135" ht="18" customHeight="1" x14ac:dyDescent="0.2">
      <c r="N134" s="29" t="s">
        <v>69</v>
      </c>
      <c r="O134" s="52">
        <v>0.82</v>
      </c>
      <c r="P134" s="52">
        <v>0.76</v>
      </c>
      <c r="Q134" s="52">
        <v>0.71</v>
      </c>
      <c r="R134" s="52">
        <v>0.67</v>
      </c>
      <c r="S134" s="52">
        <v>0.64</v>
      </c>
      <c r="T134" s="52">
        <v>0.62</v>
      </c>
      <c r="U134" s="52">
        <v>0.59</v>
      </c>
      <c r="V134" s="52">
        <v>0.56000000000000005</v>
      </c>
      <c r="W134" s="52">
        <v>0.53</v>
      </c>
      <c r="X134" s="52">
        <v>0.51</v>
      </c>
      <c r="Y134" s="52">
        <v>0.49</v>
      </c>
      <c r="Z134" s="52">
        <v>0.48</v>
      </c>
      <c r="AA134" s="52">
        <v>0.48</v>
      </c>
      <c r="AB134" s="52">
        <v>0.48</v>
      </c>
      <c r="AC134" s="52">
        <v>0.48</v>
      </c>
      <c r="AD134" s="52">
        <v>0.47</v>
      </c>
      <c r="AE134" s="52">
        <v>0.47</v>
      </c>
      <c r="AF134" s="52">
        <v>0.47</v>
      </c>
      <c r="AG134" s="52">
        <v>0.48</v>
      </c>
      <c r="AH134" s="52">
        <v>0.48</v>
      </c>
      <c r="AI134" s="52">
        <v>0.49</v>
      </c>
      <c r="AJ134" s="52">
        <v>0.49</v>
      </c>
      <c r="AK134" s="52">
        <v>0.49</v>
      </c>
      <c r="AL134" s="52">
        <v>0.5</v>
      </c>
      <c r="AM134" s="52">
        <v>0.5</v>
      </c>
      <c r="AN134" s="52">
        <v>0.51</v>
      </c>
      <c r="AO134" s="52">
        <v>0.53</v>
      </c>
      <c r="AP134" s="52">
        <v>0.54</v>
      </c>
      <c r="AQ134" s="52">
        <v>0.56000000000000005</v>
      </c>
      <c r="AR134" s="52">
        <v>0.56999999999999995</v>
      </c>
      <c r="AS134" s="52">
        <v>0.59</v>
      </c>
      <c r="AT134" s="52">
        <v>0.61</v>
      </c>
      <c r="AU134" s="52">
        <v>0.64</v>
      </c>
      <c r="AV134" s="52">
        <v>0.66</v>
      </c>
      <c r="AW134" s="52">
        <v>0.67</v>
      </c>
      <c r="AX134" s="52">
        <v>0.67</v>
      </c>
      <c r="AY134" s="52">
        <v>0.67</v>
      </c>
      <c r="AZ134" s="52">
        <v>0.65</v>
      </c>
      <c r="BA134" s="52">
        <v>0.65</v>
      </c>
      <c r="BB134" s="52">
        <v>0.66</v>
      </c>
      <c r="BC134" s="52">
        <v>0.68</v>
      </c>
      <c r="BD134" s="52">
        <v>0.69</v>
      </c>
      <c r="BE134" s="52">
        <v>0.7</v>
      </c>
      <c r="BF134" s="52">
        <v>0.71</v>
      </c>
      <c r="BG134" s="52">
        <v>0.72</v>
      </c>
      <c r="BH134" s="52">
        <v>0.74</v>
      </c>
      <c r="BI134" s="52">
        <v>0.76</v>
      </c>
      <c r="BJ134" s="52">
        <v>0.77</v>
      </c>
      <c r="BK134" s="52">
        <v>0.79</v>
      </c>
      <c r="BL134" s="52">
        <v>0.8</v>
      </c>
      <c r="BM134" s="52">
        <v>0.81</v>
      </c>
      <c r="BN134" s="52">
        <v>0.82</v>
      </c>
      <c r="BO134" s="52">
        <v>0.83</v>
      </c>
      <c r="BP134" s="52">
        <v>0.84</v>
      </c>
      <c r="BQ134" s="52">
        <v>0.86</v>
      </c>
      <c r="BR134" s="52">
        <v>0.89</v>
      </c>
      <c r="BS134" s="52">
        <v>0.92</v>
      </c>
      <c r="BT134" s="52">
        <v>0.94</v>
      </c>
      <c r="BU134" s="52">
        <v>0.97</v>
      </c>
      <c r="BV134" s="52">
        <v>0.98</v>
      </c>
      <c r="BW134" s="52">
        <v>0.98</v>
      </c>
      <c r="BX134" s="52">
        <v>0.97</v>
      </c>
      <c r="BY134" s="52">
        <v>1</v>
      </c>
      <c r="BZ134" s="52">
        <v>1.06</v>
      </c>
      <c r="CA134" s="52">
        <v>1.1399999999999999</v>
      </c>
      <c r="CB134" s="52">
        <v>1.1399999999999999</v>
      </c>
      <c r="CC134" s="52">
        <v>1.1299999999999999</v>
      </c>
      <c r="CD134" s="52">
        <v>1.1200000000000001</v>
      </c>
      <c r="CE134" s="52">
        <v>1.1000000000000001</v>
      </c>
      <c r="CF134" s="52">
        <v>1.07</v>
      </c>
      <c r="CG134" s="52">
        <v>1.04</v>
      </c>
      <c r="CH134" s="52">
        <v>1.01</v>
      </c>
      <c r="CI134" s="52">
        <v>1.01</v>
      </c>
      <c r="CJ134" s="52">
        <v>1</v>
      </c>
      <c r="CK134" s="52">
        <v>1</v>
      </c>
      <c r="CL134" s="52">
        <v>1</v>
      </c>
      <c r="CM134" s="52">
        <v>0.99</v>
      </c>
      <c r="CN134" s="52">
        <v>0.98</v>
      </c>
      <c r="CO134" s="52">
        <v>0.97</v>
      </c>
      <c r="CP134" s="52">
        <v>0.97</v>
      </c>
      <c r="CQ134" s="52">
        <v>0.97</v>
      </c>
      <c r="CR134" s="52">
        <v>0.96</v>
      </c>
      <c r="CS134" s="52">
        <v>0.96</v>
      </c>
      <c r="CT134" s="52">
        <v>0.94</v>
      </c>
      <c r="CU134" s="52">
        <v>0.92</v>
      </c>
      <c r="CV134" s="52">
        <v>0.91</v>
      </c>
      <c r="CW134" s="52">
        <v>0.9</v>
      </c>
      <c r="CX134" s="52">
        <v>0.89</v>
      </c>
      <c r="CY134" s="52">
        <v>0.88</v>
      </c>
      <c r="CZ134" s="52">
        <v>0.87</v>
      </c>
      <c r="DA134" s="52">
        <v>0.86</v>
      </c>
      <c r="DB134" s="52">
        <v>0.86</v>
      </c>
      <c r="DC134" s="52">
        <v>0.85</v>
      </c>
      <c r="DD134" s="52">
        <v>0.85</v>
      </c>
      <c r="DE134" s="52">
        <v>0.87</v>
      </c>
      <c r="DF134" s="52">
        <v>0.89</v>
      </c>
      <c r="DG134" s="52">
        <v>0.91</v>
      </c>
      <c r="DH134" s="52">
        <v>0.93</v>
      </c>
      <c r="DI134" s="52">
        <v>0.95</v>
      </c>
      <c r="DJ134" s="52">
        <v>0.97</v>
      </c>
      <c r="DK134" s="52">
        <v>1</v>
      </c>
      <c r="DL134" s="52">
        <v>1.02</v>
      </c>
      <c r="DM134" s="52">
        <v>1.04</v>
      </c>
      <c r="DN134" s="52">
        <v>1.05</v>
      </c>
      <c r="DO134" s="52">
        <v>1.06</v>
      </c>
      <c r="DP134" s="52">
        <v>1.07</v>
      </c>
      <c r="DQ134" s="52">
        <v>1.08</v>
      </c>
      <c r="DR134" s="52">
        <v>1.0900000000000001</v>
      </c>
      <c r="DS134" s="52">
        <v>1.1000000000000001</v>
      </c>
      <c r="DT134" s="52">
        <v>1.1200000000000001</v>
      </c>
      <c r="DU134" s="52">
        <v>1.1200000000000001</v>
      </c>
      <c r="DV134" s="52">
        <v>1.1200000000000001</v>
      </c>
      <c r="DW134" s="52">
        <v>1.1100000000000001</v>
      </c>
      <c r="DX134" s="52">
        <v>1.1200000000000001</v>
      </c>
      <c r="DY134" s="52">
        <v>1.1299999999999999</v>
      </c>
      <c r="DZ134" s="52">
        <v>1.1399999999999999</v>
      </c>
      <c r="EA134" s="52">
        <v>1.1599999999999999</v>
      </c>
      <c r="EB134" s="52">
        <v>1.1599999999999999</v>
      </c>
      <c r="EC134" s="52">
        <v>1.1599999999999999</v>
      </c>
      <c r="ED134" s="52">
        <v>1.1599999999999999</v>
      </c>
      <c r="EE134" t="s">
        <v>69</v>
      </c>
    </row>
    <row r="135" spans="1:135" ht="18" customHeight="1" x14ac:dyDescent="0.2">
      <c r="N135" s="29" t="s">
        <v>69</v>
      </c>
      <c r="O135" s="52">
        <v>865</v>
      </c>
      <c r="P135" s="52">
        <v>852</v>
      </c>
      <c r="Q135" s="52">
        <v>877</v>
      </c>
      <c r="R135" s="52">
        <v>863</v>
      </c>
      <c r="S135" s="52">
        <v>904</v>
      </c>
      <c r="T135" s="52">
        <v>891</v>
      </c>
      <c r="U135" s="52">
        <v>865</v>
      </c>
      <c r="V135" s="52">
        <v>877</v>
      </c>
      <c r="W135" s="52">
        <v>862</v>
      </c>
      <c r="X135" s="52">
        <v>853</v>
      </c>
      <c r="Y135" s="52">
        <v>836</v>
      </c>
      <c r="Z135" s="52">
        <v>846</v>
      </c>
      <c r="AA135" s="52">
        <v>803</v>
      </c>
      <c r="AB135" s="52">
        <v>795</v>
      </c>
      <c r="AC135" s="52">
        <v>784</v>
      </c>
      <c r="AD135" s="52">
        <v>752</v>
      </c>
      <c r="AE135" s="52">
        <v>719</v>
      </c>
      <c r="AF135" s="52">
        <v>688</v>
      </c>
      <c r="AG135" s="52">
        <v>669</v>
      </c>
      <c r="AH135" s="52">
        <v>656</v>
      </c>
      <c r="AI135" s="52">
        <v>638</v>
      </c>
      <c r="AJ135" s="52">
        <v>627</v>
      </c>
      <c r="AK135" s="52">
        <v>597</v>
      </c>
      <c r="AL135" s="52">
        <v>567</v>
      </c>
      <c r="AM135" s="52">
        <v>536</v>
      </c>
      <c r="AN135" s="52">
        <v>522</v>
      </c>
      <c r="AO135" s="52">
        <v>492</v>
      </c>
      <c r="AP135" s="52">
        <v>484</v>
      </c>
      <c r="AQ135" s="52">
        <v>469</v>
      </c>
      <c r="AR135" s="52">
        <v>446</v>
      </c>
      <c r="AS135" s="52">
        <v>415</v>
      </c>
      <c r="AT135" s="52">
        <v>399</v>
      </c>
      <c r="AU135" s="52">
        <v>383</v>
      </c>
      <c r="AV135" s="52">
        <v>363</v>
      </c>
      <c r="AW135" s="52">
        <v>354</v>
      </c>
      <c r="AX135" s="52">
        <v>342</v>
      </c>
      <c r="AY135" s="52">
        <v>312</v>
      </c>
      <c r="AZ135" s="52">
        <v>283</v>
      </c>
      <c r="BA135" s="52">
        <v>273</v>
      </c>
      <c r="BB135" s="52">
        <v>266</v>
      </c>
      <c r="BC135" s="52">
        <v>253</v>
      </c>
      <c r="BD135" s="52">
        <v>242</v>
      </c>
      <c r="BE135" s="52">
        <v>231</v>
      </c>
      <c r="BF135" s="52">
        <v>213</v>
      </c>
      <c r="BG135" s="52">
        <v>205</v>
      </c>
      <c r="BH135" s="52">
        <v>187</v>
      </c>
      <c r="BI135" s="52">
        <v>182</v>
      </c>
      <c r="BJ135" s="52">
        <v>170</v>
      </c>
      <c r="BK135" s="52">
        <v>170</v>
      </c>
      <c r="BL135" s="52">
        <v>165</v>
      </c>
      <c r="BM135" s="52">
        <v>159</v>
      </c>
      <c r="BN135" s="52">
        <v>155</v>
      </c>
      <c r="BO135" s="52">
        <v>154</v>
      </c>
      <c r="BP135" s="52">
        <v>155</v>
      </c>
      <c r="BQ135" s="52">
        <v>148</v>
      </c>
      <c r="BR135" s="52">
        <v>142</v>
      </c>
      <c r="BS135" s="52">
        <v>136</v>
      </c>
      <c r="BT135" s="52">
        <v>129</v>
      </c>
      <c r="BU135" s="52">
        <v>127</v>
      </c>
      <c r="BV135" s="52">
        <v>129</v>
      </c>
      <c r="BW135" s="52">
        <v>131</v>
      </c>
      <c r="BX135" s="52">
        <v>126</v>
      </c>
      <c r="BY135" s="52">
        <v>117</v>
      </c>
      <c r="BZ135" s="52">
        <v>112</v>
      </c>
      <c r="CA135" s="52">
        <v>113</v>
      </c>
      <c r="CB135" s="52">
        <v>116</v>
      </c>
      <c r="CC135" s="52">
        <v>122</v>
      </c>
      <c r="CD135" s="52">
        <v>128</v>
      </c>
      <c r="CE135" s="52">
        <v>119</v>
      </c>
      <c r="CF135" s="52">
        <v>113</v>
      </c>
      <c r="CG135" s="52">
        <v>119</v>
      </c>
      <c r="CH135" s="52">
        <v>118</v>
      </c>
      <c r="CI135" s="52">
        <v>116</v>
      </c>
      <c r="CJ135" s="52">
        <v>109</v>
      </c>
      <c r="CK135" s="52">
        <v>101</v>
      </c>
      <c r="CL135" s="52">
        <v>103</v>
      </c>
      <c r="CM135" s="52">
        <v>109</v>
      </c>
      <c r="CN135" s="52">
        <v>112</v>
      </c>
      <c r="CO135" s="52">
        <v>113</v>
      </c>
      <c r="CP135" s="52">
        <v>110</v>
      </c>
      <c r="CQ135" s="52">
        <v>104</v>
      </c>
      <c r="CR135" s="52">
        <v>98</v>
      </c>
      <c r="CS135" s="52">
        <v>98</v>
      </c>
      <c r="CT135" s="52">
        <v>98</v>
      </c>
      <c r="CU135" s="52">
        <v>91</v>
      </c>
      <c r="CV135" s="52">
        <v>86</v>
      </c>
      <c r="CW135" s="52">
        <v>88</v>
      </c>
      <c r="CX135" s="52">
        <v>89</v>
      </c>
      <c r="CY135" s="52">
        <v>89</v>
      </c>
      <c r="CZ135" s="52">
        <v>84</v>
      </c>
      <c r="DA135" s="52">
        <v>85</v>
      </c>
      <c r="DB135" s="52">
        <v>90</v>
      </c>
      <c r="DC135" s="52">
        <v>87</v>
      </c>
      <c r="DD135" s="52">
        <v>83</v>
      </c>
      <c r="DE135" s="52">
        <v>77</v>
      </c>
      <c r="DF135" s="52">
        <v>75</v>
      </c>
      <c r="DG135" s="52">
        <v>74</v>
      </c>
      <c r="DH135" s="52">
        <v>74</v>
      </c>
      <c r="DI135" s="52">
        <v>73</v>
      </c>
      <c r="DJ135" s="52">
        <v>71</v>
      </c>
      <c r="DK135" s="52">
        <v>71</v>
      </c>
      <c r="DL135" s="52">
        <v>70</v>
      </c>
      <c r="DM135" s="52">
        <v>72</v>
      </c>
      <c r="DN135" s="52">
        <v>71</v>
      </c>
      <c r="DO135" s="52">
        <v>76</v>
      </c>
      <c r="DP135" s="52">
        <v>72</v>
      </c>
      <c r="DQ135" s="52">
        <v>66</v>
      </c>
      <c r="DR135" s="52">
        <v>56</v>
      </c>
      <c r="DS135" s="52">
        <v>58</v>
      </c>
      <c r="DT135" s="52">
        <v>55</v>
      </c>
      <c r="DU135" s="52">
        <v>59</v>
      </c>
      <c r="DV135" s="52">
        <v>58</v>
      </c>
      <c r="DW135" s="52">
        <v>57</v>
      </c>
      <c r="DX135" s="52">
        <v>52</v>
      </c>
      <c r="DY135" s="52">
        <v>53</v>
      </c>
      <c r="DZ135" s="52">
        <v>53</v>
      </c>
      <c r="EA135" s="52">
        <v>52</v>
      </c>
      <c r="EB135" s="52">
        <v>49</v>
      </c>
      <c r="EC135" s="52">
        <v>54</v>
      </c>
      <c r="ED135" s="52">
        <v>52</v>
      </c>
      <c r="EE135" t="s">
        <v>69</v>
      </c>
    </row>
    <row r="136" spans="1:135" ht="18" customHeight="1" x14ac:dyDescent="0.25">
      <c r="A136" s="133" t="s">
        <v>93</v>
      </c>
      <c r="B136" s="133"/>
      <c r="C136" s="133"/>
      <c r="D136" s="133"/>
      <c r="E136" s="133"/>
      <c r="F136" s="133"/>
      <c r="G136" s="133"/>
      <c r="H136" s="133"/>
      <c r="N136" s="29" t="s">
        <v>69</v>
      </c>
      <c r="O136" s="52">
        <v>6869</v>
      </c>
      <c r="P136" s="52">
        <v>6775</v>
      </c>
      <c r="Q136" s="52">
        <v>6684</v>
      </c>
      <c r="R136" s="52">
        <v>6496</v>
      </c>
      <c r="S136" s="52">
        <v>6412</v>
      </c>
      <c r="T136" s="52">
        <v>6158</v>
      </c>
      <c r="U136" s="52">
        <v>6248</v>
      </c>
      <c r="V136" s="52">
        <v>6344</v>
      </c>
      <c r="W136" s="52">
        <v>6070</v>
      </c>
      <c r="X136" s="52">
        <v>5829</v>
      </c>
      <c r="Y136" s="52">
        <v>5570</v>
      </c>
      <c r="Z136" s="52">
        <v>5230</v>
      </c>
      <c r="AA136" s="52">
        <v>4850</v>
      </c>
      <c r="AB136" s="52">
        <v>4826</v>
      </c>
      <c r="AC136" s="52">
        <v>4832</v>
      </c>
      <c r="AD136" s="52">
        <v>4482</v>
      </c>
      <c r="AE136" s="52">
        <v>4137</v>
      </c>
      <c r="AF136" s="52">
        <v>3819</v>
      </c>
      <c r="AG136" s="52">
        <v>3584</v>
      </c>
      <c r="AH136" s="52">
        <v>3284</v>
      </c>
      <c r="AI136" s="52">
        <v>3316</v>
      </c>
      <c r="AJ136" s="52">
        <v>3322</v>
      </c>
      <c r="AK136" s="52">
        <v>3012</v>
      </c>
      <c r="AL136" s="52">
        <v>2767</v>
      </c>
      <c r="AM136" s="52">
        <v>2613</v>
      </c>
      <c r="AN136" s="52">
        <v>2404</v>
      </c>
      <c r="AO136" s="52">
        <v>2180</v>
      </c>
      <c r="AP136" s="52">
        <v>2165</v>
      </c>
      <c r="AQ136" s="52">
        <v>2167</v>
      </c>
      <c r="AR136" s="52">
        <v>1997</v>
      </c>
      <c r="AS136" s="52">
        <v>1827</v>
      </c>
      <c r="AT136" s="52">
        <v>1708</v>
      </c>
      <c r="AU136" s="52">
        <v>1583</v>
      </c>
      <c r="AV136" s="52">
        <v>1416</v>
      </c>
      <c r="AW136" s="52">
        <v>1414</v>
      </c>
      <c r="AX136" s="52">
        <v>1403</v>
      </c>
      <c r="AY136" s="52">
        <v>1278</v>
      </c>
      <c r="AZ136" s="52">
        <v>1201</v>
      </c>
      <c r="BA136" s="52">
        <v>1102</v>
      </c>
      <c r="BB136" s="52">
        <v>1046</v>
      </c>
      <c r="BC136" s="52">
        <v>980</v>
      </c>
      <c r="BD136" s="52">
        <v>976</v>
      </c>
      <c r="BE136" s="52">
        <v>996</v>
      </c>
      <c r="BF136" s="52">
        <v>955</v>
      </c>
      <c r="BG136" s="52">
        <v>856</v>
      </c>
      <c r="BH136" s="52">
        <v>828</v>
      </c>
      <c r="BI136" s="52">
        <v>789</v>
      </c>
      <c r="BJ136" s="52">
        <v>744</v>
      </c>
      <c r="BK136" s="52">
        <v>765</v>
      </c>
      <c r="BL136" s="52">
        <v>771</v>
      </c>
      <c r="BM136" s="52">
        <v>743</v>
      </c>
      <c r="BN136" s="52">
        <v>712</v>
      </c>
      <c r="BO136" s="52">
        <v>695</v>
      </c>
      <c r="BP136" s="52">
        <v>669</v>
      </c>
      <c r="BQ136" s="52">
        <v>618</v>
      </c>
      <c r="BR136" s="52">
        <v>633</v>
      </c>
      <c r="BS136" s="52">
        <v>623</v>
      </c>
      <c r="BT136" s="52">
        <v>584</v>
      </c>
      <c r="BU136" s="52">
        <v>558</v>
      </c>
      <c r="BV136" s="52">
        <v>538</v>
      </c>
      <c r="BW136" s="52">
        <v>513</v>
      </c>
      <c r="BX136" s="52">
        <v>512</v>
      </c>
      <c r="BY136" s="52">
        <v>517</v>
      </c>
      <c r="BZ136" s="52">
        <v>536</v>
      </c>
      <c r="CA136" s="52">
        <v>504</v>
      </c>
      <c r="CB136" s="52">
        <v>488</v>
      </c>
      <c r="CC136" s="52">
        <v>495</v>
      </c>
      <c r="CD136" s="52">
        <v>486</v>
      </c>
      <c r="CE136" s="52">
        <v>466</v>
      </c>
      <c r="CF136" s="52">
        <v>466</v>
      </c>
      <c r="CG136" s="52">
        <v>479</v>
      </c>
      <c r="CH136" s="52">
        <v>459</v>
      </c>
      <c r="CI136" s="52">
        <v>447</v>
      </c>
      <c r="CJ136" s="52">
        <v>423</v>
      </c>
      <c r="CK136" s="52">
        <v>429</v>
      </c>
      <c r="CL136" s="52">
        <v>415</v>
      </c>
      <c r="CM136" s="52">
        <v>428</v>
      </c>
      <c r="CN136" s="52">
        <v>454</v>
      </c>
      <c r="CO136" s="52">
        <v>429</v>
      </c>
      <c r="CP136" s="52">
        <v>397</v>
      </c>
      <c r="CQ136" s="52">
        <v>395</v>
      </c>
      <c r="CR136" s="52">
        <v>384</v>
      </c>
      <c r="CS136" s="52">
        <v>342</v>
      </c>
      <c r="CT136" s="52">
        <v>348</v>
      </c>
      <c r="CU136" s="52">
        <v>365</v>
      </c>
      <c r="CV136" s="52">
        <v>346</v>
      </c>
      <c r="CW136" s="52">
        <v>332</v>
      </c>
      <c r="CX136" s="52">
        <v>324</v>
      </c>
      <c r="CY136" s="52">
        <v>324</v>
      </c>
      <c r="CZ136" s="52">
        <v>302</v>
      </c>
      <c r="DA136" s="52">
        <v>311</v>
      </c>
      <c r="DB136" s="52">
        <v>322</v>
      </c>
      <c r="DC136" s="52">
        <v>296</v>
      </c>
      <c r="DD136" s="52">
        <v>297</v>
      </c>
      <c r="DE136" s="52">
        <v>283</v>
      </c>
      <c r="DF136" s="52">
        <v>280</v>
      </c>
      <c r="DG136" s="52">
        <v>260</v>
      </c>
      <c r="DH136" s="52">
        <v>268</v>
      </c>
      <c r="DI136" s="52">
        <v>277</v>
      </c>
      <c r="DJ136" s="52">
        <v>257</v>
      </c>
      <c r="DK136" s="52">
        <v>248</v>
      </c>
      <c r="DL136" s="52">
        <v>244</v>
      </c>
      <c r="DM136" s="52">
        <v>236</v>
      </c>
      <c r="DN136" s="52">
        <v>223</v>
      </c>
      <c r="DO136" s="52">
        <v>245</v>
      </c>
      <c r="DP136" s="52">
        <v>246</v>
      </c>
      <c r="DQ136" s="52">
        <v>233</v>
      </c>
      <c r="DR136" s="52">
        <v>211</v>
      </c>
      <c r="DS136" s="52">
        <v>208</v>
      </c>
      <c r="DT136" s="52">
        <v>207</v>
      </c>
      <c r="DU136" s="52">
        <v>210</v>
      </c>
      <c r="DV136" s="52">
        <v>220</v>
      </c>
      <c r="DW136" s="52">
        <v>239</v>
      </c>
      <c r="DX136" s="52">
        <v>237</v>
      </c>
      <c r="DY136" s="52">
        <v>233</v>
      </c>
      <c r="DZ136" s="52">
        <v>233</v>
      </c>
      <c r="EA136" s="52">
        <v>246</v>
      </c>
      <c r="EB136" s="52">
        <v>244</v>
      </c>
      <c r="EC136" s="52">
        <v>271</v>
      </c>
      <c r="ED136" s="52">
        <v>283</v>
      </c>
      <c r="EE136" t="s">
        <v>69</v>
      </c>
    </row>
    <row r="137" spans="1:135" ht="18" customHeight="1" x14ac:dyDescent="0.2">
      <c r="N137" s="29" t="s">
        <v>69</v>
      </c>
      <c r="O137" s="52">
        <v>47369</v>
      </c>
      <c r="P137" s="52">
        <v>57995</v>
      </c>
      <c r="Q137" s="52">
        <v>53401</v>
      </c>
      <c r="R137" s="52">
        <v>50384</v>
      </c>
      <c r="S137" s="52">
        <v>49625</v>
      </c>
      <c r="T137" s="52">
        <v>30356</v>
      </c>
      <c r="U137" s="52">
        <v>15085</v>
      </c>
      <c r="V137" s="52">
        <v>34923</v>
      </c>
      <c r="W137" s="52">
        <v>38694</v>
      </c>
      <c r="X137" s="52">
        <v>37621</v>
      </c>
      <c r="Y137" s="52">
        <v>37347</v>
      </c>
      <c r="Z137" s="52">
        <v>38752</v>
      </c>
      <c r="AA137" s="52">
        <v>21483</v>
      </c>
      <c r="AB137" s="52">
        <v>12100</v>
      </c>
      <c r="AC137" s="52">
        <v>33135</v>
      </c>
      <c r="AD137" s="52">
        <v>32083</v>
      </c>
      <c r="AE137" s="52">
        <v>34354</v>
      </c>
      <c r="AF137" s="52">
        <v>33985</v>
      </c>
      <c r="AG137" s="52">
        <v>33887</v>
      </c>
      <c r="AH137" s="52">
        <v>21848</v>
      </c>
      <c r="AI137" s="52">
        <v>10854</v>
      </c>
      <c r="AJ137" s="52">
        <v>31296</v>
      </c>
      <c r="AK137" s="52">
        <v>31577</v>
      </c>
      <c r="AL137" s="52">
        <v>31235</v>
      </c>
      <c r="AM137" s="52">
        <v>30974</v>
      </c>
      <c r="AN137" s="52">
        <v>32910</v>
      </c>
      <c r="AO137" s="52">
        <v>20380</v>
      </c>
      <c r="AP137" s="52">
        <v>11439</v>
      </c>
      <c r="AQ137" s="52">
        <v>26639</v>
      </c>
      <c r="AR137" s="52">
        <v>29735</v>
      </c>
      <c r="AS137" s="52">
        <v>29388</v>
      </c>
      <c r="AT137" s="52">
        <v>28081</v>
      </c>
      <c r="AU137" s="52">
        <v>28636</v>
      </c>
      <c r="AV137" s="52">
        <v>19891</v>
      </c>
      <c r="AW137" s="52">
        <v>9396</v>
      </c>
      <c r="AX137" s="52">
        <v>25303</v>
      </c>
      <c r="AY137" s="52">
        <v>24513</v>
      </c>
      <c r="AZ137" s="52">
        <v>26627</v>
      </c>
      <c r="BA137" s="52">
        <v>24313</v>
      </c>
      <c r="BB137" s="52">
        <v>27281</v>
      </c>
      <c r="BC137" s="52">
        <v>21016</v>
      </c>
      <c r="BD137" s="52">
        <v>9709</v>
      </c>
      <c r="BE137" s="52">
        <v>26427</v>
      </c>
      <c r="BF137" s="52">
        <v>41394</v>
      </c>
      <c r="BG137" s="52">
        <v>48102</v>
      </c>
      <c r="BH137" s="52">
        <v>52896</v>
      </c>
      <c r="BI137" s="52">
        <v>53485</v>
      </c>
      <c r="BJ137" s="52">
        <v>33514</v>
      </c>
      <c r="BK137" s="52">
        <v>10254</v>
      </c>
      <c r="BL137" s="52">
        <v>30283</v>
      </c>
      <c r="BM137" s="52">
        <v>31200</v>
      </c>
      <c r="BN137" s="52">
        <v>29256</v>
      </c>
      <c r="BO137" s="52">
        <v>27478</v>
      </c>
      <c r="BP137" s="52">
        <v>30147</v>
      </c>
      <c r="BQ137" s="52">
        <v>22158</v>
      </c>
      <c r="BR137" s="52">
        <v>10845</v>
      </c>
      <c r="BS137" s="52">
        <v>30192</v>
      </c>
      <c r="BT137" s="52">
        <v>29244</v>
      </c>
      <c r="BU137" s="52">
        <v>28880</v>
      </c>
      <c r="BV137" s="52">
        <v>28742</v>
      </c>
      <c r="BW137" s="52">
        <v>14921</v>
      </c>
      <c r="BX137" s="52">
        <v>23135</v>
      </c>
      <c r="BY137" s="52">
        <v>12404</v>
      </c>
      <c r="BZ137" s="52">
        <v>59246</v>
      </c>
      <c r="CA137" s="52">
        <v>63682</v>
      </c>
      <c r="CB137" s="52">
        <v>63338</v>
      </c>
      <c r="CC137" s="52">
        <v>58289</v>
      </c>
      <c r="CD137" s="52">
        <v>60156</v>
      </c>
      <c r="CE137" s="52">
        <v>31800</v>
      </c>
      <c r="CF137" s="52">
        <v>12842</v>
      </c>
      <c r="CG137" s="52">
        <v>38795</v>
      </c>
      <c r="CH137" s="52">
        <v>41484</v>
      </c>
      <c r="CI137" s="52">
        <v>41634</v>
      </c>
      <c r="CJ137" s="52">
        <v>42082</v>
      </c>
      <c r="CK137" s="52">
        <v>47052</v>
      </c>
      <c r="CL137" s="52">
        <v>31461</v>
      </c>
      <c r="CM137" s="52">
        <v>14429</v>
      </c>
      <c r="CN137" s="52">
        <v>78716</v>
      </c>
      <c r="CO137" s="52">
        <v>96934</v>
      </c>
      <c r="CP137" s="52">
        <v>98744</v>
      </c>
      <c r="CQ137" s="52">
        <v>98063</v>
      </c>
      <c r="CR137" s="52">
        <v>88546</v>
      </c>
      <c r="CS137" s="52">
        <v>41386</v>
      </c>
      <c r="CT137" s="52">
        <v>14485</v>
      </c>
      <c r="CU137" s="52">
        <v>53464</v>
      </c>
      <c r="CV137" s="52">
        <v>57452</v>
      </c>
      <c r="CW137" s="52">
        <v>53345</v>
      </c>
      <c r="CX137" s="52">
        <v>54101</v>
      </c>
      <c r="CY137" s="52">
        <v>64169</v>
      </c>
      <c r="CZ137" s="52">
        <v>31454</v>
      </c>
      <c r="DA137" s="52">
        <v>17140</v>
      </c>
      <c r="DB137" s="52">
        <v>52011</v>
      </c>
      <c r="DC137" s="52">
        <v>52560</v>
      </c>
      <c r="DD137" s="52">
        <v>49255</v>
      </c>
      <c r="DE137" s="52">
        <v>48583</v>
      </c>
      <c r="DF137" s="52">
        <v>47849</v>
      </c>
      <c r="DG137" s="52">
        <v>31498</v>
      </c>
      <c r="DH137" s="52">
        <v>15940</v>
      </c>
      <c r="DI137" s="52">
        <v>39435</v>
      </c>
      <c r="DJ137" s="52">
        <v>41873</v>
      </c>
      <c r="DK137" s="52">
        <v>43813</v>
      </c>
      <c r="DL137" s="52">
        <v>40249</v>
      </c>
      <c r="DM137" s="52">
        <v>46370</v>
      </c>
      <c r="DN137" s="52">
        <v>30962</v>
      </c>
      <c r="DO137" s="52">
        <v>15707</v>
      </c>
      <c r="DP137" s="52">
        <v>43293</v>
      </c>
      <c r="DQ137" s="52">
        <v>41470</v>
      </c>
      <c r="DR137" s="52">
        <v>44399</v>
      </c>
      <c r="DS137" s="52">
        <v>44577</v>
      </c>
      <c r="DT137" s="52">
        <v>45378</v>
      </c>
      <c r="DU137" s="52">
        <v>33560</v>
      </c>
      <c r="DV137" s="52">
        <v>16152</v>
      </c>
      <c r="DW137" s="52">
        <v>42680</v>
      </c>
      <c r="DX137" s="52">
        <v>43590</v>
      </c>
      <c r="DY137" s="52">
        <v>50409</v>
      </c>
      <c r="DZ137" s="52">
        <v>53947</v>
      </c>
      <c r="EA137" s="52">
        <v>59275</v>
      </c>
      <c r="EB137" s="52">
        <v>43319</v>
      </c>
      <c r="EC137" s="52">
        <v>20369</v>
      </c>
      <c r="ED137" s="52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52">
        <v>0.2036</v>
      </c>
      <c r="P138" s="52">
        <v>0.19889999999999999</v>
      </c>
      <c r="Q138" s="52">
        <v>0.19259999999999999</v>
      </c>
      <c r="R138" s="52">
        <v>0.17910000000000001</v>
      </c>
      <c r="S138" s="52">
        <v>0.17030000000000001</v>
      </c>
      <c r="T138" s="52">
        <v>0.16170000000000001</v>
      </c>
      <c r="U138" s="52">
        <v>0.14760000000000001</v>
      </c>
      <c r="V138" s="52">
        <v>0.1426</v>
      </c>
      <c r="W138" s="52">
        <v>0.14180000000000001</v>
      </c>
      <c r="X138" s="52">
        <v>0.13220000000000001</v>
      </c>
      <c r="Y138" s="52">
        <v>0.1211</v>
      </c>
      <c r="Z138" s="52">
        <v>0.10929999999999999</v>
      </c>
      <c r="AA138" s="52">
        <v>9.9000000000000005E-2</v>
      </c>
      <c r="AB138" s="52">
        <v>9.2100000000000001E-2</v>
      </c>
      <c r="AC138" s="52">
        <v>8.7300000000000003E-2</v>
      </c>
      <c r="AD138" s="52">
        <v>8.5000000000000006E-2</v>
      </c>
      <c r="AE138" s="52">
        <v>7.6399999999999996E-2</v>
      </c>
      <c r="AF138" s="52">
        <v>7.0199999999999999E-2</v>
      </c>
      <c r="AG138" s="52">
        <v>6.7400000000000002E-2</v>
      </c>
      <c r="AH138" s="52">
        <v>6.0900000000000003E-2</v>
      </c>
      <c r="AI138" s="52">
        <v>5.8799999999999998E-2</v>
      </c>
      <c r="AJ138" s="52">
        <v>5.5500000000000001E-2</v>
      </c>
      <c r="AK138" s="52">
        <v>5.33E-2</v>
      </c>
      <c r="AL138" s="52">
        <v>4.9799999999999997E-2</v>
      </c>
      <c r="AM138" s="52">
        <v>4.65E-2</v>
      </c>
      <c r="AN138" s="52">
        <v>4.2000000000000003E-2</v>
      </c>
      <c r="AO138" s="52">
        <v>3.9699999999999999E-2</v>
      </c>
      <c r="AP138" s="52">
        <v>3.7100000000000001E-2</v>
      </c>
      <c r="AQ138" s="52">
        <v>3.7199999999999997E-2</v>
      </c>
      <c r="AR138" s="52">
        <v>3.5700000000000003E-2</v>
      </c>
      <c r="AS138" s="52">
        <v>3.3300000000000003E-2</v>
      </c>
      <c r="AT138" s="52">
        <v>3.2000000000000001E-2</v>
      </c>
      <c r="AU138" s="52">
        <v>3.2300000000000002E-2</v>
      </c>
      <c r="AV138" s="52">
        <v>3.2000000000000001E-2</v>
      </c>
      <c r="AW138" s="52">
        <v>3.2199999999999999E-2</v>
      </c>
      <c r="AX138" s="52">
        <v>3.2300000000000002E-2</v>
      </c>
      <c r="AY138" s="52">
        <v>3.4299999999999997E-2</v>
      </c>
      <c r="AZ138" s="52">
        <v>3.2800000000000003E-2</v>
      </c>
      <c r="BA138" s="52">
        <v>3.2300000000000002E-2</v>
      </c>
      <c r="BB138" s="52">
        <v>3.0200000000000001E-2</v>
      </c>
      <c r="BC138" s="52">
        <v>2.7199999999999998E-2</v>
      </c>
      <c r="BD138" s="52">
        <v>2.6200000000000001E-2</v>
      </c>
      <c r="BE138" s="52">
        <v>2.5399999999999999E-2</v>
      </c>
      <c r="BF138" s="52">
        <v>2.0299999999999999E-2</v>
      </c>
      <c r="BG138" s="52">
        <v>1.83E-2</v>
      </c>
      <c r="BH138" s="52">
        <v>1.5299999999999999E-2</v>
      </c>
      <c r="BI138" s="52">
        <v>1.37E-2</v>
      </c>
      <c r="BJ138" s="52">
        <v>1.2699999999999999E-2</v>
      </c>
      <c r="BK138" s="52">
        <v>1.23E-2</v>
      </c>
      <c r="BL138" s="52">
        <v>1.21E-2</v>
      </c>
      <c r="BM138" s="52">
        <v>1.2800000000000001E-2</v>
      </c>
      <c r="BN138" s="52">
        <v>1.34E-2</v>
      </c>
      <c r="BO138" s="52">
        <v>1.46E-2</v>
      </c>
      <c r="BP138" s="52">
        <v>1.6E-2</v>
      </c>
      <c r="BQ138" s="52">
        <v>1.6400000000000001E-2</v>
      </c>
      <c r="BR138" s="52">
        <v>1.5900000000000001E-2</v>
      </c>
      <c r="BS138" s="52">
        <v>1.6199999999999999E-2</v>
      </c>
      <c r="BT138" s="52">
        <v>1.61E-2</v>
      </c>
      <c r="BU138" s="52">
        <v>1.6400000000000001E-2</v>
      </c>
      <c r="BV138" s="52">
        <v>1.72E-2</v>
      </c>
      <c r="BW138" s="52">
        <v>1.9199999999999998E-2</v>
      </c>
      <c r="BX138" s="52">
        <v>1.8700000000000001E-2</v>
      </c>
      <c r="BY138" s="52">
        <v>1.7500000000000002E-2</v>
      </c>
      <c r="BZ138" s="52">
        <v>1.41E-2</v>
      </c>
      <c r="CA138" s="52">
        <v>1.41E-2</v>
      </c>
      <c r="CB138" s="52">
        <v>1.2500000000000001E-2</v>
      </c>
      <c r="CC138" s="52">
        <v>1.1299999999999999E-2</v>
      </c>
      <c r="CD138" s="52">
        <v>1.0200000000000001E-2</v>
      </c>
      <c r="CE138" s="52">
        <v>1.09E-2</v>
      </c>
      <c r="CF138" s="52">
        <v>1.1900000000000001E-2</v>
      </c>
      <c r="CG138" s="52">
        <v>1.2999999999999999E-2</v>
      </c>
      <c r="CH138" s="52">
        <v>1.24E-2</v>
      </c>
      <c r="CI138" s="52">
        <v>1.34E-2</v>
      </c>
      <c r="CJ138" s="52">
        <v>1.3899999999999999E-2</v>
      </c>
      <c r="CK138" s="52">
        <v>1.4E-2</v>
      </c>
      <c r="CL138" s="52">
        <v>1.4200000000000001E-2</v>
      </c>
      <c r="CM138" s="52">
        <v>1.3599999999999999E-2</v>
      </c>
      <c r="CN138" s="52">
        <v>1.1599999999999999E-2</v>
      </c>
      <c r="CO138" s="52">
        <v>9.9000000000000008E-3</v>
      </c>
      <c r="CP138" s="52">
        <v>8.3000000000000001E-3</v>
      </c>
      <c r="CQ138" s="52">
        <v>7.6E-3</v>
      </c>
      <c r="CR138" s="52">
        <v>6.8999999999999999E-3</v>
      </c>
      <c r="CS138" s="52">
        <v>6.6E-3</v>
      </c>
      <c r="CT138" s="52">
        <v>6.7000000000000002E-3</v>
      </c>
      <c r="CU138" s="52">
        <v>7.0000000000000001E-3</v>
      </c>
      <c r="CV138" s="52">
        <v>7.4000000000000003E-3</v>
      </c>
      <c r="CW138" s="52">
        <v>8.0999999999999996E-3</v>
      </c>
      <c r="CX138" s="52">
        <v>8.6999999999999994E-3</v>
      </c>
      <c r="CY138" s="52">
        <v>9.1000000000000004E-3</v>
      </c>
      <c r="CZ138" s="52">
        <v>9.1000000000000004E-3</v>
      </c>
      <c r="DA138" s="52">
        <v>8.6E-3</v>
      </c>
      <c r="DB138" s="52">
        <v>8.6E-3</v>
      </c>
      <c r="DC138" s="52">
        <v>8.3999999999999995E-3</v>
      </c>
      <c r="DD138" s="52">
        <v>7.9000000000000008E-3</v>
      </c>
      <c r="DE138" s="52">
        <v>7.7000000000000002E-3</v>
      </c>
      <c r="DF138" s="52">
        <v>7.9000000000000008E-3</v>
      </c>
      <c r="DG138" s="52">
        <v>7.7000000000000002E-3</v>
      </c>
      <c r="DH138" s="52">
        <v>7.7000000000000002E-3</v>
      </c>
      <c r="DI138" s="52">
        <v>8.0000000000000002E-3</v>
      </c>
      <c r="DJ138" s="52">
        <v>8.3999999999999995E-3</v>
      </c>
      <c r="DK138" s="52">
        <v>8.8999999999999999E-3</v>
      </c>
      <c r="DL138" s="52">
        <v>9.4000000000000004E-3</v>
      </c>
      <c r="DM138" s="52">
        <v>9.7999999999999997E-3</v>
      </c>
      <c r="DN138" s="52">
        <v>0.01</v>
      </c>
      <c r="DO138" s="52">
        <v>1.01E-2</v>
      </c>
      <c r="DP138" s="52">
        <v>1.01E-2</v>
      </c>
      <c r="DQ138" s="52">
        <v>1.0500000000000001E-2</v>
      </c>
      <c r="DR138" s="52">
        <v>1.06E-2</v>
      </c>
      <c r="DS138" s="52">
        <v>1.0500000000000001E-2</v>
      </c>
      <c r="DT138" s="52">
        <v>1.09E-2</v>
      </c>
      <c r="DU138" s="52">
        <v>1.0999999999999999E-2</v>
      </c>
      <c r="DV138" s="52">
        <v>1.1299999999999999E-2</v>
      </c>
      <c r="DW138" s="52">
        <v>1.15E-2</v>
      </c>
      <c r="DX138" s="52">
        <v>1.14E-2</v>
      </c>
      <c r="DY138" s="52">
        <v>1.14E-2</v>
      </c>
      <c r="DZ138" s="52">
        <v>1.15E-2</v>
      </c>
      <c r="EA138" s="52">
        <v>1.11E-2</v>
      </c>
      <c r="EB138" s="52">
        <v>1.0999999999999999E-2</v>
      </c>
      <c r="EC138" s="52">
        <v>1.0999999999999999E-2</v>
      </c>
      <c r="ED138" s="52">
        <v>1.1299999999999999E-2</v>
      </c>
      <c r="EE138" t="s">
        <v>69</v>
      </c>
    </row>
    <row r="139" spans="1:135" ht="18" customHeight="1" x14ac:dyDescent="0.2">
      <c r="N139" s="29" t="s">
        <v>68</v>
      </c>
      <c r="O139" s="52">
        <v>80488</v>
      </c>
      <c r="P139" s="52">
        <v>82431</v>
      </c>
      <c r="Q139" s="52">
        <v>87588</v>
      </c>
      <c r="R139" s="52">
        <v>96711</v>
      </c>
      <c r="S139" s="52">
        <v>106652</v>
      </c>
      <c r="T139" s="52">
        <v>115522</v>
      </c>
      <c r="U139" s="52">
        <v>116262</v>
      </c>
      <c r="V139" s="52">
        <v>118172</v>
      </c>
      <c r="W139" s="52">
        <v>119614</v>
      </c>
      <c r="X139" s="52">
        <v>130118</v>
      </c>
      <c r="Y139" s="52">
        <v>146637</v>
      </c>
      <c r="Z139" s="52">
        <v>171163</v>
      </c>
      <c r="AA139" s="52">
        <v>198253</v>
      </c>
      <c r="AB139" s="52">
        <v>208089</v>
      </c>
      <c r="AC139" s="52">
        <v>218125</v>
      </c>
      <c r="AD139" s="52">
        <v>223711</v>
      </c>
      <c r="AE139" s="52">
        <v>229743</v>
      </c>
      <c r="AF139" s="52">
        <v>237696</v>
      </c>
      <c r="AG139" s="52">
        <v>250400</v>
      </c>
      <c r="AH139" s="52">
        <v>263354</v>
      </c>
      <c r="AI139" s="52">
        <v>266858</v>
      </c>
      <c r="AJ139" s="52">
        <v>269203</v>
      </c>
      <c r="AK139" s="52">
        <v>270927</v>
      </c>
      <c r="AL139" s="52">
        <v>273148</v>
      </c>
      <c r="AM139" s="52">
        <v>276637</v>
      </c>
      <c r="AN139" s="52">
        <v>279729</v>
      </c>
      <c r="AO139" s="52">
        <v>285185</v>
      </c>
      <c r="AP139" s="52">
        <v>286470</v>
      </c>
      <c r="AQ139" s="52">
        <v>290637</v>
      </c>
      <c r="AR139" s="52">
        <v>291987</v>
      </c>
      <c r="AS139" s="52">
        <v>293652</v>
      </c>
      <c r="AT139" s="52">
        <v>298685</v>
      </c>
      <c r="AU139" s="52">
        <v>304494</v>
      </c>
      <c r="AV139" s="52">
        <v>313101</v>
      </c>
      <c r="AW139" s="52">
        <v>317254</v>
      </c>
      <c r="AX139" s="52">
        <v>324862</v>
      </c>
      <c r="AY139" s="52">
        <v>327040</v>
      </c>
      <c r="AZ139" s="52">
        <v>328946</v>
      </c>
      <c r="BA139" s="52">
        <v>337944</v>
      </c>
      <c r="BB139" s="52">
        <v>352247</v>
      </c>
      <c r="BC139" s="52">
        <v>365719</v>
      </c>
      <c r="BD139" s="52">
        <v>371084</v>
      </c>
      <c r="BE139" s="52">
        <v>377464</v>
      </c>
      <c r="BF139" s="52">
        <v>380479</v>
      </c>
      <c r="BG139" s="52">
        <v>386426</v>
      </c>
      <c r="BH139" s="52">
        <v>408323</v>
      </c>
      <c r="BI139" s="52">
        <v>441676</v>
      </c>
      <c r="BJ139" s="52">
        <v>469651</v>
      </c>
      <c r="BK139" s="52">
        <v>482561</v>
      </c>
      <c r="BL139" s="52">
        <v>488236</v>
      </c>
      <c r="BM139" s="52">
        <v>495868</v>
      </c>
      <c r="BN139" s="52">
        <v>497940</v>
      </c>
      <c r="BO139" s="52">
        <v>501547</v>
      </c>
      <c r="BP139" s="52">
        <v>506051</v>
      </c>
      <c r="BQ139" s="52">
        <v>508507</v>
      </c>
      <c r="BR139" s="52">
        <v>510025</v>
      </c>
      <c r="BS139" s="52">
        <v>511095</v>
      </c>
      <c r="BT139" s="52">
        <v>513723</v>
      </c>
      <c r="BU139" s="52">
        <v>517319</v>
      </c>
      <c r="BV139" s="52">
        <v>527026</v>
      </c>
      <c r="BW139" s="52">
        <v>569074</v>
      </c>
      <c r="BX139" s="52">
        <v>585830</v>
      </c>
      <c r="BY139" s="52">
        <v>592953</v>
      </c>
      <c r="BZ139" s="52">
        <v>596680</v>
      </c>
      <c r="CA139" s="52">
        <v>602600</v>
      </c>
      <c r="CB139" s="52">
        <v>605682</v>
      </c>
      <c r="CC139" s="52">
        <v>616121</v>
      </c>
      <c r="CD139" s="52">
        <v>631127</v>
      </c>
      <c r="CE139" s="52">
        <v>643712</v>
      </c>
      <c r="CF139" s="52">
        <v>645818</v>
      </c>
      <c r="CG139" s="52">
        <v>651251</v>
      </c>
      <c r="CH139" s="52">
        <v>653413</v>
      </c>
      <c r="CI139" s="52">
        <v>655193</v>
      </c>
      <c r="CJ139" s="52">
        <v>666086</v>
      </c>
      <c r="CK139" s="52">
        <v>676217</v>
      </c>
      <c r="CL139" s="52">
        <v>696172</v>
      </c>
      <c r="CM139" s="52">
        <v>701102</v>
      </c>
      <c r="CN139" s="52">
        <v>706842</v>
      </c>
      <c r="CO139" s="52">
        <v>718009</v>
      </c>
      <c r="CP139" s="52">
        <v>726985</v>
      </c>
      <c r="CQ139" s="52">
        <v>750872</v>
      </c>
      <c r="CR139" s="52">
        <v>790203</v>
      </c>
      <c r="CS139" s="52">
        <v>828138</v>
      </c>
      <c r="CT139" s="52">
        <v>840420</v>
      </c>
      <c r="CU139" s="52">
        <v>847664</v>
      </c>
      <c r="CV139" s="52">
        <v>856281</v>
      </c>
      <c r="CW139" s="52">
        <v>866481</v>
      </c>
      <c r="CX139" s="52">
        <v>885339</v>
      </c>
      <c r="CY139" s="52">
        <v>903570</v>
      </c>
      <c r="CZ139" s="52">
        <v>920598</v>
      </c>
      <c r="DA139" s="52">
        <v>930042</v>
      </c>
      <c r="DB139" s="52">
        <v>939105</v>
      </c>
      <c r="DC139" s="52">
        <v>952721</v>
      </c>
      <c r="DD139" s="52">
        <v>969630</v>
      </c>
      <c r="DE139" s="52">
        <v>1012002</v>
      </c>
      <c r="DF139" s="52">
        <v>1063299</v>
      </c>
      <c r="DG139" s="52">
        <v>1120117</v>
      </c>
      <c r="DH139" s="52">
        <v>1134005</v>
      </c>
      <c r="DI139" s="52">
        <v>1160784</v>
      </c>
      <c r="DJ139" s="52">
        <v>1180469</v>
      </c>
      <c r="DK139" s="52">
        <v>1196536</v>
      </c>
      <c r="DL139" s="52">
        <v>1211653</v>
      </c>
      <c r="DM139" s="52">
        <v>1231250</v>
      </c>
      <c r="DN139" s="52">
        <v>1287442</v>
      </c>
      <c r="DO139" s="52">
        <v>1411270</v>
      </c>
      <c r="DP139" s="52">
        <v>1469159</v>
      </c>
      <c r="DQ139" s="52">
        <v>1489854</v>
      </c>
      <c r="DR139" s="52">
        <v>1513415</v>
      </c>
      <c r="DS139" s="52">
        <v>1539964</v>
      </c>
      <c r="DT139" s="52">
        <v>1568208</v>
      </c>
      <c r="DU139" s="52">
        <v>1604322</v>
      </c>
      <c r="DV139" s="52">
        <v>1638859</v>
      </c>
      <c r="DW139" s="52">
        <v>1701479</v>
      </c>
      <c r="DX139" s="52">
        <v>1725903</v>
      </c>
      <c r="DY139" s="52">
        <v>1745225</v>
      </c>
      <c r="DZ139" s="52">
        <v>1788676</v>
      </c>
      <c r="EA139" s="52">
        <v>1845836</v>
      </c>
      <c r="EB139" s="52">
        <v>1910212</v>
      </c>
      <c r="EC139" s="52">
        <v>1949349</v>
      </c>
      <c r="ED139" s="52">
        <v>2054154</v>
      </c>
      <c r="EE139" t="s">
        <v>71</v>
      </c>
    </row>
    <row r="142" spans="1:135" ht="18" customHeight="1" x14ac:dyDescent="0.2">
      <c r="O142" s="143" t="s">
        <v>100</v>
      </c>
      <c r="P142" s="143"/>
      <c r="Q142" s="143"/>
      <c r="R142" s="143"/>
      <c r="S142" s="143"/>
      <c r="T142" s="143"/>
      <c r="U142" s="143"/>
      <c r="X142" s="143" t="s">
        <v>99</v>
      </c>
      <c r="Y142" s="143"/>
      <c r="Z142" s="143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52">
        <v>99.889999999999986</v>
      </c>
      <c r="Q143" s="52">
        <v>33704</v>
      </c>
      <c r="R143" s="52">
        <v>183826</v>
      </c>
      <c r="S143" s="52">
        <v>4503206</v>
      </c>
      <c r="T143" s="52">
        <v>4.2930000000000046</v>
      </c>
      <c r="U143" s="52">
        <v>82225828</v>
      </c>
      <c r="V143" t="s">
        <v>71</v>
      </c>
      <c r="X143" s="29" t="s">
        <v>86</v>
      </c>
      <c r="Y143" cm="1">
        <f t="array" ref="Y143">SUMPRODUCT(N8:N127*B8:B127)</f>
        <v>4543</v>
      </c>
      <c r="Z143" t="s">
        <v>71</v>
      </c>
    </row>
    <row r="144" spans="1:135" ht="18" customHeight="1" x14ac:dyDescent="0.2">
      <c r="N144" s="29" t="s">
        <v>69</v>
      </c>
      <c r="O144" s="52">
        <v>99.889999999999986</v>
      </c>
      <c r="P144" s="52">
        <v>88.893900000000031</v>
      </c>
      <c r="Q144" s="52">
        <v>22146.890000000007</v>
      </c>
      <c r="R144" s="52">
        <v>117452.48000000003</v>
      </c>
      <c r="S144" s="52">
        <v>3909655.5200000005</v>
      </c>
      <c r="T144" s="52">
        <v>2.8748780000000012</v>
      </c>
      <c r="U144" s="52">
        <v>78657825.980000004</v>
      </c>
      <c r="V144" t="s">
        <v>69</v>
      </c>
      <c r="X144" s="29" t="s">
        <v>69</v>
      </c>
      <c r="Y144">
        <f>SUMPRODUCT(O8:O127*B8:B127)</f>
        <v>2777.5099999999979</v>
      </c>
      <c r="Z144" t="s">
        <v>69</v>
      </c>
    </row>
    <row r="145" spans="1:26" ht="18" customHeight="1" x14ac:dyDescent="0.2">
      <c r="B145" s="29" t="s">
        <v>68</v>
      </c>
      <c r="C145" s="52">
        <f t="array" ref="C145:C151">MMULT(O153:U159,Y143:Y149)</f>
        <v>-7.7336957988285988</v>
      </c>
      <c r="D145" t="s">
        <v>71</v>
      </c>
      <c r="N145" s="29" t="s">
        <v>69</v>
      </c>
      <c r="O145" s="52">
        <v>33704</v>
      </c>
      <c r="P145" s="52">
        <v>22146.890000000007</v>
      </c>
      <c r="Q145" s="52">
        <v>18548310</v>
      </c>
      <c r="R145" s="52">
        <v>113478976</v>
      </c>
      <c r="S145" s="52">
        <v>1149940618</v>
      </c>
      <c r="T145" s="52">
        <v>2599.5675999999999</v>
      </c>
      <c r="U145" s="52">
        <v>11624964557</v>
      </c>
      <c r="V145" t="s">
        <v>69</v>
      </c>
      <c r="X145" s="29" t="s">
        <v>69</v>
      </c>
      <c r="Y145" cm="1">
        <f t="array" ref="Y145">SUMPRODUCT(P8:P127*B8:B127)</f>
        <v>3273427</v>
      </c>
      <c r="Z145" t="s">
        <v>69</v>
      </c>
    </row>
    <row r="146" spans="1:26" ht="18" customHeight="1" x14ac:dyDescent="0.2">
      <c r="B146" s="29" t="s">
        <v>69</v>
      </c>
      <c r="C146" s="52">
        <v>-2.5516956322488227</v>
      </c>
      <c r="D146" t="s">
        <v>69</v>
      </c>
      <c r="E146" s="143" t="s">
        <v>90</v>
      </c>
      <c r="F146" s="143"/>
      <c r="G146" s="143"/>
      <c r="H146" s="143"/>
      <c r="I146" s="143"/>
      <c r="J146" s="143"/>
      <c r="K146" s="143"/>
      <c r="N146" s="29" t="s">
        <v>69</v>
      </c>
      <c r="O146" s="52">
        <v>183826</v>
      </c>
      <c r="P146" s="52">
        <v>117452.48000000003</v>
      </c>
      <c r="Q146" s="52">
        <v>113478976</v>
      </c>
      <c r="R146" s="52">
        <v>721892924</v>
      </c>
      <c r="S146" s="52">
        <v>6411756165</v>
      </c>
      <c r="T146" s="52">
        <v>16901.123500000005</v>
      </c>
      <c r="U146" s="52">
        <v>53937973737</v>
      </c>
      <c r="V146" t="s">
        <v>69</v>
      </c>
      <c r="X146" s="29" t="s">
        <v>69</v>
      </c>
      <c r="Y146" cm="1">
        <f t="array" ref="Y146">SUMPRODUCT(Q8:Q127*B8:B127)</f>
        <v>21757452</v>
      </c>
      <c r="Z146" t="s">
        <v>69</v>
      </c>
    </row>
    <row r="147" spans="1:26" ht="18" customHeight="1" x14ac:dyDescent="0.2">
      <c r="B147" s="29" t="s">
        <v>69</v>
      </c>
      <c r="C147" s="52">
        <v>-7.9244058657538322E-2</v>
      </c>
      <c r="D147" t="s">
        <v>69</v>
      </c>
      <c r="N147" s="29" t="s">
        <v>69</v>
      </c>
      <c r="O147" s="52">
        <v>4503206</v>
      </c>
      <c r="P147" s="52">
        <v>3909655.5200000005</v>
      </c>
      <c r="Q147" s="52">
        <v>1149940618</v>
      </c>
      <c r="R147" s="52">
        <v>6411756165</v>
      </c>
      <c r="S147" s="52">
        <v>207752370780</v>
      </c>
      <c r="T147" s="52">
        <v>154729.97150000004</v>
      </c>
      <c r="U147" s="52">
        <v>3317078082135</v>
      </c>
      <c r="V147" t="s">
        <v>69</v>
      </c>
      <c r="X147" s="29" t="s">
        <v>69</v>
      </c>
      <c r="Y147" cm="1">
        <f t="array" ref="Y147">SUMPRODUCT(R8:R127*B8:B127)</f>
        <v>163490686</v>
      </c>
      <c r="Z147" t="s">
        <v>69</v>
      </c>
    </row>
    <row r="148" spans="1:26" ht="18" customHeight="1" x14ac:dyDescent="0.2">
      <c r="B148" s="29" t="s">
        <v>69</v>
      </c>
      <c r="C148" s="52">
        <v>2.3887293949701897E-2</v>
      </c>
      <c r="D148" t="s">
        <v>69</v>
      </c>
      <c r="N148" s="29" t="s">
        <v>69</v>
      </c>
      <c r="O148" s="52">
        <v>4.2930000000000046</v>
      </c>
      <c r="P148" s="52">
        <v>2.8748780000000012</v>
      </c>
      <c r="Q148" s="52">
        <v>2599.5675999999999</v>
      </c>
      <c r="R148" s="52">
        <v>16901.123500000005</v>
      </c>
      <c r="S148" s="52">
        <v>154729.97150000004</v>
      </c>
      <c r="T148" s="52">
        <v>0.40899665999999968</v>
      </c>
      <c r="U148" s="52">
        <v>1398601.5219999994</v>
      </c>
      <c r="V148" t="s">
        <v>69</v>
      </c>
      <c r="X148" s="29" t="s">
        <v>69</v>
      </c>
      <c r="Y148" cm="1">
        <f t="array" ref="Y148">SUMPRODUCT(S8:S127*B8:B127)</f>
        <v>525.69680000000039</v>
      </c>
      <c r="Z148" t="s">
        <v>69</v>
      </c>
    </row>
    <row r="149" spans="1:26" ht="18" customHeight="1" x14ac:dyDescent="0.2">
      <c r="B149" s="29" t="s">
        <v>69</v>
      </c>
      <c r="C149" s="52">
        <v>3.8374730921569562E-5</v>
      </c>
      <c r="D149" t="s">
        <v>69</v>
      </c>
      <c r="N149" s="29" t="s">
        <v>68</v>
      </c>
      <c r="O149" s="52">
        <v>82225828</v>
      </c>
      <c r="P149" s="52">
        <v>78657825.980000004</v>
      </c>
      <c r="Q149" s="52">
        <v>11624964557</v>
      </c>
      <c r="R149" s="52">
        <v>53937973737</v>
      </c>
      <c r="S149" s="52">
        <v>3317078082135</v>
      </c>
      <c r="T149" s="52">
        <v>1398601.5219999994</v>
      </c>
      <c r="U149" s="52">
        <v>85439162458898</v>
      </c>
      <c r="V149" t="s">
        <v>71</v>
      </c>
      <c r="X149" s="29" t="s">
        <v>68</v>
      </c>
      <c r="Y149" cm="1">
        <f t="array" ref="Y149">SUMPRODUCT(T8:T127*B8:B127)</f>
        <v>930148005</v>
      </c>
      <c r="Z149" t="s">
        <v>71</v>
      </c>
    </row>
    <row r="150" spans="1:26" ht="18" customHeight="1" x14ac:dyDescent="0.2">
      <c r="B150" s="29" t="s">
        <v>69</v>
      </c>
      <c r="C150" s="52">
        <v>885.12219877833672</v>
      </c>
      <c r="D150" t="s">
        <v>69</v>
      </c>
    </row>
    <row r="151" spans="1:26" ht="18" customHeight="1" x14ac:dyDescent="0.2">
      <c r="B151" s="29" t="s">
        <v>68</v>
      </c>
      <c r="C151" s="52">
        <v>4.0169264177363309E-7</v>
      </c>
      <c r="D151" t="s">
        <v>71</v>
      </c>
    </row>
    <row r="152" spans="1:26" ht="18" customHeight="1" x14ac:dyDescent="0.2">
      <c r="O152" s="143" t="s">
        <v>98</v>
      </c>
      <c r="P152" s="143"/>
      <c r="Q152" s="143"/>
      <c r="R152" s="143"/>
      <c r="S152" s="143"/>
      <c r="T152" s="143"/>
      <c r="U152" s="143"/>
    </row>
    <row r="153" spans="1:26" ht="18" customHeight="1" x14ac:dyDescent="0.2">
      <c r="N153" s="29" t="s">
        <v>85</v>
      </c>
      <c r="O153" s="52" cm="1">
        <f t="array" ref="O153:U159">MINVERSE(O143:U149)</f>
        <v>1.7104699875133071</v>
      </c>
      <c r="P153" s="52">
        <v>-1.5530671885546812</v>
      </c>
      <c r="Q153" s="52">
        <v>-3.6568771247679913E-3</v>
      </c>
      <c r="R153" s="52">
        <v>3.9679724766726295E-4</v>
      </c>
      <c r="S153" s="52">
        <v>-7.5697407171829588E-7</v>
      </c>
      <c r="T153" s="52">
        <v>-0.1168878960762303</v>
      </c>
      <c r="U153" s="52">
        <v>6.202222306706472E-8</v>
      </c>
      <c r="V153" t="s">
        <v>71</v>
      </c>
    </row>
    <row r="154" spans="1:26" ht="18" customHeight="1" x14ac:dyDescent="0.2">
      <c r="N154" s="29" t="s">
        <v>69</v>
      </c>
      <c r="O154" s="52">
        <v>-1.5530671885546752</v>
      </c>
      <c r="P154" s="52">
        <v>1.6549937356617144</v>
      </c>
      <c r="Q154" s="52">
        <v>2.6319811495136868E-3</v>
      </c>
      <c r="R154" s="52">
        <v>-1.8746462477894514E-4</v>
      </c>
      <c r="S154" s="52">
        <v>-9.2228059723529259E-7</v>
      </c>
      <c r="T154" s="52">
        <v>-3.3559708296823278</v>
      </c>
      <c r="U154" s="52">
        <v>-1.7800100336238559E-7</v>
      </c>
      <c r="V154" t="s">
        <v>69</v>
      </c>
    </row>
    <row r="155" spans="1:26" ht="18" customHeight="1" x14ac:dyDescent="0.2">
      <c r="N155" s="29" t="s">
        <v>69</v>
      </c>
      <c r="O155" s="52">
        <v>-3.6568771247680459E-3</v>
      </c>
      <c r="P155" s="52">
        <v>2.6319811495137593E-3</v>
      </c>
      <c r="Q155" s="52">
        <v>1.3453620646911329E-5</v>
      </c>
      <c r="R155" s="52">
        <v>-2.302103579708601E-6</v>
      </c>
      <c r="S155" s="52">
        <v>3.8753447379226426E-9</v>
      </c>
      <c r="T155" s="52">
        <v>2.76403321988552E-2</v>
      </c>
      <c r="U155" s="52">
        <v>1.1615448252686143E-10</v>
      </c>
      <c r="V155" t="s">
        <v>69</v>
      </c>
    </row>
    <row r="156" spans="1:26" ht="18" customHeight="1" x14ac:dyDescent="0.25">
      <c r="A156" s="133" t="s">
        <v>88</v>
      </c>
      <c r="B156" s="133"/>
      <c r="C156" s="133"/>
      <c r="D156" s="133"/>
      <c r="E156" s="133"/>
      <c r="F156" s="133"/>
      <c r="G156" s="133"/>
      <c r="H156" s="133"/>
      <c r="N156" s="29" t="s">
        <v>69</v>
      </c>
      <c r="O156" s="52">
        <v>3.9679724766727862E-4</v>
      </c>
      <c r="P156" s="52">
        <v>-1.8746462477896287E-4</v>
      </c>
      <c r="Q156" s="52">
        <v>-2.3021035797086251E-6</v>
      </c>
      <c r="R156" s="52">
        <v>5.1095639113633636E-7</v>
      </c>
      <c r="S156" s="52">
        <v>-8.4337292589598866E-10</v>
      </c>
      <c r="T156" s="52">
        <v>-8.8714859052676665E-3</v>
      </c>
      <c r="U156" s="52">
        <v>-4.0663960793255987E-11</v>
      </c>
      <c r="V156" t="s">
        <v>69</v>
      </c>
    </row>
    <row r="157" spans="1:26" ht="18" customHeight="1" x14ac:dyDescent="0.2">
      <c r="N157" s="29" t="s">
        <v>69</v>
      </c>
      <c r="O157" s="52">
        <v>-7.5697407171830266E-7</v>
      </c>
      <c r="P157" s="52">
        <v>-9.2228059723528846E-7</v>
      </c>
      <c r="Q157" s="52">
        <v>3.8753447379226955E-9</v>
      </c>
      <c r="R157" s="52">
        <v>-8.4337292589600086E-10</v>
      </c>
      <c r="S157" s="52">
        <v>3.1587176288964667E-11</v>
      </c>
      <c r="T157" s="52">
        <v>1.2159832675262068E-5</v>
      </c>
      <c r="U157" s="52">
        <v>1.5733531355156977E-13</v>
      </c>
      <c r="V157" t="s">
        <v>69</v>
      </c>
    </row>
    <row r="158" spans="1:26" ht="18" customHeight="1" x14ac:dyDescent="0.2">
      <c r="N158" s="29" t="s">
        <v>69</v>
      </c>
      <c r="O158" s="52">
        <v>-0.11688789607656372</v>
      </c>
      <c r="P158" s="52">
        <v>-3.3559708296819983</v>
      </c>
      <c r="Q158" s="52">
        <v>2.764033219885606E-2</v>
      </c>
      <c r="R158" s="52">
        <v>-8.8714859052677671E-3</v>
      </c>
      <c r="S158" s="52">
        <v>1.2159832675261861E-5</v>
      </c>
      <c r="T158" s="52">
        <v>209.69093920971849</v>
      </c>
      <c r="U158" s="52">
        <v>1.1372710264233905E-6</v>
      </c>
      <c r="V158" t="s">
        <v>69</v>
      </c>
    </row>
    <row r="159" spans="1:26" ht="18" customHeight="1" x14ac:dyDescent="0.2">
      <c r="C159" s="51" t="s">
        <v>10</v>
      </c>
      <c r="N159" s="29" t="s">
        <v>68</v>
      </c>
      <c r="O159" s="52">
        <v>6.2022223067060114E-8</v>
      </c>
      <c r="P159" s="52">
        <v>-1.7800100336238178E-7</v>
      </c>
      <c r="Q159" s="52">
        <v>1.1615448252687681E-10</v>
      </c>
      <c r="R159" s="52">
        <v>-4.0663960793258436E-11</v>
      </c>
      <c r="S159" s="52">
        <v>1.5733531355157012E-13</v>
      </c>
      <c r="T159" s="52">
        <v>1.1372710264234151E-6</v>
      </c>
      <c r="U159" s="52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6366.0776287436056</v>
      </c>
    </row>
    <row r="161" spans="1:22" ht="18" customHeight="1" x14ac:dyDescent="0.2">
      <c r="C161" s="52">
        <f>SUMPRODUCT(POWER(B8:B127,2))</f>
        <v>696425</v>
      </c>
    </row>
    <row r="162" spans="1:22" ht="18" customHeight="1" x14ac:dyDescent="0.2">
      <c r="C162" s="52">
        <f>B130 * POWER(Y10,2)</f>
        <v>171990.40833333335</v>
      </c>
    </row>
    <row r="163" spans="1:22" ht="18" customHeight="1" x14ac:dyDescent="0.2">
      <c r="C163" s="52">
        <f>C161-C162</f>
        <v>524434.59166666667</v>
      </c>
    </row>
    <row r="164" spans="1:22" ht="18" customHeight="1" x14ac:dyDescent="0.2">
      <c r="B164" s="13"/>
      <c r="C164" s="49">
        <f>C163-C160</f>
        <v>518068.51403792307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0.98786106460195156</v>
      </c>
    </row>
    <row r="167" spans="1:22" ht="18" customHeight="1" x14ac:dyDescent="0.2">
      <c r="C167" s="52">
        <f>1 - C160 / (B130 - COUNT(C145:C151)) / (C163 / (B130-1))</f>
        <v>0.98721651935957722</v>
      </c>
    </row>
    <row r="173" spans="1:22" ht="18" customHeight="1" x14ac:dyDescent="0.25">
      <c r="A173" s="133" t="s">
        <v>92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B176" s="138"/>
      <c r="C176" s="138"/>
      <c r="E176" s="138"/>
      <c r="F176" s="138"/>
      <c r="H176" s="138"/>
      <c r="I176" s="138"/>
      <c r="K176" s="138"/>
      <c r="L176" s="138"/>
      <c r="N176" s="138"/>
      <c r="O176" s="138"/>
      <c r="Q176" s="138"/>
      <c r="R176" s="138"/>
      <c r="T176" s="138"/>
      <c r="U176" s="138"/>
    </row>
    <row r="178" spans="2:21" ht="18" customHeight="1" x14ac:dyDescent="0.2">
      <c r="C178" s="51" t="s">
        <v>10</v>
      </c>
      <c r="F178" s="51" t="s">
        <v>10</v>
      </c>
      <c r="I178" s="51" t="s">
        <v>10</v>
      </c>
      <c r="L178" s="51" t="s">
        <v>10</v>
      </c>
      <c r="O178" s="51" t="s">
        <v>10</v>
      </c>
      <c r="R178" s="51" t="s">
        <v>10</v>
      </c>
      <c r="U178" s="51" t="s">
        <v>10</v>
      </c>
    </row>
    <row r="179" spans="2:21" ht="18" customHeight="1" x14ac:dyDescent="0.2">
      <c r="B179" s="16"/>
      <c r="C179" s="48">
        <f>C145</f>
        <v>-7.7336957988285988</v>
      </c>
      <c r="E179" s="16"/>
      <c r="F179" s="48">
        <f>C146</f>
        <v>-2.5516956322488227</v>
      </c>
      <c r="H179" s="16"/>
      <c r="I179" s="48">
        <f>C147</f>
        <v>-7.9244058657538322E-2</v>
      </c>
      <c r="K179" s="16"/>
      <c r="L179" s="48">
        <f>C148</f>
        <v>2.3887293949701897E-2</v>
      </c>
      <c r="N179" s="16"/>
      <c r="O179" s="48">
        <f>C149</f>
        <v>3.8374730921569562E-5</v>
      </c>
      <c r="Q179" s="16"/>
      <c r="R179" s="48">
        <f>C150</f>
        <v>885.12219877833672</v>
      </c>
      <c r="T179" s="16"/>
      <c r="U179" s="48">
        <f>C151</f>
        <v>4.0169264177363309E-7</v>
      </c>
    </row>
    <row r="180" spans="2:21" ht="18" customHeight="1" x14ac:dyDescent="0.2">
      <c r="C180" s="76">
        <f>$C$160/($B$130-(COUNT($C$145:$C$150)+1))</f>
        <v>56.336970165872614</v>
      </c>
      <c r="F180" s="76">
        <f>$C$160/($B$130-(COUNT($C$145:$C$150)+1))</f>
        <v>56.336970165872614</v>
      </c>
      <c r="I180" s="76">
        <f>$C$160/($B$130-(COUNT($C$145:$C$150)+1))</f>
        <v>56.336970165872614</v>
      </c>
      <c r="L180" s="76">
        <f>$C$160/($B$130-(COUNT($C$145:$C$150)+1))</f>
        <v>56.336970165872614</v>
      </c>
      <c r="O180" s="76">
        <f>$C$160/($B$130-(COUNT($C$145:$C$150)+1))</f>
        <v>56.336970165872614</v>
      </c>
      <c r="R180" s="76">
        <f>$C$160/($B$130-(COUNT($C$145:$C$150)+1))</f>
        <v>56.336970165872614</v>
      </c>
      <c r="U180" s="76">
        <f>$C$160/($B$130-(COUNT($C$145:$C$150)+1))</f>
        <v>56.336970165872614</v>
      </c>
    </row>
    <row r="181" spans="2:21" ht="18" customHeight="1" x14ac:dyDescent="0.2">
      <c r="C181" s="76">
        <f>O153</f>
        <v>1.7104699875133071</v>
      </c>
      <c r="F181" s="76">
        <f>P154</f>
        <v>1.6549937356617144</v>
      </c>
      <c r="I181" s="76">
        <f>Q155</f>
        <v>1.3453620646911329E-5</v>
      </c>
      <c r="L181" s="76">
        <f>R156</f>
        <v>5.1095639113633636E-7</v>
      </c>
      <c r="O181" s="76">
        <f>S157</f>
        <v>3.1587176288964667E-11</v>
      </c>
      <c r="R181" s="76">
        <f>T158</f>
        <v>209.69093920971849</v>
      </c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0"/>
      <c r="C183" s="142">
        <f>SQRT(C180*C181)</f>
        <v>9.8164503083425068</v>
      </c>
      <c r="E183" s="130"/>
      <c r="F183" s="142">
        <f>SQRT(F180*F181)</f>
        <v>9.6559480482591695</v>
      </c>
      <c r="H183" s="130"/>
      <c r="I183" s="142">
        <f>SQRT(I180*I181)</f>
        <v>2.7530641565499548E-2</v>
      </c>
      <c r="K183" s="130"/>
      <c r="L183" s="142">
        <f>SQRT(L180*L181)</f>
        <v>5.3652339150786071E-3</v>
      </c>
      <c r="N183" s="130"/>
      <c r="O183" s="142">
        <f>SQRT(O180*O181)</f>
        <v>4.2184426133533701E-5</v>
      </c>
      <c r="Q183" s="130"/>
      <c r="R183" s="142">
        <f>SQRT(R180*R181)</f>
        <v>108.68924595520809</v>
      </c>
      <c r="T183" s="130"/>
      <c r="U183" s="142">
        <f>SQRT(U180*U181)</f>
        <v>2.3857309788060774E-6</v>
      </c>
    </row>
    <row r="184" spans="2:21" ht="18" customHeight="1" x14ac:dyDescent="0.2">
      <c r="B184" s="122"/>
      <c r="C184" s="128"/>
      <c r="E184" s="122"/>
      <c r="F184" s="128"/>
      <c r="H184" s="122"/>
      <c r="I184" s="128"/>
      <c r="K184" s="122"/>
      <c r="L184" s="128"/>
      <c r="N184" s="122"/>
      <c r="O184" s="128"/>
      <c r="Q184" s="122"/>
      <c r="R184" s="128"/>
      <c r="T184" s="122"/>
      <c r="U184" s="128"/>
    </row>
    <row r="188" spans="2:21" ht="18" customHeight="1" x14ac:dyDescent="0.2">
      <c r="B188" s="132" t="s">
        <v>40</v>
      </c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</row>
    <row r="191" spans="2:21" ht="18" customHeight="1" x14ac:dyDescent="0.2">
      <c r="K191" s="51" t="s">
        <v>10</v>
      </c>
    </row>
    <row r="192" spans="2:21" ht="18" customHeight="1" x14ac:dyDescent="0.2">
      <c r="J192" s="57" t="s">
        <v>41</v>
      </c>
      <c r="K192" s="48">
        <v>0.9</v>
      </c>
    </row>
    <row r="193" spans="2:21" ht="18" customHeight="1" x14ac:dyDescent="0.2">
      <c r="D193" s="31"/>
      <c r="J193" s="58" t="s">
        <v>34</v>
      </c>
      <c r="K193" s="52">
        <f>1-K192</f>
        <v>9.9999999999999978E-2</v>
      </c>
    </row>
    <row r="194" spans="2:21" ht="18" customHeight="1" x14ac:dyDescent="0.2">
      <c r="D194" s="14"/>
      <c r="J194" s="59"/>
      <c r="K194" s="49">
        <f>_xlfn.T.INV(1-K193/2,B130-(COUNT(C146:C151)+1))</f>
        <v>1.6584502163399364</v>
      </c>
    </row>
    <row r="198" spans="2:21" ht="18" customHeight="1" x14ac:dyDescent="0.2">
      <c r="B198" s="138"/>
      <c r="C198" s="138"/>
      <c r="E198" s="138"/>
      <c r="F198" s="138"/>
      <c r="H198" s="138"/>
      <c r="I198" s="138"/>
      <c r="K198" s="138"/>
      <c r="L198" s="138"/>
      <c r="N198" s="138"/>
      <c r="O198" s="138"/>
      <c r="Q198" s="138"/>
      <c r="R198" s="138"/>
      <c r="T198" s="138"/>
      <c r="U198" s="138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-24.0138</v>
      </c>
      <c r="D200" s="14"/>
      <c r="E200" s="16" t="s">
        <v>37</v>
      </c>
      <c r="F200" s="16">
        <f>ROUND(F179-F183*$K$194,4)</f>
        <v>-18.5656</v>
      </c>
      <c r="H200" s="16" t="s">
        <v>37</v>
      </c>
      <c r="I200" s="16">
        <f>ROUND(I179-I183*$K$194,4)</f>
        <v>-0.1249</v>
      </c>
      <c r="K200" s="16" t="s">
        <v>37</v>
      </c>
      <c r="L200" s="16">
        <f>ROUND(L179-L183*$K$194,4)</f>
        <v>1.4999999999999999E-2</v>
      </c>
      <c r="N200" s="16" t="s">
        <v>37</v>
      </c>
      <c r="O200" s="16">
        <f>ROUND(O179-O183*$K$194,4)</f>
        <v>0</v>
      </c>
      <c r="Q200" s="16" t="s">
        <v>37</v>
      </c>
      <c r="R200" s="16">
        <f>ROUND(R179-R183*$K$194,4)</f>
        <v>704.86649999999997</v>
      </c>
      <c r="T200" s="16" t="s">
        <v>37</v>
      </c>
      <c r="U200" s="16">
        <f>ROUND(U179-U183*$K$194,4)</f>
        <v>0</v>
      </c>
    </row>
    <row r="201" spans="2:21" ht="18" customHeight="1" x14ac:dyDescent="0.2">
      <c r="B201" s="13" t="s">
        <v>38</v>
      </c>
      <c r="C201" s="13">
        <f>ROUND(C179+C183*$K$194,4)</f>
        <v>8.5464000000000002</v>
      </c>
      <c r="E201" s="13" t="s">
        <v>38</v>
      </c>
      <c r="F201" s="13">
        <f>ROUND(F179+F183*$K$194,4)</f>
        <v>13.462199999999999</v>
      </c>
      <c r="H201" s="13" t="s">
        <v>38</v>
      </c>
      <c r="I201" s="13">
        <f>ROUND(I179+I183*$K$194,4)</f>
        <v>-3.3599999999999998E-2</v>
      </c>
      <c r="K201" s="13" t="s">
        <v>38</v>
      </c>
      <c r="L201" s="13">
        <f>ROUND(L179+L183*$K$194,4)</f>
        <v>3.2800000000000003E-2</v>
      </c>
      <c r="N201" s="13" t="s">
        <v>38</v>
      </c>
      <c r="O201" s="13">
        <f>ROUND(O179+O183*$K$194,4)</f>
        <v>1E-4</v>
      </c>
      <c r="Q201" s="13" t="s">
        <v>38</v>
      </c>
      <c r="R201" s="13">
        <f>ROUND(R179+R183*$K$194,4)</f>
        <v>1065.3779</v>
      </c>
      <c r="T201" s="13" t="s">
        <v>38</v>
      </c>
      <c r="U201" s="13">
        <f>ROUND(U179+U183*$K$194,4)</f>
        <v>0</v>
      </c>
    </row>
    <row r="208" spans="2:21" ht="18" customHeight="1" x14ac:dyDescent="0.2">
      <c r="B208" s="132" t="s">
        <v>42</v>
      </c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</row>
    <row r="211" spans="1:21" ht="18" customHeight="1" x14ac:dyDescent="0.2">
      <c r="K211" s="51" t="s">
        <v>10</v>
      </c>
    </row>
    <row r="212" spans="1:21" ht="18" customHeight="1" x14ac:dyDescent="0.2">
      <c r="J212" s="48" t="s">
        <v>41</v>
      </c>
      <c r="K212" s="48">
        <v>0.95</v>
      </c>
    </row>
    <row r="213" spans="1:21" ht="18" customHeight="1" x14ac:dyDescent="0.2">
      <c r="J213" s="18" t="s">
        <v>34</v>
      </c>
      <c r="K213" s="52">
        <f>1-K212</f>
        <v>5.0000000000000044E-2</v>
      </c>
    </row>
    <row r="214" spans="1:21" ht="18" customHeight="1" x14ac:dyDescent="0.2">
      <c r="J214" s="13"/>
      <c r="K214" s="49">
        <f>_xlfn.T.INV(1-K213/2,B130 - (COUNT(C146:C151) + 1))</f>
        <v>1.9811803594146622</v>
      </c>
    </row>
    <row r="218" spans="1:21" ht="18" customHeight="1" x14ac:dyDescent="0.2">
      <c r="B218" s="138"/>
      <c r="C218" s="138"/>
      <c r="E218" s="138"/>
      <c r="F218" s="138"/>
      <c r="H218" s="138"/>
      <c r="I218" s="138"/>
      <c r="K218" s="138"/>
      <c r="L218" s="138"/>
      <c r="N218" s="138"/>
      <c r="O218" s="138"/>
      <c r="Q218" s="138"/>
      <c r="R218" s="138"/>
      <c r="T218" s="138"/>
      <c r="U218" s="138"/>
    </row>
    <row r="220" spans="1:21" ht="18" customHeight="1" x14ac:dyDescent="0.2">
      <c r="A220" s="54"/>
      <c r="B220" s="16" t="s">
        <v>37</v>
      </c>
      <c r="C220" s="16">
        <f>ROUND(C179-C183*$K$214,4)</f>
        <v>-27.181899999999999</v>
      </c>
      <c r="E220" s="16" t="s">
        <v>37</v>
      </c>
      <c r="F220" s="16">
        <f>ROUND(F179-F183*$K$214,4)</f>
        <v>-21.681899999999999</v>
      </c>
      <c r="H220" s="16" t="s">
        <v>37</v>
      </c>
      <c r="I220" s="16">
        <f>ROUND(I179-I183*$K$214,4)</f>
        <v>-0.1338</v>
      </c>
      <c r="K220" s="16" t="s">
        <v>37</v>
      </c>
      <c r="L220" s="16">
        <f>ROUND(L179-L183*$K$214,4)</f>
        <v>1.3299999999999999E-2</v>
      </c>
      <c r="N220" s="16" t="s">
        <v>37</v>
      </c>
      <c r="O220" s="16">
        <f>ROUND(O179-O183*$K$214,4)</f>
        <v>0</v>
      </c>
      <c r="Q220" s="16" t="s">
        <v>37</v>
      </c>
      <c r="R220" s="16">
        <f>ROUND(R179-R183*$K$214,4)</f>
        <v>669.78920000000005</v>
      </c>
      <c r="T220" s="16" t="s">
        <v>37</v>
      </c>
      <c r="U220" s="16">
        <f>ROUND(U179-U183*$K$214,4)</f>
        <v>0</v>
      </c>
    </row>
    <row r="221" spans="1:21" ht="18" customHeight="1" x14ac:dyDescent="0.2">
      <c r="B221" s="13" t="s">
        <v>38</v>
      </c>
      <c r="C221" s="13">
        <f>ROUND(C179+C183*$K$214,4)</f>
        <v>11.714499999999999</v>
      </c>
      <c r="E221" s="13" t="s">
        <v>38</v>
      </c>
      <c r="F221" s="13">
        <f>ROUND(F179+F183*$K$214,4)</f>
        <v>16.578499999999998</v>
      </c>
      <c r="H221" s="13" t="s">
        <v>38</v>
      </c>
      <c r="I221" s="13">
        <f>ROUND(I179+I183*$K$214,4)</f>
        <v>-2.47E-2</v>
      </c>
      <c r="K221" s="13" t="s">
        <v>38</v>
      </c>
      <c r="L221" s="13">
        <f>ROUND(L179+L183*$K$214,4)</f>
        <v>3.4500000000000003E-2</v>
      </c>
      <c r="N221" s="13" t="s">
        <v>38</v>
      </c>
      <c r="O221" s="13">
        <f>ROUND(O179+O183*$K$214,4)</f>
        <v>1E-4</v>
      </c>
      <c r="Q221" s="13" t="s">
        <v>38</v>
      </c>
      <c r="R221" s="13">
        <f>ROUND(R179+R183*$K$214,4)</f>
        <v>1100.4552000000001</v>
      </c>
      <c r="T221" s="13" t="s">
        <v>38</v>
      </c>
      <c r="U221" s="13">
        <f>ROUND(U179+U183*$K$214,4)</f>
        <v>0</v>
      </c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53"/>
      <c r="D230" s="14"/>
    </row>
    <row r="232" spans="1:22" ht="18" customHeight="1" x14ac:dyDescent="0.2">
      <c r="B232" s="138"/>
      <c r="C232" s="138"/>
      <c r="E232" s="138"/>
      <c r="F232" s="138"/>
      <c r="H232" s="138"/>
      <c r="I232" s="138"/>
      <c r="K232" s="138"/>
      <c r="L232" s="138"/>
      <c r="N232" s="138"/>
      <c r="O232" s="138"/>
      <c r="Q232" s="138"/>
      <c r="R232" s="138"/>
      <c r="T232" s="138"/>
      <c r="U232" s="138"/>
    </row>
    <row r="234" spans="1:22" ht="18" customHeight="1" x14ac:dyDescent="0.2">
      <c r="B234" s="132" t="s">
        <v>44</v>
      </c>
      <c r="C234" s="132"/>
      <c r="E234" s="132" t="s">
        <v>44</v>
      </c>
      <c r="F234" s="132"/>
      <c r="H234" s="132" t="s">
        <v>44</v>
      </c>
      <c r="I234" s="132"/>
      <c r="K234" s="132" t="s">
        <v>44</v>
      </c>
      <c r="L234" s="132"/>
      <c r="N234" s="132" t="s">
        <v>44</v>
      </c>
      <c r="O234" s="132"/>
      <c r="Q234" s="132" t="s">
        <v>44</v>
      </c>
      <c r="R234" s="132"/>
      <c r="T234" s="132" t="s">
        <v>44</v>
      </c>
      <c r="U234" s="132"/>
    </row>
    <row r="239" spans="1:22" ht="18" customHeight="1" x14ac:dyDescent="0.25">
      <c r="B239" s="141" t="s">
        <v>45</v>
      </c>
      <c r="C239" s="141"/>
      <c r="E239" s="141" t="s">
        <v>45</v>
      </c>
      <c r="F239" s="141"/>
      <c r="H239" s="141" t="s">
        <v>45</v>
      </c>
      <c r="I239" s="141"/>
      <c r="K239" s="141" t="s">
        <v>45</v>
      </c>
      <c r="L239" s="141"/>
      <c r="N239" s="141" t="s">
        <v>45</v>
      </c>
      <c r="O239" s="141"/>
      <c r="Q239" s="141" t="s">
        <v>45</v>
      </c>
      <c r="R239" s="141"/>
      <c r="T239" s="141" t="s">
        <v>45</v>
      </c>
      <c r="U239" s="141"/>
    </row>
    <row r="246" spans="2:21" ht="18" customHeight="1" x14ac:dyDescent="0.4">
      <c r="B246" s="55" t="s">
        <v>95</v>
      </c>
      <c r="C246">
        <f>C179/C183</f>
        <v>-0.78783017851739345</v>
      </c>
      <c r="E246" s="55" t="s">
        <v>95</v>
      </c>
      <c r="F246">
        <f>F179/F183</f>
        <v>-0.26426153283921794</v>
      </c>
      <c r="H246" s="55" t="s">
        <v>95</v>
      </c>
      <c r="I246">
        <f>I179/I183</f>
        <v>-2.8783949138636946</v>
      </c>
      <c r="K246" s="55" t="s">
        <v>95</v>
      </c>
      <c r="L246">
        <f>L179/L183</f>
        <v>4.4522371862610433</v>
      </c>
      <c r="N246" s="55" t="s">
        <v>95</v>
      </c>
      <c r="O246">
        <f>O179/O183</f>
        <v>0.90968953329115709</v>
      </c>
      <c r="Q246" s="55" t="s">
        <v>95</v>
      </c>
      <c r="R246">
        <f>R179/R183</f>
        <v>8.1436041900879896</v>
      </c>
      <c r="T246" s="55" t="s">
        <v>95</v>
      </c>
      <c r="U246">
        <f>U179/U183</f>
        <v>0.1683729830991495</v>
      </c>
    </row>
    <row r="250" spans="2:21" ht="18" customHeight="1" x14ac:dyDescent="0.25">
      <c r="B250" s="140" t="s">
        <v>96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38"/>
      <c r="C274" s="138"/>
      <c r="G274" s="138"/>
      <c r="H274" s="138"/>
      <c r="L274" s="138"/>
      <c r="M274" s="138"/>
    </row>
    <row r="276" spans="2:18" ht="18" customHeight="1" x14ac:dyDescent="0.2">
      <c r="B276" s="115"/>
      <c r="C276" s="115"/>
      <c r="D276" s="115"/>
      <c r="E276" s="115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15"/>
      <c r="C277" s="115"/>
      <c r="D277" s="115"/>
      <c r="E277" s="115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15"/>
      <c r="C278" s="115"/>
      <c r="D278" s="115"/>
      <c r="E278" s="115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38"/>
      <c r="C304" s="138"/>
      <c r="G304" s="138"/>
      <c r="H304" s="138"/>
      <c r="L304" s="138"/>
      <c r="M304" s="138"/>
    </row>
    <row r="306" spans="1:22" ht="18" customHeight="1" x14ac:dyDescent="0.2">
      <c r="B306" s="115"/>
      <c r="C306" s="115"/>
      <c r="D306" s="115"/>
      <c r="E306" s="115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15"/>
      <c r="C307" s="115"/>
      <c r="D307" s="115"/>
      <c r="E307" s="115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15"/>
      <c r="C308" s="115"/>
      <c r="D308" s="115"/>
      <c r="E308" s="115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34" t="s">
        <v>55</v>
      </c>
      <c r="G319" s="135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518068.51403792307</v>
      </c>
      <c r="E320" s="114">
        <f>COUNT(C145:C151) - 1</f>
        <v>6</v>
      </c>
      <c r="F320" s="136">
        <f>D320/E320</f>
        <v>86344.752339653845</v>
      </c>
      <c r="G320" s="137"/>
      <c r="H320" s="77">
        <f>F320/F321</f>
        <v>1532.648136479997</v>
      </c>
      <c r="I320" s="73"/>
    </row>
    <row r="321" spans="3:14" ht="18" customHeight="1" x14ac:dyDescent="0.25">
      <c r="C321" s="25" t="s">
        <v>58</v>
      </c>
      <c r="D321" s="47">
        <f>C160</f>
        <v>6366.0776287436056</v>
      </c>
      <c r="E321" s="114">
        <f>B130 - COUNT(C145:C151)</f>
        <v>113</v>
      </c>
      <c r="F321" s="117">
        <f>D321/E321</f>
        <v>56.336970165872614</v>
      </c>
      <c r="G321" s="117"/>
      <c r="H321" s="52"/>
    </row>
    <row r="322" spans="3:14" ht="18" customHeight="1" x14ac:dyDescent="0.25">
      <c r="C322" s="25" t="s">
        <v>59</v>
      </c>
      <c r="D322" s="47">
        <f>C163</f>
        <v>524434.59166666667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5" t="s">
        <v>97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4" t="s">
        <v>72</v>
      </c>
      <c r="O344" s="144"/>
      <c r="P344" s="144"/>
      <c r="Q344" s="144"/>
      <c r="R344" s="144"/>
      <c r="S344" s="144"/>
      <c r="T344" s="144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1674.6235958072455</v>
      </c>
      <c r="K346" s="17">
        <f>B346-J346</f>
        <v>1.376404192754535</v>
      </c>
      <c r="L346" s="17">
        <f>POWER(K346,2)</f>
        <v>1.894488501832263</v>
      </c>
      <c r="M346" s="29" t="s">
        <v>69</v>
      </c>
      <c r="N346" s="52">
        <v>1</v>
      </c>
      <c r="O346" s="53">
        <f t="shared" ref="O346:T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1157.6193406822401</v>
      </c>
      <c r="K347" s="17">
        <f t="shared" ref="K347:K362" si="10">B347-J347</f>
        <v>5.3806593177598643</v>
      </c>
      <c r="L347" s="17">
        <f t="shared" ref="L347:L362" si="11">POWER(K347,2)</f>
        <v>28.951494693796047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641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655.95592312785175</v>
      </c>
      <c r="K348" s="17">
        <f t="shared" si="10"/>
        <v>-14.955923127851747</v>
      </c>
      <c r="L348" s="17">
        <f t="shared" si="11"/>
        <v>223.67963660621078</v>
      </c>
      <c r="M348" s="29" t="s">
        <v>69</v>
      </c>
      <c r="N348" s="52">
        <v>1</v>
      </c>
      <c r="O348" s="53">
        <f t="shared" si="8"/>
        <v>4.3</v>
      </c>
      <c r="P348" s="53">
        <f t="shared" si="6"/>
        <v>2829</v>
      </c>
      <c r="Q348" s="53">
        <f t="shared" si="6"/>
        <v>12112</v>
      </c>
      <c r="R348" s="53">
        <f t="shared" si="6"/>
        <v>171766</v>
      </c>
      <c r="S348" s="53">
        <f t="shared" si="6"/>
        <v>0.23469999999999999</v>
      </c>
      <c r="T348" s="53">
        <f t="shared" si="6"/>
        <v>2109810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SUM(B36:B42)</f>
        <v>223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5">
        <f t="shared" si="14"/>
        <v>200.3590306644943</v>
      </c>
      <c r="K349" s="17">
        <f t="shared" si="10"/>
        <v>22.640969335505702</v>
      </c>
      <c r="L349" s="17">
        <f t="shared" si="11"/>
        <v>512.61349245130953</v>
      </c>
      <c r="M349" s="29" t="s">
        <v>69</v>
      </c>
      <c r="N349" s="52">
        <v>1</v>
      </c>
      <c r="O349" s="53">
        <f t="shared" si="8"/>
        <v>4.67</v>
      </c>
      <c r="P349" s="53">
        <f t="shared" si="6"/>
        <v>1971</v>
      </c>
      <c r="Q349" s="53">
        <f t="shared" si="6"/>
        <v>7986</v>
      </c>
      <c r="R349" s="53">
        <f t="shared" si="6"/>
        <v>158762</v>
      </c>
      <c r="S349" s="53">
        <f t="shared" si="6"/>
        <v>0.21529999999999999</v>
      </c>
      <c r="T349" s="53">
        <f t="shared" si="6"/>
        <v>2407842</v>
      </c>
      <c r="U349" t="s">
        <v>69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74">
        <f t="shared" si="12"/>
        <v>44256</v>
      </c>
      <c r="B350" s="17">
        <f>SUM(B43:B49)</f>
        <v>144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5">
        <f t="shared" si="14"/>
        <v>156.71211021623557</v>
      </c>
      <c r="K350" s="17">
        <f t="shared" si="10"/>
        <v>-12.712110216235573</v>
      </c>
      <c r="L350" s="17">
        <f t="shared" si="11"/>
        <v>161.59774614972082</v>
      </c>
      <c r="M350" s="29" t="s">
        <v>69</v>
      </c>
      <c r="N350" s="52">
        <v>1</v>
      </c>
      <c r="O350" s="53">
        <f t="shared" si="8"/>
        <v>5.19</v>
      </c>
      <c r="P350" s="53">
        <f t="shared" si="6"/>
        <v>1358</v>
      </c>
      <c r="Q350" s="53">
        <f t="shared" si="6"/>
        <v>5933</v>
      </c>
      <c r="R350" s="53">
        <f t="shared" si="6"/>
        <v>266072</v>
      </c>
      <c r="S350" s="53">
        <f t="shared" si="6"/>
        <v>0.11800000000000001</v>
      </c>
      <c r="T350" s="53">
        <f t="shared" si="6"/>
        <v>2946580</v>
      </c>
      <c r="U350" t="s">
        <v>69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4">
        <f t="shared" si="12"/>
        <v>44263</v>
      </c>
      <c r="B351" s="17">
        <f>SUM(B50:B56)</f>
        <v>84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5">
        <f t="shared" si="14"/>
        <v>91.552557635110077</v>
      </c>
      <c r="K351" s="17">
        <f t="shared" si="10"/>
        <v>-7.5525576351100767</v>
      </c>
      <c r="L351" s="17">
        <f t="shared" si="11"/>
        <v>57.041126831659511</v>
      </c>
      <c r="M351" s="29" t="s">
        <v>69</v>
      </c>
      <c r="N351" s="52">
        <v>1</v>
      </c>
      <c r="O351" s="53">
        <f t="shared" si="8"/>
        <v>5.8500000000000005</v>
      </c>
      <c r="P351" s="53">
        <f t="shared" si="6"/>
        <v>1078</v>
      </c>
      <c r="Q351" s="53">
        <f t="shared" si="6"/>
        <v>4841</v>
      </c>
      <c r="R351" s="53">
        <f t="shared" si="6"/>
        <v>181367</v>
      </c>
      <c r="S351" s="53">
        <f t="shared" si="6"/>
        <v>0.1012</v>
      </c>
      <c r="T351" s="53">
        <f t="shared" si="6"/>
        <v>3508174</v>
      </c>
      <c r="U351" t="s">
        <v>69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4">
        <f t="shared" si="12"/>
        <v>44270</v>
      </c>
      <c r="B352" s="17">
        <f>SUM(B57:B63)</f>
        <v>69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5">
        <f t="shared" si="14"/>
        <v>63.391865941985657</v>
      </c>
      <c r="K352" s="17">
        <f t="shared" si="10"/>
        <v>5.6081340580143433</v>
      </c>
      <c r="L352" s="17">
        <f t="shared" si="11"/>
        <v>31.451167612660427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4">
        <f t="shared" si="12"/>
        <v>44277</v>
      </c>
      <c r="B353" s="17">
        <f>SUM(B57:B63)</f>
        <v>69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63.391865941985657</v>
      </c>
      <c r="K353" s="17">
        <f t="shared" si="10"/>
        <v>5.6081340580143433</v>
      </c>
      <c r="L353" s="17">
        <f t="shared" si="11"/>
        <v>31.451167612660427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4">
        <f t="shared" si="12"/>
        <v>44284</v>
      </c>
      <c r="B354" s="17">
        <f>SUM(B64:B70)</f>
        <v>42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59.670627661911524</v>
      </c>
      <c r="K354" s="17">
        <f t="shared" si="10"/>
        <v>-17.670627661911524</v>
      </c>
      <c r="L354" s="17">
        <f t="shared" si="11"/>
        <v>312.25108196591276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4">
        <f t="shared" si="12"/>
        <v>44291</v>
      </c>
      <c r="B355" s="17">
        <f>SUM(B71:B77)</f>
        <v>37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29.834673692559868</v>
      </c>
      <c r="K355" s="17">
        <f t="shared" si="10"/>
        <v>7.1653263074401323</v>
      </c>
      <c r="L355" s="17">
        <f t="shared" si="11"/>
        <v>51.341901092093643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4">
        <f t="shared" si="12"/>
        <v>44298</v>
      </c>
      <c r="B356" s="17">
        <f>SUM(B78:B84)</f>
        <v>29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32.819952271966912</v>
      </c>
      <c r="K356" s="17">
        <f t="shared" si="10"/>
        <v>-3.8199522719669119</v>
      </c>
      <c r="L356" s="17">
        <f t="shared" si="11"/>
        <v>14.592035360105172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20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22.903765097877674</v>
      </c>
      <c r="K357" s="17">
        <f t="shared" si="10"/>
        <v>-2.9037650978776739</v>
      </c>
      <c r="L357" s="17">
        <f t="shared" si="11"/>
        <v>8.4318517436525369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12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14.592624997324535</v>
      </c>
      <c r="K358" s="17">
        <f t="shared" si="10"/>
        <v>-2.5926249973245348</v>
      </c>
      <c r="L358" s="17">
        <f t="shared" si="11"/>
        <v>6.7217043767520437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15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7.9075996583384773</v>
      </c>
      <c r="K359" s="17">
        <f t="shared" si="10"/>
        <v>7.0924003416615227</v>
      </c>
      <c r="L359" s="17">
        <f t="shared" si="11"/>
        <v>50.30214260640048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15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-1.0319775282306207</v>
      </c>
      <c r="K360" s="17">
        <f t="shared" si="10"/>
        <v>16.03197752823062</v>
      </c>
      <c r="L360" s="17">
        <f t="shared" si="11"/>
        <v>257.02430346569156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10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4.6639421420765483</v>
      </c>
      <c r="K361" s="17">
        <f t="shared" si="10"/>
        <v>5.3360578579234517</v>
      </c>
      <c r="L361" s="17">
        <f t="shared" si="11"/>
        <v>28.473513463106617</v>
      </c>
      <c r="M361" s="29" t="s">
        <v>68</v>
      </c>
      <c r="N361" s="52">
        <v>1</v>
      </c>
      <c r="O361" s="53">
        <f t="shared" si="8"/>
        <v>7.98</v>
      </c>
      <c r="P361" s="53">
        <f t="shared" si="8"/>
        <v>370</v>
      </c>
      <c r="Q361" s="53">
        <f t="shared" si="8"/>
        <v>1703</v>
      </c>
      <c r="R361" s="53">
        <f t="shared" si="8"/>
        <v>313589</v>
      </c>
      <c r="S361" s="53">
        <f t="shared" si="8"/>
        <v>7.8899999999999984E-2</v>
      </c>
      <c r="T361" s="53">
        <f t="shared" si="8"/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6</v>
      </c>
      <c r="C362" s="17">
        <f t="shared" ref="C362:H362" si="28">SUM(C120:C126)</f>
        <v>7.98</v>
      </c>
      <c r="D362" s="17">
        <f t="shared" si="28"/>
        <v>370</v>
      </c>
      <c r="E362" s="17">
        <f t="shared" si="28"/>
        <v>1703</v>
      </c>
      <c r="F362" s="17">
        <f t="shared" si="28"/>
        <v>313589</v>
      </c>
      <c r="G362" s="17">
        <f t="shared" si="28"/>
        <v>7.8899999999999984E-2</v>
      </c>
      <c r="H362" s="17">
        <f t="shared" si="28"/>
        <v>12666680</v>
      </c>
      <c r="J362" s="75">
        <f t="shared" si="14"/>
        <v>20.032501989316152</v>
      </c>
      <c r="K362" s="17">
        <f t="shared" si="10"/>
        <v>-14.032501989316152</v>
      </c>
      <c r="L362" s="17">
        <f t="shared" si="11"/>
        <v>196.91111208016179</v>
      </c>
    </row>
    <row r="364" spans="1:31" ht="18" customHeight="1" x14ac:dyDescent="0.2">
      <c r="A364" s="28" t="s">
        <v>32</v>
      </c>
      <c r="B364">
        <f>COUNT(B346:B362)</f>
        <v>17</v>
      </c>
      <c r="N364" s="143" t="s">
        <v>87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4.3</v>
      </c>
      <c r="R366" s="52">
        <v>4.67</v>
      </c>
      <c r="S366" s="52">
        <v>5.19</v>
      </c>
      <c r="T366" s="52">
        <v>5.8500000000000005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2829</v>
      </c>
      <c r="R367" s="52">
        <v>1971</v>
      </c>
      <c r="S367" s="52">
        <v>1358</v>
      </c>
      <c r="T367" s="52">
        <v>1078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12112</v>
      </c>
      <c r="R368" s="52">
        <v>7986</v>
      </c>
      <c r="S368" s="52">
        <v>5933</v>
      </c>
      <c r="T368" s="52">
        <v>4841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3" t="s">
        <v>93</v>
      </c>
      <c r="B369" s="133"/>
      <c r="C369" s="133"/>
      <c r="D369" s="133"/>
      <c r="E369" s="133"/>
      <c r="F369" s="133"/>
      <c r="G369" s="133"/>
      <c r="H369" s="133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171766</v>
      </c>
      <c r="R369" s="52">
        <v>158762</v>
      </c>
      <c r="S369" s="52">
        <v>266072</v>
      </c>
      <c r="T369" s="52">
        <v>181367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0.23469999999999999</v>
      </c>
      <c r="R370" s="52">
        <v>0.21529999999999999</v>
      </c>
      <c r="S370" s="52">
        <v>0.11800000000000001</v>
      </c>
      <c r="T370" s="52">
        <v>0.1012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2109810</v>
      </c>
      <c r="R371" s="52">
        <v>2407842</v>
      </c>
      <c r="S371" s="52">
        <v>2946580</v>
      </c>
      <c r="T371" s="52">
        <v>3508174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3" t="s">
        <v>100</v>
      </c>
      <c r="O374" s="143"/>
      <c r="P374" s="143"/>
      <c r="Q374" s="143"/>
      <c r="R374" s="143"/>
      <c r="S374" s="143"/>
      <c r="T374" s="143"/>
      <c r="X374" s="143" t="s">
        <v>99</v>
      </c>
      <c r="Y374" s="143"/>
      <c r="Z374" s="143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101.02</v>
      </c>
      <c r="P376" s="52">
        <v>30905</v>
      </c>
      <c r="Q376" s="52">
        <v>169921</v>
      </c>
      <c r="R376" s="52">
        <v>4444945</v>
      </c>
      <c r="S376" s="52">
        <v>4.0590000000000002</v>
      </c>
      <c r="T376" s="52">
        <v>81738549</v>
      </c>
      <c r="U376" t="s">
        <v>71</v>
      </c>
      <c r="X376" s="29" t="s">
        <v>86</v>
      </c>
      <c r="Y376" s="52">
        <f>SUMPRODUCT(B346:B362*N345:N361)</f>
        <v>4255</v>
      </c>
      <c r="Z376" t="s">
        <v>71</v>
      </c>
    </row>
    <row r="377" spans="1:31" ht="18" customHeight="1" x14ac:dyDescent="0.2">
      <c r="M377" s="29" t="s">
        <v>69</v>
      </c>
      <c r="N377" s="52">
        <v>101.02</v>
      </c>
      <c r="O377" s="52">
        <v>633.60979999999995</v>
      </c>
      <c r="P377" s="52">
        <v>147468.15999999997</v>
      </c>
      <c r="Q377" s="52">
        <v>782070.76999999979</v>
      </c>
      <c r="R377" s="52">
        <v>27339495.059999995</v>
      </c>
      <c r="S377" s="52">
        <v>19.395094999999998</v>
      </c>
      <c r="T377" s="52">
        <v>547212368.24000001</v>
      </c>
      <c r="U377" t="s">
        <v>69</v>
      </c>
      <c r="X377" s="29" t="s">
        <v>69</v>
      </c>
      <c r="Y377" s="52">
        <f>SUMPRODUCT(B346:B362*O345:O361)</f>
        <v>18491.41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16.690171103938724</v>
      </c>
      <c r="D378" t="s">
        <v>71</v>
      </c>
      <c r="M378" s="29" t="s">
        <v>69</v>
      </c>
      <c r="N378" s="52">
        <v>30905</v>
      </c>
      <c r="O378" s="52">
        <v>147468.15999999997</v>
      </c>
      <c r="P378" s="52">
        <v>115898427</v>
      </c>
      <c r="Q378" s="52">
        <v>725100383</v>
      </c>
      <c r="R378" s="52">
        <v>7436289383</v>
      </c>
      <c r="S378" s="52">
        <v>16994.293399999999</v>
      </c>
      <c r="T378" s="52">
        <v>77216087455</v>
      </c>
      <c r="U378" t="s">
        <v>69</v>
      </c>
      <c r="X378" s="29" t="s">
        <v>69</v>
      </c>
      <c r="Y378" s="52">
        <f>SUMPRODUCT(B346:B362*P345:P361)</f>
        <v>21538441</v>
      </c>
      <c r="Z378" t="s">
        <v>69</v>
      </c>
    </row>
    <row r="379" spans="1:31" ht="18" customHeight="1" x14ac:dyDescent="0.2">
      <c r="B379" s="29" t="s">
        <v>69</v>
      </c>
      <c r="C379" s="52">
        <v>-11.725615586976971</v>
      </c>
      <c r="D379" t="s">
        <v>69</v>
      </c>
      <c r="E379" s="143" t="s">
        <v>90</v>
      </c>
      <c r="F379" s="143"/>
      <c r="G379" s="143"/>
      <c r="H379" s="143"/>
      <c r="I379" s="143"/>
      <c r="J379" s="143"/>
      <c r="K379" s="143"/>
      <c r="M379" s="29" t="s">
        <v>69</v>
      </c>
      <c r="N379" s="52">
        <v>169921</v>
      </c>
      <c r="O379" s="52">
        <v>782070.76999999979</v>
      </c>
      <c r="P379" s="52">
        <v>725100383</v>
      </c>
      <c r="Q379" s="52">
        <v>4689872725</v>
      </c>
      <c r="R379" s="52">
        <v>41428809685</v>
      </c>
      <c r="S379" s="52">
        <v>111625.19159999998</v>
      </c>
      <c r="T379" s="52">
        <v>356966170090</v>
      </c>
      <c r="U379" t="s">
        <v>69</v>
      </c>
      <c r="X379" s="29" t="s">
        <v>69</v>
      </c>
      <c r="Y379" s="52">
        <f>SUMPRODUCT(B346:B362*Q345:Q361)</f>
        <v>144683956</v>
      </c>
      <c r="Z379" t="s">
        <v>69</v>
      </c>
    </row>
    <row r="380" spans="1:31" ht="18" customHeight="1" x14ac:dyDescent="0.2">
      <c r="B380" s="29" t="s">
        <v>69</v>
      </c>
      <c r="C380" s="52">
        <v>-0.12265327309801277</v>
      </c>
      <c r="D380" t="s">
        <v>69</v>
      </c>
      <c r="M380" s="29" t="s">
        <v>69</v>
      </c>
      <c r="N380" s="52">
        <v>4444945</v>
      </c>
      <c r="O380" s="52">
        <v>27339495.059999995</v>
      </c>
      <c r="P380" s="52">
        <v>7436289383</v>
      </c>
      <c r="Q380" s="52">
        <v>41428809685</v>
      </c>
      <c r="R380" s="52">
        <v>1291636182165</v>
      </c>
      <c r="S380" s="52">
        <v>1011936.3799000001</v>
      </c>
      <c r="T380" s="52">
        <v>23045838598980</v>
      </c>
      <c r="U380" t="s">
        <v>69</v>
      </c>
      <c r="X380" s="29" t="s">
        <v>69</v>
      </c>
      <c r="Y380" s="52">
        <f>SUMPRODUCT(B346:B362*R345:R361)</f>
        <v>1058267495</v>
      </c>
      <c r="Z380" t="s">
        <v>69</v>
      </c>
    </row>
    <row r="381" spans="1:31" ht="18" customHeight="1" x14ac:dyDescent="0.2">
      <c r="B381" s="29" t="s">
        <v>69</v>
      </c>
      <c r="C381" s="52">
        <v>3.0899361512775746E-2</v>
      </c>
      <c r="D381" t="s">
        <v>69</v>
      </c>
      <c r="M381" s="29" t="s">
        <v>69</v>
      </c>
      <c r="N381" s="52">
        <v>4.0590000000000002</v>
      </c>
      <c r="O381" s="52">
        <v>19.395094999999998</v>
      </c>
      <c r="P381" s="52">
        <v>16994.293399999999</v>
      </c>
      <c r="Q381" s="52">
        <v>111625.19159999998</v>
      </c>
      <c r="R381" s="52">
        <v>1011936.3799000001</v>
      </c>
      <c r="S381" s="52">
        <v>2.7229909999999995</v>
      </c>
      <c r="T381" s="52">
        <v>9419241.1938000005</v>
      </c>
      <c r="U381" t="s">
        <v>69</v>
      </c>
      <c r="X381" s="29" t="s">
        <v>69</v>
      </c>
      <c r="Y381" s="52">
        <f>SUMPRODUCT(B346:B362*S345:S361)</f>
        <v>3523.5019999999995</v>
      </c>
      <c r="Z381" t="s">
        <v>69</v>
      </c>
    </row>
    <row r="382" spans="1:31" ht="18" customHeight="1" x14ac:dyDescent="0.2">
      <c r="B382" s="29" t="s">
        <v>69</v>
      </c>
      <c r="C382" s="52">
        <v>8.4632655808264287E-5</v>
      </c>
      <c r="D382" t="s">
        <v>69</v>
      </c>
      <c r="M382" s="29" t="s">
        <v>68</v>
      </c>
      <c r="N382" s="52">
        <v>81738549</v>
      </c>
      <c r="O382" s="52">
        <v>547212368.24000001</v>
      </c>
      <c r="P382" s="52">
        <v>77216087455</v>
      </c>
      <c r="Q382" s="52">
        <v>356966170090</v>
      </c>
      <c r="R382" s="52">
        <v>23045838598980</v>
      </c>
      <c r="S382" s="52">
        <v>9419241.1938000005</v>
      </c>
      <c r="T382" s="52">
        <v>575518287717777</v>
      </c>
      <c r="U382" t="s">
        <v>71</v>
      </c>
      <c r="X382" s="29" t="s">
        <v>68</v>
      </c>
      <c r="Y382" s="52">
        <f>SUMPRODUCT(B346:B362*T345:T361)</f>
        <v>6112564800</v>
      </c>
      <c r="Z382" t="s">
        <v>71</v>
      </c>
    </row>
    <row r="383" spans="1:31" ht="18" customHeight="1" x14ac:dyDescent="0.2">
      <c r="B383" s="29" t="s">
        <v>69</v>
      </c>
      <c r="C383" s="52">
        <v>820.41394911035945</v>
      </c>
      <c r="D383" t="s">
        <v>69</v>
      </c>
    </row>
    <row r="384" spans="1:31" ht="18" customHeight="1" x14ac:dyDescent="0.2">
      <c r="B384" s="29" t="s">
        <v>68</v>
      </c>
      <c r="C384" s="52">
        <v>-1.2613319572325494E-7</v>
      </c>
      <c r="D384" t="s">
        <v>71</v>
      </c>
    </row>
    <row r="385" spans="1:21" ht="18" customHeight="1" x14ac:dyDescent="0.2">
      <c r="N385" s="143" t="s">
        <v>98</v>
      </c>
      <c r="O385" s="143"/>
      <c r="P385" s="143"/>
      <c r="Q385" s="143"/>
      <c r="R385" s="143"/>
      <c r="S385" s="143"/>
      <c r="T385" s="143"/>
    </row>
    <row r="387" spans="1:21" ht="18" customHeight="1" x14ac:dyDescent="0.2">
      <c r="M387" s="29" t="s">
        <v>85</v>
      </c>
      <c r="N387" s="52">
        <f t="array" ref="N387:T393">MINVERSE(N376:T382)</f>
        <v>13.433004034318429</v>
      </c>
      <c r="O387" s="52">
        <v>-1.7016032215050227</v>
      </c>
      <c r="P387" s="52">
        <v>-4.6394596456234222E-3</v>
      </c>
      <c r="Q387" s="52">
        <v>5.6501362129485698E-4</v>
      </c>
      <c r="R387" s="52">
        <v>-1.4358744532520457E-6</v>
      </c>
      <c r="S387" s="52">
        <v>-1.8168279601771098</v>
      </c>
      <c r="T387" s="52">
        <v>6.9325885867409927E-8</v>
      </c>
      <c r="U387" t="s">
        <v>71</v>
      </c>
    </row>
    <row r="388" spans="1:21" ht="18" customHeight="1" x14ac:dyDescent="0.25">
      <c r="A388" s="133" t="s">
        <v>88</v>
      </c>
      <c r="B388" s="133"/>
      <c r="C388" s="133"/>
      <c r="D388" s="133"/>
      <c r="E388" s="133"/>
      <c r="F388" s="133"/>
      <c r="G388" s="133"/>
      <c r="H388" s="133"/>
      <c r="M388" s="29" t="s">
        <v>69</v>
      </c>
      <c r="N388" s="52">
        <v>-1.701603221505025</v>
      </c>
      <c r="O388" s="52">
        <v>0.26650886198415114</v>
      </c>
      <c r="P388" s="52">
        <v>4.2728648923945123E-4</v>
      </c>
      <c r="Q388" s="52">
        <v>-3.0657037882181775E-5</v>
      </c>
      <c r="R388" s="52">
        <v>-3.4893479192251407E-7</v>
      </c>
      <c r="S388" s="52">
        <v>-0.54835962235868108</v>
      </c>
      <c r="T388" s="52">
        <v>-2.7094892792684938E-8</v>
      </c>
      <c r="U388" t="s">
        <v>69</v>
      </c>
    </row>
    <row r="389" spans="1:21" ht="18" customHeight="1" x14ac:dyDescent="0.2">
      <c r="M389" s="29" t="s">
        <v>69</v>
      </c>
      <c r="N389" s="52">
        <v>-4.6394596456233519E-3</v>
      </c>
      <c r="O389" s="52">
        <v>4.2728648923944103E-4</v>
      </c>
      <c r="P389" s="52">
        <v>2.8691988942243972E-6</v>
      </c>
      <c r="Q389" s="52">
        <v>-5.1693681068018291E-7</v>
      </c>
      <c r="R389" s="52">
        <v>1.4296932991370848E-9</v>
      </c>
      <c r="S389" s="52">
        <v>6.5422931914681107E-3</v>
      </c>
      <c r="T389" s="52">
        <v>2.4004398077938244E-11</v>
      </c>
      <c r="U389" t="s">
        <v>69</v>
      </c>
    </row>
    <row r="390" spans="1:21" ht="18" customHeight="1" x14ac:dyDescent="0.2">
      <c r="M390" s="29" t="s">
        <v>69</v>
      </c>
      <c r="N390" s="52">
        <v>5.650136212948392E-4</v>
      </c>
      <c r="O390" s="52">
        <v>-3.0657037882179234E-5</v>
      </c>
      <c r="P390" s="52">
        <v>-5.1693681068017994E-7</v>
      </c>
      <c r="Q390" s="52">
        <v>1.1479065757759416E-7</v>
      </c>
      <c r="R390" s="52">
        <v>-3.4347685360176707E-10</v>
      </c>
      <c r="S390" s="52">
        <v>-1.9505635562407119E-3</v>
      </c>
      <c r="T390" s="52">
        <v>-7.2621253591372277E-12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-1.4358744532520777E-6</v>
      </c>
      <c r="O391" s="52">
        <v>-3.4893479192251005E-7</v>
      </c>
      <c r="P391" s="52">
        <v>1.4296932991370997E-9</v>
      </c>
      <c r="Q391" s="52">
        <v>-3.4347685360176893E-10</v>
      </c>
      <c r="R391" s="52">
        <v>1.131870032216413E-11</v>
      </c>
      <c r="S391" s="52">
        <v>5.5314793788070206E-6</v>
      </c>
      <c r="T391" s="52">
        <v>1.3154652577107398E-14</v>
      </c>
      <c r="U391" t="s">
        <v>69</v>
      </c>
    </row>
    <row r="392" spans="1:21" ht="18" customHeight="1" x14ac:dyDescent="0.2">
      <c r="B392" s="16"/>
      <c r="C392" s="48">
        <f>SUM(L346:L362)</f>
        <v>1974.7299666137262</v>
      </c>
      <c r="M392" s="29" t="s">
        <v>69</v>
      </c>
      <c r="N392" s="52">
        <v>-1.8168279601767636</v>
      </c>
      <c r="O392" s="52">
        <v>-0.5483596223587317</v>
      </c>
      <c r="P392" s="52">
        <v>6.542293191468024E-3</v>
      </c>
      <c r="Q392" s="52">
        <v>-1.9505635562407032E-3</v>
      </c>
      <c r="R392" s="52">
        <v>5.5314793788070198E-6</v>
      </c>
      <c r="S392" s="52">
        <v>43.436004999998289</v>
      </c>
      <c r="T392" s="52">
        <v>1.7910322128322767E-7</v>
      </c>
      <c r="U392" t="s">
        <v>69</v>
      </c>
    </row>
    <row r="393" spans="1:21" ht="18" customHeight="1" x14ac:dyDescent="0.2">
      <c r="C393" s="52">
        <f>SUMPRODUCT(POWER(B346:B362,2))</f>
        <v>4664573</v>
      </c>
      <c r="M393" s="29" t="s">
        <v>68</v>
      </c>
      <c r="N393" s="52">
        <v>6.932588586740961E-8</v>
      </c>
      <c r="O393" s="52">
        <v>-2.7094892792684842E-8</v>
      </c>
      <c r="P393" s="52">
        <v>2.4004398077937571E-11</v>
      </c>
      <c r="Q393" s="52">
        <v>-7.2621253591369821E-12</v>
      </c>
      <c r="R393" s="52">
        <v>1.3154652577107404E-14</v>
      </c>
      <c r="S393" s="52">
        <v>1.7910322128322158E-7</v>
      </c>
      <c r="T393" s="52">
        <v>1.5479428296853751E-14</v>
      </c>
      <c r="U393" t="s">
        <v>71</v>
      </c>
    </row>
    <row r="394" spans="1:21" ht="18" customHeight="1" x14ac:dyDescent="0.2">
      <c r="C394" s="52">
        <f>B364 * POWER(W349,2)</f>
        <v>1065001.4705882352</v>
      </c>
    </row>
    <row r="395" spans="1:21" ht="18" customHeight="1" x14ac:dyDescent="0.2">
      <c r="C395" s="52">
        <f>C393-C394</f>
        <v>3599571.5294117648</v>
      </c>
    </row>
    <row r="396" spans="1:21" ht="18" customHeight="1" x14ac:dyDescent="0.2">
      <c r="B396" s="13"/>
      <c r="C396" s="49">
        <f>C395-C392</f>
        <v>3597596.7994451509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0.9994513986038398</v>
      </c>
    </row>
    <row r="399" spans="1:21" ht="18" customHeight="1" x14ac:dyDescent="0.2">
      <c r="C399" s="52">
        <f>1 - C392 / (B362 - (COUNT(C379:C384) +1)) / (C395 / (B362-1))</f>
        <v>1.002743006980801</v>
      </c>
    </row>
    <row r="404" spans="1:22" ht="18" customHeight="1" x14ac:dyDescent="0.25">
      <c r="A404" s="133" t="s">
        <v>92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B407" s="138"/>
      <c r="C407" s="138"/>
      <c r="E407" s="138"/>
      <c r="F407" s="138"/>
      <c r="H407" s="138"/>
      <c r="I407" s="138"/>
      <c r="K407" s="138"/>
      <c r="L407" s="138"/>
      <c r="N407" s="138"/>
      <c r="O407" s="138"/>
      <c r="Q407" s="138"/>
      <c r="R407" s="138"/>
      <c r="T407" s="138"/>
      <c r="U407" s="138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16.690171103938724</v>
      </c>
      <c r="E410" s="16"/>
      <c r="F410" s="48">
        <f>C379</f>
        <v>-11.725615586976971</v>
      </c>
      <c r="H410" s="16"/>
      <c r="I410" s="48">
        <f>C380</f>
        <v>-0.12265327309801277</v>
      </c>
      <c r="K410" s="16"/>
      <c r="L410" s="48">
        <f>C381</f>
        <v>3.0899361512775746E-2</v>
      </c>
      <c r="N410" s="16"/>
      <c r="O410" s="48">
        <f>C382</f>
        <v>8.4632655808264287E-5</v>
      </c>
      <c r="Q410" s="16"/>
      <c r="R410" s="48">
        <f>C383</f>
        <v>820.41394911035945</v>
      </c>
      <c r="T410" s="16"/>
      <c r="U410" s="48">
        <f>C384</f>
        <v>-1.2613319572325494E-7</v>
      </c>
    </row>
    <row r="411" spans="1:22" ht="18" customHeight="1" x14ac:dyDescent="0.2">
      <c r="C411" s="76">
        <f>$C$392/($B$364-(COUNT($C$379:$C$384)+1))</f>
        <v>197.47299666137263</v>
      </c>
      <c r="F411" s="76">
        <f>$C$392/($B$364-(COUNT($C$379:$C$384)+1))</f>
        <v>197.47299666137263</v>
      </c>
      <c r="I411" s="76">
        <f>$C$392/($B$364-(COUNT($C$379:$C$384)+1))</f>
        <v>197.47299666137263</v>
      </c>
      <c r="L411" s="76">
        <f>$C$392/($B$364-(COUNT($C$379:$C$384)+1))</f>
        <v>197.47299666137263</v>
      </c>
      <c r="O411" s="76">
        <f>$C$392/($B$364-(COUNT($C$379:$C$384)+1))</f>
        <v>197.47299666137263</v>
      </c>
      <c r="R411" s="76">
        <f>$C$392/($B$364-(COUNT($C$379:$C$384)+1))</f>
        <v>197.47299666137263</v>
      </c>
      <c r="U411" s="76">
        <f>$C$392/($B$364-(COUNT($C$379:$C$384)+1))</f>
        <v>197.47299666137263</v>
      </c>
    </row>
    <row r="412" spans="1:22" ht="18" customHeight="1" x14ac:dyDescent="0.2">
      <c r="C412" s="76">
        <f>N387</f>
        <v>13.433004034318429</v>
      </c>
      <c r="F412" s="76">
        <f>O388</f>
        <v>0.26650886198415114</v>
      </c>
      <c r="I412" s="76">
        <f>P389</f>
        <v>2.8691988942243972E-6</v>
      </c>
      <c r="L412" s="76">
        <f>Q390</f>
        <v>1.1479065757759416E-7</v>
      </c>
      <c r="O412" s="76">
        <f>R391</f>
        <v>1.131870032216413E-11</v>
      </c>
      <c r="R412" s="76">
        <f>S392</f>
        <v>43.436004999998289</v>
      </c>
      <c r="U412" s="76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0"/>
      <c r="C414" s="142">
        <f>SQRT(C411*C412)</f>
        <v>51.503937333190052</v>
      </c>
      <c r="E414" s="130"/>
      <c r="F414" s="142">
        <f>SQRT(F411*F412)</f>
        <v>7.2545367607327282</v>
      </c>
      <c r="H414" s="130"/>
      <c r="I414" s="142">
        <f>SQRT(I411*I412)</f>
        <v>2.3803136424849321E-2</v>
      </c>
      <c r="K414" s="130"/>
      <c r="L414" s="142">
        <f>SQRT(L411*L412)</f>
        <v>4.7610981023895127E-3</v>
      </c>
      <c r="N414" s="130"/>
      <c r="O414" s="142">
        <f>SQRT(O411*O412)</f>
        <v>4.7277242632473766E-5</v>
      </c>
      <c r="Q414" s="130"/>
      <c r="R414" s="142">
        <f>SQRT(R411*R412)</f>
        <v>92.614459294151402</v>
      </c>
      <c r="T414" s="130"/>
      <c r="U414" s="142">
        <f>SQRT(U411*U412)</f>
        <v>1.748361831082044E-6</v>
      </c>
    </row>
    <row r="415" spans="1:22" ht="18" customHeight="1" x14ac:dyDescent="0.2">
      <c r="B415" s="122"/>
      <c r="C415" s="128"/>
      <c r="E415" s="122"/>
      <c r="F415" s="128"/>
      <c r="H415" s="122"/>
      <c r="I415" s="128"/>
      <c r="K415" s="122"/>
      <c r="L415" s="128"/>
      <c r="N415" s="122"/>
      <c r="O415" s="128"/>
      <c r="Q415" s="122"/>
      <c r="R415" s="128"/>
      <c r="T415" s="122"/>
      <c r="U415" s="128"/>
    </row>
    <row r="419" spans="2:21" ht="18" customHeight="1" x14ac:dyDescent="0.2">
      <c r="B419" s="132" t="s">
        <v>40</v>
      </c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8"/>
      <c r="C429" s="138"/>
      <c r="E429" s="138"/>
      <c r="F429" s="138"/>
      <c r="H429" s="138"/>
      <c r="I429" s="138"/>
      <c r="K429" s="138"/>
      <c r="L429" s="138"/>
      <c r="N429" s="138"/>
      <c r="O429" s="138"/>
      <c r="Q429" s="138"/>
      <c r="R429" s="138"/>
      <c r="T429" s="138"/>
      <c r="U429" s="138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-76.658699999999996</v>
      </c>
      <c r="D431" s="14"/>
      <c r="E431" s="16" t="s">
        <v>37</v>
      </c>
      <c r="F431" s="16">
        <f>ROUND(F410-F414*$K$425,4)</f>
        <v>-24.874199999999998</v>
      </c>
      <c r="H431" s="16" t="s">
        <v>37</v>
      </c>
      <c r="I431" s="16">
        <f>ROUND(I410-I414*$K$425,4)</f>
        <v>-0.1658</v>
      </c>
      <c r="K431" s="16" t="s">
        <v>37</v>
      </c>
      <c r="L431" s="16">
        <f>ROUND(L410-L414*$K$194425,4)</f>
        <v>3.09E-2</v>
      </c>
      <c r="N431" s="16" t="s">
        <v>37</v>
      </c>
      <c r="O431" s="16">
        <f>ROUND(O410-O414*$K$425,4)</f>
        <v>0</v>
      </c>
      <c r="Q431" s="16" t="s">
        <v>37</v>
      </c>
      <c r="R431" s="16">
        <f>ROUND(R410-R414*$K$425,4)</f>
        <v>652.55380000000002</v>
      </c>
      <c r="T431" s="16" t="s">
        <v>37</v>
      </c>
      <c r="U431" s="16">
        <f>ROUND(U410-U414*$K$425,4)</f>
        <v>0</v>
      </c>
    </row>
    <row r="432" spans="2:21" ht="18" customHeight="1" x14ac:dyDescent="0.2">
      <c r="B432" s="13" t="s">
        <v>38</v>
      </c>
      <c r="C432" s="13">
        <f>ROUND(C410+C414*$K$425,4)</f>
        <v>110.0391</v>
      </c>
      <c r="E432" s="13" t="s">
        <v>38</v>
      </c>
      <c r="F432" s="13">
        <f>ROUND(F410+F414*$K$425,4)</f>
        <v>1.423</v>
      </c>
      <c r="H432" s="13" t="s">
        <v>38</v>
      </c>
      <c r="I432" s="13">
        <f>ROUND(I410+I414*$K$425,4)</f>
        <v>-7.9500000000000001E-2</v>
      </c>
      <c r="K432" s="13" t="s">
        <v>38</v>
      </c>
      <c r="L432" s="13">
        <f>ROUND(L410+L414*$K$425,4)</f>
        <v>3.95E-2</v>
      </c>
      <c r="N432" s="13" t="s">
        <v>38</v>
      </c>
      <c r="O432" s="13">
        <f>ROUND(O410+O414*$K$194425,4)</f>
        <v>1E-4</v>
      </c>
      <c r="Q432" s="13" t="s">
        <v>38</v>
      </c>
      <c r="R432" s="13">
        <f>ROUND(R410+R414*$K$425,4)</f>
        <v>988.27409999999998</v>
      </c>
      <c r="T432" s="13" t="s">
        <v>38</v>
      </c>
      <c r="U432" s="13">
        <f>ROUND(U410+U414*$K$425,4)</f>
        <v>0</v>
      </c>
    </row>
    <row r="439" spans="2:21" ht="18" customHeight="1" x14ac:dyDescent="0.2">
      <c r="B439" s="132" t="s">
        <v>42</v>
      </c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8"/>
      <c r="C449" s="138"/>
      <c r="E449" s="138"/>
      <c r="F449" s="138"/>
      <c r="H449" s="138"/>
      <c r="I449" s="138"/>
      <c r="K449" s="138"/>
      <c r="L449" s="138"/>
      <c r="N449" s="138"/>
      <c r="O449" s="138"/>
      <c r="Q449" s="138"/>
      <c r="R449" s="138"/>
      <c r="T449" s="138"/>
      <c r="U449" s="138"/>
    </row>
    <row r="451" spans="1:22" ht="18" customHeight="1" x14ac:dyDescent="0.2">
      <c r="A451" s="54"/>
      <c r="B451" s="16" t="s">
        <v>37</v>
      </c>
      <c r="C451" s="16">
        <f>ROUND(C410-C414*$K$445,4)</f>
        <v>-98.067800000000005</v>
      </c>
      <c r="E451" s="16" t="s">
        <v>37</v>
      </c>
      <c r="F451" s="16">
        <f>ROUND(F410-F414*$K$445,4)</f>
        <v>-27.889700000000001</v>
      </c>
      <c r="H451" s="16" t="s">
        <v>37</v>
      </c>
      <c r="I451" s="16">
        <f>ROUND(I410-I414*$K$445,4)</f>
        <v>-0.1757</v>
      </c>
      <c r="K451" s="16" t="s">
        <v>37</v>
      </c>
      <c r="L451" s="16">
        <f>ROUND(L410-L414*$K$445,4)</f>
        <v>2.0299999999999999E-2</v>
      </c>
      <c r="N451" s="16" t="s">
        <v>37</v>
      </c>
      <c r="O451" s="16">
        <f>ROUND(O410-O414*$K$445,4)</f>
        <v>0</v>
      </c>
      <c r="Q451" s="16" t="s">
        <v>37</v>
      </c>
      <c r="R451" s="16">
        <f>ROUND(R410-R414*$K$445,4)</f>
        <v>614.05610000000001</v>
      </c>
      <c r="T451" s="16" t="s">
        <v>37</v>
      </c>
      <c r="U451" s="16">
        <f>ROUND(U410-U414*$K$445,4)</f>
        <v>0</v>
      </c>
    </row>
    <row r="452" spans="1:22" ht="18" customHeight="1" x14ac:dyDescent="0.2">
      <c r="B452" s="13" t="s">
        <v>38</v>
      </c>
      <c r="C452" s="13">
        <f>ROUND(C410+C414*$K$445,4)</f>
        <v>131.44810000000001</v>
      </c>
      <c r="E452" s="13" t="s">
        <v>38</v>
      </c>
      <c r="F452" s="13">
        <f>ROUND(F410+F414*$K$445,4)</f>
        <v>4.4385000000000003</v>
      </c>
      <c r="H452" s="13" t="s">
        <v>38</v>
      </c>
      <c r="I452" s="13">
        <f>ROUND(I410+I414*$K$445,4)</f>
        <v>-6.9599999999999995E-2</v>
      </c>
      <c r="K452" s="13" t="s">
        <v>38</v>
      </c>
      <c r="L452" s="13">
        <f>ROUND(L410+L414*$K$445,4)</f>
        <v>4.1500000000000002E-2</v>
      </c>
      <c r="N452" s="13" t="s">
        <v>38</v>
      </c>
      <c r="O452" s="13">
        <f>ROUND(O410+O414*$K$445,4)</f>
        <v>2.0000000000000001E-4</v>
      </c>
      <c r="Q452" s="13" t="s">
        <v>38</v>
      </c>
      <c r="R452" s="13">
        <f>ROUND(R410+R414*$K$445,4)</f>
        <v>1026.7718</v>
      </c>
      <c r="T452" s="13" t="s">
        <v>38</v>
      </c>
      <c r="U452" s="13">
        <f>ROUND(U410+U414*$K$445,4)</f>
        <v>0</v>
      </c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8"/>
      <c r="C463" s="138"/>
      <c r="E463" s="138"/>
      <c r="F463" s="138"/>
      <c r="H463" s="138"/>
      <c r="I463" s="138"/>
      <c r="K463" s="138"/>
      <c r="L463" s="138"/>
      <c r="N463" s="138"/>
      <c r="O463" s="138"/>
      <c r="Q463" s="138"/>
      <c r="R463" s="138"/>
      <c r="T463" s="138"/>
      <c r="U463" s="138"/>
    </row>
    <row r="465" spans="2:21" ht="18" customHeight="1" x14ac:dyDescent="0.2">
      <c r="B465" s="132" t="s">
        <v>44</v>
      </c>
      <c r="C465" s="132"/>
      <c r="E465" s="132" t="s">
        <v>44</v>
      </c>
      <c r="F465" s="132"/>
      <c r="H465" s="132" t="s">
        <v>44</v>
      </c>
      <c r="I465" s="132"/>
      <c r="K465" s="132" t="s">
        <v>44</v>
      </c>
      <c r="L465" s="132"/>
      <c r="N465" s="132" t="s">
        <v>44</v>
      </c>
      <c r="O465" s="132"/>
      <c r="Q465" s="132" t="s">
        <v>44</v>
      </c>
      <c r="R465" s="132"/>
      <c r="T465" s="132" t="s">
        <v>44</v>
      </c>
      <c r="U465" s="132"/>
    </row>
    <row r="470" spans="2:21" ht="18" customHeight="1" x14ac:dyDescent="0.25">
      <c r="B470" s="141" t="s">
        <v>45</v>
      </c>
      <c r="C470" s="141"/>
      <c r="E470" s="141" t="s">
        <v>45</v>
      </c>
      <c r="F470" s="141"/>
      <c r="H470" s="141" t="s">
        <v>45</v>
      </c>
      <c r="I470" s="141"/>
      <c r="K470" s="141" t="s">
        <v>45</v>
      </c>
      <c r="L470" s="141"/>
      <c r="N470" s="141" t="s">
        <v>45</v>
      </c>
      <c r="O470" s="141"/>
      <c r="Q470" s="141" t="s">
        <v>45</v>
      </c>
      <c r="R470" s="141"/>
      <c r="T470" s="141" t="s">
        <v>45</v>
      </c>
      <c r="U470" s="141"/>
    </row>
    <row r="477" spans="2:21" ht="18" customHeight="1" x14ac:dyDescent="0.4">
      <c r="B477" s="55" t="s">
        <v>95</v>
      </c>
      <c r="C477">
        <f>C410/C414</f>
        <v>0.32405621721629585</v>
      </c>
      <c r="E477" s="55" t="s">
        <v>95</v>
      </c>
      <c r="F477">
        <f>F410/F414</f>
        <v>-1.6163148625071757</v>
      </c>
      <c r="H477" s="55" t="s">
        <v>95</v>
      </c>
      <c r="I477">
        <f>I410/I414</f>
        <v>-5.1528198178946152</v>
      </c>
      <c r="K477" s="55" t="s">
        <v>95</v>
      </c>
      <c r="L477">
        <f>L410/L414</f>
        <v>6.4899653080594772</v>
      </c>
      <c r="N477" s="55" t="s">
        <v>95</v>
      </c>
      <c r="O477">
        <f>O410/O414</f>
        <v>1.7901351918128121</v>
      </c>
      <c r="Q477" s="55" t="s">
        <v>95</v>
      </c>
      <c r="R477">
        <f>R410/R414</f>
        <v>8.8583786523511936</v>
      </c>
      <c r="T477" s="55" t="s">
        <v>95</v>
      </c>
      <c r="U477">
        <f>U410/U414</f>
        <v>-7.2143645257453565E-2</v>
      </c>
    </row>
    <row r="481" spans="2:21" ht="18" customHeight="1" x14ac:dyDescent="0.25">
      <c r="B481" s="140" t="s">
        <v>96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138"/>
      <c r="C505" s="138"/>
      <c r="G505" s="138"/>
      <c r="H505" s="138"/>
      <c r="L505" s="138"/>
      <c r="M505" s="138"/>
    </row>
    <row r="507" spans="2:22" ht="18" customHeight="1" x14ac:dyDescent="0.2">
      <c r="B507" s="115"/>
      <c r="C507" s="115"/>
      <c r="D507" s="115"/>
      <c r="E507" s="115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15"/>
      <c r="C508" s="115"/>
      <c r="D508" s="115"/>
      <c r="E508" s="115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15"/>
      <c r="C509" s="115"/>
      <c r="D509" s="115"/>
      <c r="E509" s="115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2.776445105197793</v>
      </c>
      <c r="S523" s="56"/>
    </row>
    <row r="524" spans="2:19" ht="18" customHeight="1" x14ac:dyDescent="0.2">
      <c r="S524" s="56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138"/>
      <c r="C535" s="138"/>
      <c r="G535" s="138"/>
      <c r="H535" s="138"/>
      <c r="L535" s="138"/>
      <c r="M535" s="138"/>
    </row>
    <row r="537" spans="2:22" ht="18" customHeight="1" x14ac:dyDescent="0.2">
      <c r="B537" s="115"/>
      <c r="C537" s="115"/>
      <c r="D537" s="115"/>
      <c r="E537" s="115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15"/>
      <c r="C538" s="115"/>
      <c r="D538" s="115"/>
      <c r="E538" s="115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15"/>
      <c r="C539" s="115"/>
      <c r="D539" s="115"/>
      <c r="E539" s="115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34" t="s">
        <v>55</v>
      </c>
      <c r="G550" s="135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3597596.7994451509</v>
      </c>
      <c r="E551" s="114">
        <f>COUNT(C379:C384)</f>
        <v>6</v>
      </c>
      <c r="F551" s="136">
        <f>D551/E551</f>
        <v>599599.46657419181</v>
      </c>
      <c r="G551" s="137"/>
      <c r="H551" s="77">
        <f>F551/F552</f>
        <v>3036.3618150910374</v>
      </c>
      <c r="I551" s="73"/>
    </row>
    <row r="552" spans="1:22" ht="18" customHeight="1" x14ac:dyDescent="0.25">
      <c r="C552" s="25" t="s">
        <v>58</v>
      </c>
      <c r="D552" s="47">
        <f>C392</f>
        <v>1974.7299666137262</v>
      </c>
      <c r="E552" s="114">
        <f>B364 - (COUNT(C379:C384) + 1)</f>
        <v>10</v>
      </c>
      <c r="F552" s="117">
        <f>D552/E552</f>
        <v>197.47299666137263</v>
      </c>
      <c r="G552" s="117"/>
      <c r="H552" s="52"/>
    </row>
    <row r="553" spans="1:22" ht="18" customHeight="1" x14ac:dyDescent="0.25">
      <c r="C553" s="25" t="s">
        <v>59</v>
      </c>
      <c r="D553" s="47">
        <f>C395</f>
        <v>3599571.5294117648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opLeftCell="A531" zoomScale="80" zoomScaleNormal="80" workbookViewId="0">
      <selection activeCell="P544" sqref="P54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66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1" customFormat="1" ht="18" customHeight="1" x14ac:dyDescent="0.2">
      <c r="A5" s="145" t="s">
        <v>91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4" t="s">
        <v>72</v>
      </c>
      <c r="N6" s="144"/>
      <c r="O6" s="144"/>
      <c r="P6" s="144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7315.0277891428341</v>
      </c>
      <c r="H8" s="17">
        <f t="shared" ref="H8:H39" si="0">B8-G8</f>
        <v>-1510.0277891428341</v>
      </c>
      <c r="I8" s="17">
        <f>POWER(H8,2)</f>
        <v>2280183.9239835953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7091.6224793764068</v>
      </c>
      <c r="H9" s="17">
        <f t="shared" si="0"/>
        <v>-1551.6224793764068</v>
      </c>
      <c r="I9" s="17">
        <f t="shared" ref="I9:I72" si="3">POWER(H9,2)</f>
        <v>2407532.3185061878</v>
      </c>
      <c r="L9" s="29" t="s">
        <v>69</v>
      </c>
      <c r="M9" s="64">
        <v>1</v>
      </c>
      <c r="N9" s="30">
        <f t="shared" ref="N9:P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6798.3994104881203</v>
      </c>
      <c r="H10" s="17">
        <f t="shared" si="0"/>
        <v>2284.6005895118797</v>
      </c>
      <c r="I10" s="17">
        <f t="shared" si="3"/>
        <v>5219399.8535980284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6101.7358714997372</v>
      </c>
      <c r="H11" s="17">
        <f t="shared" si="0"/>
        <v>1812.2641285002628</v>
      </c>
      <c r="I11" s="17">
        <f t="shared" si="3"/>
        <v>3284301.2714488171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5657.5914472095228</v>
      </c>
      <c r="H12" s="17">
        <f t="shared" si="0"/>
        <v>1258.4085527904772</v>
      </c>
      <c r="I12" s="17">
        <f t="shared" si="3"/>
        <v>1583592.0857362233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5334.9941872912732</v>
      </c>
      <c r="H13" s="17">
        <f t="shared" si="0"/>
        <v>797.00581270872681</v>
      </c>
      <c r="I13" s="17">
        <f t="shared" si="3"/>
        <v>635218.26549149817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4330.4431788870361</v>
      </c>
      <c r="H14" s="17">
        <f t="shared" si="0"/>
        <v>-822.44317888703608</v>
      </c>
      <c r="I14" s="17">
        <f t="shared" si="3"/>
        <v>676412.78249781323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0"/>
      <c r="G15" s="17">
        <f t="shared" si="2"/>
        <v>3933.9858396458585</v>
      </c>
      <c r="H15" s="17">
        <f t="shared" si="0"/>
        <v>-1428.9858396458585</v>
      </c>
      <c r="I15" s="17">
        <f t="shared" si="3"/>
        <v>2042000.5299083793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4124.3872066974309</v>
      </c>
      <c r="H16" s="17">
        <f t="shared" si="0"/>
        <v>-1541.3872066974309</v>
      </c>
      <c r="I16" s="17">
        <f t="shared" si="3"/>
        <v>2375874.5209705085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3729.7325905378548</v>
      </c>
      <c r="H17" s="17">
        <f t="shared" si="0"/>
        <v>657.26740946214522</v>
      </c>
      <c r="I17" s="17">
        <f t="shared" si="3"/>
        <v>432000.44754107925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0"/>
      <c r="G18" s="17">
        <f t="shared" si="2"/>
        <v>3249.086887888715</v>
      </c>
      <c r="H18" s="17">
        <f t="shared" si="0"/>
        <v>230.91311211128505</v>
      </c>
      <c r="I18" s="17">
        <f t="shared" si="3"/>
        <v>53320.865344918893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2823.9965833552515</v>
      </c>
      <c r="H19" s="17">
        <f t="shared" si="0"/>
        <v>30.00341664474854</v>
      </c>
      <c r="I19" s="17">
        <f t="shared" si="3"/>
        <v>900.20501035837378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2483.077125338013</v>
      </c>
      <c r="H20" s="17">
        <f t="shared" si="0"/>
        <v>372.92287466198695</v>
      </c>
      <c r="I20" s="17">
        <f t="shared" si="3"/>
        <v>139071.47044616003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2059.1377001884553</v>
      </c>
      <c r="H21" s="17">
        <f t="shared" si="0"/>
        <v>-382.13770018845526</v>
      </c>
      <c r="I21" s="17">
        <f t="shared" si="3"/>
        <v>146029.22190532173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1738.1283934019648</v>
      </c>
      <c r="H22" s="17">
        <f t="shared" si="0"/>
        <v>-435.12839340196479</v>
      </c>
      <c r="I22" s="17">
        <f t="shared" si="3"/>
        <v>189336.71874457505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1888.2872789457269</v>
      </c>
      <c r="H23" s="17">
        <f t="shared" si="0"/>
        <v>-386.28727894572694</v>
      </c>
      <c r="I23" s="17">
        <f t="shared" si="3"/>
        <v>149217.86187529386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1632.0896949704352</v>
      </c>
      <c r="H24" s="17">
        <f t="shared" si="0"/>
        <v>691.91030502956482</v>
      </c>
      <c r="I24" s="17">
        <f t="shared" si="3"/>
        <v>478739.87020610546</v>
      </c>
      <c r="L24" s="29" t="s">
        <v>69</v>
      </c>
      <c r="M24" s="64">
        <v>1</v>
      </c>
      <c r="N24" s="30">
        <f t="shared" si="4"/>
        <v>719</v>
      </c>
      <c r="O24" s="30">
        <f t="shared" si="4"/>
        <v>4137</v>
      </c>
      <c r="P24" s="30">
        <f t="shared" si="4"/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1505.2734595358393</v>
      </c>
      <c r="H25" s="17">
        <f t="shared" si="0"/>
        <v>438.72654046416073</v>
      </c>
      <c r="I25" s="17">
        <f t="shared" si="3"/>
        <v>192480.97730765087</v>
      </c>
      <c r="L25" s="29" t="s">
        <v>69</v>
      </c>
      <c r="M25" s="64">
        <v>1</v>
      </c>
      <c r="N25" s="30">
        <f t="shared" si="4"/>
        <v>688</v>
      </c>
      <c r="O25" s="30">
        <f t="shared" si="4"/>
        <v>3819</v>
      </c>
      <c r="P25" s="30">
        <f t="shared" si="4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1528.4833475543132</v>
      </c>
      <c r="H26" s="17">
        <f t="shared" si="0"/>
        <v>411.51665244568676</v>
      </c>
      <c r="I26" s="17">
        <f t="shared" si="3"/>
        <v>169345.95524010414</v>
      </c>
      <c r="L26" s="29" t="s">
        <v>69</v>
      </c>
      <c r="M26" s="64">
        <v>1</v>
      </c>
      <c r="N26" s="30">
        <f t="shared" si="4"/>
        <v>669</v>
      </c>
      <c r="O26" s="30">
        <f t="shared" si="4"/>
        <v>3584</v>
      </c>
      <c r="P26" s="30">
        <f t="shared" si="4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1382.2951701434799</v>
      </c>
      <c r="H27" s="17">
        <f t="shared" si="0"/>
        <v>187.70482985652006</v>
      </c>
      <c r="I27" s="17">
        <f t="shared" si="3"/>
        <v>35233.103151465148</v>
      </c>
      <c r="L27" s="29" t="s">
        <v>69</v>
      </c>
      <c r="M27" s="64">
        <v>1</v>
      </c>
      <c r="N27" s="30">
        <f t="shared" si="4"/>
        <v>656</v>
      </c>
      <c r="O27" s="30">
        <f t="shared" si="4"/>
        <v>3284</v>
      </c>
      <c r="P27" s="30">
        <f t="shared" si="4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1202.4500083117719</v>
      </c>
      <c r="H28" s="17">
        <f t="shared" si="0"/>
        <v>-16.450008311771853</v>
      </c>
      <c r="I28" s="17">
        <f t="shared" si="3"/>
        <v>270.60277345736307</v>
      </c>
      <c r="L28" s="29" t="s">
        <v>69</v>
      </c>
      <c r="M28" s="64">
        <v>1</v>
      </c>
      <c r="N28" s="30">
        <f t="shared" si="4"/>
        <v>638</v>
      </c>
      <c r="O28" s="30">
        <f t="shared" si="4"/>
        <v>3316</v>
      </c>
      <c r="P28" s="30">
        <f t="shared" si="4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976.86643757932961</v>
      </c>
      <c r="H29" s="17">
        <f t="shared" si="0"/>
        <v>-427.86643757932961</v>
      </c>
      <c r="I29" s="17">
        <f t="shared" si="3"/>
        <v>183069.68840682638</v>
      </c>
      <c r="L29" s="29" t="s">
        <v>69</v>
      </c>
      <c r="M29" s="64">
        <v>1</v>
      </c>
      <c r="N29" s="30">
        <f t="shared" si="4"/>
        <v>627</v>
      </c>
      <c r="O29" s="30">
        <f t="shared" si="4"/>
        <v>3322</v>
      </c>
      <c r="P29" s="30">
        <f t="shared" si="4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0"/>
      <c r="G30" s="17">
        <f t="shared" si="2"/>
        <v>1097.9878689226639</v>
      </c>
      <c r="H30" s="17">
        <f t="shared" si="0"/>
        <v>-65.987868922663893</v>
      </c>
      <c r="I30" s="17">
        <f t="shared" si="3"/>
        <v>4354.3988449546714</v>
      </c>
      <c r="L30" s="29" t="s">
        <v>69</v>
      </c>
      <c r="M30" s="64">
        <v>1</v>
      </c>
      <c r="N30" s="30">
        <f t="shared" si="4"/>
        <v>597</v>
      </c>
      <c r="O30" s="30">
        <f t="shared" si="4"/>
        <v>3012</v>
      </c>
      <c r="P30" s="30">
        <f t="shared" si="4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1075.9102917279138</v>
      </c>
      <c r="H31" s="17">
        <f t="shared" si="0"/>
        <v>404.08970827208623</v>
      </c>
      <c r="I31" s="17">
        <f t="shared" si="3"/>
        <v>163288.49233141975</v>
      </c>
      <c r="L31" s="29" t="s">
        <v>69</v>
      </c>
      <c r="M31" s="64">
        <v>1</v>
      </c>
      <c r="N31" s="30">
        <f t="shared" si="4"/>
        <v>567</v>
      </c>
      <c r="O31" s="30">
        <f t="shared" si="4"/>
        <v>2767</v>
      </c>
      <c r="P31" s="30">
        <f t="shared" si="4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0"/>
      <c r="G32" s="17">
        <f t="shared" si="2"/>
        <v>980.94597498605935</v>
      </c>
      <c r="H32" s="17">
        <f t="shared" si="0"/>
        <v>179.05402501394065</v>
      </c>
      <c r="I32" s="17">
        <f t="shared" si="3"/>
        <v>32060.343873692884</v>
      </c>
      <c r="L32" s="29" t="s">
        <v>69</v>
      </c>
      <c r="M32" s="64">
        <v>1</v>
      </c>
      <c r="N32" s="30">
        <f t="shared" si="4"/>
        <v>536</v>
      </c>
      <c r="O32" s="30">
        <f t="shared" si="4"/>
        <v>2613</v>
      </c>
      <c r="P32" s="30">
        <f t="shared" si="4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876.38194129297722</v>
      </c>
      <c r="H33" s="17">
        <f t="shared" si="0"/>
        <v>150.61805870702278</v>
      </c>
      <c r="I33" s="17">
        <f t="shared" si="3"/>
        <v>22685.799608672161</v>
      </c>
      <c r="L33" s="29" t="s">
        <v>69</v>
      </c>
      <c r="M33" s="64">
        <v>1</v>
      </c>
      <c r="N33" s="30">
        <f t="shared" si="4"/>
        <v>522</v>
      </c>
      <c r="O33" s="30">
        <f t="shared" si="4"/>
        <v>2404</v>
      </c>
      <c r="P33" s="30">
        <f t="shared" si="4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911.0998639704485</v>
      </c>
      <c r="H34" s="17">
        <f t="shared" si="0"/>
        <v>159.9001360295515</v>
      </c>
      <c r="I34" s="17">
        <f t="shared" si="3"/>
        <v>25568.053502269075</v>
      </c>
      <c r="L34" s="29" t="s">
        <v>69</v>
      </c>
      <c r="M34" s="64">
        <v>1</v>
      </c>
      <c r="N34" s="30">
        <f t="shared" si="4"/>
        <v>492</v>
      </c>
      <c r="O34" s="30">
        <f t="shared" si="4"/>
        <v>2180</v>
      </c>
      <c r="P34" s="30">
        <f t="shared" si="4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752.33774880729561</v>
      </c>
      <c r="H35" s="17">
        <f t="shared" si="0"/>
        <v>-34.337748807295611</v>
      </c>
      <c r="I35" s="17">
        <f t="shared" si="3"/>
        <v>1179.0809931529311</v>
      </c>
      <c r="L35" s="29" t="s">
        <v>69</v>
      </c>
      <c r="M35" s="64">
        <v>1</v>
      </c>
      <c r="N35" s="30">
        <f t="shared" si="4"/>
        <v>484</v>
      </c>
      <c r="O35" s="30">
        <f t="shared" si="4"/>
        <v>2165</v>
      </c>
      <c r="P35" s="30">
        <f t="shared" si="4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743.11624530078871</v>
      </c>
      <c r="H36" s="17">
        <f t="shared" si="0"/>
        <v>-349.11624530078871</v>
      </c>
      <c r="I36" s="17">
        <f t="shared" si="3"/>
        <v>121882.15273292047</v>
      </c>
      <c r="L36" s="29" t="s">
        <v>69</v>
      </c>
      <c r="M36" s="64">
        <v>1</v>
      </c>
      <c r="N36" s="30">
        <f t="shared" si="4"/>
        <v>469</v>
      </c>
      <c r="O36" s="30">
        <f t="shared" si="4"/>
        <v>2167</v>
      </c>
      <c r="P36" s="30">
        <f t="shared" si="4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784.8725920219058</v>
      </c>
      <c r="H37" s="17">
        <f t="shared" si="0"/>
        <v>-93.872592021905803</v>
      </c>
      <c r="I37" s="17">
        <f t="shared" si="3"/>
        <v>8812.0635329111738</v>
      </c>
      <c r="L37" s="29" t="s">
        <v>69</v>
      </c>
      <c r="M37" s="64">
        <v>1</v>
      </c>
      <c r="N37" s="30">
        <f t="shared" si="4"/>
        <v>446</v>
      </c>
      <c r="O37" s="30">
        <f t="shared" si="4"/>
        <v>1997</v>
      </c>
      <c r="P37" s="30">
        <f t="shared" si="4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762.0552132713492</v>
      </c>
      <c r="H38" s="17">
        <f t="shared" si="0"/>
        <v>216.9447867286508</v>
      </c>
      <c r="I38" s="17">
        <f t="shared" si="3"/>
        <v>47065.040488739782</v>
      </c>
      <c r="L38" s="29" t="s">
        <v>69</v>
      </c>
      <c r="M38" s="64">
        <v>1</v>
      </c>
      <c r="N38" s="30">
        <f t="shared" si="4"/>
        <v>415</v>
      </c>
      <c r="O38" s="30">
        <f t="shared" si="4"/>
        <v>1827</v>
      </c>
      <c r="P38" s="30">
        <f t="shared" si="4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775.47184518178028</v>
      </c>
      <c r="H39" s="17">
        <f t="shared" si="0"/>
        <v>54.528154818219718</v>
      </c>
      <c r="I39" s="17">
        <f t="shared" si="3"/>
        <v>2973.3196678797385</v>
      </c>
      <c r="L39" s="29" t="s">
        <v>69</v>
      </c>
      <c r="M39" s="64">
        <v>1</v>
      </c>
      <c r="N39" s="30">
        <f t="shared" si="4"/>
        <v>399</v>
      </c>
      <c r="O39" s="30">
        <f t="shared" si="4"/>
        <v>1708</v>
      </c>
      <c r="P39" s="30">
        <f t="shared" si="4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896.26024001777114</v>
      </c>
      <c r="H40" s="17">
        <f t="shared" ref="H40:H71" si="5">B40-G40</f>
        <v>52.739759982228861</v>
      </c>
      <c r="I40" s="17">
        <f t="shared" si="3"/>
        <v>2781.4822829831087</v>
      </c>
      <c r="L40" s="29" t="s">
        <v>69</v>
      </c>
      <c r="M40" s="64">
        <v>1</v>
      </c>
      <c r="N40" s="30">
        <f t="shared" si="4"/>
        <v>383</v>
      </c>
      <c r="O40" s="30">
        <f t="shared" si="4"/>
        <v>1583</v>
      </c>
      <c r="P40" s="30">
        <f t="shared" si="4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1014.309376454555</v>
      </c>
      <c r="H41" s="17">
        <f t="shared" si="5"/>
        <v>-7.3093764545550357</v>
      </c>
      <c r="I41" s="17">
        <f t="shared" si="3"/>
        <v>53.426984154403542</v>
      </c>
      <c r="L41" s="29" t="s">
        <v>69</v>
      </c>
      <c r="M41" s="64">
        <v>1</v>
      </c>
      <c r="N41" s="30">
        <f t="shared" si="4"/>
        <v>363</v>
      </c>
      <c r="O41" s="30">
        <f t="shared" si="4"/>
        <v>1416</v>
      </c>
      <c r="P41" s="30">
        <f t="shared" si="4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1020.6611756541363</v>
      </c>
      <c r="H42" s="17">
        <f t="shared" si="5"/>
        <v>-338.66117565413629</v>
      </c>
      <c r="I42" s="17">
        <f t="shared" si="3"/>
        <v>114691.39189544175</v>
      </c>
      <c r="L42" s="29" t="s">
        <v>69</v>
      </c>
      <c r="M42" s="64">
        <v>1</v>
      </c>
      <c r="N42" s="30">
        <f t="shared" si="4"/>
        <v>354</v>
      </c>
      <c r="O42" s="30">
        <f t="shared" si="4"/>
        <v>1414</v>
      </c>
      <c r="P42" s="30">
        <f t="shared" si="4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1026.2833693789282</v>
      </c>
      <c r="H43" s="17">
        <f t="shared" si="5"/>
        <v>-661.28336937892823</v>
      </c>
      <c r="I43" s="17">
        <f t="shared" si="3"/>
        <v>437295.69461714802</v>
      </c>
      <c r="L43" s="29" t="s">
        <v>69</v>
      </c>
      <c r="M43" s="64">
        <v>1</v>
      </c>
      <c r="N43" s="30">
        <f t="shared" si="4"/>
        <v>342</v>
      </c>
      <c r="O43" s="30">
        <f t="shared" si="4"/>
        <v>1403</v>
      </c>
      <c r="P43" s="30">
        <f t="shared" si="4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1242.4139350241614</v>
      </c>
      <c r="H44" s="17">
        <f t="shared" si="5"/>
        <v>-395.41393502416145</v>
      </c>
      <c r="I44" s="17">
        <f t="shared" si="3"/>
        <v>156352.18001129178</v>
      </c>
      <c r="L44" s="29" t="s">
        <v>69</v>
      </c>
      <c r="M44" s="64">
        <v>1</v>
      </c>
      <c r="N44" s="30">
        <f t="shared" si="4"/>
        <v>312</v>
      </c>
      <c r="O44" s="30">
        <f t="shared" si="4"/>
        <v>1278</v>
      </c>
      <c r="P44" s="30">
        <f t="shared" si="4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1192.1247462799129</v>
      </c>
      <c r="H45" s="17">
        <f t="shared" si="5"/>
        <v>-550.12474627991287</v>
      </c>
      <c r="I45" s="17">
        <f t="shared" si="3"/>
        <v>302637.23646953853</v>
      </c>
      <c r="L45" s="29" t="s">
        <v>69</v>
      </c>
      <c r="M45" s="64">
        <v>1</v>
      </c>
      <c r="N45" s="30">
        <f t="shared" si="4"/>
        <v>283</v>
      </c>
      <c r="O45" s="30">
        <f t="shared" si="4"/>
        <v>1201</v>
      </c>
      <c r="P45" s="30">
        <f t="shared" si="4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1243.3094465166819</v>
      </c>
      <c r="H46" s="17">
        <f t="shared" si="5"/>
        <v>-616.30944651668187</v>
      </c>
      <c r="I46" s="17">
        <f t="shared" si="3"/>
        <v>379837.33386569878</v>
      </c>
      <c r="L46" s="29" t="s">
        <v>69</v>
      </c>
      <c r="M46" s="64">
        <v>1</v>
      </c>
      <c r="N46" s="30">
        <f t="shared" si="4"/>
        <v>273</v>
      </c>
      <c r="O46" s="30">
        <f t="shared" si="4"/>
        <v>1102</v>
      </c>
      <c r="P46" s="30">
        <f t="shared" si="4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1155.4301549377212</v>
      </c>
      <c r="H47" s="17">
        <f t="shared" si="5"/>
        <v>-578.43015493772123</v>
      </c>
      <c r="I47" s="17">
        <f t="shared" si="3"/>
        <v>334581.44414127618</v>
      </c>
      <c r="L47" s="29" t="s">
        <v>69</v>
      </c>
      <c r="M47" s="64">
        <v>1</v>
      </c>
      <c r="N47" s="30">
        <f t="shared" si="4"/>
        <v>266</v>
      </c>
      <c r="O47" s="30">
        <f t="shared" si="4"/>
        <v>1046</v>
      </c>
      <c r="P47" s="30">
        <f t="shared" si="4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1014.1138940711917</v>
      </c>
      <c r="H48" s="17">
        <f t="shared" si="5"/>
        <v>-450.11389407119168</v>
      </c>
      <c r="I48" s="17">
        <f t="shared" si="3"/>
        <v>202602.51763593196</v>
      </c>
      <c r="L48" s="29" t="s">
        <v>69</v>
      </c>
      <c r="M48" s="64">
        <v>1</v>
      </c>
      <c r="N48" s="30">
        <f t="shared" si="4"/>
        <v>253</v>
      </c>
      <c r="O48" s="30">
        <f t="shared" si="4"/>
        <v>980</v>
      </c>
      <c r="P48" s="30">
        <f t="shared" si="4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944.15697051258257</v>
      </c>
      <c r="H49" s="17">
        <f t="shared" si="5"/>
        <v>-403.15697051258257</v>
      </c>
      <c r="I49" s="17">
        <f t="shared" si="3"/>
        <v>162535.54287288338</v>
      </c>
      <c r="L49" s="29" t="s">
        <v>69</v>
      </c>
      <c r="M49" s="64">
        <v>1</v>
      </c>
      <c r="N49" s="30">
        <f t="shared" si="4"/>
        <v>242</v>
      </c>
      <c r="O49" s="30">
        <f t="shared" si="4"/>
        <v>976</v>
      </c>
      <c r="P49" s="30">
        <f t="shared" si="4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864.58623388954106</v>
      </c>
      <c r="H50" s="17">
        <f t="shared" si="5"/>
        <v>-608.58623388954106</v>
      </c>
      <c r="I50" s="17">
        <f t="shared" si="3"/>
        <v>370377.20407985518</v>
      </c>
      <c r="L50" s="29" t="s">
        <v>69</v>
      </c>
      <c r="M50" s="64">
        <v>1</v>
      </c>
      <c r="N50" s="30">
        <f t="shared" si="4"/>
        <v>231</v>
      </c>
      <c r="O50" s="30">
        <f t="shared" si="4"/>
        <v>996</v>
      </c>
      <c r="P50" s="30">
        <f t="shared" si="4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561.83205208708284</v>
      </c>
      <c r="H51" s="17">
        <f t="shared" si="5"/>
        <v>-177.83205208708284</v>
      </c>
      <c r="I51" s="17">
        <f t="shared" si="3"/>
        <v>31624.238749502947</v>
      </c>
      <c r="L51" s="29" t="s">
        <v>69</v>
      </c>
      <c r="M51" s="64">
        <v>1</v>
      </c>
      <c r="N51" s="30">
        <f t="shared" si="4"/>
        <v>213</v>
      </c>
      <c r="O51" s="30">
        <f t="shared" si="4"/>
        <v>955</v>
      </c>
      <c r="P51" s="30">
        <f t="shared" si="4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0"/>
      <c r="G52" s="17">
        <f t="shared" si="2"/>
        <v>519.42058722961599</v>
      </c>
      <c r="H52" s="17">
        <f t="shared" si="5"/>
        <v>153.57941277038401</v>
      </c>
      <c r="I52" s="17">
        <f t="shared" si="3"/>
        <v>23586.636026895991</v>
      </c>
      <c r="L52" s="29" t="s">
        <v>69</v>
      </c>
      <c r="M52" s="64">
        <v>1</v>
      </c>
      <c r="N52" s="30">
        <f t="shared" si="4"/>
        <v>205</v>
      </c>
      <c r="O52" s="30">
        <f t="shared" si="4"/>
        <v>856</v>
      </c>
      <c r="P52" s="30">
        <f t="shared" si="4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338.16309511124234</v>
      </c>
      <c r="H53" s="17">
        <f t="shared" si="5"/>
        <v>146.83690488875766</v>
      </c>
      <c r="I53" s="17">
        <f t="shared" si="3"/>
        <v>21561.076637310063</v>
      </c>
      <c r="L53" s="29" t="s">
        <v>69</v>
      </c>
      <c r="M53" s="64">
        <v>1</v>
      </c>
      <c r="N53" s="30">
        <f t="shared" si="4"/>
        <v>187</v>
      </c>
      <c r="O53" s="30">
        <f t="shared" si="4"/>
        <v>828</v>
      </c>
      <c r="P53" s="30">
        <f t="shared" si="4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0"/>
      <c r="G54" s="17">
        <f t="shared" si="2"/>
        <v>268.09973829547596</v>
      </c>
      <c r="H54" s="17">
        <f t="shared" si="5"/>
        <v>299.90026170452404</v>
      </c>
      <c r="I54" s="17">
        <f t="shared" si="3"/>
        <v>89940.166970442006</v>
      </c>
      <c r="L54" s="29" t="s">
        <v>69</v>
      </c>
      <c r="M54" s="64">
        <v>1</v>
      </c>
      <c r="N54" s="30">
        <f t="shared" si="4"/>
        <v>182</v>
      </c>
      <c r="O54" s="30">
        <f t="shared" si="4"/>
        <v>789</v>
      </c>
      <c r="P54" s="30">
        <f t="shared" si="4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235.38748867656523</v>
      </c>
      <c r="H55" s="17">
        <f t="shared" si="5"/>
        <v>221.61251132343477</v>
      </c>
      <c r="I55" s="17">
        <f t="shared" si="3"/>
        <v>49112.105175079509</v>
      </c>
      <c r="L55" s="29" t="s">
        <v>69</v>
      </c>
      <c r="M55" s="64">
        <v>1</v>
      </c>
      <c r="N55" s="30">
        <f t="shared" si="4"/>
        <v>170</v>
      </c>
      <c r="O55" s="30">
        <f t="shared" si="4"/>
        <v>744</v>
      </c>
      <c r="P55" s="30">
        <f t="shared" si="4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0"/>
      <c r="G56" s="17">
        <f t="shared" si="2"/>
        <v>190.39553675780246</v>
      </c>
      <c r="H56" s="17">
        <f t="shared" si="5"/>
        <v>259.60446324219754</v>
      </c>
      <c r="I56" s="17">
        <f t="shared" si="3"/>
        <v>67394.47733526949</v>
      </c>
      <c r="L56" s="29" t="s">
        <v>69</v>
      </c>
      <c r="M56" s="64">
        <v>1</v>
      </c>
      <c r="N56" s="30">
        <f t="shared" si="4"/>
        <v>170</v>
      </c>
      <c r="O56" s="30">
        <f t="shared" si="4"/>
        <v>765</v>
      </c>
      <c r="P56" s="30">
        <f t="shared" si="4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0"/>
      <c r="G57" s="17">
        <f t="shared" si="2"/>
        <v>167.51386674982518</v>
      </c>
      <c r="H57" s="17">
        <f t="shared" si="5"/>
        <v>80.486133250174817</v>
      </c>
      <c r="I57" s="17">
        <f t="shared" si="3"/>
        <v>6478.0176455648962</v>
      </c>
      <c r="L57" s="29" t="s">
        <v>69</v>
      </c>
      <c r="M57" s="64">
        <v>1</v>
      </c>
      <c r="N57" s="30">
        <f t="shared" si="4"/>
        <v>165</v>
      </c>
      <c r="O57" s="30">
        <f t="shared" si="4"/>
        <v>771</v>
      </c>
      <c r="P57" s="30">
        <f t="shared" si="4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232.61728265696945</v>
      </c>
      <c r="H58" s="17">
        <f t="shared" si="5"/>
        <v>201.38271734303055</v>
      </c>
      <c r="I58" s="17">
        <f t="shared" si="3"/>
        <v>40554.998844462934</v>
      </c>
      <c r="L58" s="29" t="s">
        <v>69</v>
      </c>
      <c r="M58" s="64">
        <v>1</v>
      </c>
      <c r="N58" s="30">
        <f t="shared" si="4"/>
        <v>159</v>
      </c>
      <c r="O58" s="30">
        <f t="shared" si="4"/>
        <v>743</v>
      </c>
      <c r="P58" s="30">
        <f t="shared" si="4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0"/>
      <c r="G59" s="17">
        <f t="shared" si="2"/>
        <v>295.98070935427654</v>
      </c>
      <c r="H59" s="17">
        <f t="shared" si="5"/>
        <v>279.01929064572346</v>
      </c>
      <c r="I59" s="17">
        <f t="shared" si="3"/>
        <v>77851.764552442706</v>
      </c>
      <c r="L59" s="29" t="s">
        <v>69</v>
      </c>
      <c r="M59" s="64">
        <v>1</v>
      </c>
      <c r="N59" s="30">
        <f t="shared" si="4"/>
        <v>155</v>
      </c>
      <c r="O59" s="30">
        <f t="shared" si="4"/>
        <v>712</v>
      </c>
      <c r="P59" s="30">
        <f t="shared" si="4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0"/>
      <c r="G60" s="17">
        <f t="shared" si="2"/>
        <v>387.22872759890822</v>
      </c>
      <c r="H60" s="17">
        <f t="shared" si="5"/>
        <v>35.771272401091778</v>
      </c>
      <c r="I60" s="17">
        <f t="shared" si="3"/>
        <v>1279.5839291931104</v>
      </c>
      <c r="L60" s="29" t="s">
        <v>69</v>
      </c>
      <c r="M60" s="64">
        <v>1</v>
      </c>
      <c r="N60" s="30">
        <f t="shared" si="4"/>
        <v>154</v>
      </c>
      <c r="O60" s="30">
        <f t="shared" si="4"/>
        <v>695</v>
      </c>
      <c r="P60" s="30">
        <f t="shared" si="4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0"/>
      <c r="G61" s="17">
        <f t="shared" si="2"/>
        <v>501.40621497908853</v>
      </c>
      <c r="H61" s="17">
        <f t="shared" si="5"/>
        <v>-13.406214979088531</v>
      </c>
      <c r="I61" s="17">
        <f t="shared" si="3"/>
        <v>179.72660006553772</v>
      </c>
      <c r="L61" s="29" t="s">
        <v>69</v>
      </c>
      <c r="M61" s="64">
        <v>1</v>
      </c>
      <c r="N61" s="30">
        <f t="shared" si="4"/>
        <v>155</v>
      </c>
      <c r="O61" s="30">
        <f t="shared" si="4"/>
        <v>669</v>
      </c>
      <c r="P61" s="30">
        <f t="shared" si="4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567.91622421139323</v>
      </c>
      <c r="H62" s="17">
        <f t="shared" si="5"/>
        <v>-223.91622421139323</v>
      </c>
      <c r="I62" s="17">
        <f t="shared" si="3"/>
        <v>50138.475465086922</v>
      </c>
      <c r="L62" s="29" t="s">
        <v>69</v>
      </c>
      <c r="M62" s="64">
        <v>1</v>
      </c>
      <c r="N62" s="30">
        <f t="shared" si="4"/>
        <v>148</v>
      </c>
      <c r="O62" s="30">
        <f t="shared" si="4"/>
        <v>618</v>
      </c>
      <c r="P62" s="30">
        <f t="shared" si="4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516.65815481083644</v>
      </c>
      <c r="H63" s="17">
        <f t="shared" si="5"/>
        <v>-151.65815481083644</v>
      </c>
      <c r="I63" s="17">
        <f t="shared" si="3"/>
        <v>23000.19592062763</v>
      </c>
      <c r="L63" s="29" t="s">
        <v>69</v>
      </c>
      <c r="M63" s="64">
        <v>1</v>
      </c>
      <c r="N63" s="30">
        <f t="shared" si="4"/>
        <v>142</v>
      </c>
      <c r="O63" s="30">
        <f t="shared" si="4"/>
        <v>633</v>
      </c>
      <c r="P63" s="30">
        <f t="shared" si="4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539.5617743665058</v>
      </c>
      <c r="H64" s="17">
        <f t="shared" si="5"/>
        <v>-230.5617743665058</v>
      </c>
      <c r="I64" s="17">
        <f t="shared" si="3"/>
        <v>53158.731799031535</v>
      </c>
      <c r="L64" s="29" t="s">
        <v>69</v>
      </c>
      <c r="M64" s="64">
        <v>1</v>
      </c>
      <c r="N64" s="30">
        <f t="shared" si="4"/>
        <v>136</v>
      </c>
      <c r="O64" s="30">
        <f t="shared" si="4"/>
        <v>623</v>
      </c>
      <c r="P64" s="30">
        <f t="shared" si="4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0"/>
      <c r="G65" s="17">
        <f t="shared" si="2"/>
        <v>563.09458264497573</v>
      </c>
      <c r="H65" s="17">
        <f t="shared" si="5"/>
        <v>-175.09458264497573</v>
      </c>
      <c r="I65" s="17">
        <f t="shared" si="3"/>
        <v>30658.112871618236</v>
      </c>
      <c r="L65" s="29" t="s">
        <v>69</v>
      </c>
      <c r="M65" s="64">
        <v>1</v>
      </c>
      <c r="N65" s="30">
        <f t="shared" si="4"/>
        <v>129</v>
      </c>
      <c r="O65" s="30">
        <f t="shared" si="4"/>
        <v>584</v>
      </c>
      <c r="P65" s="30">
        <f t="shared" si="4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604.54884047913777</v>
      </c>
      <c r="H66" s="17">
        <f t="shared" si="5"/>
        <v>13.451159520862234</v>
      </c>
      <c r="I66" s="17">
        <f t="shared" si="3"/>
        <v>180.93369245568272</v>
      </c>
      <c r="L66" s="29" t="s">
        <v>69</v>
      </c>
      <c r="M66" s="64">
        <v>1</v>
      </c>
      <c r="N66" s="30">
        <f t="shared" si="4"/>
        <v>127</v>
      </c>
      <c r="O66" s="30">
        <f t="shared" si="4"/>
        <v>558</v>
      </c>
      <c r="P66" s="30">
        <f t="shared" si="4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0"/>
      <c r="G67" s="17">
        <f t="shared" si="2"/>
        <v>675.88650778302826</v>
      </c>
      <c r="H67" s="17">
        <f t="shared" si="5"/>
        <v>-83.886507783028264</v>
      </c>
      <c r="I67" s="17">
        <f t="shared" si="3"/>
        <v>7036.9461880320614</v>
      </c>
      <c r="L67" s="29" t="s">
        <v>69</v>
      </c>
      <c r="M67" s="64">
        <v>1</v>
      </c>
      <c r="N67" s="30">
        <f t="shared" si="4"/>
        <v>129</v>
      </c>
      <c r="O67" s="30">
        <f t="shared" si="4"/>
        <v>538</v>
      </c>
      <c r="P67" s="30">
        <f t="shared" si="4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828.21835654230381</v>
      </c>
      <c r="H68" s="17">
        <f t="shared" si="5"/>
        <v>-280.21835654230381</v>
      </c>
      <c r="I68" s="17">
        <f t="shared" si="3"/>
        <v>78522.327343269702</v>
      </c>
      <c r="L68" s="29" t="s">
        <v>69</v>
      </c>
      <c r="M68" s="64">
        <v>1</v>
      </c>
      <c r="N68" s="30">
        <f t="shared" si="4"/>
        <v>131</v>
      </c>
      <c r="O68" s="30">
        <f t="shared" si="4"/>
        <v>513</v>
      </c>
      <c r="P68" s="30">
        <f t="shared" si="4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792.76656898052261</v>
      </c>
      <c r="H69" s="17">
        <f t="shared" si="5"/>
        <v>-512.76656898052261</v>
      </c>
      <c r="I69" s="17">
        <f t="shared" si="3"/>
        <v>262929.55426405702</v>
      </c>
      <c r="L69" s="29" t="s">
        <v>69</v>
      </c>
      <c r="M69" s="64">
        <v>1</v>
      </c>
      <c r="N69" s="30">
        <f t="shared" si="4"/>
        <v>126</v>
      </c>
      <c r="O69" s="30">
        <f t="shared" si="4"/>
        <v>512</v>
      </c>
      <c r="P69" s="30">
        <f t="shared" si="4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703.53931820598734</v>
      </c>
      <c r="H70" s="17">
        <f t="shared" si="5"/>
        <v>-510.53931820598734</v>
      </c>
      <c r="I70" s="17">
        <f t="shared" si="3"/>
        <v>260650.39543423441</v>
      </c>
      <c r="L70" s="29" t="s">
        <v>69</v>
      </c>
      <c r="M70" s="64">
        <v>1</v>
      </c>
      <c r="N70" s="30">
        <f t="shared" si="4"/>
        <v>117</v>
      </c>
      <c r="O70" s="30">
        <f t="shared" si="4"/>
        <v>517</v>
      </c>
      <c r="P70" s="30">
        <f t="shared" si="4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0"/>
      <c r="G71" s="17">
        <f t="shared" si="2"/>
        <v>464.98340382446008</v>
      </c>
      <c r="H71" s="17">
        <f t="shared" si="5"/>
        <v>-305.98340382446008</v>
      </c>
      <c r="I71" s="17">
        <f t="shared" si="3"/>
        <v>93625.843416002608</v>
      </c>
      <c r="L71" s="29" t="s">
        <v>69</v>
      </c>
      <c r="M71" s="64">
        <v>1</v>
      </c>
      <c r="N71" s="30">
        <f t="shared" si="4"/>
        <v>112</v>
      </c>
      <c r="O71" s="30">
        <f t="shared" si="4"/>
        <v>536</v>
      </c>
      <c r="P71" s="30">
        <f t="shared" si="4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0"/>
      <c r="G72" s="17">
        <f t="shared" si="2"/>
        <v>495.68118202210565</v>
      </c>
      <c r="H72" s="17">
        <f t="shared" ref="H72:H103" si="6">B72-G72</f>
        <v>378.31881797789435</v>
      </c>
      <c r="I72" s="17">
        <f t="shared" si="3"/>
        <v>143125.12803619116</v>
      </c>
      <c r="L72" s="29" t="s">
        <v>69</v>
      </c>
      <c r="M72" s="64">
        <v>1</v>
      </c>
      <c r="N72" s="30">
        <f t="shared" si="4"/>
        <v>113</v>
      </c>
      <c r="O72" s="30">
        <f t="shared" si="4"/>
        <v>504</v>
      </c>
      <c r="P72" s="30">
        <f t="shared" si="4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7">$C$145 + $C$146*C73 + $C$147*D73 + $C$148*E73</f>
        <v>411.52958302970853</v>
      </c>
      <c r="H73" s="17">
        <f t="shared" si="6"/>
        <v>251.47041697029147</v>
      </c>
      <c r="I73" s="17">
        <f t="shared" ref="I73:I127" si="8">POWER(H73,2)</f>
        <v>63237.370611212253</v>
      </c>
      <c r="L73" s="29" t="s">
        <v>69</v>
      </c>
      <c r="M73" s="64">
        <v>1</v>
      </c>
      <c r="N73" s="30">
        <f t="shared" ref="N73:P127" si="9">C73</f>
        <v>116</v>
      </c>
      <c r="O73" s="30">
        <f t="shared" si="9"/>
        <v>488</v>
      </c>
      <c r="P73" s="30">
        <f t="shared" si="9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0"/>
      <c r="G74" s="17">
        <f t="shared" si="7"/>
        <v>334.16267740889862</v>
      </c>
      <c r="H74" s="17">
        <f t="shared" si="6"/>
        <v>267.83732259110138</v>
      </c>
      <c r="I74" s="17">
        <f t="shared" si="8"/>
        <v>71736.83137276971</v>
      </c>
      <c r="L74" s="29" t="s">
        <v>69</v>
      </c>
      <c r="M74" s="64">
        <v>1</v>
      </c>
      <c r="N74" s="30">
        <f t="shared" si="9"/>
        <v>122</v>
      </c>
      <c r="O74" s="30">
        <f t="shared" si="9"/>
        <v>495</v>
      </c>
      <c r="P74" s="30">
        <f t="shared" si="9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0"/>
      <c r="G75" s="17">
        <f t="shared" si="7"/>
        <v>278.04898388389523</v>
      </c>
      <c r="H75" s="17">
        <f t="shared" si="6"/>
        <v>415.95101611610477</v>
      </c>
      <c r="I75" s="17">
        <f t="shared" si="8"/>
        <v>173015.24780802004</v>
      </c>
      <c r="L75" s="29" t="s">
        <v>69</v>
      </c>
      <c r="M75" s="64">
        <v>1</v>
      </c>
      <c r="N75" s="30">
        <f t="shared" si="9"/>
        <v>128</v>
      </c>
      <c r="O75" s="30">
        <f t="shared" si="9"/>
        <v>486</v>
      </c>
      <c r="P75" s="30">
        <f t="shared" si="9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0"/>
      <c r="G76" s="17">
        <f t="shared" si="7"/>
        <v>332.96229517188755</v>
      </c>
      <c r="H76" s="17">
        <f t="shared" si="6"/>
        <v>268.03770482811245</v>
      </c>
      <c r="I76" s="17">
        <f t="shared" si="8"/>
        <v>71844.211209522342</v>
      </c>
      <c r="L76" s="29" t="s">
        <v>69</v>
      </c>
      <c r="M76" s="64">
        <v>1</v>
      </c>
      <c r="N76" s="30">
        <f t="shared" si="9"/>
        <v>119</v>
      </c>
      <c r="O76" s="30">
        <f t="shared" si="9"/>
        <v>466</v>
      </c>
      <c r="P76" s="30">
        <f t="shared" si="9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0"/>
      <c r="G77" s="17">
        <f t="shared" si="7"/>
        <v>391.09073966181899</v>
      </c>
      <c r="H77" s="17">
        <f t="shared" si="6"/>
        <v>174.90926033818101</v>
      </c>
      <c r="I77" s="17">
        <f t="shared" si="8"/>
        <v>30593.249352049581</v>
      </c>
      <c r="L77" s="29" t="s">
        <v>69</v>
      </c>
      <c r="M77" s="64">
        <v>1</v>
      </c>
      <c r="N77" s="30">
        <f t="shared" si="9"/>
        <v>113</v>
      </c>
      <c r="O77" s="30">
        <f t="shared" si="9"/>
        <v>466</v>
      </c>
      <c r="P77" s="30">
        <f t="shared" si="9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0"/>
      <c r="G78" s="17">
        <f t="shared" si="7"/>
        <v>454.45898485597218</v>
      </c>
      <c r="H78" s="17">
        <f t="shared" si="6"/>
        <v>-183.45898485597218</v>
      </c>
      <c r="I78" s="17">
        <f t="shared" si="8"/>
        <v>33657.199124383827</v>
      </c>
      <c r="L78" s="29" t="s">
        <v>69</v>
      </c>
      <c r="M78" s="64">
        <v>1</v>
      </c>
      <c r="N78" s="30">
        <f t="shared" si="9"/>
        <v>119</v>
      </c>
      <c r="O78" s="30">
        <f t="shared" si="9"/>
        <v>479</v>
      </c>
      <c r="P78" s="30">
        <f t="shared" si="9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0"/>
      <c r="G79" s="17">
        <f t="shared" si="7"/>
        <v>433.98827540303512</v>
      </c>
      <c r="H79" s="17">
        <f t="shared" si="6"/>
        <v>-25.988275403035118</v>
      </c>
      <c r="I79" s="17">
        <f t="shared" si="8"/>
        <v>675.39045842400014</v>
      </c>
      <c r="L79" s="29" t="s">
        <v>69</v>
      </c>
      <c r="M79" s="64">
        <v>1</v>
      </c>
      <c r="N79" s="30">
        <f t="shared" si="9"/>
        <v>118</v>
      </c>
      <c r="O79" s="30">
        <f t="shared" si="9"/>
        <v>459</v>
      </c>
      <c r="P79" s="30">
        <f t="shared" si="9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0"/>
      <c r="G80" s="17">
        <f t="shared" si="7"/>
        <v>506.94448408174139</v>
      </c>
      <c r="H80" s="17">
        <f t="shared" si="6"/>
        <v>177.05551591825861</v>
      </c>
      <c r="I80" s="17">
        <f t="shared" si="8"/>
        <v>31348.655717080728</v>
      </c>
      <c r="L80" s="29" t="s">
        <v>69</v>
      </c>
      <c r="M80" s="64">
        <v>1</v>
      </c>
      <c r="N80" s="30">
        <f t="shared" si="9"/>
        <v>116</v>
      </c>
      <c r="O80" s="30">
        <f t="shared" si="9"/>
        <v>447</v>
      </c>
      <c r="P80" s="30">
        <f t="shared" si="9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0"/>
      <c r="G81" s="17">
        <f t="shared" si="7"/>
        <v>554.68680894538943</v>
      </c>
      <c r="H81" s="17">
        <f t="shared" si="6"/>
        <v>-53.68680894538943</v>
      </c>
      <c r="I81" s="17">
        <f t="shared" si="8"/>
        <v>2882.2734547387463</v>
      </c>
      <c r="L81" s="29" t="s">
        <v>69</v>
      </c>
      <c r="M81" s="64">
        <v>1</v>
      </c>
      <c r="N81" s="30">
        <f t="shared" si="9"/>
        <v>109</v>
      </c>
      <c r="O81" s="30">
        <f t="shared" si="9"/>
        <v>423</v>
      </c>
      <c r="P81" s="30">
        <f t="shared" si="9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0"/>
      <c r="G82" s="17">
        <f t="shared" si="7"/>
        <v>548.1459297085047</v>
      </c>
      <c r="H82" s="17">
        <f t="shared" si="6"/>
        <v>4.8540702914953044</v>
      </c>
      <c r="I82" s="17">
        <f t="shared" si="8"/>
        <v>23.561998394777309</v>
      </c>
      <c r="L82" s="29" t="s">
        <v>69</v>
      </c>
      <c r="M82" s="64">
        <v>1</v>
      </c>
      <c r="N82" s="30">
        <f t="shared" si="9"/>
        <v>101</v>
      </c>
      <c r="O82" s="30">
        <f t="shared" si="9"/>
        <v>429</v>
      </c>
      <c r="P82" s="30">
        <f t="shared" si="9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0"/>
      <c r="G83" s="17">
        <f t="shared" si="7"/>
        <v>575.72899145620033</v>
      </c>
      <c r="H83" s="17">
        <f t="shared" si="6"/>
        <v>73.271008543799667</v>
      </c>
      <c r="I83" s="17">
        <f t="shared" si="8"/>
        <v>5368.6406930255635</v>
      </c>
      <c r="L83" s="29" t="s">
        <v>69</v>
      </c>
      <c r="M83" s="64">
        <v>1</v>
      </c>
      <c r="N83" s="30">
        <f t="shared" si="9"/>
        <v>103</v>
      </c>
      <c r="O83" s="30">
        <f t="shared" si="9"/>
        <v>415</v>
      </c>
      <c r="P83" s="30">
        <f t="shared" si="9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0"/>
      <c r="G84" s="17">
        <f t="shared" si="7"/>
        <v>530.94806912243303</v>
      </c>
      <c r="H84" s="17">
        <f t="shared" si="6"/>
        <v>-89.948069122433026</v>
      </c>
      <c r="I84" s="17">
        <f t="shared" si="8"/>
        <v>8090.6551388539892</v>
      </c>
      <c r="L84" s="29" t="s">
        <v>69</v>
      </c>
      <c r="M84" s="64">
        <v>1</v>
      </c>
      <c r="N84" s="30">
        <f t="shared" si="9"/>
        <v>109</v>
      </c>
      <c r="O84" s="30">
        <f t="shared" si="9"/>
        <v>428</v>
      </c>
      <c r="P84" s="30">
        <f t="shared" si="9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0"/>
      <c r="G85" s="17">
        <f t="shared" si="7"/>
        <v>382.25942924025622</v>
      </c>
      <c r="H85" s="17">
        <f t="shared" si="6"/>
        <v>-162.25942924025622</v>
      </c>
      <c r="I85" s="17">
        <f t="shared" si="8"/>
        <v>26328.122377373718</v>
      </c>
      <c r="L85" s="29" t="s">
        <v>69</v>
      </c>
      <c r="M85" s="64">
        <v>1</v>
      </c>
      <c r="N85" s="30">
        <f t="shared" si="9"/>
        <v>112</v>
      </c>
      <c r="O85" s="30">
        <f t="shared" si="9"/>
        <v>454</v>
      </c>
      <c r="P85" s="30">
        <f t="shared" si="9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0"/>
      <c r="G86" s="17">
        <f t="shared" si="7"/>
        <v>298.29301025297571</v>
      </c>
      <c r="H86" s="17">
        <f t="shared" si="6"/>
        <v>125.70698974702429</v>
      </c>
      <c r="I86" s="17">
        <f t="shared" si="8"/>
        <v>15802.247271258471</v>
      </c>
      <c r="L86" s="29" t="s">
        <v>69</v>
      </c>
      <c r="M86" s="64">
        <v>1</v>
      </c>
      <c r="N86" s="30">
        <f t="shared" si="9"/>
        <v>113</v>
      </c>
      <c r="O86" s="30">
        <f t="shared" si="9"/>
        <v>429</v>
      </c>
      <c r="P86" s="30">
        <f t="shared" si="9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0"/>
      <c r="G87" s="17">
        <f t="shared" si="7"/>
        <v>223.54419474001486</v>
      </c>
      <c r="H87" s="17">
        <f t="shared" si="6"/>
        <v>386.45580525998514</v>
      </c>
      <c r="I87" s="17">
        <f t="shared" si="8"/>
        <v>149348.08941914357</v>
      </c>
      <c r="L87" s="29" t="s">
        <v>69</v>
      </c>
      <c r="M87" s="64">
        <v>1</v>
      </c>
      <c r="N87" s="30">
        <f t="shared" si="9"/>
        <v>110</v>
      </c>
      <c r="O87" s="30">
        <f t="shared" si="9"/>
        <v>397</v>
      </c>
      <c r="P87" s="30">
        <f t="shared" si="9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0"/>
      <c r="G88" s="17">
        <f t="shared" si="7"/>
        <v>175.38490874688443</v>
      </c>
      <c r="H88" s="17">
        <f t="shared" si="6"/>
        <v>460.61509125311557</v>
      </c>
      <c r="I88" s="17">
        <f t="shared" si="8"/>
        <v>212166.26229011599</v>
      </c>
      <c r="L88" s="29" t="s">
        <v>69</v>
      </c>
      <c r="M88" s="64">
        <v>1</v>
      </c>
      <c r="N88" s="30">
        <f t="shared" si="9"/>
        <v>104</v>
      </c>
      <c r="O88" s="30">
        <f t="shared" si="9"/>
        <v>395</v>
      </c>
      <c r="P88" s="30">
        <f t="shared" si="9"/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0"/>
      <c r="G89" s="17">
        <f t="shared" si="7"/>
        <v>135.60208945561828</v>
      </c>
      <c r="H89" s="17">
        <f t="shared" si="6"/>
        <v>370.39791054438172</v>
      </c>
      <c r="I89" s="17">
        <f t="shared" si="8"/>
        <v>137194.61213564381</v>
      </c>
      <c r="L89" s="29" t="s">
        <v>69</v>
      </c>
      <c r="M89" s="64">
        <v>1</v>
      </c>
      <c r="N89" s="30">
        <f t="shared" si="9"/>
        <v>98</v>
      </c>
      <c r="O89" s="30">
        <f t="shared" si="9"/>
        <v>384</v>
      </c>
      <c r="P89" s="30">
        <f t="shared" si="9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0"/>
      <c r="G90" s="17">
        <f t="shared" si="7"/>
        <v>155.60712018684245</v>
      </c>
      <c r="H90" s="17">
        <f t="shared" si="6"/>
        <v>411.39287981315755</v>
      </c>
      <c r="I90" s="17">
        <f t="shared" si="8"/>
        <v>169244.10156096308</v>
      </c>
      <c r="L90" s="29" t="s">
        <v>69</v>
      </c>
      <c r="M90" s="64">
        <v>1</v>
      </c>
      <c r="N90" s="30">
        <f t="shared" si="9"/>
        <v>98</v>
      </c>
      <c r="O90" s="30">
        <f t="shared" si="9"/>
        <v>342</v>
      </c>
      <c r="P90" s="30">
        <f t="shared" si="9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0"/>
      <c r="G91" s="17">
        <f t="shared" si="7"/>
        <v>156.38452478920277</v>
      </c>
      <c r="H91" s="17">
        <f t="shared" si="6"/>
        <v>321.61547521079723</v>
      </c>
      <c r="I91" s="17">
        <f t="shared" si="8"/>
        <v>103436.51389506692</v>
      </c>
      <c r="L91" s="29" t="s">
        <v>69</v>
      </c>
      <c r="M91" s="64">
        <v>1</v>
      </c>
      <c r="N91" s="30">
        <f t="shared" si="9"/>
        <v>98</v>
      </c>
      <c r="O91" s="30">
        <f t="shared" si="9"/>
        <v>348</v>
      </c>
      <c r="P91" s="30">
        <f t="shared" si="9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0"/>
      <c r="G92" s="17">
        <f t="shared" si="7"/>
        <v>153.24395875937353</v>
      </c>
      <c r="H92" s="17">
        <f t="shared" si="6"/>
        <v>42.756041240626473</v>
      </c>
      <c r="I92" s="17">
        <f t="shared" si="8"/>
        <v>1828.0790625701518</v>
      </c>
      <c r="L92" s="29" t="s">
        <v>69</v>
      </c>
      <c r="M92" s="64">
        <v>1</v>
      </c>
      <c r="N92" s="30">
        <f t="shared" si="9"/>
        <v>91</v>
      </c>
      <c r="O92" s="30">
        <f t="shared" si="9"/>
        <v>365</v>
      </c>
      <c r="P92" s="30">
        <f t="shared" si="9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0"/>
      <c r="G93" s="17">
        <f t="shared" si="7"/>
        <v>191.80054623374957</v>
      </c>
      <c r="H93" s="17">
        <f t="shared" si="6"/>
        <v>161.19945376625043</v>
      </c>
      <c r="I93" s="17">
        <f t="shared" si="8"/>
        <v>25985.263894537511</v>
      </c>
      <c r="L93" s="29" t="s">
        <v>69</v>
      </c>
      <c r="M93" s="64">
        <v>1</v>
      </c>
      <c r="N93" s="30">
        <f t="shared" si="9"/>
        <v>86</v>
      </c>
      <c r="O93" s="30">
        <f t="shared" si="9"/>
        <v>346</v>
      </c>
      <c r="P93" s="30">
        <f t="shared" si="9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0"/>
      <c r="G94" s="17">
        <f t="shared" si="7"/>
        <v>251.19218666612744</v>
      </c>
      <c r="H94" s="17">
        <f t="shared" si="6"/>
        <v>320.80781333387256</v>
      </c>
      <c r="I94" s="17">
        <f t="shared" si="8"/>
        <v>102917.65309606082</v>
      </c>
      <c r="L94" s="29" t="s">
        <v>69</v>
      </c>
      <c r="M94" s="64">
        <v>1</v>
      </c>
      <c r="N94" s="30">
        <f t="shared" si="9"/>
        <v>88</v>
      </c>
      <c r="O94" s="30">
        <f t="shared" si="9"/>
        <v>332</v>
      </c>
      <c r="P94" s="30">
        <f t="shared" si="9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0"/>
      <c r="G95" s="17">
        <f t="shared" si="7"/>
        <v>297.72301474708706</v>
      </c>
      <c r="H95" s="17">
        <f t="shared" si="6"/>
        <v>172.27698525291294</v>
      </c>
      <c r="I95" s="17">
        <f t="shared" si="8"/>
        <v>29679.359647832382</v>
      </c>
      <c r="L95" s="29" t="s">
        <v>69</v>
      </c>
      <c r="M95" s="64">
        <v>1</v>
      </c>
      <c r="N95" s="30">
        <f t="shared" si="9"/>
        <v>89</v>
      </c>
      <c r="O95" s="30">
        <f t="shared" si="9"/>
        <v>324</v>
      </c>
      <c r="P95" s="30">
        <f t="shared" si="9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0"/>
      <c r="G96" s="17">
        <f t="shared" si="7"/>
        <v>323.16987769483308</v>
      </c>
      <c r="H96" s="17">
        <f t="shared" si="6"/>
        <v>136.83012230516692</v>
      </c>
      <c r="I96" s="17">
        <f t="shared" si="8"/>
        <v>18722.482370046939</v>
      </c>
      <c r="L96" s="29" t="s">
        <v>69</v>
      </c>
      <c r="M96" s="64">
        <v>1</v>
      </c>
      <c r="N96" s="30">
        <f t="shared" si="9"/>
        <v>89</v>
      </c>
      <c r="O96" s="30">
        <f t="shared" si="9"/>
        <v>324</v>
      </c>
      <c r="P96" s="30">
        <f t="shared" si="9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0"/>
      <c r="G97" s="17">
        <f t="shared" si="7"/>
        <v>339.0717577887512</v>
      </c>
      <c r="H97" s="17">
        <f t="shared" si="6"/>
        <v>114.9282422112488</v>
      </c>
      <c r="I97" s="17">
        <f t="shared" si="8"/>
        <v>13208.500857767471</v>
      </c>
      <c r="L97" s="29" t="s">
        <v>69</v>
      </c>
      <c r="M97" s="64">
        <v>1</v>
      </c>
      <c r="N97" s="30">
        <f t="shared" si="9"/>
        <v>84</v>
      </c>
      <c r="O97" s="30">
        <f t="shared" si="9"/>
        <v>302</v>
      </c>
      <c r="P97" s="30">
        <f t="shared" si="9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0"/>
      <c r="G98" s="17">
        <f t="shared" si="7"/>
        <v>299.80149788210997</v>
      </c>
      <c r="H98" s="17">
        <f t="shared" si="6"/>
        <v>30.19850211789003</v>
      </c>
      <c r="I98" s="17">
        <f t="shared" si="8"/>
        <v>911.94953016420857</v>
      </c>
      <c r="L98" s="29" t="s">
        <v>69</v>
      </c>
      <c r="M98" s="64">
        <v>1</v>
      </c>
      <c r="N98" s="30">
        <f t="shared" si="9"/>
        <v>85</v>
      </c>
      <c r="O98" s="30">
        <f t="shared" si="9"/>
        <v>311</v>
      </c>
      <c r="P98" s="30">
        <f t="shared" si="9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0"/>
      <c r="G99" s="17">
        <f t="shared" si="7"/>
        <v>294.13752153491492</v>
      </c>
      <c r="H99" s="17">
        <f t="shared" si="6"/>
        <v>-114.13752153491492</v>
      </c>
      <c r="I99" s="17">
        <f t="shared" si="8"/>
        <v>13027.373822133168</v>
      </c>
      <c r="L99" s="29" t="s">
        <v>69</v>
      </c>
      <c r="M99" s="64">
        <v>1</v>
      </c>
      <c r="N99" s="30">
        <f t="shared" si="9"/>
        <v>90</v>
      </c>
      <c r="O99" s="30">
        <f t="shared" si="9"/>
        <v>322</v>
      </c>
      <c r="P99" s="30">
        <f t="shared" si="9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0"/>
      <c r="G100" s="17">
        <f t="shared" si="7"/>
        <v>302.86841520448877</v>
      </c>
      <c r="H100" s="17">
        <f t="shared" si="6"/>
        <v>-44.86841520448877</v>
      </c>
      <c r="I100" s="17">
        <f t="shared" si="8"/>
        <v>2013.1746829623989</v>
      </c>
      <c r="L100" s="29" t="s">
        <v>69</v>
      </c>
      <c r="M100" s="64">
        <v>1</v>
      </c>
      <c r="N100" s="30">
        <f t="shared" si="9"/>
        <v>87</v>
      </c>
      <c r="O100" s="30">
        <f t="shared" si="9"/>
        <v>296</v>
      </c>
      <c r="P100" s="30">
        <f t="shared" si="9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0"/>
      <c r="G101" s="17">
        <f t="shared" si="7"/>
        <v>266.4699760777545</v>
      </c>
      <c r="H101" s="17">
        <f t="shared" si="6"/>
        <v>120.5300239222455</v>
      </c>
      <c r="I101" s="17">
        <f t="shared" si="8"/>
        <v>14527.486666697074</v>
      </c>
      <c r="L101" s="29" t="s">
        <v>69</v>
      </c>
      <c r="M101" s="64">
        <v>1</v>
      </c>
      <c r="N101" s="30">
        <f t="shared" si="9"/>
        <v>83</v>
      </c>
      <c r="O101" s="30">
        <f t="shared" si="9"/>
        <v>297</v>
      </c>
      <c r="P101" s="30">
        <f t="shared" si="9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0"/>
      <c r="G102" s="17">
        <f t="shared" si="7"/>
        <v>261.28789103845907</v>
      </c>
      <c r="H102" s="17">
        <f t="shared" si="6"/>
        <v>111.71210896154093</v>
      </c>
      <c r="I102" s="17">
        <f t="shared" si="8"/>
        <v>12479.595288635195</v>
      </c>
      <c r="L102" s="29" t="s">
        <v>69</v>
      </c>
      <c r="M102" s="64">
        <v>1</v>
      </c>
      <c r="N102" s="30">
        <f t="shared" si="9"/>
        <v>77</v>
      </c>
      <c r="O102" s="30">
        <f t="shared" si="9"/>
        <v>283</v>
      </c>
      <c r="P102" s="30">
        <f t="shared" si="9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0"/>
      <c r="G103" s="17">
        <f t="shared" si="7"/>
        <v>274.97390711980893</v>
      </c>
      <c r="H103" s="17">
        <f t="shared" si="6"/>
        <v>102.02609288019107</v>
      </c>
      <c r="I103" s="17">
        <f t="shared" si="8"/>
        <v>10409.323628397375</v>
      </c>
      <c r="L103" s="29" t="s">
        <v>69</v>
      </c>
      <c r="M103" s="64">
        <v>1</v>
      </c>
      <c r="N103" s="30">
        <f t="shared" si="9"/>
        <v>75</v>
      </c>
      <c r="O103" s="30">
        <f t="shared" si="9"/>
        <v>280</v>
      </c>
      <c r="P103" s="30">
        <f t="shared" si="9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0"/>
      <c r="G104" s="17">
        <f t="shared" si="7"/>
        <v>279.95006061461777</v>
      </c>
      <c r="H104" s="17">
        <f t="shared" ref="H104:H127" si="10">B104-G104</f>
        <v>126.04993938538223</v>
      </c>
      <c r="I104" s="17">
        <f t="shared" si="8"/>
        <v>15888.587219058534</v>
      </c>
      <c r="L104" s="29" t="s">
        <v>69</v>
      </c>
      <c r="M104" s="64">
        <v>1</v>
      </c>
      <c r="N104" s="30">
        <f t="shared" si="9"/>
        <v>74</v>
      </c>
      <c r="O104" s="30">
        <f t="shared" si="9"/>
        <v>260</v>
      </c>
      <c r="P104" s="30">
        <f t="shared" si="9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0"/>
      <c r="G105" s="17">
        <f t="shared" si="7"/>
        <v>272.50431243518278</v>
      </c>
      <c r="H105" s="17">
        <f t="shared" si="10"/>
        <v>51.495687564817217</v>
      </c>
      <c r="I105" s="17">
        <f t="shared" si="8"/>
        <v>2651.8058377732705</v>
      </c>
      <c r="L105" s="29" t="s">
        <v>69</v>
      </c>
      <c r="M105" s="64">
        <v>1</v>
      </c>
      <c r="N105" s="30">
        <f t="shared" si="9"/>
        <v>74</v>
      </c>
      <c r="O105" s="30">
        <f t="shared" si="9"/>
        <v>268</v>
      </c>
      <c r="P105" s="30">
        <f t="shared" si="9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0"/>
      <c r="G106" s="17">
        <f t="shared" si="7"/>
        <v>282.29820746422229</v>
      </c>
      <c r="H106" s="17">
        <f t="shared" si="10"/>
        <v>-124.29820746422229</v>
      </c>
      <c r="I106" s="17">
        <f t="shared" si="8"/>
        <v>15450.044378818846</v>
      </c>
      <c r="L106" s="29" t="s">
        <v>69</v>
      </c>
      <c r="M106" s="64">
        <v>1</v>
      </c>
      <c r="N106" s="30">
        <f t="shared" si="9"/>
        <v>73</v>
      </c>
      <c r="O106" s="30">
        <f t="shared" si="9"/>
        <v>277</v>
      </c>
      <c r="P106" s="30">
        <f t="shared" si="9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0"/>
      <c r="G107" s="17">
        <f t="shared" si="7"/>
        <v>324.52986990074442</v>
      </c>
      <c r="H107" s="17">
        <f t="shared" si="10"/>
        <v>-56.529869900744416</v>
      </c>
      <c r="I107" s="17">
        <f t="shared" si="8"/>
        <v>3195.6261909950895</v>
      </c>
      <c r="L107" s="29" t="s">
        <v>69</v>
      </c>
      <c r="M107" s="64">
        <v>1</v>
      </c>
      <c r="N107" s="30">
        <f t="shared" si="9"/>
        <v>71</v>
      </c>
      <c r="O107" s="30">
        <f t="shared" si="9"/>
        <v>257</v>
      </c>
      <c r="P107" s="30">
        <f t="shared" si="9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0"/>
      <c r="G108" s="17">
        <f t="shared" si="7"/>
        <v>364.71491528729132</v>
      </c>
      <c r="H108" s="17">
        <f t="shared" si="10"/>
        <v>120.28508471270868</v>
      </c>
      <c r="I108" s="17">
        <f t="shared" si="8"/>
        <v>14468.501604343504</v>
      </c>
      <c r="L108" s="29" t="s">
        <v>69</v>
      </c>
      <c r="M108" s="64">
        <v>1</v>
      </c>
      <c r="N108" s="30">
        <f t="shared" si="9"/>
        <v>71</v>
      </c>
      <c r="O108" s="30">
        <f t="shared" si="9"/>
        <v>248</v>
      </c>
      <c r="P108" s="30">
        <f t="shared" si="9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0"/>
      <c r="G109" s="17">
        <f t="shared" si="7"/>
        <v>399.33158258178571</v>
      </c>
      <c r="H109" s="17">
        <f t="shared" si="10"/>
        <v>36.66841741821429</v>
      </c>
      <c r="I109" s="17">
        <f t="shared" si="8"/>
        <v>1344.5728359564011</v>
      </c>
      <c r="L109" s="29" t="s">
        <v>69</v>
      </c>
      <c r="M109" s="64">
        <v>1</v>
      </c>
      <c r="N109" s="30">
        <f t="shared" si="9"/>
        <v>70</v>
      </c>
      <c r="O109" s="30">
        <f t="shared" si="9"/>
        <v>244</v>
      </c>
      <c r="P109" s="30">
        <f t="shared" si="9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0"/>
      <c r="G110" s="17">
        <f t="shared" si="7"/>
        <v>434.05376466877794</v>
      </c>
      <c r="H110" s="17">
        <f t="shared" si="10"/>
        <v>15.946235331222056</v>
      </c>
      <c r="I110" s="17">
        <f t="shared" si="8"/>
        <v>254.28242123871459</v>
      </c>
      <c r="L110" s="29" t="s">
        <v>69</v>
      </c>
      <c r="M110" s="64">
        <v>1</v>
      </c>
      <c r="N110" s="30">
        <f t="shared" si="9"/>
        <v>72</v>
      </c>
      <c r="O110" s="30">
        <f t="shared" si="9"/>
        <v>236</v>
      </c>
      <c r="P110" s="30">
        <f t="shared" si="9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0"/>
      <c r="G111" s="17">
        <f t="shared" si="7"/>
        <v>457.96175145432721</v>
      </c>
      <c r="H111" s="17">
        <f t="shared" si="10"/>
        <v>11.038248545672786</v>
      </c>
      <c r="I111" s="17">
        <f t="shared" si="8"/>
        <v>121.84293095604738</v>
      </c>
      <c r="L111" s="29" t="s">
        <v>69</v>
      </c>
      <c r="M111" s="64">
        <v>1</v>
      </c>
      <c r="N111" s="30">
        <f t="shared" si="9"/>
        <v>71</v>
      </c>
      <c r="O111" s="30">
        <f t="shared" si="9"/>
        <v>223</v>
      </c>
      <c r="P111" s="30">
        <f t="shared" si="9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0"/>
      <c r="G112" s="17">
        <f t="shared" si="7"/>
        <v>448.42158709734554</v>
      </c>
      <c r="H112" s="17">
        <f t="shared" si="10"/>
        <v>-114.42158709734554</v>
      </c>
      <c r="I112" s="17">
        <f t="shared" si="8"/>
        <v>13092.29959387543</v>
      </c>
      <c r="L112" s="29" t="s">
        <v>69</v>
      </c>
      <c r="M112" s="64">
        <v>1</v>
      </c>
      <c r="N112" s="30">
        <f t="shared" si="9"/>
        <v>76</v>
      </c>
      <c r="O112" s="30">
        <f t="shared" si="9"/>
        <v>245</v>
      </c>
      <c r="P112" s="30">
        <f t="shared" si="9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0"/>
      <c r="G113" s="17">
        <f t="shared" si="7"/>
        <v>443.83172665529372</v>
      </c>
      <c r="H113" s="17">
        <f t="shared" si="10"/>
        <v>-244.83172665529372</v>
      </c>
      <c r="I113" s="17">
        <f t="shared" si="8"/>
        <v>59942.574377012461</v>
      </c>
      <c r="L113" s="29" t="s">
        <v>69</v>
      </c>
      <c r="M113" s="64">
        <v>1</v>
      </c>
      <c r="N113" s="30">
        <f t="shared" si="9"/>
        <v>72</v>
      </c>
      <c r="O113" s="30">
        <f t="shared" si="9"/>
        <v>246</v>
      </c>
      <c r="P113" s="30">
        <f t="shared" si="9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0"/>
      <c r="G114" s="17">
        <f t="shared" si="7"/>
        <v>475.88921751518785</v>
      </c>
      <c r="H114" s="17">
        <f t="shared" si="10"/>
        <v>-89.889217515187852</v>
      </c>
      <c r="I114" s="17">
        <f t="shared" si="8"/>
        <v>8080.0714254927543</v>
      </c>
      <c r="L114" s="29" t="s">
        <v>69</v>
      </c>
      <c r="M114" s="64">
        <v>1</v>
      </c>
      <c r="N114" s="30">
        <f t="shared" si="9"/>
        <v>66</v>
      </c>
      <c r="O114" s="30">
        <f t="shared" si="9"/>
        <v>233</v>
      </c>
      <c r="P114" s="30">
        <f t="shared" si="9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0"/>
      <c r="G115" s="17">
        <f t="shared" si="7"/>
        <v>493.57888594651445</v>
      </c>
      <c r="H115" s="17">
        <f t="shared" si="10"/>
        <v>17.421114053485553</v>
      </c>
      <c r="I115" s="17">
        <f t="shared" si="8"/>
        <v>303.49521486455183</v>
      </c>
      <c r="L115" s="29" t="s">
        <v>69</v>
      </c>
      <c r="M115" s="64">
        <v>1</v>
      </c>
      <c r="N115" s="30">
        <f t="shared" si="9"/>
        <v>56</v>
      </c>
      <c r="O115" s="30">
        <f t="shared" si="9"/>
        <v>211</v>
      </c>
      <c r="P115" s="30">
        <f t="shared" si="9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0"/>
      <c r="G116" s="17">
        <f t="shared" si="7"/>
        <v>491.83889673667727</v>
      </c>
      <c r="H116" s="17">
        <f t="shared" si="10"/>
        <v>-40.83889673667727</v>
      </c>
      <c r="I116" s="17">
        <f t="shared" si="8"/>
        <v>1667.8154866689895</v>
      </c>
      <c r="L116" s="29" t="s">
        <v>69</v>
      </c>
      <c r="M116" s="64">
        <v>1</v>
      </c>
      <c r="N116" s="30">
        <f t="shared" si="9"/>
        <v>58</v>
      </c>
      <c r="O116" s="30">
        <f t="shared" si="9"/>
        <v>208</v>
      </c>
      <c r="P116" s="30">
        <f t="shared" si="9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0"/>
      <c r="G117" s="17">
        <f t="shared" si="7"/>
        <v>515.47212176713572</v>
      </c>
      <c r="H117" s="17">
        <f t="shared" si="10"/>
        <v>43.527878232864282</v>
      </c>
      <c r="I117" s="17">
        <f t="shared" si="8"/>
        <v>1894.6761834550603</v>
      </c>
      <c r="L117" s="29" t="s">
        <v>69</v>
      </c>
      <c r="M117" s="64">
        <v>1</v>
      </c>
      <c r="N117" s="30">
        <f t="shared" si="9"/>
        <v>55</v>
      </c>
      <c r="O117" s="30">
        <f t="shared" si="9"/>
        <v>207</v>
      </c>
      <c r="P117" s="30">
        <f t="shared" si="9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0"/>
      <c r="G118" s="17">
        <f t="shared" si="7"/>
        <v>522.70082385640649</v>
      </c>
      <c r="H118" s="17">
        <f t="shared" si="10"/>
        <v>0.29917614359351319</v>
      </c>
      <c r="I118" s="17">
        <f t="shared" si="8"/>
        <v>8.9506364895486426E-2</v>
      </c>
      <c r="L118" s="29" t="s">
        <v>69</v>
      </c>
      <c r="M118" s="64">
        <v>1</v>
      </c>
      <c r="N118" s="30">
        <f t="shared" si="9"/>
        <v>59</v>
      </c>
      <c r="O118" s="30">
        <f t="shared" si="9"/>
        <v>210</v>
      </c>
      <c r="P118" s="30">
        <f t="shared" si="9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0"/>
      <c r="G119" s="17">
        <f t="shared" si="7"/>
        <v>531.5640003630167</v>
      </c>
      <c r="H119" s="17">
        <f t="shared" si="10"/>
        <v>-118.5640003630167</v>
      </c>
      <c r="I119" s="17">
        <f t="shared" si="8"/>
        <v>14057.422182081425</v>
      </c>
      <c r="L119" s="29" t="s">
        <v>69</v>
      </c>
      <c r="M119" s="64">
        <v>1</v>
      </c>
      <c r="N119" s="30">
        <f t="shared" si="9"/>
        <v>58</v>
      </c>
      <c r="O119" s="30">
        <f t="shared" si="9"/>
        <v>220</v>
      </c>
      <c r="P119" s="30">
        <f t="shared" si="9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0"/>
      <c r="G120" s="17">
        <f t="shared" si="7"/>
        <v>525.68899443082603</v>
      </c>
      <c r="H120" s="17">
        <f t="shared" si="10"/>
        <v>-284.68899443082603</v>
      </c>
      <c r="I120" s="17">
        <f t="shared" si="8"/>
        <v>81047.823550034896</v>
      </c>
      <c r="L120" s="29" t="s">
        <v>69</v>
      </c>
      <c r="M120" s="64">
        <v>1</v>
      </c>
      <c r="N120" s="30">
        <f t="shared" si="9"/>
        <v>57</v>
      </c>
      <c r="O120" s="30">
        <f t="shared" si="9"/>
        <v>239</v>
      </c>
      <c r="P120" s="30">
        <f t="shared" si="9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0"/>
      <c r="G121" s="17">
        <f t="shared" si="7"/>
        <v>516.61478833922013</v>
      </c>
      <c r="H121" s="17">
        <f t="shared" si="10"/>
        <v>-141.61478833922013</v>
      </c>
      <c r="I121" s="17">
        <f t="shared" si="8"/>
        <v>20054.748276362116</v>
      </c>
      <c r="L121" s="29" t="s">
        <v>69</v>
      </c>
      <c r="M121" s="64">
        <v>1</v>
      </c>
      <c r="N121" s="30">
        <f t="shared" si="9"/>
        <v>52</v>
      </c>
      <c r="O121" s="30">
        <f t="shared" si="9"/>
        <v>237</v>
      </c>
      <c r="P121" s="30">
        <f t="shared" si="9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0"/>
      <c r="G122" s="17">
        <f t="shared" si="7"/>
        <v>521.25244790884324</v>
      </c>
      <c r="H122" s="17">
        <f t="shared" si="10"/>
        <v>72.747552091156763</v>
      </c>
      <c r="I122" s="17">
        <f t="shared" si="8"/>
        <v>5292.206335255567</v>
      </c>
      <c r="L122" s="29" t="s">
        <v>69</v>
      </c>
      <c r="M122" s="64">
        <v>1</v>
      </c>
      <c r="N122" s="30">
        <f t="shared" si="9"/>
        <v>53</v>
      </c>
      <c r="O122" s="30">
        <f t="shared" si="9"/>
        <v>233</v>
      </c>
      <c r="P122" s="30">
        <f t="shared" si="9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0"/>
      <c r="G123" s="17">
        <f t="shared" si="7"/>
        <v>527.61416364577974</v>
      </c>
      <c r="H123" s="17">
        <f t="shared" si="10"/>
        <v>44.38583635422026</v>
      </c>
      <c r="I123" s="17">
        <f t="shared" si="8"/>
        <v>1970.1024688636207</v>
      </c>
      <c r="L123" s="29" t="s">
        <v>69</v>
      </c>
      <c r="M123" s="64">
        <v>1</v>
      </c>
      <c r="N123" s="30">
        <f t="shared" si="9"/>
        <v>53</v>
      </c>
      <c r="O123" s="30">
        <f t="shared" si="9"/>
        <v>233</v>
      </c>
      <c r="P123" s="30">
        <f t="shared" si="9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0"/>
      <c r="G124" s="17">
        <f t="shared" si="7"/>
        <v>489.1531744265464</v>
      </c>
      <c r="H124" s="17">
        <f t="shared" si="10"/>
        <v>108.8468255734536</v>
      </c>
      <c r="I124" s="17">
        <f t="shared" si="8"/>
        <v>11847.631437417833</v>
      </c>
      <c r="L124" s="29" t="s">
        <v>69</v>
      </c>
      <c r="M124" s="64">
        <v>1</v>
      </c>
      <c r="N124" s="30">
        <f t="shared" si="9"/>
        <v>52</v>
      </c>
      <c r="O124" s="30">
        <f t="shared" si="9"/>
        <v>246</v>
      </c>
      <c r="P124" s="30">
        <f t="shared" si="9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0"/>
      <c r="G125" s="17">
        <f t="shared" si="7"/>
        <v>481.90853929475168</v>
      </c>
      <c r="H125" s="17">
        <f t="shared" si="10"/>
        <v>127.09146070524832</v>
      </c>
      <c r="I125" s="17">
        <f t="shared" si="8"/>
        <v>16152.239384193679</v>
      </c>
      <c r="L125" s="29" t="s">
        <v>69</v>
      </c>
      <c r="M125" s="64">
        <v>1</v>
      </c>
      <c r="N125" s="30">
        <f t="shared" si="9"/>
        <v>49</v>
      </c>
      <c r="O125" s="30">
        <f t="shared" si="9"/>
        <v>244</v>
      </c>
      <c r="P125" s="30">
        <f t="shared" si="9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0"/>
      <c r="G126" s="17">
        <f t="shared" si="7"/>
        <v>461.35306658868672</v>
      </c>
      <c r="H126" s="17">
        <f t="shared" si="10"/>
        <v>-16.353066588686715</v>
      </c>
      <c r="I126" s="17">
        <f t="shared" si="8"/>
        <v>267.42278685402175</v>
      </c>
      <c r="L126" s="29" t="s">
        <v>69</v>
      </c>
      <c r="M126" s="64">
        <v>1</v>
      </c>
      <c r="N126" s="30">
        <f t="shared" si="9"/>
        <v>54</v>
      </c>
      <c r="O126" s="30">
        <f t="shared" si="9"/>
        <v>271</v>
      </c>
      <c r="P126" s="30">
        <f t="shared" si="9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0"/>
      <c r="G127" s="17">
        <f t="shared" si="7"/>
        <v>467.44002057053251</v>
      </c>
      <c r="H127" s="17">
        <f t="shared" si="10"/>
        <v>-32.440020570532511</v>
      </c>
      <c r="I127" s="17">
        <f t="shared" si="8"/>
        <v>1052.3549346165723</v>
      </c>
      <c r="L127" s="29" t="s">
        <v>68</v>
      </c>
      <c r="M127" s="64">
        <v>1</v>
      </c>
      <c r="N127" s="30">
        <f t="shared" si="9"/>
        <v>52</v>
      </c>
      <c r="O127" s="30">
        <f t="shared" si="9"/>
        <v>283</v>
      </c>
      <c r="P127" s="30">
        <f t="shared" si="9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6" t="s">
        <v>87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3" t="s">
        <v>93</v>
      </c>
      <c r="B136" s="133"/>
      <c r="C136" s="133"/>
      <c r="D136" s="133"/>
      <c r="E136" s="133"/>
      <c r="F136" s="133"/>
      <c r="G136" s="133"/>
      <c r="H136" s="133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3" t="s">
        <v>100</v>
      </c>
      <c r="P140" s="143"/>
      <c r="Q140" s="143"/>
      <c r="R140" s="143"/>
      <c r="S140" s="54"/>
      <c r="T140" s="143" t="s">
        <v>99</v>
      </c>
      <c r="U140" s="143"/>
      <c r="V140" s="143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128577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75527663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500585311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12514.191900000014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-35.609360810871294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0.91478547990561765</v>
      </c>
      <c r="D146" t="s">
        <v>69</v>
      </c>
      <c r="E146" s="143" t="s">
        <v>90</v>
      </c>
      <c r="F146" s="143"/>
      <c r="G146" s="143"/>
      <c r="H146" s="143"/>
      <c r="I146" s="143"/>
      <c r="J146" s="143"/>
      <c r="K146" s="143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-0.93071852242937325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63617.157369364984</v>
      </c>
      <c r="D148" t="s">
        <v>71</v>
      </c>
      <c r="E148" s="121"/>
      <c r="F148" s="121"/>
      <c r="G148" s="121"/>
      <c r="H148" s="121"/>
      <c r="I148" s="121"/>
      <c r="J148" s="121"/>
      <c r="K148" s="121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3" t="s">
        <v>98</v>
      </c>
      <c r="P150" s="143"/>
      <c r="Q150" s="143"/>
      <c r="R150" s="143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3" t="s">
        <v>88</v>
      </c>
      <c r="B156" s="133"/>
      <c r="C156" s="133"/>
      <c r="D156" s="133"/>
      <c r="E156" s="133"/>
      <c r="F156" s="133"/>
      <c r="G156" s="133"/>
      <c r="H156" s="133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28821537.892422423</v>
      </c>
    </row>
    <row r="161" spans="1:22" ht="18" customHeight="1" x14ac:dyDescent="0.2">
      <c r="C161" s="64">
        <f>SUMPRODUCT(POWER(B8:B127,2))</f>
        <v>423547897</v>
      </c>
    </row>
    <row r="162" spans="1:22" ht="18" customHeight="1" x14ac:dyDescent="0.2">
      <c r="C162" s="64">
        <f>B130 * POWER(T11,2)</f>
        <v>137767041.07499999</v>
      </c>
    </row>
    <row r="163" spans="1:22" ht="18" customHeight="1" x14ac:dyDescent="0.2">
      <c r="C163" s="64">
        <f>C161-C162</f>
        <v>285780855.92500001</v>
      </c>
    </row>
    <row r="164" spans="1:22" ht="18" customHeight="1" x14ac:dyDescent="0.2">
      <c r="B164" s="13"/>
      <c r="C164" s="65">
        <f>C163-C160</f>
        <v>256959318.03257757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0.89910000000000001</v>
      </c>
    </row>
    <row r="167" spans="1:22" ht="18" customHeight="1" x14ac:dyDescent="0.2">
      <c r="B167" s="13"/>
      <c r="C167" s="113">
        <f>ROUND(1 - C160 / (B130 - (COUNT(C146:C148) + 1)) / (C163 / (B130-1)),4)</f>
        <v>0.89649999999999996</v>
      </c>
    </row>
    <row r="173" spans="1:22" ht="18" customHeight="1" x14ac:dyDescent="0.25">
      <c r="A173" s="133" t="s">
        <v>92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F176" s="138"/>
      <c r="G176" s="138"/>
      <c r="I176" s="138"/>
      <c r="J176" s="138"/>
      <c r="L176" s="138"/>
      <c r="M176" s="138"/>
      <c r="O176" s="138"/>
      <c r="P176" s="138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-35.609360810871294</v>
      </c>
      <c r="I179" s="16"/>
      <c r="J179" s="63">
        <f>C146</f>
        <v>0.91478547990561765</v>
      </c>
      <c r="L179" s="16"/>
      <c r="M179" s="63">
        <f>C147</f>
        <v>-0.93071852242937325</v>
      </c>
      <c r="O179" s="16"/>
      <c r="P179" s="63">
        <f>C148</f>
        <v>63617.157369364984</v>
      </c>
    </row>
    <row r="180" spans="2:21" ht="18" customHeight="1" x14ac:dyDescent="0.2">
      <c r="G180" s="76">
        <f>$C$160/($B$130-(COUNT($C$146:$C$148)+1))</f>
        <v>248461.53355536572</v>
      </c>
      <c r="J180" s="76">
        <f>$C$160/($B$130-(COUNT($C$146:$C$148)+1))</f>
        <v>248461.53355536572</v>
      </c>
      <c r="M180" s="76">
        <f>$C$160/($B$130-(COUNT($C$146:$C$148)+1))</f>
        <v>248461.53355536572</v>
      </c>
      <c r="P180" s="76">
        <f>$C$160/($B$130-(COUNT($C$146:$C$148)+1))</f>
        <v>248461.53355536572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0"/>
      <c r="G183" s="142">
        <f>SQRT(G180*G181)</f>
        <v>101.12823331153687</v>
      </c>
      <c r="I183" s="130"/>
      <c r="J183" s="142">
        <f>SQRT(J180*J181)</f>
        <v>1.2705144242918458</v>
      </c>
      <c r="L183" s="130"/>
      <c r="M183" s="142">
        <f>SQRT(M180*M181)</f>
        <v>0.32233219658724055</v>
      </c>
      <c r="O183" s="130"/>
      <c r="P183" s="142">
        <f>SQRT(P180*P181)</f>
        <v>6915.2939495801002</v>
      </c>
    </row>
    <row r="184" spans="2:21" ht="18" customHeight="1" x14ac:dyDescent="0.2">
      <c r="F184" s="122"/>
      <c r="G184" s="128"/>
      <c r="I184" s="122"/>
      <c r="J184" s="128"/>
      <c r="L184" s="122"/>
      <c r="M184" s="128"/>
      <c r="O184" s="122"/>
      <c r="P184" s="128"/>
    </row>
    <row r="188" spans="2:21" ht="18" customHeight="1" x14ac:dyDescent="0.2">
      <c r="B188" s="132" t="s">
        <v>40</v>
      </c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8"/>
      <c r="G197" s="138"/>
      <c r="I197" s="138"/>
      <c r="J197" s="138"/>
      <c r="L197" s="138"/>
      <c r="M197" s="138"/>
      <c r="O197" s="138"/>
      <c r="P197" s="138"/>
    </row>
    <row r="198" spans="2:21" ht="18" customHeight="1" x14ac:dyDescent="0.2">
      <c r="H198" s="14"/>
      <c r="Q198" s="148"/>
      <c r="R198" s="148"/>
      <c r="S198" s="83"/>
      <c r="T198" s="148"/>
      <c r="U198" s="148"/>
    </row>
    <row r="199" spans="2:21" ht="18" customHeight="1" x14ac:dyDescent="0.2">
      <c r="F199" s="16" t="s">
        <v>37</v>
      </c>
      <c r="G199" s="16">
        <f>ROUND(G179-G183*$K$194,4)</f>
        <v>-203.28970000000001</v>
      </c>
      <c r="H199" s="14"/>
      <c r="I199" s="16" t="s">
        <v>37</v>
      </c>
      <c r="J199" s="16">
        <f>ROUND(J179-J183*$K$194,4)</f>
        <v>-1.1918</v>
      </c>
      <c r="L199" s="16" t="s">
        <v>37</v>
      </c>
      <c r="M199" s="16">
        <f>ROUND(M179-M183*$K$194,4)</f>
        <v>-1.4652000000000001</v>
      </c>
      <c r="O199" s="16" t="s">
        <v>37</v>
      </c>
      <c r="P199" s="16">
        <f>ROUND(P179-P183*$K$194,4)</f>
        <v>52150.937899999997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132.07089999999999</v>
      </c>
      <c r="I200" s="13" t="s">
        <v>38</v>
      </c>
      <c r="J200" s="13">
        <f>ROUND(J179+J183*$K$194,4)</f>
        <v>3.0213999999999999</v>
      </c>
      <c r="L200" s="13" t="s">
        <v>38</v>
      </c>
      <c r="M200" s="13">
        <f>ROUND(M179+M183*$K$194,4)</f>
        <v>-0.39629999999999999</v>
      </c>
      <c r="O200" s="13" t="s">
        <v>38</v>
      </c>
      <c r="P200" s="13">
        <f>ROUND(P179+P183*$K$194,4)</f>
        <v>75083.376799999998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2" t="s">
        <v>42</v>
      </c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8"/>
      <c r="G218" s="138"/>
      <c r="I218" s="138"/>
      <c r="J218" s="138"/>
      <c r="L218" s="138"/>
      <c r="M218" s="138"/>
      <c r="O218" s="138"/>
      <c r="P218" s="138"/>
      <c r="Q218" s="148"/>
      <c r="R218" s="148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-235.9066</v>
      </c>
      <c r="I220" s="16" t="s">
        <v>37</v>
      </c>
      <c r="J220" s="16">
        <f>ROUND(J179-J183*$K$214,4)</f>
        <v>-1.6015999999999999</v>
      </c>
      <c r="L220" s="16" t="s">
        <v>37</v>
      </c>
      <c r="M220" s="16">
        <f>ROUND(M179-M183*$K$214,4)</f>
        <v>-1.5690999999999999</v>
      </c>
      <c r="O220" s="16" t="s">
        <v>37</v>
      </c>
      <c r="P220" s="16">
        <f>ROUND(P179-P183*$K$214,4)</f>
        <v>49920.546399999999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164.68780000000001</v>
      </c>
      <c r="I221" s="13" t="s">
        <v>38</v>
      </c>
      <c r="J221" s="13">
        <f>ROUND(J179+J183*$K$214,4)</f>
        <v>3.4312</v>
      </c>
      <c r="L221" s="13" t="s">
        <v>38</v>
      </c>
      <c r="M221" s="13">
        <f>ROUND(M179+M183*$K$214,4)</f>
        <v>-0.2923</v>
      </c>
      <c r="O221" s="13" t="s">
        <v>38</v>
      </c>
      <c r="P221" s="13">
        <f>ROUND(P179+P183*$K$214,4)</f>
        <v>77313.768400000001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8"/>
      <c r="G232" s="138"/>
      <c r="I232" s="138"/>
      <c r="J232" s="138"/>
      <c r="L232" s="138"/>
      <c r="M232" s="138"/>
      <c r="O232" s="138"/>
      <c r="P232" s="138"/>
      <c r="Q232" s="148"/>
      <c r="R232" s="148"/>
      <c r="S232" s="83"/>
      <c r="T232" s="148"/>
      <c r="U232" s="148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2" t="s">
        <v>44</v>
      </c>
      <c r="G234" s="132"/>
      <c r="I234" s="132" t="s">
        <v>44</v>
      </c>
      <c r="J234" s="132"/>
      <c r="L234" s="132" t="s">
        <v>44</v>
      </c>
      <c r="M234" s="132"/>
      <c r="O234" s="132" t="s">
        <v>44</v>
      </c>
      <c r="P234" s="132"/>
      <c r="Q234" s="150"/>
      <c r="R234" s="150"/>
      <c r="S234" s="83"/>
      <c r="T234" s="150"/>
      <c r="U234" s="150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41" t="s">
        <v>45</v>
      </c>
      <c r="G239" s="141"/>
      <c r="I239" s="141" t="s">
        <v>45</v>
      </c>
      <c r="J239" s="141"/>
      <c r="L239" s="141" t="s">
        <v>45</v>
      </c>
      <c r="M239" s="141"/>
      <c r="O239" s="141" t="s">
        <v>45</v>
      </c>
      <c r="P239" s="141"/>
      <c r="Q239" s="149"/>
      <c r="R239" s="149"/>
      <c r="S239" s="83"/>
      <c r="T239" s="149"/>
      <c r="U239" s="149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-0.35212086323284875</v>
      </c>
      <c r="I246" s="55" t="s">
        <v>95</v>
      </c>
      <c r="J246">
        <f>J179/J183</f>
        <v>0.72001188055420706</v>
      </c>
      <c r="L246" s="55" t="s">
        <v>95</v>
      </c>
      <c r="M246">
        <f>M179/M183</f>
        <v>-2.8874513073268822</v>
      </c>
      <c r="O246" s="55" t="s">
        <v>95</v>
      </c>
      <c r="P246">
        <f>P179/P183</f>
        <v>9.1994870837309595</v>
      </c>
      <c r="Q246" s="90"/>
      <c r="R246" s="83"/>
      <c r="S246" s="83"/>
      <c r="T246" s="90"/>
      <c r="U246" s="83"/>
    </row>
    <row r="250" spans="2:21" ht="18" customHeight="1" x14ac:dyDescent="0.25">
      <c r="B250" s="140" t="s">
        <v>96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48"/>
      <c r="C274" s="148"/>
      <c r="D274" s="83"/>
      <c r="E274" s="83"/>
      <c r="F274" s="83"/>
      <c r="G274" s="148"/>
      <c r="H274" s="148"/>
      <c r="I274" s="83"/>
      <c r="J274" s="83"/>
      <c r="K274" s="83"/>
      <c r="L274" s="148"/>
      <c r="M274" s="148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48"/>
      <c r="C304" s="148"/>
      <c r="D304" s="83"/>
      <c r="E304" s="83"/>
      <c r="F304" s="83"/>
      <c r="G304" s="148"/>
      <c r="H304" s="148"/>
      <c r="I304" s="83"/>
      <c r="J304" s="83"/>
      <c r="K304" s="83"/>
      <c r="L304" s="148"/>
      <c r="M304" s="148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34" t="s">
        <v>55</v>
      </c>
      <c r="G319" s="135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256959318.03257757</v>
      </c>
      <c r="E320" s="114">
        <f>COUNT(C146:C148)</f>
        <v>3</v>
      </c>
      <c r="F320" s="136">
        <f>D320/E320</f>
        <v>85653106.010859191</v>
      </c>
      <c r="G320" s="137"/>
      <c r="H320" s="77">
        <f>F320/F321</f>
        <v>344.73387000878648</v>
      </c>
      <c r="I320" s="73"/>
    </row>
    <row r="321" spans="3:14" ht="18" customHeight="1" x14ac:dyDescent="0.25">
      <c r="C321" s="25" t="s">
        <v>58</v>
      </c>
      <c r="D321" s="60">
        <f>C160</f>
        <v>28821537.892422423</v>
      </c>
      <c r="E321" s="114">
        <f>B130 -(E320+1)</f>
        <v>116</v>
      </c>
      <c r="F321" s="117">
        <f>D321/E321</f>
        <v>248461.53355536572</v>
      </c>
      <c r="G321" s="117"/>
      <c r="H321" s="64"/>
    </row>
    <row r="322" spans="3:14" ht="18" customHeight="1" x14ac:dyDescent="0.25">
      <c r="C322" s="25" t="s">
        <v>59</v>
      </c>
      <c r="D322" s="60">
        <f>C163</f>
        <v>285780855.92500001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5" t="s">
        <v>97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4" t="s">
        <v>72</v>
      </c>
      <c r="O344" s="144"/>
      <c r="P344" s="144"/>
      <c r="Q344" s="144"/>
      <c r="R344" s="87"/>
      <c r="S344" s="87"/>
      <c r="T344" s="87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1">D346</f>
        <v>45642</v>
      </c>
      <c r="Q345" s="66">
        <f t="shared" si="11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>SUM(C8:C14)</f>
        <v>6117</v>
      </c>
      <c r="D346" s="17">
        <f>SUM(D8:D14)</f>
        <v>45642</v>
      </c>
      <c r="E346" s="17">
        <f t="shared" ref="E346" si="12">SUM(E8:E14)</f>
        <v>1.2538</v>
      </c>
      <c r="F346" s="84"/>
      <c r="G346" s="75">
        <f>$C$378 + $C$379*C346 + $C$380*D346 + $C$381*E346</f>
        <v>43335.05715185462</v>
      </c>
      <c r="H346" s="17">
        <f t="shared" ref="H346:H362" si="13">B346-G346</f>
        <v>1562.9428481453797</v>
      </c>
      <c r="I346" s="17">
        <f>POWER(H346,2)</f>
        <v>2442790.3465687912</v>
      </c>
      <c r="M346" s="29" t="s">
        <v>69</v>
      </c>
      <c r="N346" s="64">
        <v>1</v>
      </c>
      <c r="O346" s="66">
        <f t="shared" ref="O346:Q361" si="14">C347</f>
        <v>5872</v>
      </c>
      <c r="P346" s="66">
        <f t="shared" si="11"/>
        <v>38719</v>
      </c>
      <c r="Q346" s="66">
        <f t="shared" si="11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>SUM(C15:C21)</f>
        <v>5872</v>
      </c>
      <c r="D347" s="17">
        <f>SUM(D15:D21)</f>
        <v>38719</v>
      </c>
      <c r="E347" s="17">
        <f t="shared" ref="E347" si="15">SUM(E15:E21)</f>
        <v>0.83809999999999985</v>
      </c>
      <c r="F347" s="84"/>
      <c r="G347" s="75">
        <f t="shared" ref="G347:G362" si="16">$C$378 + $C$379*C347 + $C$380*D347 + $C$381*E347</f>
        <v>23285.243580638991</v>
      </c>
      <c r="H347" s="17">
        <f t="shared" si="13"/>
        <v>-2943.2435806389913</v>
      </c>
      <c r="I347" s="17">
        <f t="shared" ref="I347:I362" si="17">POWER(H347,2)</f>
        <v>8662682.7749726307</v>
      </c>
      <c r="M347" s="29" t="s">
        <v>69</v>
      </c>
      <c r="N347" s="64">
        <v>1</v>
      </c>
      <c r="O347" s="66">
        <f t="shared" si="14"/>
        <v>4906</v>
      </c>
      <c r="P347" s="66">
        <f t="shared" si="11"/>
        <v>27454</v>
      </c>
      <c r="Q347" s="66">
        <f t="shared" si="11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18">A347+7</f>
        <v>44242</v>
      </c>
      <c r="B348" s="17">
        <f>SUM(B22:B28)</f>
        <v>11769</v>
      </c>
      <c r="C348" s="17">
        <f>SUM(C22:C28)</f>
        <v>4906</v>
      </c>
      <c r="D348" s="17">
        <f t="shared" ref="D348:E348" si="19">SUM(D22:D28)</f>
        <v>27454</v>
      </c>
      <c r="E348" s="17">
        <f t="shared" si="19"/>
        <v>0.50600000000000001</v>
      </c>
      <c r="F348" s="84"/>
      <c r="G348" s="75">
        <f t="shared" si="16"/>
        <v>10745.821447876373</v>
      </c>
      <c r="H348" s="17">
        <f t="shared" si="13"/>
        <v>1023.178552123627</v>
      </c>
      <c r="I348" s="17">
        <f t="shared" si="17"/>
        <v>1046894.3495258017</v>
      </c>
      <c r="M348" s="29" t="s">
        <v>69</v>
      </c>
      <c r="N348" s="64">
        <v>1</v>
      </c>
      <c r="O348" s="66">
        <f t="shared" si="14"/>
        <v>3825</v>
      </c>
      <c r="P348" s="66">
        <f t="shared" si="11"/>
        <v>18463</v>
      </c>
      <c r="Q348" s="66">
        <f t="shared" si="11"/>
        <v>0.32390000000000002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18"/>
        <v>44249</v>
      </c>
      <c r="B349" s="17">
        <f>SUM(B29:B35)</f>
        <v>7037</v>
      </c>
      <c r="C349" s="17">
        <f>SUM(C29:C35)</f>
        <v>3825</v>
      </c>
      <c r="D349" s="17">
        <f t="shared" ref="D349:E349" si="20">SUM(D29:D35)</f>
        <v>18463</v>
      </c>
      <c r="E349" s="17">
        <f t="shared" si="20"/>
        <v>0.32390000000000002</v>
      </c>
      <c r="F349" s="84"/>
      <c r="G349" s="75">
        <f t="shared" si="16"/>
        <v>5813.694085516905</v>
      </c>
      <c r="H349" s="17">
        <f t="shared" si="13"/>
        <v>1223.305914483095</v>
      </c>
      <c r="I349" s="17">
        <f t="shared" si="17"/>
        <v>1496477.3604093213</v>
      </c>
      <c r="M349" s="29" t="s">
        <v>69</v>
      </c>
      <c r="N349" s="64">
        <v>1</v>
      </c>
      <c r="O349" s="66">
        <f t="shared" si="14"/>
        <v>2829</v>
      </c>
      <c r="P349" s="66">
        <f t="shared" si="11"/>
        <v>12112</v>
      </c>
      <c r="Q349" s="66">
        <f t="shared" si="11"/>
        <v>0.23469999999999999</v>
      </c>
      <c r="R349" t="s">
        <v>69</v>
      </c>
      <c r="S349" s="66"/>
      <c r="T349" s="7" t="s">
        <v>11</v>
      </c>
      <c r="U349" s="6">
        <f>AVERAGE(B346:B362)</f>
        <v>7537.7647058823532</v>
      </c>
    </row>
    <row r="350" spans="1:29" ht="18" customHeight="1" x14ac:dyDescent="0.2">
      <c r="A350" s="74">
        <f t="shared" si="18"/>
        <v>44256</v>
      </c>
      <c r="B350" s="17">
        <f>SUM(B36:B42)</f>
        <v>5532</v>
      </c>
      <c r="C350" s="17">
        <f>SUM(C36:C42)</f>
        <v>2829</v>
      </c>
      <c r="D350" s="17">
        <f t="shared" ref="D350:E350" si="21">SUM(D36:D42)</f>
        <v>12112</v>
      </c>
      <c r="E350" s="17">
        <f t="shared" si="21"/>
        <v>0.23469999999999999</v>
      </c>
      <c r="F350" s="84"/>
      <c r="G350" s="75">
        <f t="shared" si="16"/>
        <v>4858.5320903048778</v>
      </c>
      <c r="H350" s="17">
        <f t="shared" si="13"/>
        <v>673.46790969512222</v>
      </c>
      <c r="I350" s="17">
        <f t="shared" si="17"/>
        <v>453559.02538911731</v>
      </c>
      <c r="M350" s="29" t="s">
        <v>69</v>
      </c>
      <c r="N350" s="64">
        <v>1</v>
      </c>
      <c r="O350" s="66">
        <f t="shared" si="14"/>
        <v>1971</v>
      </c>
      <c r="P350" s="66">
        <f t="shared" si="11"/>
        <v>7986</v>
      </c>
      <c r="Q350" s="66">
        <f t="shared" si="11"/>
        <v>0.21529999999999999</v>
      </c>
      <c r="R350" t="s">
        <v>69</v>
      </c>
      <c r="S350" s="66"/>
      <c r="T350" s="7" t="s">
        <v>15</v>
      </c>
      <c r="U350" s="6">
        <f>AVERAGE(C346:C362)</f>
        <v>1979.5294117647059</v>
      </c>
    </row>
    <row r="351" spans="1:29" ht="18" customHeight="1" x14ac:dyDescent="0.2">
      <c r="A351" s="74">
        <f t="shared" si="18"/>
        <v>44263</v>
      </c>
      <c r="B351" s="17">
        <f>SUM(B43:B49)</f>
        <v>4163</v>
      </c>
      <c r="C351" s="17">
        <f>SUM(C43:C49)</f>
        <v>1971</v>
      </c>
      <c r="D351" s="17">
        <f t="shared" ref="D351:E351" si="22">SUM(D43:D49)</f>
        <v>7986</v>
      </c>
      <c r="E351" s="17">
        <f t="shared" si="22"/>
        <v>0.21529999999999999</v>
      </c>
      <c r="F351" s="84"/>
      <c r="G351" s="75">
        <f t="shared" si="16"/>
        <v>6688.0424912593071</v>
      </c>
      <c r="H351" s="17">
        <f t="shared" si="13"/>
        <v>-2525.0424912593071</v>
      </c>
      <c r="I351" s="17">
        <f t="shared" si="17"/>
        <v>6375839.5826650076</v>
      </c>
      <c r="M351" s="29" t="s">
        <v>69</v>
      </c>
      <c r="N351" s="64">
        <v>1</v>
      </c>
      <c r="O351" s="66">
        <f t="shared" si="14"/>
        <v>1358</v>
      </c>
      <c r="P351" s="66">
        <f t="shared" si="11"/>
        <v>5933</v>
      </c>
      <c r="Q351" s="66">
        <f t="shared" si="11"/>
        <v>0.11800000000000001</v>
      </c>
      <c r="R351" t="s">
        <v>69</v>
      </c>
      <c r="S351" s="66"/>
      <c r="T351" s="7" t="s">
        <v>16</v>
      </c>
      <c r="U351" s="6">
        <f>AVERAGE(D346:D362)</f>
        <v>10796.64705882353</v>
      </c>
    </row>
    <row r="352" spans="1:29" ht="18" customHeight="1" x14ac:dyDescent="0.2">
      <c r="A352" s="74">
        <f t="shared" si="18"/>
        <v>44270</v>
      </c>
      <c r="B352" s="17">
        <f>SUM(B50:B56)</f>
        <v>3273</v>
      </c>
      <c r="C352" s="17">
        <f>SUM(C50:C56)</f>
        <v>1358</v>
      </c>
      <c r="D352" s="17">
        <f t="shared" ref="D352:E352" si="23">SUM(D50:D56)</f>
        <v>5933</v>
      </c>
      <c r="E352" s="17">
        <f t="shared" si="23"/>
        <v>0.11800000000000001</v>
      </c>
      <c r="F352" s="84"/>
      <c r="G352" s="75">
        <f t="shared" si="16"/>
        <v>2936.9452859966541</v>
      </c>
      <c r="H352" s="17">
        <f t="shared" si="13"/>
        <v>336.05471400334591</v>
      </c>
      <c r="I352" s="17">
        <f t="shared" si="17"/>
        <v>112932.77080387062</v>
      </c>
      <c r="M352" s="29" t="s">
        <v>69</v>
      </c>
      <c r="N352" s="64">
        <v>1</v>
      </c>
      <c r="O352" s="66">
        <f t="shared" si="14"/>
        <v>1078</v>
      </c>
      <c r="P352" s="66">
        <f t="shared" si="11"/>
        <v>4841</v>
      </c>
      <c r="Q352" s="66">
        <f t="shared" si="11"/>
        <v>0.1012</v>
      </c>
      <c r="R352" t="s">
        <v>69</v>
      </c>
      <c r="S352" s="66"/>
      <c r="T352" s="7" t="s">
        <v>17</v>
      </c>
      <c r="U352" s="6">
        <f>AVERAGE(E346:E362)</f>
        <v>0.25186470588235305</v>
      </c>
    </row>
    <row r="353" spans="1:31" ht="18" customHeight="1" x14ac:dyDescent="0.2">
      <c r="A353" s="74">
        <f t="shared" si="18"/>
        <v>44277</v>
      </c>
      <c r="B353" s="17">
        <f>SUM(B57:B63)</f>
        <v>2877</v>
      </c>
      <c r="C353" s="17">
        <f>SUM(C57:C63)</f>
        <v>1078</v>
      </c>
      <c r="D353" s="17">
        <f t="shared" ref="D353:E353" si="24">SUM(D57:D63)</f>
        <v>4841</v>
      </c>
      <c r="E353" s="17">
        <f t="shared" si="24"/>
        <v>0.1012</v>
      </c>
      <c r="F353" s="84"/>
      <c r="G353" s="75">
        <f t="shared" si="16"/>
        <v>2839.1733919958524</v>
      </c>
      <c r="H353" s="17">
        <f t="shared" si="13"/>
        <v>37.826608004147602</v>
      </c>
      <c r="I353" s="17">
        <f t="shared" si="17"/>
        <v>1430.8522730994434</v>
      </c>
      <c r="M353" s="29" t="s">
        <v>69</v>
      </c>
      <c r="N353" s="64">
        <v>1</v>
      </c>
      <c r="O353" s="66">
        <f t="shared" si="14"/>
        <v>895</v>
      </c>
      <c r="P353" s="66">
        <f t="shared" si="11"/>
        <v>3845</v>
      </c>
      <c r="Q353" s="66">
        <f t="shared" si="11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18"/>
        <v>44284</v>
      </c>
      <c r="B354" s="17">
        <f>SUM(B64:B70)</f>
        <v>2928</v>
      </c>
      <c r="C354" s="17">
        <f>SUM(C64:C70)</f>
        <v>895</v>
      </c>
      <c r="D354" s="17">
        <f t="shared" ref="D354:E354" si="25">SUM(D64:D70)</f>
        <v>3845</v>
      </c>
      <c r="E354" s="17">
        <f t="shared" si="25"/>
        <v>0.12129999999999998</v>
      </c>
      <c r="F354" s="84"/>
      <c r="G354" s="75">
        <f t="shared" si="16"/>
        <v>4637.7890809336322</v>
      </c>
      <c r="H354" s="17">
        <f t="shared" si="13"/>
        <v>-1709.7890809336322</v>
      </c>
      <c r="I354" s="17">
        <f t="shared" si="17"/>
        <v>2923378.7012798749</v>
      </c>
      <c r="M354" s="29" t="s">
        <v>69</v>
      </c>
      <c r="N354" s="64">
        <v>1</v>
      </c>
      <c r="O354" s="66">
        <f t="shared" si="14"/>
        <v>823</v>
      </c>
      <c r="P354" s="66">
        <f t="shared" si="11"/>
        <v>3441</v>
      </c>
      <c r="Q354" s="66">
        <f t="shared" si="11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18"/>
        <v>44291</v>
      </c>
      <c r="B355" s="17">
        <f>SUM(B71:B77)</f>
        <v>4159</v>
      </c>
      <c r="C355" s="17">
        <f>SUM(C71:C77)</f>
        <v>823</v>
      </c>
      <c r="D355" s="17">
        <f t="shared" ref="D355:E355" si="26">SUM(D71:D77)</f>
        <v>3441</v>
      </c>
      <c r="E355" s="17">
        <f t="shared" si="26"/>
        <v>8.4999999999999992E-2</v>
      </c>
      <c r="F355" s="84"/>
      <c r="G355" s="75">
        <f t="shared" si="16"/>
        <v>2871.2391611112139</v>
      </c>
      <c r="H355" s="17">
        <f t="shared" si="13"/>
        <v>1287.7608388887861</v>
      </c>
      <c r="I355" s="17">
        <f t="shared" si="17"/>
        <v>1658327.9781755502</v>
      </c>
      <c r="M355" s="29" t="s">
        <v>69</v>
      </c>
      <c r="N355" s="64">
        <v>1</v>
      </c>
      <c r="O355" s="66">
        <f t="shared" si="14"/>
        <v>775</v>
      </c>
      <c r="P355" s="66">
        <f t="shared" si="11"/>
        <v>3080</v>
      </c>
      <c r="Q355" s="66">
        <f t="shared" si="11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18"/>
        <v>44298</v>
      </c>
      <c r="B356" s="17">
        <f>SUM(B78:B84)</f>
        <v>3507</v>
      </c>
      <c r="C356" s="17">
        <f>SUM(C78:C84)</f>
        <v>775</v>
      </c>
      <c r="D356" s="17">
        <f t="shared" ref="D356:E356" si="27">SUM(D78:D84)</f>
        <v>3080</v>
      </c>
      <c r="E356" s="17">
        <f t="shared" si="27"/>
        <v>9.4500000000000001E-2</v>
      </c>
      <c r="F356" s="84"/>
      <c r="G356" s="75">
        <f t="shared" si="16"/>
        <v>3622.3292861285954</v>
      </c>
      <c r="H356" s="17">
        <f t="shared" si="13"/>
        <v>-115.32928612859541</v>
      </c>
      <c r="I356" s="17">
        <f t="shared" si="17"/>
        <v>13300.84423893143</v>
      </c>
      <c r="M356" s="29" t="s">
        <v>69</v>
      </c>
      <c r="N356" s="64">
        <v>1</v>
      </c>
      <c r="O356" s="66">
        <f t="shared" si="14"/>
        <v>733</v>
      </c>
      <c r="P356" s="66">
        <f t="shared" si="11"/>
        <v>2749</v>
      </c>
      <c r="Q356" s="66">
        <f t="shared" si="11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18"/>
        <v>44305</v>
      </c>
      <c r="B357" s="17">
        <f>SUM(B85:B91)</f>
        <v>3441</v>
      </c>
      <c r="C357" s="17">
        <f>SUM(C85:C91)</f>
        <v>733</v>
      </c>
      <c r="D357" s="17">
        <f t="shared" ref="D357:E357" si="28">SUM(D85:D91)</f>
        <v>2749</v>
      </c>
      <c r="E357" s="17">
        <f t="shared" si="28"/>
        <v>5.7600000000000005E-2</v>
      </c>
      <c r="F357" s="84"/>
      <c r="G357" s="75">
        <f t="shared" si="16"/>
        <v>1750.2734705281605</v>
      </c>
      <c r="H357" s="17">
        <f t="shared" si="13"/>
        <v>1690.7265294718395</v>
      </c>
      <c r="I357" s="17">
        <f t="shared" si="17"/>
        <v>2858556.197459891</v>
      </c>
      <c r="M357" s="29" t="s">
        <v>69</v>
      </c>
      <c r="N357" s="64">
        <v>1</v>
      </c>
      <c r="O357" s="66">
        <f t="shared" si="14"/>
        <v>612</v>
      </c>
      <c r="P357" s="66">
        <f t="shared" si="11"/>
        <v>2304</v>
      </c>
      <c r="Q357" s="66">
        <f t="shared" si="11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18"/>
        <v>44312</v>
      </c>
      <c r="B358" s="17">
        <f>SUM(B92:B98)</f>
        <v>2835</v>
      </c>
      <c r="C358" s="17">
        <f>SUM(C92:C98)</f>
        <v>612</v>
      </c>
      <c r="D358" s="17">
        <f t="shared" ref="D358:E358" si="29">SUM(D92:D98)</f>
        <v>2304</v>
      </c>
      <c r="E358" s="17">
        <f t="shared" si="29"/>
        <v>5.7999999999999996E-2</v>
      </c>
      <c r="F358" s="84"/>
      <c r="G358" s="75">
        <f t="shared" si="16"/>
        <v>2126.2365739881911</v>
      </c>
      <c r="H358" s="17">
        <f t="shared" si="13"/>
        <v>708.76342601180886</v>
      </c>
      <c r="I358" s="17">
        <f t="shared" si="17"/>
        <v>502345.59405199683</v>
      </c>
      <c r="M358" s="29" t="s">
        <v>69</v>
      </c>
      <c r="N358" s="64">
        <v>1</v>
      </c>
      <c r="O358" s="66">
        <f t="shared" si="14"/>
        <v>560</v>
      </c>
      <c r="P358" s="66">
        <f t="shared" si="11"/>
        <v>2006</v>
      </c>
      <c r="Q358" s="66">
        <f t="shared" si="11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18"/>
        <v>44319</v>
      </c>
      <c r="B359" s="17">
        <f>SUM(B99:B105)</f>
        <v>2305</v>
      </c>
      <c r="C359" s="17">
        <f>SUM(C99:C105)</f>
        <v>560</v>
      </c>
      <c r="D359" s="17">
        <f t="shared" ref="D359:E359" si="30">SUM(D99:D105)</f>
        <v>2006</v>
      </c>
      <c r="E359" s="17">
        <f t="shared" si="30"/>
        <v>5.5900000000000005E-2</v>
      </c>
      <c r="F359" s="84"/>
      <c r="G359" s="75">
        <f>$C$378 + $C$379*C359 + $C$380*D359 + $C$381*E359</f>
        <v>2205.5665887334017</v>
      </c>
      <c r="H359" s="17">
        <f t="shared" si="13"/>
        <v>99.433411266598341</v>
      </c>
      <c r="I359" s="17">
        <f t="shared" si="17"/>
        <v>9887.0032761124858</v>
      </c>
      <c r="M359" s="29" t="s">
        <v>69</v>
      </c>
      <c r="N359" s="64">
        <v>1</v>
      </c>
      <c r="O359" s="66">
        <f t="shared" si="14"/>
        <v>504</v>
      </c>
      <c r="P359" s="66">
        <f t="shared" si="11"/>
        <v>1730</v>
      </c>
      <c r="Q359" s="66">
        <f t="shared" si="11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18"/>
        <v>44326</v>
      </c>
      <c r="B360" s="17">
        <f>SUM(B106:B112)</f>
        <v>2600</v>
      </c>
      <c r="C360" s="17">
        <f>SUM(C106:C112)</f>
        <v>504</v>
      </c>
      <c r="D360" s="17">
        <f t="shared" ref="D360:E360" si="31">SUM(D106:D112)</f>
        <v>1730</v>
      </c>
      <c r="E360" s="17">
        <f t="shared" si="31"/>
        <v>6.4600000000000005E-2</v>
      </c>
      <c r="F360" s="84"/>
      <c r="G360" s="75">
        <f t="shared" si="16"/>
        <v>2886.7478682206824</v>
      </c>
      <c r="H360" s="17">
        <f t="shared" si="13"/>
        <v>-286.74786822068245</v>
      </c>
      <c r="I360" s="17">
        <f t="shared" si="17"/>
        <v>82224.339929105874</v>
      </c>
      <c r="M360" s="29" t="s">
        <v>69</v>
      </c>
      <c r="N360" s="64">
        <v>1</v>
      </c>
      <c r="O360" s="66">
        <f t="shared" si="14"/>
        <v>424</v>
      </c>
      <c r="P360" s="66">
        <f t="shared" si="11"/>
        <v>1535</v>
      </c>
      <c r="Q360" s="66">
        <f t="shared" si="11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18"/>
        <v>44333</v>
      </c>
      <c r="B361" s="17">
        <f>SUM(B113:B119)</f>
        <v>3042</v>
      </c>
      <c r="C361" s="17">
        <f>SUM(C113:C119)</f>
        <v>424</v>
      </c>
      <c r="D361" s="17">
        <f t="shared" ref="D361:E361" si="32">SUM(D113:D119)</f>
        <v>1535</v>
      </c>
      <c r="E361" s="17">
        <f t="shared" si="32"/>
        <v>7.4900000000000008E-2</v>
      </c>
      <c r="F361" s="84"/>
      <c r="G361" s="75">
        <f t="shared" si="16"/>
        <v>3656.1614198341213</v>
      </c>
      <c r="H361" s="17">
        <f t="shared" si="13"/>
        <v>-614.16141983412126</v>
      </c>
      <c r="I361" s="17">
        <f t="shared" si="17"/>
        <v>377194.24961266376</v>
      </c>
      <c r="M361" s="29" t="s">
        <v>68</v>
      </c>
      <c r="N361" s="64">
        <v>1</v>
      </c>
      <c r="O361" s="66">
        <f t="shared" si="14"/>
        <v>370</v>
      </c>
      <c r="P361" s="66">
        <f t="shared" si="14"/>
        <v>1703</v>
      </c>
      <c r="Q361" s="66">
        <f t="shared" si="14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18"/>
        <v>44340</v>
      </c>
      <c r="B362" s="17">
        <f>SUM(B120:B126)</f>
        <v>3434</v>
      </c>
      <c r="C362" s="17">
        <f>SUM(C120:C126)</f>
        <v>370</v>
      </c>
      <c r="D362" s="17">
        <f t="shared" ref="D362:E362" si="33">SUM(D120:D126)</f>
        <v>1703</v>
      </c>
      <c r="E362" s="17">
        <f t="shared" si="33"/>
        <v>7.8899999999999984E-2</v>
      </c>
      <c r="F362" s="84"/>
      <c r="G362" s="75">
        <f t="shared" si="16"/>
        <v>3883.1470251018322</v>
      </c>
      <c r="H362" s="17">
        <f t="shared" si="13"/>
        <v>-449.14702510183224</v>
      </c>
      <c r="I362" s="17">
        <f t="shared" si="17"/>
        <v>201733.05015782593</v>
      </c>
    </row>
    <row r="364" spans="1:31" ht="18" customHeight="1" x14ac:dyDescent="0.2">
      <c r="A364" s="7" t="s">
        <v>32</v>
      </c>
      <c r="B364" s="6">
        <f>COUNT(B346:B362)</f>
        <v>17</v>
      </c>
      <c r="N364" s="143" t="s">
        <v>87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3825</v>
      </c>
      <c r="R366" s="64">
        <v>2829</v>
      </c>
      <c r="S366" s="64">
        <v>1971</v>
      </c>
      <c r="T366" s="64">
        <v>1358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18463</v>
      </c>
      <c r="R367" s="64">
        <v>12112</v>
      </c>
      <c r="S367" s="64">
        <v>7986</v>
      </c>
      <c r="T367" s="64">
        <v>5933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0.32390000000000002</v>
      </c>
      <c r="R368" s="64">
        <v>0.23469999999999999</v>
      </c>
      <c r="S368" s="64">
        <v>0.21529999999999999</v>
      </c>
      <c r="T368" s="64">
        <v>0.11800000000000001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3" t="s">
        <v>93</v>
      </c>
      <c r="B369" s="133"/>
      <c r="C369" s="133"/>
      <c r="D369" s="133"/>
      <c r="E369" s="133"/>
      <c r="F369" s="133"/>
      <c r="G369" s="133"/>
      <c r="H369" s="133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3" t="s">
        <v>100</v>
      </c>
      <c r="O374" s="143"/>
      <c r="P374" s="143"/>
      <c r="Q374" s="143"/>
      <c r="R374" s="54"/>
      <c r="S374" s="54"/>
      <c r="T374" s="143" t="s">
        <v>99</v>
      </c>
      <c r="U374" s="143"/>
      <c r="V374" s="143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33652</v>
      </c>
      <c r="P376" s="64">
        <v>183543</v>
      </c>
      <c r="Q376" s="64">
        <v>4.2817000000000016</v>
      </c>
      <c r="R376" t="s">
        <v>71</v>
      </c>
      <c r="S376" s="64"/>
      <c r="T376" s="29" t="s">
        <v>86</v>
      </c>
      <c r="U376" s="64">
        <f>SUMPRODUCT(B346:B362*N345:N361)</f>
        <v>128142</v>
      </c>
      <c r="V376" t="s">
        <v>71</v>
      </c>
    </row>
    <row r="377" spans="1:30" ht="18" customHeight="1" x14ac:dyDescent="0.2">
      <c r="M377" s="29" t="s">
        <v>69</v>
      </c>
      <c r="N377" s="64">
        <v>33652</v>
      </c>
      <c r="O377" s="64">
        <v>129366968</v>
      </c>
      <c r="P377" s="64">
        <v>790502760</v>
      </c>
      <c r="Q377" s="64">
        <v>18124.117299999998</v>
      </c>
      <c r="R377" t="s">
        <v>69</v>
      </c>
      <c r="S377" s="64"/>
      <c r="T377" s="29" t="s">
        <v>69</v>
      </c>
      <c r="U377" s="64">
        <f>SUMPRODUCT(B346:B362*O345:O361)</f>
        <v>528326173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684.04969658970367</v>
      </c>
      <c r="D378" t="s">
        <v>71</v>
      </c>
      <c r="M378" s="29" t="s">
        <v>69</v>
      </c>
      <c r="N378" s="64">
        <v>183543</v>
      </c>
      <c r="O378" s="64">
        <v>790502760</v>
      </c>
      <c r="P378" s="64">
        <v>5007319813</v>
      </c>
      <c r="Q378" s="64">
        <v>117115.44809999998</v>
      </c>
      <c r="R378" t="s">
        <v>69</v>
      </c>
      <c r="S378" s="64"/>
      <c r="T378" s="29" t="s">
        <v>69</v>
      </c>
      <c r="U378" s="64">
        <f>SUMPRODUCT(B346:B362*P345:P361)</f>
        <v>3495483629</v>
      </c>
      <c r="V378" t="s">
        <v>69</v>
      </c>
    </row>
    <row r="379" spans="1:30" ht="18" customHeight="1" x14ac:dyDescent="0.2">
      <c r="B379" s="29" t="s">
        <v>69</v>
      </c>
      <c r="C379" s="64">
        <v>-1.3655618269297065</v>
      </c>
      <c r="D379" t="s">
        <v>69</v>
      </c>
      <c r="E379" s="143" t="s">
        <v>90</v>
      </c>
      <c r="F379" s="143"/>
      <c r="G379" s="143"/>
      <c r="H379" s="143"/>
      <c r="I379" s="143"/>
      <c r="J379" s="143"/>
      <c r="K379" s="143"/>
      <c r="M379" s="29" t="s">
        <v>68</v>
      </c>
      <c r="N379" s="64">
        <v>4.2817000000000016</v>
      </c>
      <c r="O379" s="64">
        <v>18124.117299999998</v>
      </c>
      <c r="P379" s="64">
        <v>117115.44809999998</v>
      </c>
      <c r="Q379" s="64">
        <v>2.8176607699999994</v>
      </c>
      <c r="R379" t="s">
        <v>71</v>
      </c>
      <c r="S379" s="64"/>
      <c r="T379" s="29" t="s">
        <v>68</v>
      </c>
      <c r="U379" s="64">
        <f>SUMPRODUCT(B346:B362*Q345:Q361)</f>
        <v>86646.484000000011</v>
      </c>
      <c r="V379" t="s">
        <v>71</v>
      </c>
    </row>
    <row r="380" spans="1:30" ht="18" customHeight="1" x14ac:dyDescent="0.2">
      <c r="B380" s="29" t="s">
        <v>69</v>
      </c>
      <c r="C380" s="64">
        <v>-0.4231390119969376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56083.15515724849</v>
      </c>
      <c r="D381" t="s">
        <v>71</v>
      </c>
      <c r="E381" s="121"/>
      <c r="F381" s="121"/>
      <c r="G381" s="121"/>
      <c r="H381" s="121"/>
      <c r="I381" s="121"/>
      <c r="J381" s="121"/>
      <c r="K381" s="121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3" t="s">
        <v>98</v>
      </c>
      <c r="O385" s="143"/>
      <c r="P385" s="143"/>
      <c r="Q385" s="143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0.35320346936299313</v>
      </c>
      <c r="O387" s="64">
        <v>-5.6822463247695643E-4</v>
      </c>
      <c r="P387" s="64">
        <v>1.3737760731236088E-4</v>
      </c>
      <c r="Q387" s="64">
        <v>-2.5917887348457116</v>
      </c>
      <c r="R387" t="s">
        <v>71</v>
      </c>
      <c r="S387" s="64"/>
      <c r="T387" s="64"/>
    </row>
    <row r="388" spans="1:20" ht="18" customHeight="1" x14ac:dyDescent="0.25">
      <c r="A388" s="133" t="s">
        <v>88</v>
      </c>
      <c r="B388" s="133"/>
      <c r="C388" s="133"/>
      <c r="D388" s="133"/>
      <c r="E388" s="133"/>
      <c r="F388" s="133"/>
      <c r="G388" s="133"/>
      <c r="H388" s="133"/>
      <c r="M388" s="29" t="s">
        <v>69</v>
      </c>
      <c r="N388" s="64">
        <v>-5.6822463247695643E-4</v>
      </c>
      <c r="O388" s="64">
        <v>1.2620421883437383E-6</v>
      </c>
      <c r="P388" s="64">
        <v>-3.1376532184417437E-7</v>
      </c>
      <c r="Q388" s="64">
        <v>5.7871881489151645E-3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1.3737760731236042E-4</v>
      </c>
      <c r="O389" s="64">
        <v>-3.1376532184417437E-7</v>
      </c>
      <c r="P389" s="64">
        <v>8.5334513571967359E-8</v>
      </c>
      <c r="Q389" s="64">
        <v>-1.7374270355582074E-3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-2.5917887348457169</v>
      </c>
      <c r="O390" s="64">
        <v>5.7871881489151653E-3</v>
      </c>
      <c r="P390" s="64">
        <v>-1.7374270355582074E-3</v>
      </c>
      <c r="Q390" s="64">
        <v>39.284051496495337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29219555.020789597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2775745714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965904244.94117653</v>
      </c>
    </row>
    <row r="395" spans="1:20" ht="18" customHeight="1" x14ac:dyDescent="0.2">
      <c r="C395" s="64">
        <f>C393-C394</f>
        <v>1809841469.0588236</v>
      </c>
    </row>
    <row r="396" spans="1:20" ht="18" customHeight="1" x14ac:dyDescent="0.2">
      <c r="B396" s="13"/>
      <c r="C396" s="65">
        <f>C395-C392</f>
        <v>1780621914.038034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0.9839</v>
      </c>
    </row>
    <row r="399" spans="1:20" ht="18" customHeight="1" x14ac:dyDescent="0.2">
      <c r="B399" s="13"/>
      <c r="C399" s="113">
        <f>ROUND(1 - (C392 / (B364 - (COUNT(C379:C381) +1)) / (C395 / (B364-1))),4)</f>
        <v>0.98009999999999997</v>
      </c>
    </row>
    <row r="404" spans="1:22" ht="18" customHeight="1" x14ac:dyDescent="0.25">
      <c r="A404" s="133" t="s">
        <v>92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F407" s="138"/>
      <c r="G407" s="138"/>
      <c r="I407" s="138"/>
      <c r="J407" s="138"/>
      <c r="L407" s="138"/>
      <c r="M407" s="138"/>
      <c r="N407" s="12"/>
      <c r="O407" s="138"/>
      <c r="P407" s="138"/>
      <c r="Q407" s="148"/>
      <c r="R407" s="148"/>
      <c r="S407" s="83"/>
      <c r="T407" s="148"/>
      <c r="U407" s="148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684.04969658970367</v>
      </c>
      <c r="I410" s="16"/>
      <c r="J410" s="63">
        <f>C379</f>
        <v>-1.3655618269297065</v>
      </c>
      <c r="L410" s="16"/>
      <c r="M410" s="63">
        <f>C380</f>
        <v>-0.4231390119969376</v>
      </c>
      <c r="O410" s="16"/>
      <c r="P410" s="63">
        <f>C381</f>
        <v>56083.15515724849</v>
      </c>
      <c r="U410" s="84"/>
    </row>
    <row r="411" spans="1:22" ht="18" customHeight="1" x14ac:dyDescent="0.2">
      <c r="G411" s="76">
        <f>$C$392/($B$364-(COUNT($C$379:$C$381)+1))</f>
        <v>2247658.0785222766</v>
      </c>
      <c r="J411" s="76">
        <f>$C$392/($B$364-(COUNT($C$379:$C$381)+1))</f>
        <v>2247658.0785222766</v>
      </c>
      <c r="M411" s="76">
        <f>$C$392/($B$364-(COUNT($C$379:$C$381)+1))</f>
        <v>2247658.0785222766</v>
      </c>
      <c r="P411" s="76">
        <f>$C$392/($B$364-(COUNT($C$379:$C$381)+1))</f>
        <v>2247658.0785222766</v>
      </c>
      <c r="U411" s="89"/>
    </row>
    <row r="412" spans="1:22" ht="18" customHeight="1" x14ac:dyDescent="0.2">
      <c r="G412" s="76">
        <f>N387</f>
        <v>0.35320346936299313</v>
      </c>
      <c r="J412" s="76">
        <f>O388</f>
        <v>1.2620421883437383E-6</v>
      </c>
      <c r="M412" s="76">
        <f>P389</f>
        <v>8.5334513571967359E-8</v>
      </c>
      <c r="P412" s="76">
        <f>Q390</f>
        <v>39.284051496495337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30"/>
      <c r="G414" s="142">
        <f>SQRT(G411*G412)</f>
        <v>890.99979308405398</v>
      </c>
      <c r="I414" s="130"/>
      <c r="J414" s="142">
        <f>SQRT(J411*J412)</f>
        <v>1.684232561158564</v>
      </c>
      <c r="L414" s="130"/>
      <c r="M414" s="142">
        <f>SQRT(M411*M412)</f>
        <v>0.43795297556564367</v>
      </c>
      <c r="O414" s="130"/>
      <c r="P414" s="142">
        <f>SQRT(P411*P412)</f>
        <v>9396.6544952543009</v>
      </c>
      <c r="Q414" s="88"/>
      <c r="R414" s="92"/>
      <c r="S414" s="83"/>
      <c r="T414" s="88"/>
      <c r="U414" s="92"/>
    </row>
    <row r="415" spans="1:22" ht="18" customHeight="1" x14ac:dyDescent="0.2">
      <c r="F415" s="122"/>
      <c r="G415" s="128"/>
      <c r="I415" s="122"/>
      <c r="J415" s="128"/>
      <c r="L415" s="122"/>
      <c r="M415" s="128"/>
      <c r="O415" s="122"/>
      <c r="P415" s="128"/>
      <c r="Q415" s="88"/>
      <c r="R415" s="92"/>
      <c r="S415" s="83"/>
      <c r="T415" s="88"/>
      <c r="U415" s="92"/>
    </row>
    <row r="419" spans="2:21" ht="18" customHeight="1" x14ac:dyDescent="0.2">
      <c r="B419" s="132" t="s">
        <v>40</v>
      </c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8"/>
      <c r="G429" s="138"/>
      <c r="I429" s="138"/>
      <c r="J429" s="138"/>
      <c r="L429" s="138"/>
      <c r="M429" s="138"/>
      <c r="O429" s="138"/>
      <c r="P429" s="138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-893.85159999999996</v>
      </c>
      <c r="H431" s="14"/>
      <c r="I431" s="16" t="s">
        <v>37</v>
      </c>
      <c r="J431" s="16">
        <f>ROUND(J410-J414*$K$425,4)</f>
        <v>-4.3482000000000003</v>
      </c>
      <c r="L431" s="16" t="s">
        <v>37</v>
      </c>
      <c r="M431" s="16">
        <f>ROUND(M410-M414*$K$425,4)</f>
        <v>-1.1987000000000001</v>
      </c>
      <c r="O431" s="16" t="s">
        <v>37</v>
      </c>
      <c r="P431" s="16">
        <f>ROUND(P410-P414*$K$425,4)</f>
        <v>39442.305899999999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2261.951</v>
      </c>
      <c r="I432" s="13" t="s">
        <v>38</v>
      </c>
      <c r="J432" s="13">
        <f>ROUND(J410+J414*$K$425,4)</f>
        <v>1.6171</v>
      </c>
      <c r="L432" s="13" t="s">
        <v>38</v>
      </c>
      <c r="M432" s="13">
        <f>ROUND(M410+M414*$K$425,4)</f>
        <v>0.35239999999999999</v>
      </c>
      <c r="O432" s="13" t="s">
        <v>38</v>
      </c>
      <c r="P432" s="13">
        <f>ROUND(P410+P414*$K$425,4)</f>
        <v>72724.004400000005</v>
      </c>
      <c r="Q432" s="83"/>
      <c r="R432" s="83"/>
      <c r="S432" s="83"/>
      <c r="T432" s="83"/>
    </row>
    <row r="439" spans="2:21" ht="18" customHeight="1" x14ac:dyDescent="0.2">
      <c r="B439" s="132" t="s">
        <v>42</v>
      </c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8"/>
      <c r="G449" s="138"/>
      <c r="I449" s="138"/>
      <c r="J449" s="138"/>
      <c r="L449" s="138"/>
      <c r="M449" s="138"/>
      <c r="O449" s="138"/>
      <c r="P449" s="138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-1240.8382999999999</v>
      </c>
      <c r="I451" s="16" t="s">
        <v>37</v>
      </c>
      <c r="J451" s="16">
        <f>ROUND(J410-J414*$K$445,4)</f>
        <v>-5.0041000000000002</v>
      </c>
      <c r="L451" s="16" t="s">
        <v>37</v>
      </c>
      <c r="M451" s="16">
        <f>ROUND(M410-M414*$K$445,4)</f>
        <v>-1.3693</v>
      </c>
      <c r="O451" s="16" t="s">
        <v>37</v>
      </c>
      <c r="P451" s="16">
        <f>ROUND(P410-P414*$K$445,4)</f>
        <v>35782.917300000001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2608.9376999999999</v>
      </c>
      <c r="I452" s="13" t="s">
        <v>38</v>
      </c>
      <c r="J452" s="13">
        <f>ROUND(J410+J414*$K$445,4)</f>
        <v>2.2730000000000001</v>
      </c>
      <c r="L452" s="13" t="s">
        <v>38</v>
      </c>
      <c r="M452" s="13">
        <f>ROUND(M410+M414*$K$445,4)</f>
        <v>0.52300000000000002</v>
      </c>
      <c r="O452" s="13" t="s">
        <v>38</v>
      </c>
      <c r="P452" s="13">
        <f>ROUND(P410+P414*$K$445,4)</f>
        <v>76383.392999999996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8"/>
      <c r="G463" s="138"/>
      <c r="I463" s="138"/>
      <c r="J463" s="138"/>
      <c r="L463" s="138"/>
      <c r="M463" s="138"/>
      <c r="O463" s="138"/>
      <c r="P463" s="138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2" t="s">
        <v>44</v>
      </c>
      <c r="G465" s="132"/>
      <c r="I465" s="132" t="s">
        <v>44</v>
      </c>
      <c r="J465" s="132"/>
      <c r="L465" s="132" t="s">
        <v>44</v>
      </c>
      <c r="M465" s="132"/>
      <c r="O465" s="132" t="s">
        <v>44</v>
      </c>
      <c r="P465" s="132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41" t="s">
        <v>45</v>
      </c>
      <c r="G470" s="141"/>
      <c r="I470" s="141" t="s">
        <v>45</v>
      </c>
      <c r="J470" s="141"/>
      <c r="L470" s="141" t="s">
        <v>45</v>
      </c>
      <c r="M470" s="141"/>
      <c r="O470" s="141" t="s">
        <v>45</v>
      </c>
      <c r="P470" s="141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0.7677327221614435</v>
      </c>
      <c r="I477" s="55" t="s">
        <v>95</v>
      </c>
      <c r="J477">
        <f>J410/J414</f>
        <v>-0.81079172699900326</v>
      </c>
      <c r="L477" s="55" t="s">
        <v>95</v>
      </c>
      <c r="M477">
        <f>M410/M414</f>
        <v>-0.96617453380794383</v>
      </c>
      <c r="O477" s="55" t="s">
        <v>95</v>
      </c>
      <c r="P477">
        <f>P410/P414</f>
        <v>5.968417289959187</v>
      </c>
      <c r="Q477" s="90"/>
      <c r="R477" s="83"/>
      <c r="S477" s="83"/>
      <c r="T477" s="90"/>
      <c r="U477" s="83"/>
    </row>
    <row r="481" spans="2:21" ht="18" customHeight="1" x14ac:dyDescent="0.25">
      <c r="B481" s="140" t="s">
        <v>96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1.9607448994021757</v>
      </c>
      <c r="S523" s="56"/>
    </row>
    <row r="524" spans="2:19" ht="18" customHeight="1" x14ac:dyDescent="0.2">
      <c r="S524" s="56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34" t="s">
        <v>55</v>
      </c>
      <c r="G550" s="135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1780621914.038034</v>
      </c>
      <c r="E551" s="114">
        <f>COUNT(C379:C381)</f>
        <v>3</v>
      </c>
      <c r="F551" s="136">
        <f>D551/E551</f>
        <v>593540638.01267803</v>
      </c>
      <c r="G551" s="137"/>
      <c r="H551" s="77">
        <f>F551/F552</f>
        <v>264.07069815659037</v>
      </c>
      <c r="I551" s="73"/>
    </row>
    <row r="552" spans="1:22" ht="18" customHeight="1" x14ac:dyDescent="0.25">
      <c r="C552" s="25" t="s">
        <v>58</v>
      </c>
      <c r="D552" s="60">
        <f>C392</f>
        <v>29219555.020789597</v>
      </c>
      <c r="E552" s="114">
        <f>B364 -( E551+1)</f>
        <v>13</v>
      </c>
      <c r="F552" s="117">
        <f>D552/E552</f>
        <v>2247658.0785222766</v>
      </c>
      <c r="G552" s="117"/>
      <c r="H552" s="64"/>
    </row>
    <row r="553" spans="1:22" ht="18" customHeight="1" x14ac:dyDescent="0.25">
      <c r="C553" s="25" t="s">
        <v>59</v>
      </c>
      <c r="D553" s="60">
        <f>C395</f>
        <v>1809841469.0588236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O150:R150"/>
    <mergeCell ref="A156:H156"/>
    <mergeCell ref="A173:V173"/>
    <mergeCell ref="F176:G176"/>
    <mergeCell ref="I176:J176"/>
    <mergeCell ref="L176:M176"/>
    <mergeCell ref="O176:P176"/>
    <mergeCell ref="O183:O184"/>
    <mergeCell ref="P183:P184"/>
    <mergeCell ref="C3:U3"/>
    <mergeCell ref="A5:U5"/>
    <mergeCell ref="M6:P6"/>
    <mergeCell ref="O131:ED131"/>
    <mergeCell ref="A136:H136"/>
    <mergeCell ref="O140:R140"/>
    <mergeCell ref="T140:V140"/>
    <mergeCell ref="E146:K146"/>
    <mergeCell ref="E148:K148"/>
  </mergeCells>
  <pageMargins left="0.7" right="0.7" top="0.75" bottom="0.75" header="0.3" footer="0.3"/>
  <pageSetup paperSize="9" orientation="portrait" r:id="rId1"/>
  <ignoredErrors>
    <ignoredError sqref="C346:C362 D348:E362 E346 E347 D346:D347 B346:B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opLeftCell="A502" zoomScale="70" zoomScaleNormal="70" workbookViewId="0">
      <selection activeCell="S476" sqref="S47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101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1" customFormat="1" ht="18" customHeight="1" x14ac:dyDescent="0.2">
      <c r="A5" s="145" t="s">
        <v>91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4" t="s">
        <v>72</v>
      </c>
      <c r="N6" s="144"/>
      <c r="O6" s="144"/>
      <c r="P6" s="144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267.78709154220735</v>
      </c>
      <c r="H8" s="17">
        <f t="shared" ref="H8:H39" si="0">B8-G8</f>
        <v>7.2129084577926506</v>
      </c>
      <c r="I8" s="17">
        <f>POWER(H8,2)</f>
        <v>52.02604842049675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262.44684175888221</v>
      </c>
      <c r="H9" s="17">
        <f t="shared" si="0"/>
        <v>-2.4468417588822149</v>
      </c>
      <c r="I9" s="17">
        <f t="shared" ref="I9:I72" si="3">POWER(H9,2)</f>
        <v>5.9870345930098114</v>
      </c>
      <c r="L9" s="29" t="s">
        <v>69</v>
      </c>
      <c r="M9" s="64">
        <v>1</v>
      </c>
      <c r="N9" s="30">
        <f t="shared" ref="N9:N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252.68442867208404</v>
      </c>
      <c r="H10" s="17">
        <f t="shared" si="0"/>
        <v>-12.684428672084039</v>
      </c>
      <c r="I10" s="17">
        <f t="shared" si="3"/>
        <v>160.89473073718764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237.46673257627685</v>
      </c>
      <c r="H11" s="17">
        <f t="shared" si="0"/>
        <v>-12.466732576276854</v>
      </c>
      <c r="I11" s="17">
        <f t="shared" si="3"/>
        <v>155.41942112840252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224.40071027968565</v>
      </c>
      <c r="H12" s="17">
        <f t="shared" si="0"/>
        <v>33.599289720314346</v>
      </c>
      <c r="I12" s="17">
        <f t="shared" si="3"/>
        <v>1128.9122697096213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211.71569940496565</v>
      </c>
      <c r="H13" s="17">
        <f t="shared" si="0"/>
        <v>2.2843005950343525</v>
      </c>
      <c r="I13" s="17">
        <f t="shared" si="3"/>
        <v>5.218029208474297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203.84482388850844</v>
      </c>
      <c r="H14" s="17">
        <f t="shared" si="0"/>
        <v>0.15517611149155641</v>
      </c>
      <c r="I14" s="17">
        <f t="shared" si="3"/>
        <v>2.4079625577639947E-2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0"/>
      <c r="G15" s="17">
        <f t="shared" si="2"/>
        <v>200.90484230706448</v>
      </c>
      <c r="H15" s="17">
        <f t="shared" si="0"/>
        <v>-4.9048423070644844</v>
      </c>
      <c r="I15" s="17">
        <f t="shared" si="3"/>
        <v>24.057478057169654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194.65206652441807</v>
      </c>
      <c r="H16" s="17">
        <f t="shared" si="0"/>
        <v>8.3479334755819252</v>
      </c>
      <c r="I16" s="17">
        <f t="shared" si="3"/>
        <v>69.687993312741327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181.09459665252342</v>
      </c>
      <c r="H17" s="17">
        <f t="shared" si="0"/>
        <v>-20.094596652523421</v>
      </c>
      <c r="I17" s="17">
        <f t="shared" si="3"/>
        <v>403.79281462760548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0"/>
      <c r="G18" s="17">
        <f t="shared" si="2"/>
        <v>166.44507724071346</v>
      </c>
      <c r="H18" s="17">
        <f t="shared" si="0"/>
        <v>0.55492275928654067</v>
      </c>
      <c r="I18" s="17">
        <f t="shared" si="3"/>
        <v>0.30793926877418798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146.97335869958897</v>
      </c>
      <c r="H19" s="17">
        <f t="shared" si="0"/>
        <v>2.0266413004110291</v>
      </c>
      <c r="I19" s="17">
        <f t="shared" si="3"/>
        <v>4.1072749605317069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132.14792426139658</v>
      </c>
      <c r="H20" s="17">
        <f t="shared" si="0"/>
        <v>16.852075738603418</v>
      </c>
      <c r="I20" s="17">
        <f t="shared" si="3"/>
        <v>283.9924566996259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126.22453410684948</v>
      </c>
      <c r="H21" s="17">
        <f t="shared" si="0"/>
        <v>11.775465893150525</v>
      </c>
      <c r="I21" s="17">
        <f t="shared" si="3"/>
        <v>138.66159700075127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123.11067663392683</v>
      </c>
      <c r="H22" s="17">
        <f t="shared" si="0"/>
        <v>-33.110676633926829</v>
      </c>
      <c r="I22" s="17">
        <f t="shared" si="3"/>
        <v>1096.316907156468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115.0656810576763</v>
      </c>
      <c r="H23" s="17">
        <f t="shared" si="0"/>
        <v>-4.0656810576763007</v>
      </c>
      <c r="I23" s="17">
        <f t="shared" si="3"/>
        <v>16.529762462747883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101.76314578044999</v>
      </c>
      <c r="H24" s="17">
        <f t="shared" si="0"/>
        <v>25.236854219550011</v>
      </c>
      <c r="I24" s="17">
        <f t="shared" si="3"/>
        <v>636.89881089881919</v>
      </c>
      <c r="L24" s="29" t="s">
        <v>69</v>
      </c>
      <c r="M24" s="64">
        <v>1</v>
      </c>
      <c r="N24" s="30">
        <f t="shared" si="4"/>
        <v>719</v>
      </c>
      <c r="O24" s="30">
        <f t="shared" ref="O24:O87" si="5">D24</f>
        <v>4137</v>
      </c>
      <c r="P24" s="30">
        <f t="shared" ref="P24:P87" si="6">E24</f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91.046915590499452</v>
      </c>
      <c r="H25" s="17">
        <f t="shared" si="0"/>
        <v>13.953084409500548</v>
      </c>
      <c r="I25" s="17">
        <f t="shared" si="3"/>
        <v>194.68856453864726</v>
      </c>
      <c r="L25" s="29" t="s">
        <v>69</v>
      </c>
      <c r="M25" s="64">
        <v>1</v>
      </c>
      <c r="N25" s="30">
        <f t="shared" si="4"/>
        <v>688</v>
      </c>
      <c r="O25" s="30">
        <f t="shared" si="5"/>
        <v>3819</v>
      </c>
      <c r="P25" s="30">
        <f t="shared" si="6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84.35298381863484</v>
      </c>
      <c r="H26" s="17">
        <f t="shared" si="0"/>
        <v>-17.35298381863484</v>
      </c>
      <c r="I26" s="17">
        <f t="shared" si="3"/>
        <v>301.1260474098026</v>
      </c>
      <c r="L26" s="29" t="s">
        <v>69</v>
      </c>
      <c r="M26" s="64">
        <v>1</v>
      </c>
      <c r="N26" s="30">
        <f t="shared" si="4"/>
        <v>669</v>
      </c>
      <c r="O26" s="30">
        <f t="shared" si="5"/>
        <v>3584</v>
      </c>
      <c r="P26" s="30">
        <f t="shared" si="6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72.349736336642849</v>
      </c>
      <c r="H27" s="17">
        <f t="shared" si="0"/>
        <v>3.6502636633571512</v>
      </c>
      <c r="I27" s="17">
        <f t="shared" si="3"/>
        <v>13.324424812025571</v>
      </c>
      <c r="L27" s="29" t="s">
        <v>69</v>
      </c>
      <c r="M27" s="64">
        <v>1</v>
      </c>
      <c r="N27" s="30">
        <f t="shared" si="4"/>
        <v>656</v>
      </c>
      <c r="O27" s="30">
        <f t="shared" si="5"/>
        <v>3284</v>
      </c>
      <c r="P27" s="30">
        <f t="shared" si="6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72.793907850098591</v>
      </c>
      <c r="H28" s="17">
        <f t="shared" si="0"/>
        <v>-7.7939078500985914</v>
      </c>
      <c r="I28" s="17">
        <f t="shared" si="3"/>
        <v>60.744999575828444</v>
      </c>
      <c r="L28" s="29" t="s">
        <v>69</v>
      </c>
      <c r="M28" s="64">
        <v>1</v>
      </c>
      <c r="N28" s="30">
        <f t="shared" si="4"/>
        <v>638</v>
      </c>
      <c r="O28" s="30">
        <f t="shared" si="5"/>
        <v>3316</v>
      </c>
      <c r="P28" s="30">
        <f t="shared" si="6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70.980810426770404</v>
      </c>
      <c r="H29" s="17">
        <f t="shared" si="0"/>
        <v>-9.9808104267704039</v>
      </c>
      <c r="I29" s="17">
        <f t="shared" si="3"/>
        <v>99.616576775128806</v>
      </c>
      <c r="L29" s="29" t="s">
        <v>69</v>
      </c>
      <c r="M29" s="64">
        <v>1</v>
      </c>
      <c r="N29" s="30">
        <f t="shared" si="4"/>
        <v>627</v>
      </c>
      <c r="O29" s="30">
        <f t="shared" si="5"/>
        <v>3322</v>
      </c>
      <c r="P29" s="30">
        <f t="shared" si="6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0"/>
      <c r="G30" s="17">
        <f t="shared" si="2"/>
        <v>63.849597473283154</v>
      </c>
      <c r="H30" s="17">
        <f t="shared" si="0"/>
        <v>-0.84959747328315416</v>
      </c>
      <c r="I30" s="17">
        <f t="shared" si="3"/>
        <v>0.72181586660911989</v>
      </c>
      <c r="L30" s="29" t="s">
        <v>69</v>
      </c>
      <c r="M30" s="64">
        <v>1</v>
      </c>
      <c r="N30" s="30">
        <f t="shared" si="4"/>
        <v>597</v>
      </c>
      <c r="O30" s="30">
        <f t="shared" si="5"/>
        <v>3012</v>
      </c>
      <c r="P30" s="30">
        <f t="shared" si="6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57.200940534475762</v>
      </c>
      <c r="H31" s="17">
        <f t="shared" si="0"/>
        <v>-7.2009405344757624</v>
      </c>
      <c r="I31" s="17">
        <f t="shared" si="3"/>
        <v>51.853544581056077</v>
      </c>
      <c r="L31" s="29" t="s">
        <v>69</v>
      </c>
      <c r="M31" s="64">
        <v>1</v>
      </c>
      <c r="N31" s="30">
        <f t="shared" si="4"/>
        <v>567</v>
      </c>
      <c r="O31" s="30">
        <f t="shared" si="5"/>
        <v>2767</v>
      </c>
      <c r="P31" s="30">
        <f t="shared" si="6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0"/>
      <c r="G32" s="17">
        <f t="shared" si="2"/>
        <v>53.061367693585041</v>
      </c>
      <c r="H32" s="17">
        <f t="shared" si="0"/>
        <v>-4.0613676935850407</v>
      </c>
      <c r="I32" s="17">
        <f t="shared" si="3"/>
        <v>16.494707542496272</v>
      </c>
      <c r="L32" s="29" t="s">
        <v>69</v>
      </c>
      <c r="M32" s="64">
        <v>1</v>
      </c>
      <c r="N32" s="30">
        <f t="shared" si="4"/>
        <v>536</v>
      </c>
      <c r="O32" s="30">
        <f t="shared" si="5"/>
        <v>2613</v>
      </c>
      <c r="P32" s="30">
        <f t="shared" si="6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45.128116369023026</v>
      </c>
      <c r="H33" s="17">
        <f t="shared" si="0"/>
        <v>12.871883630976974</v>
      </c>
      <c r="I33" s="17">
        <f t="shared" si="3"/>
        <v>165.68538820941296</v>
      </c>
      <c r="L33" s="29" t="s">
        <v>69</v>
      </c>
      <c r="M33" s="64">
        <v>1</v>
      </c>
      <c r="N33" s="30">
        <f t="shared" si="4"/>
        <v>522</v>
      </c>
      <c r="O33" s="30">
        <f t="shared" si="5"/>
        <v>2404</v>
      </c>
      <c r="P33" s="30">
        <f t="shared" si="6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40.040182996212664</v>
      </c>
      <c r="H34" s="17">
        <f t="shared" si="0"/>
        <v>-7.0401829962126641</v>
      </c>
      <c r="I34" s="17">
        <f t="shared" si="3"/>
        <v>49.564176620161923</v>
      </c>
      <c r="L34" s="29" t="s">
        <v>69</v>
      </c>
      <c r="M34" s="64">
        <v>1</v>
      </c>
      <c r="N34" s="30">
        <f t="shared" si="4"/>
        <v>492</v>
      </c>
      <c r="O34" s="30">
        <f t="shared" si="5"/>
        <v>2180</v>
      </c>
      <c r="P34" s="30">
        <f t="shared" si="6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38.068544971307396</v>
      </c>
      <c r="H35" s="17">
        <f t="shared" si="0"/>
        <v>2.9314550286926035</v>
      </c>
      <c r="I35" s="17">
        <f t="shared" si="3"/>
        <v>8.5934285852471533</v>
      </c>
      <c r="L35" s="29" t="s">
        <v>69</v>
      </c>
      <c r="M35" s="64">
        <v>1</v>
      </c>
      <c r="N35" s="30">
        <f t="shared" si="4"/>
        <v>484</v>
      </c>
      <c r="O35" s="30">
        <f t="shared" si="5"/>
        <v>2165</v>
      </c>
      <c r="P35" s="30">
        <f t="shared" si="6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39.432029278642716</v>
      </c>
      <c r="H36" s="17">
        <f t="shared" si="0"/>
        <v>-5.432029278642716</v>
      </c>
      <c r="I36" s="17">
        <f t="shared" si="3"/>
        <v>29.506942084031706</v>
      </c>
      <c r="L36" s="29" t="s">
        <v>69</v>
      </c>
      <c r="M36" s="64">
        <v>1</v>
      </c>
      <c r="N36" s="30">
        <f t="shared" si="4"/>
        <v>469</v>
      </c>
      <c r="O36" s="30">
        <f t="shared" si="5"/>
        <v>2167</v>
      </c>
      <c r="P36" s="30">
        <f t="shared" si="6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35.802566183065679</v>
      </c>
      <c r="H37" s="17">
        <f t="shared" si="0"/>
        <v>2.1974338169343213</v>
      </c>
      <c r="I37" s="17">
        <f t="shared" si="3"/>
        <v>4.8287153798065399</v>
      </c>
      <c r="L37" s="29" t="s">
        <v>69</v>
      </c>
      <c r="M37" s="64">
        <v>1</v>
      </c>
      <c r="N37" s="30">
        <f t="shared" si="4"/>
        <v>446</v>
      </c>
      <c r="O37" s="30">
        <f t="shared" si="5"/>
        <v>1997</v>
      </c>
      <c r="P37" s="30">
        <f t="shared" si="6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32.047170875686668</v>
      </c>
      <c r="H38" s="17">
        <f t="shared" si="0"/>
        <v>8.9528291243133324</v>
      </c>
      <c r="I38" s="17">
        <f t="shared" si="3"/>
        <v>80.153149329153024</v>
      </c>
      <c r="L38" s="29" t="s">
        <v>69</v>
      </c>
      <c r="M38" s="64">
        <v>1</v>
      </c>
      <c r="N38" s="30">
        <f t="shared" si="4"/>
        <v>415</v>
      </c>
      <c r="O38" s="30">
        <f t="shared" si="5"/>
        <v>1827</v>
      </c>
      <c r="P38" s="30">
        <f t="shared" si="6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29.281571819459231</v>
      </c>
      <c r="H39" s="17">
        <f t="shared" si="0"/>
        <v>-1.2815718194592307</v>
      </c>
      <c r="I39" s="17">
        <f t="shared" si="3"/>
        <v>1.6424263284320431</v>
      </c>
      <c r="L39" s="29" t="s">
        <v>69</v>
      </c>
      <c r="M39" s="64">
        <v>1</v>
      </c>
      <c r="N39" s="30">
        <f t="shared" si="4"/>
        <v>399</v>
      </c>
      <c r="O39" s="30">
        <f t="shared" si="5"/>
        <v>1708</v>
      </c>
      <c r="P39" s="30">
        <f t="shared" si="6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27.75484571337401</v>
      </c>
      <c r="H40" s="17">
        <f t="shared" ref="H40:H71" si="7">B40-G40</f>
        <v>0.24515428662598993</v>
      </c>
      <c r="I40" s="17">
        <f t="shared" si="3"/>
        <v>6.0100624251098023E-2</v>
      </c>
      <c r="L40" s="29" t="s">
        <v>69</v>
      </c>
      <c r="M40" s="64">
        <v>1</v>
      </c>
      <c r="N40" s="30">
        <f t="shared" si="4"/>
        <v>383</v>
      </c>
      <c r="O40" s="30">
        <f t="shared" si="5"/>
        <v>1583</v>
      </c>
      <c r="P40" s="30">
        <f t="shared" si="6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24.99484644378542</v>
      </c>
      <c r="H41" s="17">
        <f t="shared" si="7"/>
        <v>1.0051535562145801</v>
      </c>
      <c r="I41" s="17">
        <f t="shared" si="3"/>
        <v>1.0103336715708171</v>
      </c>
      <c r="L41" s="29" t="s">
        <v>69</v>
      </c>
      <c r="M41" s="64">
        <v>1</v>
      </c>
      <c r="N41" s="30">
        <f t="shared" si="4"/>
        <v>363</v>
      </c>
      <c r="O41" s="30">
        <f t="shared" si="5"/>
        <v>1416</v>
      </c>
      <c r="P41" s="30">
        <f t="shared" si="6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25.855085600233107</v>
      </c>
      <c r="H42" s="17">
        <f t="shared" si="7"/>
        <v>2.1449143997668934</v>
      </c>
      <c r="I42" s="17">
        <f t="shared" si="3"/>
        <v>4.6006577823273727</v>
      </c>
      <c r="L42" s="29" t="s">
        <v>69</v>
      </c>
      <c r="M42" s="64">
        <v>1</v>
      </c>
      <c r="N42" s="30">
        <f t="shared" si="4"/>
        <v>354</v>
      </c>
      <c r="O42" s="30">
        <f t="shared" si="5"/>
        <v>1414</v>
      </c>
      <c r="P42" s="30">
        <f t="shared" si="6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26.651147197636419</v>
      </c>
      <c r="H43" s="17">
        <f t="shared" si="7"/>
        <v>-1.6511471976364192</v>
      </c>
      <c r="I43" s="17">
        <f t="shared" si="3"/>
        <v>2.7262870682626001</v>
      </c>
      <c r="L43" s="29" t="s">
        <v>69</v>
      </c>
      <c r="M43" s="64">
        <v>1</v>
      </c>
      <c r="N43" s="30">
        <f t="shared" si="4"/>
        <v>342</v>
      </c>
      <c r="O43" s="30">
        <f t="shared" si="5"/>
        <v>1403</v>
      </c>
      <c r="P43" s="30">
        <f t="shared" si="6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27.744032495845641</v>
      </c>
      <c r="H44" s="17">
        <f t="shared" si="7"/>
        <v>2.2559675041543592</v>
      </c>
      <c r="I44" s="17">
        <f t="shared" si="3"/>
        <v>5.0893893798004486</v>
      </c>
      <c r="L44" s="29" t="s">
        <v>69</v>
      </c>
      <c r="M44" s="64">
        <v>1</v>
      </c>
      <c r="N44" s="30">
        <f t="shared" si="4"/>
        <v>312</v>
      </c>
      <c r="O44" s="30">
        <f t="shared" si="5"/>
        <v>1278</v>
      </c>
      <c r="P44" s="30">
        <f t="shared" si="6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26.908831023158296</v>
      </c>
      <c r="H45" s="17">
        <f t="shared" si="7"/>
        <v>-4.9088310231582959</v>
      </c>
      <c r="I45" s="17">
        <f t="shared" si="3"/>
        <v>24.096622013921323</v>
      </c>
      <c r="L45" s="29" t="s">
        <v>69</v>
      </c>
      <c r="M45" s="64">
        <v>1</v>
      </c>
      <c r="N45" s="30">
        <f t="shared" si="4"/>
        <v>283</v>
      </c>
      <c r="O45" s="30">
        <f t="shared" si="5"/>
        <v>1201</v>
      </c>
      <c r="P45" s="30">
        <f t="shared" si="6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24.841425916888021</v>
      </c>
      <c r="H46" s="17">
        <f t="shared" si="7"/>
        <v>-6.8414259168880207</v>
      </c>
      <c r="I46" s="17">
        <f t="shared" si="3"/>
        <v>46.805108576267095</v>
      </c>
      <c r="L46" s="29" t="s">
        <v>69</v>
      </c>
      <c r="M46" s="64">
        <v>1</v>
      </c>
      <c r="N46" s="30">
        <f t="shared" si="4"/>
        <v>273</v>
      </c>
      <c r="O46" s="30">
        <f t="shared" si="5"/>
        <v>1102</v>
      </c>
      <c r="P46" s="30">
        <f t="shared" si="6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22.206095451308911</v>
      </c>
      <c r="H47" s="17">
        <f t="shared" si="7"/>
        <v>-7.2060954513089115</v>
      </c>
      <c r="I47" s="17">
        <f t="shared" si="3"/>
        <v>51.927811653374988</v>
      </c>
      <c r="L47" s="29" t="s">
        <v>69</v>
      </c>
      <c r="M47" s="64">
        <v>1</v>
      </c>
      <c r="N47" s="30">
        <f t="shared" si="4"/>
        <v>266</v>
      </c>
      <c r="O47" s="30">
        <f t="shared" si="5"/>
        <v>1046</v>
      </c>
      <c r="P47" s="30">
        <f t="shared" si="6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19.033527759286081</v>
      </c>
      <c r="H48" s="17">
        <f t="shared" si="7"/>
        <v>-3.3527759286080538E-2</v>
      </c>
      <c r="I48" s="17">
        <f t="shared" si="3"/>
        <v>1.1241106427453598E-3</v>
      </c>
      <c r="L48" s="29" t="s">
        <v>69</v>
      </c>
      <c r="M48" s="64">
        <v>1</v>
      </c>
      <c r="N48" s="30">
        <f t="shared" si="4"/>
        <v>253</v>
      </c>
      <c r="O48" s="30">
        <f t="shared" si="5"/>
        <v>980</v>
      </c>
      <c r="P48" s="30">
        <f t="shared" si="6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18.967255018516287</v>
      </c>
      <c r="H49" s="17">
        <f t="shared" si="7"/>
        <v>-3.9672550185162869</v>
      </c>
      <c r="I49" s="17">
        <f t="shared" si="3"/>
        <v>15.739112381942665</v>
      </c>
      <c r="L49" s="29" t="s">
        <v>69</v>
      </c>
      <c r="M49" s="64">
        <v>1</v>
      </c>
      <c r="N49" s="30">
        <f t="shared" si="4"/>
        <v>242</v>
      </c>
      <c r="O49" s="30">
        <f t="shared" si="5"/>
        <v>976</v>
      </c>
      <c r="P49" s="30">
        <f t="shared" si="6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19.668834695393144</v>
      </c>
      <c r="H50" s="17">
        <f t="shared" si="7"/>
        <v>-9.6688346953931443</v>
      </c>
      <c r="I50" s="17">
        <f t="shared" si="3"/>
        <v>93.486364366838245</v>
      </c>
      <c r="L50" s="29" t="s">
        <v>69</v>
      </c>
      <c r="M50" s="64">
        <v>1</v>
      </c>
      <c r="N50" s="30">
        <f t="shared" si="4"/>
        <v>231</v>
      </c>
      <c r="O50" s="30">
        <f t="shared" si="5"/>
        <v>996</v>
      </c>
      <c r="P50" s="30">
        <f t="shared" si="6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15.703465470542497</v>
      </c>
      <c r="H51" s="17">
        <f t="shared" si="7"/>
        <v>-2.703465470542497</v>
      </c>
      <c r="I51" s="17">
        <f t="shared" si="3"/>
        <v>7.3087255504155646</v>
      </c>
      <c r="L51" s="29" t="s">
        <v>69</v>
      </c>
      <c r="M51" s="64">
        <v>1</v>
      </c>
      <c r="N51" s="30">
        <f t="shared" si="4"/>
        <v>213</v>
      </c>
      <c r="O51" s="30">
        <f t="shared" si="5"/>
        <v>955</v>
      </c>
      <c r="P51" s="30">
        <f t="shared" si="6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0"/>
      <c r="G52" s="17">
        <f t="shared" si="2"/>
        <v>12.171669360189103</v>
      </c>
      <c r="H52" s="17">
        <f t="shared" si="7"/>
        <v>2.8283306398108969</v>
      </c>
      <c r="I52" s="17">
        <f t="shared" si="3"/>
        <v>7.9994542080931179</v>
      </c>
      <c r="L52" s="29" t="s">
        <v>69</v>
      </c>
      <c r="M52" s="64">
        <v>1</v>
      </c>
      <c r="N52" s="30">
        <f t="shared" si="4"/>
        <v>205</v>
      </c>
      <c r="O52" s="30">
        <f t="shared" si="5"/>
        <v>856</v>
      </c>
      <c r="P52" s="30">
        <f t="shared" si="6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10.349340482969691</v>
      </c>
      <c r="H53" s="17">
        <f t="shared" si="7"/>
        <v>10.650659517030309</v>
      </c>
      <c r="I53" s="17">
        <f t="shared" si="3"/>
        <v>113.43654814770831</v>
      </c>
      <c r="L53" s="29" t="s">
        <v>69</v>
      </c>
      <c r="M53" s="64">
        <v>1</v>
      </c>
      <c r="N53" s="30">
        <f t="shared" si="4"/>
        <v>187</v>
      </c>
      <c r="O53" s="30">
        <f t="shared" si="5"/>
        <v>828</v>
      </c>
      <c r="P53" s="30">
        <f t="shared" si="6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0"/>
      <c r="G54" s="17">
        <f t="shared" si="2"/>
        <v>8.4050116483602899</v>
      </c>
      <c r="H54" s="17">
        <f t="shared" si="7"/>
        <v>2.5949883516397101</v>
      </c>
      <c r="I54" s="17">
        <f t="shared" si="3"/>
        <v>6.7339645451457795</v>
      </c>
      <c r="L54" s="29" t="s">
        <v>69</v>
      </c>
      <c r="M54" s="64">
        <v>1</v>
      </c>
      <c r="N54" s="30">
        <f t="shared" si="4"/>
        <v>182</v>
      </c>
      <c r="O54" s="30">
        <f t="shared" si="5"/>
        <v>789</v>
      </c>
      <c r="P54" s="30">
        <f t="shared" si="6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7.4050907382071909</v>
      </c>
      <c r="H55" s="17">
        <f t="shared" si="7"/>
        <v>0.59490926179280912</v>
      </c>
      <c r="I55" s="17">
        <f t="shared" si="3"/>
        <v>0.35391702976686512</v>
      </c>
      <c r="L55" s="29" t="s">
        <v>69</v>
      </c>
      <c r="M55" s="64">
        <v>1</v>
      </c>
      <c r="N55" s="30">
        <f t="shared" si="4"/>
        <v>170</v>
      </c>
      <c r="O55" s="30">
        <f t="shared" si="5"/>
        <v>744</v>
      </c>
      <c r="P55" s="30">
        <f t="shared" si="6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0"/>
      <c r="G56" s="17">
        <f t="shared" si="2"/>
        <v>7.5783369179701445</v>
      </c>
      <c r="H56" s="17">
        <f t="shared" si="7"/>
        <v>-1.5783369179701445</v>
      </c>
      <c r="I56" s="17">
        <f t="shared" si="3"/>
        <v>2.4911474266274949</v>
      </c>
      <c r="L56" s="29" t="s">
        <v>69</v>
      </c>
      <c r="M56" s="64">
        <v>1</v>
      </c>
      <c r="N56" s="30">
        <f t="shared" si="4"/>
        <v>170</v>
      </c>
      <c r="O56" s="30">
        <f t="shared" si="5"/>
        <v>765</v>
      </c>
      <c r="P56" s="30">
        <f t="shared" si="6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0"/>
      <c r="G57" s="17">
        <f t="shared" si="2"/>
        <v>7.9625840670044301</v>
      </c>
      <c r="H57" s="17">
        <f t="shared" si="7"/>
        <v>8.0374159329955699</v>
      </c>
      <c r="I57" s="17">
        <f t="shared" si="3"/>
        <v>64.60005487997104</v>
      </c>
      <c r="L57" s="29" t="s">
        <v>69</v>
      </c>
      <c r="M57" s="64">
        <v>1</v>
      </c>
      <c r="N57" s="30">
        <f t="shared" si="4"/>
        <v>165</v>
      </c>
      <c r="O57" s="30">
        <f t="shared" si="5"/>
        <v>771</v>
      </c>
      <c r="P57" s="30">
        <f t="shared" si="6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8.3670109185192434</v>
      </c>
      <c r="H58" s="17">
        <f t="shared" si="7"/>
        <v>1.6329890814807566</v>
      </c>
      <c r="I58" s="17">
        <f t="shared" si="3"/>
        <v>2.6666533402353649</v>
      </c>
      <c r="L58" s="29" t="s">
        <v>69</v>
      </c>
      <c r="M58" s="64">
        <v>1</v>
      </c>
      <c r="N58" s="30">
        <f t="shared" si="4"/>
        <v>159</v>
      </c>
      <c r="O58" s="30">
        <f t="shared" si="5"/>
        <v>743</v>
      </c>
      <c r="P58" s="30">
        <f t="shared" si="6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0"/>
      <c r="G59" s="17">
        <f t="shared" si="2"/>
        <v>8.4467872608598196</v>
      </c>
      <c r="H59" s="17">
        <f t="shared" si="7"/>
        <v>2.5532127391401804</v>
      </c>
      <c r="I59" s="17">
        <f t="shared" si="3"/>
        <v>6.518895291307703</v>
      </c>
      <c r="L59" s="29" t="s">
        <v>69</v>
      </c>
      <c r="M59" s="64">
        <v>1</v>
      </c>
      <c r="N59" s="30">
        <f t="shared" si="4"/>
        <v>155</v>
      </c>
      <c r="O59" s="30">
        <f t="shared" si="5"/>
        <v>712</v>
      </c>
      <c r="P59" s="30">
        <f t="shared" si="6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0"/>
      <c r="G60" s="17">
        <f t="shared" si="2"/>
        <v>9.1481648755194716</v>
      </c>
      <c r="H60" s="17">
        <f t="shared" si="7"/>
        <v>-0.14816487551947155</v>
      </c>
      <c r="I60" s="17">
        <f t="shared" si="3"/>
        <v>2.1952830337700499E-2</v>
      </c>
      <c r="L60" s="29" t="s">
        <v>69</v>
      </c>
      <c r="M60" s="64">
        <v>1</v>
      </c>
      <c r="N60" s="30">
        <f t="shared" si="4"/>
        <v>154</v>
      </c>
      <c r="O60" s="30">
        <f t="shared" si="5"/>
        <v>695</v>
      </c>
      <c r="P60" s="30">
        <f t="shared" si="6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0"/>
      <c r="G61" s="17">
        <f t="shared" si="2"/>
        <v>9.6364395548319308</v>
      </c>
      <c r="H61" s="17">
        <f t="shared" si="7"/>
        <v>-4.6364395548319308</v>
      </c>
      <c r="I61" s="17">
        <f t="shared" si="3"/>
        <v>21.496571745610112</v>
      </c>
      <c r="L61" s="29" t="s">
        <v>69</v>
      </c>
      <c r="M61" s="64">
        <v>1</v>
      </c>
      <c r="N61" s="30">
        <f t="shared" si="4"/>
        <v>155</v>
      </c>
      <c r="O61" s="30">
        <f t="shared" si="5"/>
        <v>669</v>
      </c>
      <c r="P61" s="30">
        <f t="shared" si="6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9.2928795353201004</v>
      </c>
      <c r="H62" s="17">
        <f t="shared" si="7"/>
        <v>-1.2928795353201004</v>
      </c>
      <c r="I62" s="17">
        <f t="shared" si="3"/>
        <v>1.6715374928495186</v>
      </c>
      <c r="L62" s="29" t="s">
        <v>69</v>
      </c>
      <c r="M62" s="64">
        <v>1</v>
      </c>
      <c r="N62" s="30">
        <f t="shared" si="4"/>
        <v>148</v>
      </c>
      <c r="O62" s="30">
        <f t="shared" si="5"/>
        <v>618</v>
      </c>
      <c r="P62" s="30">
        <f t="shared" si="6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9.7216968058176096</v>
      </c>
      <c r="H63" s="17">
        <f t="shared" si="7"/>
        <v>0.27830319418239036</v>
      </c>
      <c r="I63" s="17">
        <f t="shared" si="3"/>
        <v>7.7452667892121269E-2</v>
      </c>
      <c r="L63" s="29" t="s">
        <v>69</v>
      </c>
      <c r="M63" s="64">
        <v>1</v>
      </c>
      <c r="N63" s="30">
        <f t="shared" si="4"/>
        <v>142</v>
      </c>
      <c r="O63" s="30">
        <f t="shared" si="5"/>
        <v>633</v>
      </c>
      <c r="P63" s="30">
        <f t="shared" si="6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10.225067619049449</v>
      </c>
      <c r="H64" s="17">
        <f t="shared" si="7"/>
        <v>-4.2250676190494492</v>
      </c>
      <c r="I64" s="17">
        <f t="shared" si="3"/>
        <v>17.851196385540181</v>
      </c>
      <c r="L64" s="29" t="s">
        <v>69</v>
      </c>
      <c r="M64" s="64">
        <v>1</v>
      </c>
      <c r="N64" s="30">
        <f t="shared" si="4"/>
        <v>136</v>
      </c>
      <c r="O64" s="30">
        <f t="shared" si="5"/>
        <v>623</v>
      </c>
      <c r="P64" s="30">
        <f t="shared" si="6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0"/>
      <c r="G65" s="17">
        <f t="shared" si="2"/>
        <v>9.7451297885231671</v>
      </c>
      <c r="H65" s="17">
        <f t="shared" si="7"/>
        <v>-7.7451297885231671</v>
      </c>
      <c r="I65" s="17">
        <f t="shared" si="3"/>
        <v>59.987035441068919</v>
      </c>
      <c r="L65" s="29" t="s">
        <v>69</v>
      </c>
      <c r="M65" s="64">
        <v>1</v>
      </c>
      <c r="N65" s="30">
        <f t="shared" si="4"/>
        <v>129</v>
      </c>
      <c r="O65" s="30">
        <f t="shared" si="5"/>
        <v>584</v>
      </c>
      <c r="P65" s="30">
        <f t="shared" si="6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9.5249601965327244</v>
      </c>
      <c r="H66" s="17">
        <f t="shared" si="7"/>
        <v>-6.5249601965327244</v>
      </c>
      <c r="I66" s="17">
        <f t="shared" si="3"/>
        <v>42.575105566336369</v>
      </c>
      <c r="L66" s="29" t="s">
        <v>69</v>
      </c>
      <c r="M66" s="64">
        <v>1</v>
      </c>
      <c r="N66" s="30">
        <f t="shared" si="4"/>
        <v>127</v>
      </c>
      <c r="O66" s="30">
        <f t="shared" si="5"/>
        <v>558</v>
      </c>
      <c r="P66" s="30">
        <f t="shared" si="6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0"/>
      <c r="G67" s="17">
        <f t="shared" si="2"/>
        <v>9.5597198148549136</v>
      </c>
      <c r="H67" s="17">
        <f t="shared" si="7"/>
        <v>1.4402801851450864</v>
      </c>
      <c r="I67" s="17">
        <f t="shared" si="3"/>
        <v>2.0744070117215645</v>
      </c>
      <c r="L67" s="29" t="s">
        <v>69</v>
      </c>
      <c r="M67" s="64">
        <v>1</v>
      </c>
      <c r="N67" s="30">
        <f t="shared" si="4"/>
        <v>129</v>
      </c>
      <c r="O67" s="30">
        <f t="shared" si="5"/>
        <v>538</v>
      </c>
      <c r="P67" s="30">
        <f t="shared" si="6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10.51125044277612</v>
      </c>
      <c r="H68" s="17">
        <f t="shared" si="7"/>
        <v>-1.5112504427761202</v>
      </c>
      <c r="I68" s="17">
        <f t="shared" si="3"/>
        <v>2.2838779007910195</v>
      </c>
      <c r="L68" s="29" t="s">
        <v>69</v>
      </c>
      <c r="M68" s="64">
        <v>1</v>
      </c>
      <c r="N68" s="30">
        <f t="shared" si="4"/>
        <v>131</v>
      </c>
      <c r="O68" s="30">
        <f t="shared" si="5"/>
        <v>513</v>
      </c>
      <c r="P68" s="30">
        <f t="shared" si="6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10.461973739784362</v>
      </c>
      <c r="H69" s="17">
        <f t="shared" si="7"/>
        <v>-3.4619737397843622</v>
      </c>
      <c r="I69" s="17">
        <f t="shared" si="3"/>
        <v>11.985262174956523</v>
      </c>
      <c r="L69" s="29" t="s">
        <v>69</v>
      </c>
      <c r="M69" s="64">
        <v>1</v>
      </c>
      <c r="N69" s="30">
        <f t="shared" si="4"/>
        <v>126</v>
      </c>
      <c r="O69" s="30">
        <f t="shared" si="5"/>
        <v>512</v>
      </c>
      <c r="P69" s="30">
        <f t="shared" si="6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10.281542025384395</v>
      </c>
      <c r="H70" s="17">
        <f t="shared" si="7"/>
        <v>-6.281542025384395</v>
      </c>
      <c r="I70" s="17">
        <f t="shared" si="3"/>
        <v>39.457770216670291</v>
      </c>
      <c r="L70" s="29" t="s">
        <v>69</v>
      </c>
      <c r="M70" s="64">
        <v>1</v>
      </c>
      <c r="N70" s="30">
        <f t="shared" si="4"/>
        <v>117</v>
      </c>
      <c r="O70" s="30">
        <f t="shared" si="5"/>
        <v>517</v>
      </c>
      <c r="P70" s="30">
        <f t="shared" si="6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0"/>
      <c r="G71" s="17">
        <f t="shared" si="2"/>
        <v>8.2128106801495449</v>
      </c>
      <c r="H71" s="17">
        <f t="shared" si="7"/>
        <v>-2.2128106801495449</v>
      </c>
      <c r="I71" s="17">
        <f t="shared" si="3"/>
        <v>4.8965311061838914</v>
      </c>
      <c r="L71" s="29" t="s">
        <v>69</v>
      </c>
      <c r="M71" s="64">
        <v>1</v>
      </c>
      <c r="N71" s="30">
        <f t="shared" si="4"/>
        <v>112</v>
      </c>
      <c r="O71" s="30">
        <f t="shared" si="5"/>
        <v>536</v>
      </c>
      <c r="P71" s="30">
        <f t="shared" si="6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0"/>
      <c r="G72" s="17">
        <f t="shared" si="2"/>
        <v>7.3384382104153403</v>
      </c>
      <c r="H72" s="17">
        <f t="shared" ref="H72:H103" si="8">B72-G72</f>
        <v>-5.3384382104153403</v>
      </c>
      <c r="I72" s="17">
        <f t="shared" si="3"/>
        <v>28.49892252642254</v>
      </c>
      <c r="L72" s="29" t="s">
        <v>69</v>
      </c>
      <c r="M72" s="64">
        <v>1</v>
      </c>
      <c r="N72" s="30">
        <f t="shared" si="4"/>
        <v>113</v>
      </c>
      <c r="O72" s="30">
        <f t="shared" si="5"/>
        <v>504</v>
      </c>
      <c r="P72" s="30">
        <f t="shared" si="6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9">$C$145 + $C$146*C73 + $C$147*D73 + $C$148*E73</f>
        <v>5.3092358962033224</v>
      </c>
      <c r="H73" s="17">
        <f t="shared" si="8"/>
        <v>-2.3092358962033224</v>
      </c>
      <c r="I73" s="17">
        <f t="shared" ref="I73:I127" si="10">POWER(H73,2)</f>
        <v>5.3325704243139613</v>
      </c>
      <c r="L73" s="29" t="s">
        <v>69</v>
      </c>
      <c r="M73" s="64">
        <v>1</v>
      </c>
      <c r="N73" s="30">
        <f t="shared" ref="N73:N127" si="11">C73</f>
        <v>116</v>
      </c>
      <c r="O73" s="30">
        <f t="shared" si="5"/>
        <v>488</v>
      </c>
      <c r="P73" s="30">
        <f t="shared" si="6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0"/>
      <c r="G74" s="17">
        <f t="shared" si="9"/>
        <v>3.9511068351688916</v>
      </c>
      <c r="H74" s="17">
        <f t="shared" si="8"/>
        <v>5.0488931648311084</v>
      </c>
      <c r="I74" s="17">
        <f t="shared" si="10"/>
        <v>25.491322189878286</v>
      </c>
      <c r="L74" s="29" t="s">
        <v>69</v>
      </c>
      <c r="M74" s="64">
        <v>1</v>
      </c>
      <c r="N74" s="30">
        <f t="shared" si="11"/>
        <v>122</v>
      </c>
      <c r="O74" s="30">
        <f t="shared" si="5"/>
        <v>495</v>
      </c>
      <c r="P74" s="30">
        <f t="shared" si="6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0"/>
      <c r="G75" s="17">
        <f t="shared" si="9"/>
        <v>2.2834166145291608</v>
      </c>
      <c r="H75" s="17">
        <f t="shared" si="8"/>
        <v>2.7165833854708392</v>
      </c>
      <c r="I75" s="17">
        <f t="shared" si="10"/>
        <v>7.379825290216206</v>
      </c>
      <c r="L75" s="29" t="s">
        <v>69</v>
      </c>
      <c r="M75" s="64">
        <v>1</v>
      </c>
      <c r="N75" s="30">
        <f t="shared" si="11"/>
        <v>128</v>
      </c>
      <c r="O75" s="30">
        <f t="shared" si="5"/>
        <v>486</v>
      </c>
      <c r="P75" s="30">
        <f t="shared" si="6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0"/>
      <c r="G76" s="17">
        <f t="shared" si="9"/>
        <v>3.1314291458994532</v>
      </c>
      <c r="H76" s="17">
        <f t="shared" si="8"/>
        <v>2.8685708541005468</v>
      </c>
      <c r="I76" s="17">
        <f t="shared" si="10"/>
        <v>8.2286987449951408</v>
      </c>
      <c r="L76" s="29" t="s">
        <v>69</v>
      </c>
      <c r="M76" s="64">
        <v>1</v>
      </c>
      <c r="N76" s="30">
        <f t="shared" si="11"/>
        <v>119</v>
      </c>
      <c r="O76" s="30">
        <f t="shared" si="5"/>
        <v>466</v>
      </c>
      <c r="P76" s="30">
        <f t="shared" si="6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0"/>
      <c r="G77" s="17">
        <f t="shared" si="9"/>
        <v>4.4894953757617788</v>
      </c>
      <c r="H77" s="17">
        <f t="shared" si="8"/>
        <v>1.5105046242382212</v>
      </c>
      <c r="I77" s="17">
        <f t="shared" si="10"/>
        <v>2.2816242198450496</v>
      </c>
      <c r="L77" s="29" t="s">
        <v>69</v>
      </c>
      <c r="M77" s="64">
        <v>1</v>
      </c>
      <c r="N77" s="30">
        <f t="shared" si="11"/>
        <v>113</v>
      </c>
      <c r="O77" s="30">
        <f t="shared" si="5"/>
        <v>466</v>
      </c>
      <c r="P77" s="30">
        <f t="shared" si="6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0"/>
      <c r="G78" s="17">
        <f t="shared" si="9"/>
        <v>5.2744694935306811</v>
      </c>
      <c r="H78" s="17">
        <f t="shared" si="8"/>
        <v>-3.2744694935306811</v>
      </c>
      <c r="I78" s="17">
        <f t="shared" si="10"/>
        <v>10.722150464063075</v>
      </c>
      <c r="L78" s="29" t="s">
        <v>69</v>
      </c>
      <c r="M78" s="64">
        <v>1</v>
      </c>
      <c r="N78" s="30">
        <f t="shared" si="11"/>
        <v>119</v>
      </c>
      <c r="O78" s="30">
        <f t="shared" si="5"/>
        <v>479</v>
      </c>
      <c r="P78" s="30">
        <f t="shared" si="6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0"/>
      <c r="G79" s="17">
        <f t="shared" si="9"/>
        <v>4.3406328306310762</v>
      </c>
      <c r="H79" s="17">
        <f t="shared" si="8"/>
        <v>0.65936716936892381</v>
      </c>
      <c r="I79" s="17">
        <f t="shared" si="10"/>
        <v>0.43476506404158705</v>
      </c>
      <c r="L79" s="29" t="s">
        <v>69</v>
      </c>
      <c r="M79" s="64">
        <v>1</v>
      </c>
      <c r="N79" s="30">
        <f t="shared" si="11"/>
        <v>118</v>
      </c>
      <c r="O79" s="30">
        <f t="shared" si="5"/>
        <v>459</v>
      </c>
      <c r="P79" s="30">
        <f t="shared" si="6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0"/>
      <c r="G80" s="17">
        <f t="shared" si="9"/>
        <v>5.0742282793323508</v>
      </c>
      <c r="H80" s="17">
        <f t="shared" si="8"/>
        <v>2.9257717206676492</v>
      </c>
      <c r="I80" s="17">
        <f t="shared" si="10"/>
        <v>8.5601401614585377</v>
      </c>
      <c r="L80" s="29" t="s">
        <v>69</v>
      </c>
      <c r="M80" s="64">
        <v>1</v>
      </c>
      <c r="N80" s="30">
        <f t="shared" si="11"/>
        <v>116</v>
      </c>
      <c r="O80" s="30">
        <f t="shared" si="5"/>
        <v>447</v>
      </c>
      <c r="P80" s="30">
        <f t="shared" si="6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0"/>
      <c r="G81" s="17">
        <f t="shared" si="9"/>
        <v>5.4861055588734686</v>
      </c>
      <c r="H81" s="17">
        <f t="shared" si="8"/>
        <v>-3.4861055588734686</v>
      </c>
      <c r="I81" s="17">
        <f t="shared" si="10"/>
        <v>12.152931967608499</v>
      </c>
      <c r="L81" s="29" t="s">
        <v>69</v>
      </c>
      <c r="M81" s="64">
        <v>1</v>
      </c>
      <c r="N81" s="30">
        <f t="shared" si="11"/>
        <v>109</v>
      </c>
      <c r="O81" s="30">
        <f t="shared" si="5"/>
        <v>423</v>
      </c>
      <c r="P81" s="30">
        <f t="shared" si="6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0"/>
      <c r="G82" s="17">
        <f t="shared" si="9"/>
        <v>6.3759511495596595</v>
      </c>
      <c r="H82" s="17">
        <f t="shared" si="8"/>
        <v>-2.3759511495596595</v>
      </c>
      <c r="I82" s="17">
        <f t="shared" si="10"/>
        <v>5.6451438650938677</v>
      </c>
      <c r="L82" s="29" t="s">
        <v>69</v>
      </c>
      <c r="M82" s="64">
        <v>1</v>
      </c>
      <c r="N82" s="30">
        <f t="shared" si="11"/>
        <v>101</v>
      </c>
      <c r="O82" s="30">
        <f t="shared" si="5"/>
        <v>429</v>
      </c>
      <c r="P82" s="30">
        <f t="shared" si="6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0"/>
      <c r="G83" s="17">
        <f t="shared" si="9"/>
        <v>6.03901118413593</v>
      </c>
      <c r="H83" s="17">
        <f t="shared" si="8"/>
        <v>-1.03901118413593</v>
      </c>
      <c r="I83" s="17">
        <f t="shared" si="10"/>
        <v>1.0795442407595475</v>
      </c>
      <c r="L83" s="29" t="s">
        <v>69</v>
      </c>
      <c r="M83" s="64">
        <v>1</v>
      </c>
      <c r="N83" s="30">
        <f t="shared" si="11"/>
        <v>103</v>
      </c>
      <c r="O83" s="30">
        <f t="shared" si="5"/>
        <v>415</v>
      </c>
      <c r="P83" s="30">
        <f t="shared" si="6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0"/>
      <c r="G84" s="17">
        <f t="shared" si="9"/>
        <v>5.3497905790311204</v>
      </c>
      <c r="H84" s="17">
        <f t="shared" si="8"/>
        <v>-2.3497905790311204</v>
      </c>
      <c r="I84" s="17">
        <f t="shared" si="10"/>
        <v>5.5215157653034082</v>
      </c>
      <c r="L84" s="29" t="s">
        <v>69</v>
      </c>
      <c r="M84" s="64">
        <v>1</v>
      </c>
      <c r="N84" s="30">
        <f t="shared" si="11"/>
        <v>109</v>
      </c>
      <c r="O84" s="30">
        <f t="shared" si="5"/>
        <v>428</v>
      </c>
      <c r="P84" s="30">
        <f t="shared" si="6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0"/>
      <c r="G85" s="17">
        <f t="shared" si="9"/>
        <v>4.0139499709035302</v>
      </c>
      <c r="H85" s="17">
        <f t="shared" si="8"/>
        <v>-3.0139499709035302</v>
      </c>
      <c r="I85" s="17">
        <f t="shared" si="10"/>
        <v>9.0838944271093904</v>
      </c>
      <c r="L85" s="29" t="s">
        <v>69</v>
      </c>
      <c r="M85" s="64">
        <v>1</v>
      </c>
      <c r="N85" s="30">
        <f t="shared" si="11"/>
        <v>112</v>
      </c>
      <c r="O85" s="30">
        <f t="shared" si="5"/>
        <v>454</v>
      </c>
      <c r="P85" s="30">
        <f t="shared" si="6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0"/>
      <c r="G86" s="17">
        <f t="shared" si="9"/>
        <v>1.8387546204027831</v>
      </c>
      <c r="H86" s="17">
        <f t="shared" si="8"/>
        <v>3.1612453795972169</v>
      </c>
      <c r="I86" s="17">
        <f t="shared" si="10"/>
        <v>9.9934723500247511</v>
      </c>
      <c r="L86" s="29" t="s">
        <v>69</v>
      </c>
      <c r="M86" s="64">
        <v>1</v>
      </c>
      <c r="N86" s="30">
        <f t="shared" si="11"/>
        <v>113</v>
      </c>
      <c r="O86" s="30">
        <f t="shared" si="5"/>
        <v>429</v>
      </c>
      <c r="P86" s="30">
        <f t="shared" si="6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0"/>
      <c r="G87" s="17">
        <f t="shared" si="9"/>
        <v>-9.5833326588135037E-2</v>
      </c>
      <c r="H87" s="17">
        <f t="shared" si="8"/>
        <v>1.095833326588135</v>
      </c>
      <c r="I87" s="17">
        <f t="shared" si="10"/>
        <v>1.2008506796612182</v>
      </c>
      <c r="L87" s="29" t="s">
        <v>69</v>
      </c>
      <c r="M87" s="64">
        <v>1</v>
      </c>
      <c r="N87" s="30">
        <f t="shared" si="11"/>
        <v>110</v>
      </c>
      <c r="O87" s="30">
        <f t="shared" si="5"/>
        <v>397</v>
      </c>
      <c r="P87" s="30">
        <f t="shared" si="6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0"/>
      <c r="G88" s="17">
        <f t="shared" si="9"/>
        <v>-0.26149663163012349</v>
      </c>
      <c r="H88" s="17">
        <f t="shared" si="8"/>
        <v>4.2614966316301235</v>
      </c>
      <c r="I88" s="17">
        <f t="shared" si="10"/>
        <v>18.160353541394887</v>
      </c>
      <c r="L88" s="29" t="s">
        <v>69</v>
      </c>
      <c r="M88" s="64">
        <v>1</v>
      </c>
      <c r="N88" s="30">
        <f t="shared" si="11"/>
        <v>104</v>
      </c>
      <c r="O88" s="30">
        <f t="shared" ref="O88:O127" si="12">D88</f>
        <v>395</v>
      </c>
      <c r="P88" s="30">
        <f t="shared" ref="P88:P127" si="13">E88</f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0"/>
      <c r="G89" s="17">
        <f t="shared" si="9"/>
        <v>-0.65006659080988793</v>
      </c>
      <c r="H89" s="17">
        <f t="shared" si="8"/>
        <v>1.6500665908098879</v>
      </c>
      <c r="I89" s="17">
        <f t="shared" si="10"/>
        <v>2.7227197541069663</v>
      </c>
      <c r="L89" s="29" t="s">
        <v>69</v>
      </c>
      <c r="M89" s="64">
        <v>1</v>
      </c>
      <c r="N89" s="30">
        <f t="shared" si="11"/>
        <v>98</v>
      </c>
      <c r="O89" s="30">
        <f t="shared" si="12"/>
        <v>384</v>
      </c>
      <c r="P89" s="30">
        <f t="shared" si="13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0"/>
      <c r="G90" s="17">
        <f t="shared" si="9"/>
        <v>-1.9504496533717228</v>
      </c>
      <c r="H90" s="17">
        <f t="shared" si="8"/>
        <v>3.9504496533717228</v>
      </c>
      <c r="I90" s="17">
        <f t="shared" si="10"/>
        <v>15.606052463824765</v>
      </c>
      <c r="L90" s="29" t="s">
        <v>69</v>
      </c>
      <c r="M90" s="64">
        <v>1</v>
      </c>
      <c r="N90" s="30">
        <f t="shared" si="11"/>
        <v>98</v>
      </c>
      <c r="O90" s="30">
        <f t="shared" si="12"/>
        <v>342</v>
      </c>
      <c r="P90" s="30">
        <f t="shared" si="13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0"/>
      <c r="G91" s="17">
        <f t="shared" si="9"/>
        <v>-1.7151278806402432</v>
      </c>
      <c r="H91" s="17">
        <f t="shared" si="8"/>
        <v>7.7151278806402432</v>
      </c>
      <c r="I91" s="17">
        <f t="shared" si="10"/>
        <v>59.523198214632409</v>
      </c>
      <c r="L91" s="29" t="s">
        <v>69</v>
      </c>
      <c r="M91" s="64">
        <v>1</v>
      </c>
      <c r="N91" s="30">
        <f t="shared" si="11"/>
        <v>98</v>
      </c>
      <c r="O91" s="30">
        <f t="shared" si="12"/>
        <v>348</v>
      </c>
      <c r="P91" s="30">
        <f t="shared" si="13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0"/>
      <c r="G92" s="17">
        <f t="shared" si="9"/>
        <v>-0.46122162775074305</v>
      </c>
      <c r="H92" s="17">
        <f t="shared" si="8"/>
        <v>0.46122162775074305</v>
      </c>
      <c r="I92" s="17">
        <f t="shared" si="10"/>
        <v>0.212725389905045</v>
      </c>
      <c r="L92" s="29" t="s">
        <v>69</v>
      </c>
      <c r="M92" s="64">
        <v>1</v>
      </c>
      <c r="N92" s="30">
        <f t="shared" si="11"/>
        <v>91</v>
      </c>
      <c r="O92" s="30">
        <f t="shared" si="12"/>
        <v>365</v>
      </c>
      <c r="P92" s="30">
        <f t="shared" si="13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0"/>
      <c r="G93" s="17">
        <f t="shared" si="9"/>
        <v>-0.17585560926138655</v>
      </c>
      <c r="H93" s="17">
        <f t="shared" si="8"/>
        <v>5.1758556092613865</v>
      </c>
      <c r="I93" s="17">
        <f t="shared" si="10"/>
        <v>26.789481287922559</v>
      </c>
      <c r="L93" s="29" t="s">
        <v>69</v>
      </c>
      <c r="M93" s="64">
        <v>1</v>
      </c>
      <c r="N93" s="30">
        <f t="shared" si="11"/>
        <v>86</v>
      </c>
      <c r="O93" s="30">
        <f t="shared" si="12"/>
        <v>346</v>
      </c>
      <c r="P93" s="30">
        <f t="shared" si="13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0"/>
      <c r="G94" s="17">
        <f t="shared" si="9"/>
        <v>-7.9208891486973521E-2</v>
      </c>
      <c r="H94" s="17">
        <f t="shared" si="8"/>
        <v>3.0792088914869735</v>
      </c>
      <c r="I94" s="17">
        <f t="shared" si="10"/>
        <v>9.481527397412437</v>
      </c>
      <c r="L94" s="29" t="s">
        <v>69</v>
      </c>
      <c r="M94" s="64">
        <v>1</v>
      </c>
      <c r="N94" s="30">
        <f t="shared" si="11"/>
        <v>88</v>
      </c>
      <c r="O94" s="30">
        <f t="shared" si="12"/>
        <v>332</v>
      </c>
      <c r="P94" s="30">
        <f t="shared" si="13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0"/>
      <c r="G95" s="17">
        <f t="shared" si="9"/>
        <v>0.16114040298399779</v>
      </c>
      <c r="H95" s="17">
        <f t="shared" si="8"/>
        <v>0.83885959701600221</v>
      </c>
      <c r="I95" s="17">
        <f t="shared" si="10"/>
        <v>0.70368542350584962</v>
      </c>
      <c r="L95" s="29" t="s">
        <v>69</v>
      </c>
      <c r="M95" s="64">
        <v>1</v>
      </c>
      <c r="N95" s="30">
        <f t="shared" si="11"/>
        <v>89</v>
      </c>
      <c r="O95" s="30">
        <f t="shared" si="12"/>
        <v>324</v>
      </c>
      <c r="P95" s="30">
        <f t="shared" si="13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0"/>
      <c r="G96" s="17">
        <f t="shared" si="9"/>
        <v>0.50800974954251732</v>
      </c>
      <c r="H96" s="17">
        <f t="shared" si="8"/>
        <v>-0.50800974954251732</v>
      </c>
      <c r="I96" s="17">
        <f t="shared" si="10"/>
        <v>0.25807390563025118</v>
      </c>
      <c r="L96" s="29" t="s">
        <v>69</v>
      </c>
      <c r="M96" s="64">
        <v>1</v>
      </c>
      <c r="N96" s="30">
        <f t="shared" si="11"/>
        <v>89</v>
      </c>
      <c r="O96" s="30">
        <f t="shared" si="12"/>
        <v>324</v>
      </c>
      <c r="P96" s="30">
        <f t="shared" si="13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0"/>
      <c r="G97" s="17">
        <f t="shared" si="9"/>
        <v>0.37220420342743044</v>
      </c>
      <c r="H97" s="17">
        <f t="shared" si="8"/>
        <v>1.6277957965725696</v>
      </c>
      <c r="I97" s="17">
        <f t="shared" si="10"/>
        <v>2.6497191553393264</v>
      </c>
      <c r="L97" s="29" t="s">
        <v>69</v>
      </c>
      <c r="M97" s="64">
        <v>1</v>
      </c>
      <c r="N97" s="30">
        <f t="shared" si="11"/>
        <v>84</v>
      </c>
      <c r="O97" s="30">
        <f t="shared" si="12"/>
        <v>302</v>
      </c>
      <c r="P97" s="30">
        <f t="shared" si="13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0"/>
      <c r="G98" s="17">
        <f t="shared" si="9"/>
        <v>7.9708697122717886E-2</v>
      </c>
      <c r="H98" s="17">
        <f t="shared" si="8"/>
        <v>0.92029130287728211</v>
      </c>
      <c r="I98" s="17">
        <f t="shared" si="10"/>
        <v>0.84693608215156535</v>
      </c>
      <c r="L98" s="29" t="s">
        <v>69</v>
      </c>
      <c r="M98" s="64">
        <v>1</v>
      </c>
      <c r="N98" s="30">
        <f t="shared" si="11"/>
        <v>85</v>
      </c>
      <c r="O98" s="30">
        <f t="shared" si="12"/>
        <v>311</v>
      </c>
      <c r="P98" s="30">
        <f t="shared" si="13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0"/>
      <c r="G99" s="17">
        <f t="shared" si="9"/>
        <v>-5.6927222930585941E-2</v>
      </c>
      <c r="H99" s="17">
        <f t="shared" si="8"/>
        <v>5.6927222930585941E-2</v>
      </c>
      <c r="I99" s="17">
        <f t="shared" si="10"/>
        <v>3.2407087105886297E-3</v>
      </c>
      <c r="L99" s="29" t="s">
        <v>69</v>
      </c>
      <c r="M99" s="64">
        <v>1</v>
      </c>
      <c r="N99" s="30">
        <f t="shared" si="11"/>
        <v>90</v>
      </c>
      <c r="O99" s="30">
        <f t="shared" si="12"/>
        <v>322</v>
      </c>
      <c r="P99" s="30">
        <f t="shared" si="13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0"/>
      <c r="G100" s="17">
        <f t="shared" si="9"/>
        <v>-0.62886802087484295</v>
      </c>
      <c r="H100" s="17">
        <f t="shared" si="8"/>
        <v>4.6288680208748429</v>
      </c>
      <c r="I100" s="17">
        <f t="shared" si="10"/>
        <v>21.426419154677784</v>
      </c>
      <c r="L100" s="29" t="s">
        <v>69</v>
      </c>
      <c r="M100" s="64">
        <v>1</v>
      </c>
      <c r="N100" s="30">
        <f t="shared" si="11"/>
        <v>87</v>
      </c>
      <c r="O100" s="30">
        <f t="shared" si="12"/>
        <v>296</v>
      </c>
      <c r="P100" s="30">
        <f t="shared" si="13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0"/>
      <c r="G101" s="17">
        <f t="shared" si="9"/>
        <v>-0.71042538908032604</v>
      </c>
      <c r="H101" s="17">
        <f t="shared" si="8"/>
        <v>2.710425389080326</v>
      </c>
      <c r="I101" s="17">
        <f t="shared" si="10"/>
        <v>7.3464057897712367</v>
      </c>
      <c r="L101" s="29" t="s">
        <v>69</v>
      </c>
      <c r="M101" s="64">
        <v>1</v>
      </c>
      <c r="N101" s="30">
        <f t="shared" si="11"/>
        <v>83</v>
      </c>
      <c r="O101" s="30">
        <f t="shared" si="12"/>
        <v>297</v>
      </c>
      <c r="P101" s="30">
        <f t="shared" si="13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0"/>
      <c r="G102" s="17">
        <f t="shared" si="9"/>
        <v>-0.73971088310786737</v>
      </c>
      <c r="H102" s="17">
        <f t="shared" si="8"/>
        <v>5.7397108831078674</v>
      </c>
      <c r="I102" s="17">
        <f t="shared" si="10"/>
        <v>32.944281021666896</v>
      </c>
      <c r="L102" s="29" t="s">
        <v>69</v>
      </c>
      <c r="M102" s="64">
        <v>1</v>
      </c>
      <c r="N102" s="30">
        <f t="shared" si="11"/>
        <v>77</v>
      </c>
      <c r="O102" s="30">
        <f t="shared" si="12"/>
        <v>283</v>
      </c>
      <c r="P102" s="30">
        <f t="shared" si="13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0"/>
      <c r="G103" s="17">
        <f t="shared" si="9"/>
        <v>-0.47694747338585497</v>
      </c>
      <c r="H103" s="17">
        <f t="shared" si="8"/>
        <v>1.476947473385855</v>
      </c>
      <c r="I103" s="17">
        <f t="shared" si="10"/>
        <v>2.1813738391408606</v>
      </c>
      <c r="L103" s="29" t="s">
        <v>69</v>
      </c>
      <c r="M103" s="64">
        <v>1</v>
      </c>
      <c r="N103" s="30">
        <f t="shared" si="11"/>
        <v>75</v>
      </c>
      <c r="O103" s="30">
        <f t="shared" si="12"/>
        <v>280</v>
      </c>
      <c r="P103" s="30">
        <f t="shared" si="13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0"/>
      <c r="G104" s="17">
        <f t="shared" si="9"/>
        <v>-1.0639147897269403</v>
      </c>
      <c r="H104" s="17">
        <f t="shared" ref="H104:H127" si="14">B104-G104</f>
        <v>3.0639147897269403</v>
      </c>
      <c r="I104" s="17">
        <f t="shared" si="10"/>
        <v>9.3875738387074801</v>
      </c>
      <c r="L104" s="29" t="s">
        <v>69</v>
      </c>
      <c r="M104" s="64">
        <v>1</v>
      </c>
      <c r="N104" s="30">
        <f t="shared" si="11"/>
        <v>74</v>
      </c>
      <c r="O104" s="30">
        <f t="shared" si="12"/>
        <v>260</v>
      </c>
      <c r="P104" s="30">
        <f t="shared" si="13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0"/>
      <c r="G105" s="17">
        <f t="shared" si="9"/>
        <v>-0.86577554160447434</v>
      </c>
      <c r="H105" s="17">
        <f t="shared" si="14"/>
        <v>1.8657755416044743</v>
      </c>
      <c r="I105" s="17">
        <f t="shared" si="10"/>
        <v>3.4811183716494694</v>
      </c>
      <c r="L105" s="29" t="s">
        <v>69</v>
      </c>
      <c r="M105" s="64">
        <v>1</v>
      </c>
      <c r="N105" s="30">
        <f t="shared" si="11"/>
        <v>74</v>
      </c>
      <c r="O105" s="30">
        <f t="shared" si="12"/>
        <v>268</v>
      </c>
      <c r="P105" s="30">
        <f t="shared" si="13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0"/>
      <c r="G106" s="17">
        <f t="shared" si="9"/>
        <v>-0.30090140030347268</v>
      </c>
      <c r="H106" s="17">
        <f t="shared" si="14"/>
        <v>1.3009014003034727</v>
      </c>
      <c r="I106" s="17">
        <f t="shared" si="10"/>
        <v>1.6923444533115362</v>
      </c>
      <c r="L106" s="29" t="s">
        <v>69</v>
      </c>
      <c r="M106" s="64">
        <v>1</v>
      </c>
      <c r="N106" s="30">
        <f t="shared" si="11"/>
        <v>73</v>
      </c>
      <c r="O106" s="30">
        <f t="shared" si="12"/>
        <v>277</v>
      </c>
      <c r="P106" s="30">
        <f t="shared" si="13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0"/>
      <c r="G107" s="17">
        <f t="shared" si="9"/>
        <v>-0.28574921956244204</v>
      </c>
      <c r="H107" s="17">
        <f t="shared" si="14"/>
        <v>1.285749219562442</v>
      </c>
      <c r="I107" s="17">
        <f t="shared" si="10"/>
        <v>1.6531510556054287</v>
      </c>
      <c r="L107" s="29" t="s">
        <v>69</v>
      </c>
      <c r="M107" s="64">
        <v>1</v>
      </c>
      <c r="N107" s="30">
        <f t="shared" si="11"/>
        <v>71</v>
      </c>
      <c r="O107" s="30">
        <f t="shared" si="12"/>
        <v>257</v>
      </c>
      <c r="P107" s="30">
        <f t="shared" si="13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0"/>
      <c r="G108" s="17">
        <f t="shared" si="9"/>
        <v>-7.5069190502068395E-2</v>
      </c>
      <c r="H108" s="17">
        <f t="shared" si="14"/>
        <v>4.0750691905020684</v>
      </c>
      <c r="I108" s="17">
        <f t="shared" si="10"/>
        <v>16.606188907379185</v>
      </c>
      <c r="L108" s="29" t="s">
        <v>69</v>
      </c>
      <c r="M108" s="64">
        <v>1</v>
      </c>
      <c r="N108" s="30">
        <f t="shared" si="11"/>
        <v>71</v>
      </c>
      <c r="O108" s="30">
        <f t="shared" si="12"/>
        <v>248</v>
      </c>
      <c r="P108" s="30">
        <f t="shared" si="13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0"/>
      <c r="G109" s="17">
        <f t="shared" si="9"/>
        <v>0.3412633458791845</v>
      </c>
      <c r="H109" s="17">
        <f t="shared" si="14"/>
        <v>0.6587366541208155</v>
      </c>
      <c r="I109" s="17">
        <f t="shared" si="10"/>
        <v>0.4339339794822869</v>
      </c>
      <c r="L109" s="29" t="s">
        <v>69</v>
      </c>
      <c r="M109" s="64">
        <v>1</v>
      </c>
      <c r="N109" s="30">
        <f t="shared" si="11"/>
        <v>70</v>
      </c>
      <c r="O109" s="30">
        <f t="shared" si="12"/>
        <v>244</v>
      </c>
      <c r="P109" s="30">
        <f t="shared" si="13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0"/>
      <c r="G110" s="17">
        <f t="shared" si="9"/>
        <v>0.32636248982655935</v>
      </c>
      <c r="H110" s="17">
        <f t="shared" si="14"/>
        <v>-0.32636248982655935</v>
      </c>
      <c r="I110" s="17">
        <f t="shared" si="10"/>
        <v>0.10651247476579105</v>
      </c>
      <c r="L110" s="29" t="s">
        <v>69</v>
      </c>
      <c r="M110" s="64">
        <v>1</v>
      </c>
      <c r="N110" s="30">
        <f t="shared" si="11"/>
        <v>72</v>
      </c>
      <c r="O110" s="30">
        <f t="shared" si="12"/>
        <v>236</v>
      </c>
      <c r="P110" s="30">
        <f t="shared" si="13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0"/>
      <c r="G111" s="17">
        <f t="shared" si="9"/>
        <v>0.2596363621511486</v>
      </c>
      <c r="H111" s="17">
        <f t="shared" si="14"/>
        <v>6.7403636378488514</v>
      </c>
      <c r="I111" s="17">
        <f t="shared" si="10"/>
        <v>45.432501970435005</v>
      </c>
      <c r="L111" s="29" t="s">
        <v>69</v>
      </c>
      <c r="M111" s="64">
        <v>1</v>
      </c>
      <c r="N111" s="30">
        <f t="shared" si="11"/>
        <v>71</v>
      </c>
      <c r="O111" s="30">
        <f t="shared" si="12"/>
        <v>223</v>
      </c>
      <c r="P111" s="30">
        <f t="shared" si="13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0"/>
      <c r="G112" s="17">
        <f t="shared" si="9"/>
        <v>0.48215924490586559</v>
      </c>
      <c r="H112" s="17">
        <f t="shared" si="14"/>
        <v>0.51784075509413441</v>
      </c>
      <c r="I112" s="17">
        <f t="shared" si="10"/>
        <v>0.26815904763646331</v>
      </c>
      <c r="L112" s="29" t="s">
        <v>69</v>
      </c>
      <c r="M112" s="64">
        <v>1</v>
      </c>
      <c r="N112" s="30">
        <f t="shared" si="11"/>
        <v>76</v>
      </c>
      <c r="O112" s="30">
        <f t="shared" si="12"/>
        <v>245</v>
      </c>
      <c r="P112" s="30">
        <f t="shared" si="13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0"/>
      <c r="G113" s="17">
        <f t="shared" si="9"/>
        <v>0.83418855989853036</v>
      </c>
      <c r="H113" s="17">
        <f t="shared" si="14"/>
        <v>1.1658114401014696</v>
      </c>
      <c r="I113" s="17">
        <f t="shared" si="10"/>
        <v>1.3591163138714626</v>
      </c>
      <c r="L113" s="29" t="s">
        <v>69</v>
      </c>
      <c r="M113" s="64">
        <v>1</v>
      </c>
      <c r="N113" s="30">
        <f t="shared" si="11"/>
        <v>72</v>
      </c>
      <c r="O113" s="30">
        <f t="shared" si="12"/>
        <v>246</v>
      </c>
      <c r="P113" s="30">
        <f t="shared" si="13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0"/>
      <c r="G114" s="17">
        <f t="shared" si="9"/>
        <v>1.3499744917240752</v>
      </c>
      <c r="H114" s="17">
        <f t="shared" si="14"/>
        <v>0.65002550827592476</v>
      </c>
      <c r="I114" s="17">
        <f t="shared" si="10"/>
        <v>0.4225331614093743</v>
      </c>
      <c r="L114" s="29" t="s">
        <v>69</v>
      </c>
      <c r="M114" s="64">
        <v>1</v>
      </c>
      <c r="N114" s="30">
        <f t="shared" si="11"/>
        <v>66</v>
      </c>
      <c r="O114" s="30">
        <f t="shared" si="12"/>
        <v>233</v>
      </c>
      <c r="P114" s="30">
        <f t="shared" si="13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0"/>
      <c r="G115" s="17">
        <f t="shared" si="9"/>
        <v>1.7099636684703112</v>
      </c>
      <c r="H115" s="17">
        <f t="shared" si="14"/>
        <v>0.29003633152968877</v>
      </c>
      <c r="I115" s="17">
        <f t="shared" si="10"/>
        <v>8.4121073607199531E-2</v>
      </c>
      <c r="L115" s="29" t="s">
        <v>69</v>
      </c>
      <c r="M115" s="64">
        <v>1</v>
      </c>
      <c r="N115" s="30">
        <f t="shared" si="11"/>
        <v>56</v>
      </c>
      <c r="O115" s="30">
        <f t="shared" si="12"/>
        <v>211</v>
      </c>
      <c r="P115" s="30">
        <f t="shared" si="13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0"/>
      <c r="G116" s="17">
        <f t="shared" si="9"/>
        <v>1.3853131592960803</v>
      </c>
      <c r="H116" s="17">
        <f t="shared" si="14"/>
        <v>-0.38531315929608034</v>
      </c>
      <c r="I116" s="17">
        <f t="shared" si="10"/>
        <v>0.14846623072672657</v>
      </c>
      <c r="L116" s="29" t="s">
        <v>69</v>
      </c>
      <c r="M116" s="64">
        <v>1</v>
      </c>
      <c r="N116" s="30">
        <f t="shared" si="11"/>
        <v>58</v>
      </c>
      <c r="O116" s="30">
        <f t="shared" si="12"/>
        <v>208</v>
      </c>
      <c r="P116" s="30">
        <f t="shared" si="13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0"/>
      <c r="G117" s="17">
        <f t="shared" si="9"/>
        <v>1.9528615315723057</v>
      </c>
      <c r="H117" s="17">
        <f t="shared" si="14"/>
        <v>1.0471384684276943</v>
      </c>
      <c r="I117" s="17">
        <f t="shared" si="10"/>
        <v>1.0964989720610974</v>
      </c>
      <c r="L117" s="29" t="s">
        <v>69</v>
      </c>
      <c r="M117" s="64">
        <v>1</v>
      </c>
      <c r="N117" s="30">
        <f t="shared" si="11"/>
        <v>55</v>
      </c>
      <c r="O117" s="30">
        <f t="shared" si="12"/>
        <v>207</v>
      </c>
      <c r="P117" s="30">
        <f t="shared" si="13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0"/>
      <c r="G118" s="17">
        <f t="shared" si="9"/>
        <v>1.7866191772805031</v>
      </c>
      <c r="H118" s="17">
        <f t="shared" si="14"/>
        <v>-1.7866191772805031</v>
      </c>
      <c r="I118" s="17">
        <f t="shared" si="10"/>
        <v>3.1920080846264618</v>
      </c>
      <c r="L118" s="29" t="s">
        <v>69</v>
      </c>
      <c r="M118" s="64">
        <v>1</v>
      </c>
      <c r="N118" s="30">
        <f t="shared" si="11"/>
        <v>59</v>
      </c>
      <c r="O118" s="30">
        <f t="shared" si="12"/>
        <v>210</v>
      </c>
      <c r="P118" s="30">
        <f t="shared" si="13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0"/>
      <c r="G119" s="17">
        <f t="shared" si="9"/>
        <v>2.376260724596813</v>
      </c>
      <c r="H119" s="17">
        <f t="shared" si="14"/>
        <v>-2.376260724596813</v>
      </c>
      <c r="I119" s="17">
        <f t="shared" si="10"/>
        <v>5.646615031261371</v>
      </c>
      <c r="L119" s="29" t="s">
        <v>69</v>
      </c>
      <c r="M119" s="64">
        <v>1</v>
      </c>
      <c r="N119" s="30">
        <f t="shared" si="11"/>
        <v>58</v>
      </c>
      <c r="O119" s="30">
        <f t="shared" si="12"/>
        <v>220</v>
      </c>
      <c r="P119" s="30">
        <f t="shared" si="13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0"/>
      <c r="G120" s="17">
        <f t="shared" si="9"/>
        <v>3.1020915894112688</v>
      </c>
      <c r="H120" s="17">
        <f t="shared" si="14"/>
        <v>-2.1020915894112688</v>
      </c>
      <c r="I120" s="17">
        <f t="shared" si="10"/>
        <v>4.4187890502735945</v>
      </c>
      <c r="L120" s="29" t="s">
        <v>69</v>
      </c>
      <c r="M120" s="64">
        <v>1</v>
      </c>
      <c r="N120" s="30">
        <f t="shared" si="11"/>
        <v>57</v>
      </c>
      <c r="O120" s="30">
        <f t="shared" si="12"/>
        <v>239</v>
      </c>
      <c r="P120" s="30">
        <f t="shared" si="13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0"/>
      <c r="G121" s="17">
        <f t="shared" si="9"/>
        <v>3.3749168269627186</v>
      </c>
      <c r="H121" s="17">
        <f t="shared" si="14"/>
        <v>-0.37491682696271855</v>
      </c>
      <c r="I121" s="17">
        <f t="shared" si="10"/>
        <v>0.14056262713979303</v>
      </c>
      <c r="L121" s="29" t="s">
        <v>69</v>
      </c>
      <c r="M121" s="64">
        <v>1</v>
      </c>
      <c r="N121" s="30">
        <f t="shared" si="11"/>
        <v>52</v>
      </c>
      <c r="O121" s="30">
        <f t="shared" si="12"/>
        <v>237</v>
      </c>
      <c r="P121" s="30">
        <f t="shared" si="13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0"/>
      <c r="G122" s="17">
        <f t="shared" si="9"/>
        <v>3.1940317256571467</v>
      </c>
      <c r="H122" s="17">
        <f t="shared" si="14"/>
        <v>-2.1940317256571467</v>
      </c>
      <c r="I122" s="17">
        <f t="shared" si="10"/>
        <v>4.8137752131900768</v>
      </c>
      <c r="L122" s="29" t="s">
        <v>69</v>
      </c>
      <c r="M122" s="64">
        <v>1</v>
      </c>
      <c r="N122" s="30">
        <f t="shared" si="11"/>
        <v>53</v>
      </c>
      <c r="O122" s="30">
        <f t="shared" si="12"/>
        <v>233</v>
      </c>
      <c r="P122" s="30">
        <f t="shared" si="13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0"/>
      <c r="G123" s="17">
        <f t="shared" si="9"/>
        <v>3.280749062296775</v>
      </c>
      <c r="H123" s="17">
        <f t="shared" si="14"/>
        <v>-3.280749062296775</v>
      </c>
      <c r="I123" s="17">
        <f t="shared" si="10"/>
        <v>10.763314409761168</v>
      </c>
      <c r="L123" s="29" t="s">
        <v>69</v>
      </c>
      <c r="M123" s="64">
        <v>1</v>
      </c>
      <c r="N123" s="30">
        <f t="shared" si="11"/>
        <v>53</v>
      </c>
      <c r="O123" s="30">
        <f t="shared" si="12"/>
        <v>233</v>
      </c>
      <c r="P123" s="30">
        <f t="shared" si="13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0"/>
      <c r="G124" s="17">
        <f t="shared" si="9"/>
        <v>3.3376714711816042</v>
      </c>
      <c r="H124" s="17">
        <f t="shared" si="14"/>
        <v>-2.3376714711816042</v>
      </c>
      <c r="I124" s="17">
        <f t="shared" si="10"/>
        <v>5.4647079071763658</v>
      </c>
      <c r="L124" s="29" t="s">
        <v>69</v>
      </c>
      <c r="M124" s="64">
        <v>1</v>
      </c>
      <c r="N124" s="30">
        <f t="shared" si="11"/>
        <v>52</v>
      </c>
      <c r="O124" s="30">
        <f t="shared" si="12"/>
        <v>246</v>
      </c>
      <c r="P124" s="30">
        <f t="shared" si="13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0"/>
      <c r="G125" s="17">
        <f t="shared" si="9"/>
        <v>3.4468657542443726</v>
      </c>
      <c r="H125" s="17">
        <f t="shared" si="14"/>
        <v>-3.4468657542443726</v>
      </c>
      <c r="I125" s="17">
        <f t="shared" si="10"/>
        <v>11.880883527782627</v>
      </c>
      <c r="L125" s="29" t="s">
        <v>69</v>
      </c>
      <c r="M125" s="64">
        <v>1</v>
      </c>
      <c r="N125" s="30">
        <f t="shared" si="11"/>
        <v>49</v>
      </c>
      <c r="O125" s="30">
        <f t="shared" si="12"/>
        <v>244</v>
      </c>
      <c r="P125" s="30">
        <f t="shared" si="13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0"/>
      <c r="G126" s="17">
        <f t="shared" si="9"/>
        <v>3.7065083304360007</v>
      </c>
      <c r="H126" s="17">
        <f t="shared" si="14"/>
        <v>-3.7065083304360007</v>
      </c>
      <c r="I126" s="17">
        <f t="shared" si="10"/>
        <v>13.73820400359147</v>
      </c>
      <c r="L126" s="29" t="s">
        <v>69</v>
      </c>
      <c r="M126" s="64">
        <v>1</v>
      </c>
      <c r="N126" s="30">
        <f t="shared" si="11"/>
        <v>54</v>
      </c>
      <c r="O126" s="30">
        <f t="shared" si="12"/>
        <v>271</v>
      </c>
      <c r="P126" s="30">
        <f t="shared" si="13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0"/>
      <c r="G127" s="17">
        <f t="shared" si="9"/>
        <v>4.427500167027266</v>
      </c>
      <c r="H127" s="17">
        <f t="shared" si="14"/>
        <v>-2.427500167027266</v>
      </c>
      <c r="I127" s="17">
        <f t="shared" si="10"/>
        <v>5.892757060917404</v>
      </c>
      <c r="L127" s="29" t="s">
        <v>68</v>
      </c>
      <c r="M127" s="64">
        <v>1</v>
      </c>
      <c r="N127" s="30">
        <f t="shared" si="11"/>
        <v>52</v>
      </c>
      <c r="O127" s="30">
        <f t="shared" si="12"/>
        <v>283</v>
      </c>
      <c r="P127" s="30">
        <f t="shared" si="13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6" t="s">
        <v>87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3" t="s">
        <v>93</v>
      </c>
      <c r="B136" s="133"/>
      <c r="C136" s="133"/>
      <c r="D136" s="133"/>
      <c r="E136" s="133"/>
      <c r="F136" s="133"/>
      <c r="G136" s="133"/>
      <c r="H136" s="133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3" t="s">
        <v>100</v>
      </c>
      <c r="P140" s="143"/>
      <c r="Q140" s="143"/>
      <c r="R140" s="143"/>
      <c r="S140" s="54"/>
      <c r="T140" s="143" t="s">
        <v>99</v>
      </c>
      <c r="U140" s="143"/>
      <c r="V140" s="143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4543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3273427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21757452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525.69680000000039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-8.1263299588774771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-8.1815477244338908E-2</v>
      </c>
      <c r="D146" t="s">
        <v>69</v>
      </c>
      <c r="E146" s="143" t="s">
        <v>90</v>
      </c>
      <c r="F146" s="143"/>
      <c r="G146" s="143"/>
      <c r="H146" s="143"/>
      <c r="I146" s="143"/>
      <c r="J146" s="143"/>
      <c r="K146" s="143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2.4767406015308246E-2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867.17336639629502</v>
      </c>
      <c r="D148" t="s">
        <v>71</v>
      </c>
      <c r="E148" s="121"/>
      <c r="F148" s="121"/>
      <c r="G148" s="121"/>
      <c r="H148" s="121"/>
      <c r="I148" s="121"/>
      <c r="J148" s="121"/>
      <c r="K148" s="121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3" t="s">
        <v>98</v>
      </c>
      <c r="P150" s="143"/>
      <c r="Q150" s="143"/>
      <c r="R150" s="143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3" t="s">
        <v>88</v>
      </c>
      <c r="B156" s="133"/>
      <c r="C156" s="133"/>
      <c r="D156" s="133"/>
      <c r="E156" s="133"/>
      <c r="F156" s="133"/>
      <c r="G156" s="133"/>
      <c r="H156" s="133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6413.9979303712325</v>
      </c>
    </row>
    <row r="161" spans="1:22" ht="18" customHeight="1" x14ac:dyDescent="0.2">
      <c r="C161" s="64">
        <f>SUMPRODUCT(POWER(B8:B127,2))</f>
        <v>696425</v>
      </c>
    </row>
    <row r="162" spans="1:22" ht="18" customHeight="1" x14ac:dyDescent="0.2">
      <c r="C162" s="64">
        <f>B130 * POWER(T11,2)</f>
        <v>171990.40833333335</v>
      </c>
    </row>
    <row r="163" spans="1:22" ht="18" customHeight="1" x14ac:dyDescent="0.2">
      <c r="C163" s="64">
        <f>C161-C162</f>
        <v>524434.59166666667</v>
      </c>
    </row>
    <row r="164" spans="1:22" ht="18" customHeight="1" x14ac:dyDescent="0.2">
      <c r="B164" s="13"/>
      <c r="C164" s="65">
        <f>C163-C160</f>
        <v>518020.59373629541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0.98780000000000001</v>
      </c>
    </row>
    <row r="167" spans="1:22" ht="18" customHeight="1" x14ac:dyDescent="0.2">
      <c r="B167" s="13"/>
      <c r="C167" s="113">
        <f>ROUND(1 - C160 / (B130 - (COUNT(C146:C148) + 1)) / (C163 / (B130-1)),4)</f>
        <v>0.98750000000000004</v>
      </c>
    </row>
    <row r="173" spans="1:22" ht="18" customHeight="1" x14ac:dyDescent="0.25">
      <c r="A173" s="133" t="s">
        <v>92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F176" s="138"/>
      <c r="G176" s="138"/>
      <c r="I176" s="138"/>
      <c r="J176" s="138"/>
      <c r="L176" s="138"/>
      <c r="M176" s="138"/>
      <c r="O176" s="138"/>
      <c r="P176" s="138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-8.1263299588774771</v>
      </c>
      <c r="I179" s="16"/>
      <c r="J179" s="63">
        <f>C146</f>
        <v>-8.1815477244338908E-2</v>
      </c>
      <c r="L179" s="16"/>
      <c r="M179" s="63">
        <f>C147</f>
        <v>2.4767406015308246E-2</v>
      </c>
      <c r="O179" s="16"/>
      <c r="P179" s="63">
        <f>C148</f>
        <v>867.17336639629502</v>
      </c>
    </row>
    <row r="180" spans="2:21" ht="18" customHeight="1" x14ac:dyDescent="0.2">
      <c r="G180" s="76">
        <f>$C$160/($B$130-(COUNT($C$146:$C$148)+1))</f>
        <v>55.293085606648553</v>
      </c>
      <c r="J180" s="76">
        <f>$C$160/($B$130-(COUNT($C$146:$C$148)+1))</f>
        <v>55.293085606648553</v>
      </c>
      <c r="M180" s="76">
        <f>$C$160/($B$130-(COUNT($C$146:$C$148)+1))</f>
        <v>55.293085606648553</v>
      </c>
      <c r="P180" s="76">
        <f>$C$160/($B$130-(COUNT($C$146:$C$148)+1))</f>
        <v>55.293085606648553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0"/>
      <c r="G183" s="142">
        <f>SQRT(G180*G181)</f>
        <v>1.5086144133623141</v>
      </c>
      <c r="I183" s="130"/>
      <c r="J183" s="142">
        <f>SQRT(J180*J181)</f>
        <v>1.89533259912367E-2</v>
      </c>
      <c r="L183" s="130"/>
      <c r="M183" s="142">
        <f>SQRT(M180*M181)</f>
        <v>4.8084988903565763E-3</v>
      </c>
      <c r="O183" s="130"/>
      <c r="P183" s="142">
        <f>SQRT(P180*P181)</f>
        <v>103.16122197878428</v>
      </c>
    </row>
    <row r="184" spans="2:21" ht="18" customHeight="1" x14ac:dyDescent="0.2">
      <c r="F184" s="122"/>
      <c r="G184" s="128"/>
      <c r="I184" s="122"/>
      <c r="J184" s="128"/>
      <c r="L184" s="122"/>
      <c r="M184" s="128"/>
      <c r="O184" s="122"/>
      <c r="P184" s="128"/>
    </row>
    <row r="188" spans="2:21" ht="18" customHeight="1" x14ac:dyDescent="0.2">
      <c r="B188" s="132" t="s">
        <v>40</v>
      </c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8"/>
      <c r="G197" s="138"/>
      <c r="I197" s="138"/>
      <c r="J197" s="138"/>
      <c r="L197" s="138"/>
      <c r="M197" s="138"/>
      <c r="O197" s="138"/>
      <c r="P197" s="138"/>
    </row>
    <row r="198" spans="2:21" ht="18" customHeight="1" x14ac:dyDescent="0.2">
      <c r="H198" s="14"/>
      <c r="Q198" s="148"/>
      <c r="R198" s="148"/>
      <c r="S198" s="83"/>
      <c r="T198" s="148"/>
      <c r="U198" s="148"/>
    </row>
    <row r="199" spans="2:21" ht="18" customHeight="1" x14ac:dyDescent="0.2">
      <c r="F199" s="16" t="s">
        <v>37</v>
      </c>
      <c r="G199" s="16">
        <f>ROUND(G179-G183*$K$194,4)</f>
        <v>-10.627800000000001</v>
      </c>
      <c r="H199" s="14"/>
      <c r="I199" s="16" t="s">
        <v>37</v>
      </c>
      <c r="J199" s="16">
        <f>ROUND(J179-J183*$K$194,4)</f>
        <v>-0.1132</v>
      </c>
      <c r="L199" s="16" t="s">
        <v>37</v>
      </c>
      <c r="M199" s="16">
        <f>ROUND(M179-M183*$K$194,4)</f>
        <v>1.6799999999999999E-2</v>
      </c>
      <c r="O199" s="16" t="s">
        <v>37</v>
      </c>
      <c r="P199" s="16">
        <f>ROUND(P179-P183*$K$194,4)</f>
        <v>696.12220000000002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-5.6249000000000002</v>
      </c>
      <c r="I200" s="13" t="s">
        <v>38</v>
      </c>
      <c r="J200" s="13">
        <f>ROUND(J179+J183*$K$194,4)</f>
        <v>-5.04E-2</v>
      </c>
      <c r="L200" s="13" t="s">
        <v>38</v>
      </c>
      <c r="M200" s="13">
        <f>ROUND(M179+M183*$K$194,4)</f>
        <v>3.27E-2</v>
      </c>
      <c r="O200" s="13" t="s">
        <v>38</v>
      </c>
      <c r="P200" s="13">
        <f>ROUND(P179+P183*$K$194,4)</f>
        <v>1038.2245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2" t="s">
        <v>42</v>
      </c>
      <c r="C208" s="132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8"/>
      <c r="G218" s="138"/>
      <c r="I218" s="138"/>
      <c r="J218" s="138"/>
      <c r="L218" s="138"/>
      <c r="M218" s="138"/>
      <c r="O218" s="138"/>
      <c r="P218" s="138"/>
      <c r="Q218" s="148"/>
      <c r="R218" s="148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-11.1143</v>
      </c>
      <c r="I220" s="16" t="s">
        <v>37</v>
      </c>
      <c r="J220" s="16">
        <f>ROUND(J179-J183*$K$214,4)</f>
        <v>-0.11940000000000001</v>
      </c>
      <c r="L220" s="16" t="s">
        <v>37</v>
      </c>
      <c r="M220" s="16">
        <f>ROUND(M179-M183*$K$214,4)</f>
        <v>1.52E-2</v>
      </c>
      <c r="O220" s="16" t="s">
        <v>37</v>
      </c>
      <c r="P220" s="16">
        <f>ROUND(P179-P183*$K$214,4)</f>
        <v>662.84960000000001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-5.1383000000000001</v>
      </c>
      <c r="I221" s="13" t="s">
        <v>38</v>
      </c>
      <c r="J221" s="13">
        <f>ROUND(J179+J183*$K$214,4)</f>
        <v>-4.4299999999999999E-2</v>
      </c>
      <c r="L221" s="13" t="s">
        <v>38</v>
      </c>
      <c r="M221" s="13">
        <f>ROUND(M179+M183*$K$214,4)</f>
        <v>3.4299999999999997E-2</v>
      </c>
      <c r="O221" s="13" t="s">
        <v>38</v>
      </c>
      <c r="P221" s="13">
        <f>ROUND(P179+P183*$K$214,4)</f>
        <v>1071.4972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8"/>
      <c r="G232" s="138"/>
      <c r="I232" s="138"/>
      <c r="J232" s="138"/>
      <c r="L232" s="138"/>
      <c r="M232" s="138"/>
      <c r="O232" s="138"/>
      <c r="P232" s="138"/>
      <c r="Q232" s="148"/>
      <c r="R232" s="148"/>
      <c r="S232" s="83"/>
      <c r="T232" s="148"/>
      <c r="U232" s="148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2" t="s">
        <v>44</v>
      </c>
      <c r="G234" s="132"/>
      <c r="I234" s="132" t="s">
        <v>44</v>
      </c>
      <c r="J234" s="132"/>
      <c r="L234" s="132" t="s">
        <v>44</v>
      </c>
      <c r="M234" s="132"/>
      <c r="O234" s="132" t="s">
        <v>44</v>
      </c>
      <c r="P234" s="132"/>
      <c r="Q234" s="150"/>
      <c r="R234" s="150"/>
      <c r="S234" s="83"/>
      <c r="T234" s="150"/>
      <c r="U234" s="150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41" t="s">
        <v>45</v>
      </c>
      <c r="G239" s="141"/>
      <c r="I239" s="141" t="s">
        <v>45</v>
      </c>
      <c r="J239" s="141"/>
      <c r="L239" s="141" t="s">
        <v>45</v>
      </c>
      <c r="M239" s="141"/>
      <c r="O239" s="141" t="s">
        <v>45</v>
      </c>
      <c r="P239" s="141"/>
      <c r="Q239" s="149"/>
      <c r="R239" s="149"/>
      <c r="S239" s="83"/>
      <c r="T239" s="149"/>
      <c r="U239" s="149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-5.3866182683260826</v>
      </c>
      <c r="I246" s="55" t="s">
        <v>95</v>
      </c>
      <c r="J246">
        <f>J179/J183</f>
        <v>-4.3166817941171534</v>
      </c>
      <c r="L246" s="55" t="s">
        <v>95</v>
      </c>
      <c r="M246">
        <f>M179/M183</f>
        <v>5.1507563129481371</v>
      </c>
      <c r="O246" s="55" t="s">
        <v>95</v>
      </c>
      <c r="P246">
        <f>P179/P183</f>
        <v>8.4060013032284004</v>
      </c>
      <c r="Q246" s="90"/>
      <c r="R246" s="83"/>
      <c r="S246" s="83"/>
      <c r="T246" s="90"/>
      <c r="U246" s="83"/>
    </row>
    <row r="250" spans="2:21" ht="18" customHeight="1" x14ac:dyDescent="0.25">
      <c r="B250" s="140" t="s">
        <v>96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48"/>
      <c r="C274" s="148"/>
      <c r="D274" s="83"/>
      <c r="E274" s="83"/>
      <c r="F274" s="83"/>
      <c r="G274" s="148"/>
      <c r="H274" s="148"/>
      <c r="I274" s="83"/>
      <c r="J274" s="83"/>
      <c r="K274" s="83"/>
      <c r="L274" s="148"/>
      <c r="M274" s="148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48"/>
      <c r="C304" s="148"/>
      <c r="D304" s="83"/>
      <c r="E304" s="83"/>
      <c r="F304" s="83"/>
      <c r="G304" s="148"/>
      <c r="H304" s="148"/>
      <c r="I304" s="83"/>
      <c r="J304" s="83"/>
      <c r="K304" s="83"/>
      <c r="L304" s="148"/>
      <c r="M304" s="148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34" t="s">
        <v>55</v>
      </c>
      <c r="G319" s="135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518020.59373629541</v>
      </c>
      <c r="E320" s="114">
        <f>COUNT(C146:C148)</f>
        <v>3</v>
      </c>
      <c r="F320" s="136">
        <f>D320/E320</f>
        <v>172673.5312454318</v>
      </c>
      <c r="G320" s="137"/>
      <c r="H320" s="77">
        <f>F320/F321</f>
        <v>3122.8774692340407</v>
      </c>
      <c r="I320" s="73"/>
    </row>
    <row r="321" spans="3:14" ht="18" customHeight="1" x14ac:dyDescent="0.25">
      <c r="C321" s="25" t="s">
        <v>58</v>
      </c>
      <c r="D321" s="60">
        <f>C160</f>
        <v>6413.9979303712325</v>
      </c>
      <c r="E321" s="114">
        <f>B130 - (E320+1)</f>
        <v>116</v>
      </c>
      <c r="F321" s="117">
        <f>D321/E321</f>
        <v>55.293085606648553</v>
      </c>
      <c r="G321" s="117"/>
      <c r="H321" s="64"/>
    </row>
    <row r="322" spans="3:14" ht="18" customHeight="1" x14ac:dyDescent="0.25">
      <c r="C322" s="25" t="s">
        <v>59</v>
      </c>
      <c r="D322" s="60">
        <f>C163</f>
        <v>524434.59166666667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5" t="s">
        <v>97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4" t="s">
        <v>72</v>
      </c>
      <c r="O344" s="144"/>
      <c r="P344" s="144"/>
      <c r="Q344" s="144"/>
      <c r="R344" s="87"/>
      <c r="S344" s="87"/>
      <c r="T344" s="87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5">D346</f>
        <v>45642</v>
      </c>
      <c r="Q345" s="66">
        <f t="shared" si="15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E346" si="16">SUM(C8:C14)</f>
        <v>6117</v>
      </c>
      <c r="D346" s="17">
        <f t="shared" si="16"/>
        <v>45642</v>
      </c>
      <c r="E346" s="17">
        <f t="shared" si="16"/>
        <v>1.2538</v>
      </c>
      <c r="F346" s="84"/>
      <c r="G346" s="75">
        <f>$C$378 + $C$379*C346 + $C$380*D346 + $C$381*E346</f>
        <v>1671.1168865057707</v>
      </c>
      <c r="H346" s="17">
        <f t="shared" ref="H346:H362" si="17">B346-G346</f>
        <v>4.883113494229292</v>
      </c>
      <c r="I346" s="17">
        <f>POWER(H346,2)</f>
        <v>23.844797397524207</v>
      </c>
      <c r="M346" s="29" t="s">
        <v>69</v>
      </c>
      <c r="N346" s="64">
        <v>1</v>
      </c>
      <c r="O346" s="66">
        <f t="shared" ref="O346:Q361" si="18">C347</f>
        <v>5872</v>
      </c>
      <c r="P346" s="66">
        <f t="shared" si="15"/>
        <v>38719</v>
      </c>
      <c r="Q346" s="66">
        <f t="shared" si="15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E347" si="19">SUM(C15:C21)</f>
        <v>5872</v>
      </c>
      <c r="D347" s="17">
        <f t="shared" si="19"/>
        <v>38719</v>
      </c>
      <c r="E347" s="17">
        <f t="shared" si="19"/>
        <v>0.83809999999999985</v>
      </c>
      <c r="F347" s="84"/>
      <c r="G347" s="75">
        <f t="shared" ref="G347:G362" si="20">$C$378 + $C$379*C347 + $C$380*D347 + $C$381*E347</f>
        <v>1160.3054423438857</v>
      </c>
      <c r="H347" s="17">
        <f t="shared" si="17"/>
        <v>2.6945576561142843</v>
      </c>
      <c r="I347" s="17">
        <f t="shared" ref="I347:I362" si="21">POWER(H347,2)</f>
        <v>7.2606409621241061</v>
      </c>
      <c r="M347" s="29" t="s">
        <v>69</v>
      </c>
      <c r="N347" s="64">
        <v>1</v>
      </c>
      <c r="O347" s="66">
        <f t="shared" si="18"/>
        <v>4906</v>
      </c>
      <c r="P347" s="66">
        <f t="shared" si="15"/>
        <v>27454</v>
      </c>
      <c r="Q347" s="66">
        <f t="shared" si="15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22">A347+7</f>
        <v>44242</v>
      </c>
      <c r="B348" s="17">
        <f>SUM(B22:B28)</f>
        <v>641</v>
      </c>
      <c r="C348" s="17">
        <f t="shared" ref="C348:E348" si="23">SUM(C22:C28)</f>
        <v>4906</v>
      </c>
      <c r="D348" s="17">
        <f t="shared" si="23"/>
        <v>27454</v>
      </c>
      <c r="E348" s="17">
        <f t="shared" si="23"/>
        <v>0.50600000000000001</v>
      </c>
      <c r="F348" s="84"/>
      <c r="G348" s="75">
        <f t="shared" si="20"/>
        <v>659.33740010048973</v>
      </c>
      <c r="H348" s="17">
        <f t="shared" si="17"/>
        <v>-18.337400100489731</v>
      </c>
      <c r="I348" s="17">
        <f t="shared" si="21"/>
        <v>336.26024244544078</v>
      </c>
      <c r="M348" s="29" t="s">
        <v>69</v>
      </c>
      <c r="N348" s="64">
        <v>1</v>
      </c>
      <c r="O348" s="66">
        <f t="shared" si="18"/>
        <v>2829</v>
      </c>
      <c r="P348" s="66">
        <f t="shared" si="15"/>
        <v>12112</v>
      </c>
      <c r="Q348" s="66">
        <f t="shared" si="15"/>
        <v>0.23469999999999999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22"/>
        <v>44249</v>
      </c>
      <c r="B349" s="17">
        <f>SUM(B36:B42)</f>
        <v>223</v>
      </c>
      <c r="C349" s="17">
        <f t="shared" ref="C349:E349" si="24">SUM(C36:C42)</f>
        <v>2829</v>
      </c>
      <c r="D349" s="17">
        <f t="shared" si="24"/>
        <v>12112</v>
      </c>
      <c r="E349" s="17">
        <f t="shared" si="24"/>
        <v>0.23469999999999999</v>
      </c>
      <c r="F349" s="84"/>
      <c r="G349" s="75">
        <f t="shared" si="20"/>
        <v>201.54433706839774</v>
      </c>
      <c r="H349" s="17">
        <f t="shared" si="17"/>
        <v>21.455662931602262</v>
      </c>
      <c r="I349" s="17">
        <f t="shared" si="21"/>
        <v>460.34547183453139</v>
      </c>
      <c r="M349" s="29" t="s">
        <v>69</v>
      </c>
      <c r="N349" s="64">
        <v>1</v>
      </c>
      <c r="O349" s="66">
        <f t="shared" si="18"/>
        <v>1971</v>
      </c>
      <c r="P349" s="66">
        <f t="shared" si="15"/>
        <v>7986</v>
      </c>
      <c r="Q349" s="66">
        <f t="shared" si="15"/>
        <v>0.21529999999999999</v>
      </c>
      <c r="R349" t="s">
        <v>69</v>
      </c>
      <c r="S349" s="66"/>
      <c r="T349" s="7" t="s">
        <v>11</v>
      </c>
      <c r="U349" s="6">
        <f>AVERAGE(B346:B362)</f>
        <v>250.29411764705881</v>
      </c>
    </row>
    <row r="350" spans="1:29" ht="18" customHeight="1" x14ac:dyDescent="0.2">
      <c r="A350" s="74">
        <f t="shared" si="22"/>
        <v>44256</v>
      </c>
      <c r="B350" s="17">
        <f>SUM(B43:B49)</f>
        <v>144</v>
      </c>
      <c r="C350" s="17">
        <f t="shared" ref="C350:E350" si="25">SUM(C43:C49)</f>
        <v>1971</v>
      </c>
      <c r="D350" s="17">
        <f t="shared" si="25"/>
        <v>7986</v>
      </c>
      <c r="E350" s="17">
        <f t="shared" si="25"/>
        <v>0.21529999999999999</v>
      </c>
      <c r="F350" s="84"/>
      <c r="G350" s="75">
        <f t="shared" si="20"/>
        <v>153.00465050276375</v>
      </c>
      <c r="H350" s="17">
        <f t="shared" si="17"/>
        <v>-9.0046505027637522</v>
      </c>
      <c r="I350" s="17">
        <f t="shared" si="21"/>
        <v>81.083730676923494</v>
      </c>
      <c r="M350" s="29" t="s">
        <v>69</v>
      </c>
      <c r="N350" s="64">
        <v>1</v>
      </c>
      <c r="O350" s="66">
        <f t="shared" si="18"/>
        <v>1358</v>
      </c>
      <c r="P350" s="66">
        <f t="shared" si="15"/>
        <v>5933</v>
      </c>
      <c r="Q350" s="66">
        <f t="shared" si="15"/>
        <v>0.11800000000000001</v>
      </c>
      <c r="R350" t="s">
        <v>69</v>
      </c>
      <c r="S350" s="66"/>
      <c r="T350" s="7" t="s">
        <v>15</v>
      </c>
      <c r="U350" s="6">
        <f>AVERAGE(C346:C362)</f>
        <v>1817.9411764705883</v>
      </c>
    </row>
    <row r="351" spans="1:29" ht="18" customHeight="1" x14ac:dyDescent="0.2">
      <c r="A351" s="74">
        <f t="shared" si="22"/>
        <v>44263</v>
      </c>
      <c r="B351" s="17">
        <f>SUM(B50:B56)</f>
        <v>84</v>
      </c>
      <c r="C351" s="17">
        <f t="shared" ref="C351:E351" si="26">SUM(C50:C56)</f>
        <v>1358</v>
      </c>
      <c r="D351" s="17">
        <f t="shared" si="26"/>
        <v>5933</v>
      </c>
      <c r="E351" s="17">
        <f t="shared" si="26"/>
        <v>0.11800000000000001</v>
      </c>
      <c r="F351" s="84"/>
      <c r="G351" s="75">
        <f t="shared" si="20"/>
        <v>81.119566149852318</v>
      </c>
      <c r="H351" s="17">
        <f t="shared" si="17"/>
        <v>2.8804338501476821</v>
      </c>
      <c r="I351" s="17">
        <f t="shared" si="21"/>
        <v>8.2968991650765993</v>
      </c>
      <c r="M351" s="29" t="s">
        <v>69</v>
      </c>
      <c r="N351" s="64">
        <v>1</v>
      </c>
      <c r="O351" s="66">
        <f t="shared" si="18"/>
        <v>1078</v>
      </c>
      <c r="P351" s="66">
        <f t="shared" si="15"/>
        <v>4841</v>
      </c>
      <c r="Q351" s="66">
        <f t="shared" si="15"/>
        <v>0.1012</v>
      </c>
      <c r="R351" t="s">
        <v>69</v>
      </c>
      <c r="S351" s="66"/>
      <c r="T351" s="7" t="s">
        <v>16</v>
      </c>
      <c r="U351" s="6">
        <f>AVERAGE(D346:D362)</f>
        <v>9995.3529411764703</v>
      </c>
    </row>
    <row r="352" spans="1:29" ht="18" customHeight="1" x14ac:dyDescent="0.2">
      <c r="A352" s="74">
        <f t="shared" si="22"/>
        <v>44270</v>
      </c>
      <c r="B352" s="17">
        <f>SUM(B57:B63)</f>
        <v>69</v>
      </c>
      <c r="C352" s="17">
        <f t="shared" ref="C352:E352" si="27">SUM(C57:C63)</f>
        <v>1078</v>
      </c>
      <c r="D352" s="17">
        <f t="shared" si="27"/>
        <v>4841</v>
      </c>
      <c r="E352" s="17">
        <f t="shared" si="27"/>
        <v>0.1012</v>
      </c>
      <c r="F352" s="84"/>
      <c r="G352" s="75">
        <f t="shared" si="20"/>
        <v>65.013968578274955</v>
      </c>
      <c r="H352" s="17">
        <f t="shared" si="17"/>
        <v>3.9860314217250448</v>
      </c>
      <c r="I352" s="17">
        <f t="shared" si="21"/>
        <v>15.888446494979382</v>
      </c>
      <c r="M352" s="29" t="s">
        <v>69</v>
      </c>
      <c r="N352" s="64">
        <v>1</v>
      </c>
      <c r="O352" s="66">
        <f t="shared" si="18"/>
        <v>1078</v>
      </c>
      <c r="P352" s="66">
        <f t="shared" si="15"/>
        <v>4841</v>
      </c>
      <c r="Q352" s="66">
        <f t="shared" si="15"/>
        <v>0.1012</v>
      </c>
      <c r="R352" t="s">
        <v>69</v>
      </c>
      <c r="S352" s="66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4">
        <f t="shared" si="22"/>
        <v>44277</v>
      </c>
      <c r="B353" s="17">
        <f>SUM(B57:B63)</f>
        <v>69</v>
      </c>
      <c r="C353" s="17">
        <f t="shared" ref="C353:E353" si="28">SUM(C57:C63)</f>
        <v>1078</v>
      </c>
      <c r="D353" s="17">
        <f t="shared" si="28"/>
        <v>4841</v>
      </c>
      <c r="E353" s="17">
        <f t="shared" si="28"/>
        <v>0.1012</v>
      </c>
      <c r="F353" s="84"/>
      <c r="G353" s="75">
        <f t="shared" si="20"/>
        <v>65.013968578274955</v>
      </c>
      <c r="H353" s="17">
        <f t="shared" si="17"/>
        <v>3.9860314217250448</v>
      </c>
      <c r="I353" s="17">
        <f t="shared" si="21"/>
        <v>15.888446494979382</v>
      </c>
      <c r="M353" s="29" t="s">
        <v>69</v>
      </c>
      <c r="N353" s="64">
        <v>1</v>
      </c>
      <c r="O353" s="66">
        <f t="shared" si="18"/>
        <v>895</v>
      </c>
      <c r="P353" s="66">
        <f t="shared" si="15"/>
        <v>3845</v>
      </c>
      <c r="Q353" s="66">
        <f t="shared" si="15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22"/>
        <v>44284</v>
      </c>
      <c r="B354" s="17">
        <f>SUM(B64:B70)</f>
        <v>42</v>
      </c>
      <c r="C354" s="17">
        <f t="shared" ref="C354:E354" si="29">SUM(C64:C70)</f>
        <v>895</v>
      </c>
      <c r="D354" s="17">
        <f t="shared" si="29"/>
        <v>3845</v>
      </c>
      <c r="E354" s="17">
        <f t="shared" si="29"/>
        <v>0.12129999999999998</v>
      </c>
      <c r="F354" s="84"/>
      <c r="G354" s="75">
        <f t="shared" si="20"/>
        <v>69.925782463802875</v>
      </c>
      <c r="H354" s="17">
        <f t="shared" si="17"/>
        <v>-27.925782463802875</v>
      </c>
      <c r="I354" s="17">
        <f t="shared" si="21"/>
        <v>779.84932621564019</v>
      </c>
      <c r="M354" s="29" t="s">
        <v>69</v>
      </c>
      <c r="N354" s="64">
        <v>1</v>
      </c>
      <c r="O354" s="66">
        <f t="shared" si="18"/>
        <v>823</v>
      </c>
      <c r="P354" s="66">
        <f t="shared" si="15"/>
        <v>3441</v>
      </c>
      <c r="Q354" s="66">
        <f t="shared" si="15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22"/>
        <v>44291</v>
      </c>
      <c r="B355" s="17">
        <f>SUM(B71:B77)</f>
        <v>37</v>
      </c>
      <c r="C355" s="17">
        <f t="shared" ref="C355:E355" si="30">SUM(C71:C77)</f>
        <v>823</v>
      </c>
      <c r="D355" s="17">
        <f t="shared" si="30"/>
        <v>3441</v>
      </c>
      <c r="E355" s="17">
        <f t="shared" si="30"/>
        <v>8.4999999999999992E-2</v>
      </c>
      <c r="F355" s="84"/>
      <c r="G355" s="75">
        <f t="shared" si="20"/>
        <v>37.091250191249557</v>
      </c>
      <c r="H355" s="17">
        <f t="shared" si="17"/>
        <v>-9.1250191249557133E-2</v>
      </c>
      <c r="I355" s="17">
        <f t="shared" si="21"/>
        <v>8.3265974030807526E-3</v>
      </c>
      <c r="M355" s="29" t="s">
        <v>69</v>
      </c>
      <c r="N355" s="64">
        <v>1</v>
      </c>
      <c r="O355" s="66">
        <f t="shared" si="18"/>
        <v>775</v>
      </c>
      <c r="P355" s="66">
        <f t="shared" si="15"/>
        <v>3080</v>
      </c>
      <c r="Q355" s="66">
        <f t="shared" si="15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22"/>
        <v>44298</v>
      </c>
      <c r="B356" s="17">
        <f>SUM(B78:B84)</f>
        <v>29</v>
      </c>
      <c r="C356" s="17">
        <f t="shared" ref="C356:E356" si="31">SUM(C78:C84)</f>
        <v>775</v>
      </c>
      <c r="D356" s="17">
        <f t="shared" si="31"/>
        <v>3080</v>
      </c>
      <c r="E356" s="17">
        <f t="shared" si="31"/>
        <v>9.4500000000000001E-2</v>
      </c>
      <c r="F356" s="84"/>
      <c r="G356" s="75">
        <f t="shared" si="20"/>
        <v>38.580077795334788</v>
      </c>
      <c r="H356" s="17">
        <f t="shared" si="17"/>
        <v>-9.5800777953347875</v>
      </c>
      <c r="I356" s="17">
        <f t="shared" si="21"/>
        <v>91.777890564666649</v>
      </c>
      <c r="M356" s="29" t="s">
        <v>69</v>
      </c>
      <c r="N356" s="64">
        <v>1</v>
      </c>
      <c r="O356" s="66">
        <f t="shared" si="18"/>
        <v>733</v>
      </c>
      <c r="P356" s="66">
        <f t="shared" si="15"/>
        <v>2749</v>
      </c>
      <c r="Q356" s="66">
        <f t="shared" si="15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22"/>
        <v>44305</v>
      </c>
      <c r="B357" s="17">
        <f>SUM(B85:B91)</f>
        <v>20</v>
      </c>
      <c r="C357" s="17">
        <f t="shared" ref="C357:E357" si="32">SUM(C85:C91)</f>
        <v>733</v>
      </c>
      <c r="D357" s="17">
        <f t="shared" si="32"/>
        <v>2749</v>
      </c>
      <c r="E357" s="17">
        <f t="shared" si="32"/>
        <v>5.7600000000000005E-2</v>
      </c>
      <c r="F357" s="84"/>
      <c r="G357" s="75">
        <f t="shared" si="20"/>
        <v>4.2417674549398257</v>
      </c>
      <c r="H357" s="17">
        <f t="shared" si="17"/>
        <v>15.758232545060174</v>
      </c>
      <c r="I357" s="17">
        <f t="shared" si="21"/>
        <v>248.32189294419365</v>
      </c>
      <c r="M357" s="29" t="s">
        <v>69</v>
      </c>
      <c r="N357" s="64">
        <v>1</v>
      </c>
      <c r="O357" s="66">
        <f t="shared" si="18"/>
        <v>612</v>
      </c>
      <c r="P357" s="66">
        <f t="shared" si="15"/>
        <v>2304</v>
      </c>
      <c r="Q357" s="66">
        <f t="shared" si="15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22"/>
        <v>44312</v>
      </c>
      <c r="B358" s="17">
        <f>SUM(B92:B98)</f>
        <v>12</v>
      </c>
      <c r="C358" s="17">
        <f t="shared" ref="C358:E358" si="33">SUM(C92:C98)</f>
        <v>612</v>
      </c>
      <c r="D358" s="17">
        <f t="shared" si="33"/>
        <v>2304</v>
      </c>
      <c r="E358" s="17">
        <f t="shared" si="33"/>
        <v>5.7999999999999996E-2</v>
      </c>
      <c r="F358" s="84"/>
      <c r="G358" s="75">
        <f t="shared" si="20"/>
        <v>4.073760235567363</v>
      </c>
      <c r="H358" s="17">
        <f t="shared" si="17"/>
        <v>7.926239764432637</v>
      </c>
      <c r="I358" s="17">
        <f t="shared" si="21"/>
        <v>62.825276803273148</v>
      </c>
      <c r="M358" s="29" t="s">
        <v>69</v>
      </c>
      <c r="N358" s="64">
        <v>1</v>
      </c>
      <c r="O358" s="66">
        <f t="shared" si="18"/>
        <v>560</v>
      </c>
      <c r="P358" s="66">
        <f t="shared" si="15"/>
        <v>2006</v>
      </c>
      <c r="Q358" s="66">
        <f t="shared" si="15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22"/>
        <v>44319</v>
      </c>
      <c r="B359" s="17">
        <f>SUM(B99:B105)</f>
        <v>15</v>
      </c>
      <c r="C359" s="17">
        <f t="shared" ref="C359:E359" si="34">SUM(C99:C105)</f>
        <v>560</v>
      </c>
      <c r="D359" s="17">
        <f t="shared" si="34"/>
        <v>2006</v>
      </c>
      <c r="E359" s="17">
        <f t="shared" si="34"/>
        <v>5.5900000000000005E-2</v>
      </c>
      <c r="F359" s="84"/>
      <c r="G359" s="75">
        <f>$C$378 + $C$379*C359 + $C$380*D359 + $C$381*E359</f>
        <v>-1.07133214254943</v>
      </c>
      <c r="H359" s="17">
        <f t="shared" si="17"/>
        <v>16.07133214254943</v>
      </c>
      <c r="I359" s="17">
        <f t="shared" si="21"/>
        <v>258.28771683614247</v>
      </c>
      <c r="M359" s="29" t="s">
        <v>69</v>
      </c>
      <c r="N359" s="64">
        <v>1</v>
      </c>
      <c r="O359" s="66">
        <f t="shared" si="18"/>
        <v>504</v>
      </c>
      <c r="P359" s="66">
        <f t="shared" si="15"/>
        <v>1730</v>
      </c>
      <c r="Q359" s="66">
        <f t="shared" si="15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22"/>
        <v>44326</v>
      </c>
      <c r="B360" s="17">
        <f>SUM(B106:B112)</f>
        <v>15</v>
      </c>
      <c r="C360" s="17">
        <f t="shared" ref="C360:E360" si="35">SUM(C106:C112)</f>
        <v>504</v>
      </c>
      <c r="D360" s="17">
        <f t="shared" si="35"/>
        <v>1730</v>
      </c>
      <c r="E360" s="17">
        <f t="shared" si="35"/>
        <v>6.4600000000000005E-2</v>
      </c>
      <c r="F360" s="84"/>
      <c r="G360" s="75">
        <f t="shared" si="20"/>
        <v>3.3061441589479301</v>
      </c>
      <c r="H360" s="17">
        <f t="shared" si="17"/>
        <v>11.69385584105207</v>
      </c>
      <c r="I360" s="17">
        <f t="shared" si="21"/>
        <v>136.74626443130762</v>
      </c>
      <c r="M360" s="29" t="s">
        <v>69</v>
      </c>
      <c r="N360" s="64">
        <v>1</v>
      </c>
      <c r="O360" s="66">
        <f t="shared" si="18"/>
        <v>424</v>
      </c>
      <c r="P360" s="66">
        <f t="shared" si="15"/>
        <v>1535</v>
      </c>
      <c r="Q360" s="66">
        <f t="shared" si="15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22"/>
        <v>44333</v>
      </c>
      <c r="B361" s="17">
        <f>SUM(B113:B119)</f>
        <v>10</v>
      </c>
      <c r="C361" s="17">
        <f t="shared" ref="C361:E361" si="36">SUM(C113:C119)</f>
        <v>424</v>
      </c>
      <c r="D361" s="17">
        <f t="shared" si="36"/>
        <v>1535</v>
      </c>
      <c r="E361" s="17">
        <f t="shared" si="36"/>
        <v>7.4900000000000008E-2</v>
      </c>
      <c r="F361" s="84"/>
      <c r="G361" s="75">
        <f t="shared" si="20"/>
        <v>14.074000765780426</v>
      </c>
      <c r="H361" s="17">
        <f t="shared" si="17"/>
        <v>-4.0740007657804256</v>
      </c>
      <c r="I361" s="17">
        <f t="shared" si="21"/>
        <v>16.597482239579495</v>
      </c>
      <c r="M361" s="29" t="s">
        <v>68</v>
      </c>
      <c r="N361" s="64">
        <v>1</v>
      </c>
      <c r="O361" s="66">
        <f t="shared" si="18"/>
        <v>370</v>
      </c>
      <c r="P361" s="66">
        <f t="shared" si="18"/>
        <v>1703</v>
      </c>
      <c r="Q361" s="66">
        <f t="shared" si="18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22"/>
        <v>44340</v>
      </c>
      <c r="B362" s="17">
        <f>SUM(B120:B126)</f>
        <v>6</v>
      </c>
      <c r="C362" s="17">
        <f t="shared" ref="C362:E362" si="37">SUM(C120:C126)</f>
        <v>370</v>
      </c>
      <c r="D362" s="17">
        <f t="shared" si="37"/>
        <v>1703</v>
      </c>
      <c r="E362" s="17">
        <f t="shared" si="37"/>
        <v>7.8899999999999984E-2</v>
      </c>
      <c r="F362" s="84"/>
      <c r="G362" s="75">
        <f t="shared" si="20"/>
        <v>28.322329250316379</v>
      </c>
      <c r="H362" s="17">
        <f t="shared" si="17"/>
        <v>-22.322329250316379</v>
      </c>
      <c r="I362" s="17">
        <f t="shared" si="21"/>
        <v>498.2863831595302</v>
      </c>
    </row>
    <row r="364" spans="1:31" ht="18" customHeight="1" x14ac:dyDescent="0.2">
      <c r="A364" s="7" t="s">
        <v>32</v>
      </c>
      <c r="B364" s="6">
        <f>COUNT(B346:B362)</f>
        <v>17</v>
      </c>
      <c r="N364" s="143" t="s">
        <v>87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2829</v>
      </c>
      <c r="R366" s="64">
        <v>1971</v>
      </c>
      <c r="S366" s="64">
        <v>1358</v>
      </c>
      <c r="T366" s="64">
        <v>1078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12112</v>
      </c>
      <c r="R367" s="64">
        <v>7986</v>
      </c>
      <c r="S367" s="64">
        <v>5933</v>
      </c>
      <c r="T367" s="64">
        <v>4841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0.23469999999999999</v>
      </c>
      <c r="R368" s="64">
        <v>0.21529999999999999</v>
      </c>
      <c r="S368" s="64">
        <v>0.11800000000000001</v>
      </c>
      <c r="T368" s="64">
        <v>0.1012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3" t="s">
        <v>93</v>
      </c>
      <c r="B369" s="133"/>
      <c r="C369" s="133"/>
      <c r="D369" s="133"/>
      <c r="E369" s="133"/>
      <c r="F369" s="133"/>
      <c r="G369" s="133"/>
      <c r="H369" s="133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3" t="s">
        <v>100</v>
      </c>
      <c r="O374" s="143"/>
      <c r="P374" s="143"/>
      <c r="Q374" s="143"/>
      <c r="R374" s="54"/>
      <c r="S374" s="54"/>
      <c r="T374" s="143" t="s">
        <v>99</v>
      </c>
      <c r="U374" s="143"/>
      <c r="V374" s="143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30905</v>
      </c>
      <c r="P376" s="64">
        <v>169921</v>
      </c>
      <c r="Q376" s="64">
        <v>4.0590000000000002</v>
      </c>
      <c r="R376" t="s">
        <v>71</v>
      </c>
      <c r="S376" s="64"/>
      <c r="T376" s="29" t="s">
        <v>86</v>
      </c>
      <c r="U376" s="64">
        <f>SUMPRODUCT(B346:B362*N345:N361)</f>
        <v>4255</v>
      </c>
      <c r="V376" t="s">
        <v>71</v>
      </c>
    </row>
    <row r="377" spans="1:30" ht="18" customHeight="1" x14ac:dyDescent="0.2">
      <c r="M377" s="29" t="s">
        <v>69</v>
      </c>
      <c r="N377" s="64">
        <v>30905</v>
      </c>
      <c r="O377" s="64">
        <v>115898427</v>
      </c>
      <c r="P377" s="64">
        <v>725100383</v>
      </c>
      <c r="Q377" s="64">
        <v>16994.293399999999</v>
      </c>
      <c r="R377" t="s">
        <v>69</v>
      </c>
      <c r="S377" s="64"/>
      <c r="T377" s="29" t="s">
        <v>69</v>
      </c>
      <c r="U377" s="64">
        <f>SUMPRODUCT(B346:B362*O345:O361)</f>
        <v>21538441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-45.119467844895553</v>
      </c>
      <c r="D378" t="s">
        <v>71</v>
      </c>
      <c r="M378" s="29" t="s">
        <v>69</v>
      </c>
      <c r="N378" s="64">
        <v>169921</v>
      </c>
      <c r="O378" s="64">
        <v>725100383</v>
      </c>
      <c r="P378" s="64">
        <v>4689872725</v>
      </c>
      <c r="Q378" s="64">
        <v>111625.19159999998</v>
      </c>
      <c r="R378" t="s">
        <v>69</v>
      </c>
      <c r="S378" s="64"/>
      <c r="T378" s="29" t="s">
        <v>69</v>
      </c>
      <c r="U378" s="64">
        <f>SUMPRODUCT(B346:B362*P345:P361)</f>
        <v>144683956</v>
      </c>
      <c r="V378" t="s">
        <v>69</v>
      </c>
    </row>
    <row r="379" spans="1:30" ht="18" customHeight="1" x14ac:dyDescent="0.2">
      <c r="B379" s="29" t="s">
        <v>69</v>
      </c>
      <c r="C379" s="64">
        <v>-0.10990723272831815</v>
      </c>
      <c r="D379" t="s">
        <v>69</v>
      </c>
      <c r="E379" s="143" t="s">
        <v>90</v>
      </c>
      <c r="F379" s="143"/>
      <c r="G379" s="143"/>
      <c r="H379" s="143"/>
      <c r="I379" s="143"/>
      <c r="J379" s="143"/>
      <c r="K379" s="143"/>
      <c r="M379" s="29" t="s">
        <v>68</v>
      </c>
      <c r="N379" s="64">
        <v>4.0590000000000002</v>
      </c>
      <c r="O379" s="64">
        <v>16994.293399999999</v>
      </c>
      <c r="P379" s="64">
        <v>111625.19159999998</v>
      </c>
      <c r="Q379" s="64">
        <v>2.7229909999999995</v>
      </c>
      <c r="R379" t="s">
        <v>71</v>
      </c>
      <c r="S379" s="64"/>
      <c r="T379" s="29" t="s">
        <v>68</v>
      </c>
      <c r="U379" s="64">
        <f>SUMPRODUCT(B346:B362*Q345:Q361)</f>
        <v>3523.5019999999995</v>
      </c>
      <c r="V379" t="s">
        <v>71</v>
      </c>
    </row>
    <row r="380" spans="1:30" ht="18" customHeight="1" x14ac:dyDescent="0.2">
      <c r="B380" s="29" t="s">
        <v>69</v>
      </c>
      <c r="C380" s="64">
        <v>3.0961706737158146E-2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777.94279634105624</v>
      </c>
      <c r="D381" t="s">
        <v>71</v>
      </c>
      <c r="E381" s="121"/>
      <c r="F381" s="121"/>
      <c r="G381" s="121"/>
      <c r="H381" s="121"/>
      <c r="I381" s="121"/>
      <c r="J381" s="121"/>
      <c r="K381" s="121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3" t="s">
        <v>98</v>
      </c>
      <c r="O385" s="143"/>
      <c r="P385" s="143"/>
      <c r="Q385" s="143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0.35758504547803582</v>
      </c>
      <c r="O387" s="64">
        <v>-6.1302161778499899E-4</v>
      </c>
      <c r="P387" s="64">
        <v>1.4193994280846682E-4</v>
      </c>
      <c r="Q387" s="64">
        <v>-2.5257673558607086</v>
      </c>
      <c r="R387" t="s">
        <v>71</v>
      </c>
      <c r="S387" s="64"/>
      <c r="T387" s="64"/>
    </row>
    <row r="388" spans="1:20" ht="18" customHeight="1" x14ac:dyDescent="0.25">
      <c r="A388" s="133" t="s">
        <v>88</v>
      </c>
      <c r="B388" s="133"/>
      <c r="C388" s="133"/>
      <c r="D388" s="133"/>
      <c r="E388" s="133"/>
      <c r="F388" s="133"/>
      <c r="G388" s="133"/>
      <c r="H388" s="133"/>
      <c r="M388" s="29" t="s">
        <v>69</v>
      </c>
      <c r="N388" s="64">
        <v>-6.1302161778499932E-4</v>
      </c>
      <c r="O388" s="64">
        <v>1.4162984237788207E-6</v>
      </c>
      <c r="P388" s="64">
        <v>-3.3453019522296013E-7</v>
      </c>
      <c r="Q388" s="64">
        <v>5.7882163138559036E-3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1.4193994280846658E-4</v>
      </c>
      <c r="O389" s="64">
        <v>-3.345301952229605E-7</v>
      </c>
      <c r="P389" s="64">
        <v>8.7879983390641267E-8</v>
      </c>
      <c r="Q389" s="64">
        <v>-1.7262818433356711E-3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-2.5257673558607183</v>
      </c>
      <c r="O390" s="64">
        <v>5.7882163138559279E-3</v>
      </c>
      <c r="P390" s="64">
        <v>-1.7262818433356744E-3</v>
      </c>
      <c r="Q390" s="64">
        <v>38.774268778358191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3041.5692352633155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4664573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1065001.4705882352</v>
      </c>
    </row>
    <row r="395" spans="1:20" ht="18" customHeight="1" x14ac:dyDescent="0.2">
      <c r="C395" s="64">
        <f>C393-C394</f>
        <v>3599571.5294117648</v>
      </c>
    </row>
    <row r="396" spans="1:20" ht="18" customHeight="1" x14ac:dyDescent="0.2">
      <c r="B396" s="13"/>
      <c r="C396" s="65">
        <f>C395-C392</f>
        <v>3596529.9601765014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0.99919999999999998</v>
      </c>
    </row>
    <row r="399" spans="1:20" ht="18" customHeight="1" x14ac:dyDescent="0.2">
      <c r="B399" s="13"/>
      <c r="C399" s="113">
        <f>ROUND(1 - C392 / (B362 - (COUNT(C379:C384) +1)) / (C395 / (B362-1)),4)</f>
        <v>0.99790000000000001</v>
      </c>
    </row>
    <row r="404" spans="1:22" ht="18" customHeight="1" x14ac:dyDescent="0.25">
      <c r="A404" s="133" t="s">
        <v>92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F407" s="138"/>
      <c r="G407" s="138"/>
      <c r="I407" s="138"/>
      <c r="J407" s="138"/>
      <c r="L407" s="138"/>
      <c r="M407" s="138"/>
      <c r="N407" s="12"/>
      <c r="O407" s="138"/>
      <c r="P407" s="138"/>
      <c r="Q407" s="148"/>
      <c r="R407" s="148"/>
      <c r="S407" s="83"/>
      <c r="T407" s="148"/>
      <c r="U407" s="148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-45.119467844895553</v>
      </c>
      <c r="I410" s="16"/>
      <c r="J410" s="63">
        <f>C379</f>
        <v>-0.10990723272831815</v>
      </c>
      <c r="L410" s="16"/>
      <c r="M410" s="63">
        <f>C380</f>
        <v>3.0961706737158146E-2</v>
      </c>
      <c r="O410" s="16"/>
      <c r="P410" s="63">
        <f>C381</f>
        <v>777.94279634105624</v>
      </c>
      <c r="U410" s="84"/>
    </row>
    <row r="411" spans="1:22" ht="18" customHeight="1" x14ac:dyDescent="0.2">
      <c r="G411" s="76">
        <f>$C$392/($B$364-(COUNT($C$379:$C$384)+1))</f>
        <v>233.96686425102428</v>
      </c>
      <c r="J411" s="76">
        <f>$C$392/($B$364-(COUNT($C$379:$C$384)+1))</f>
        <v>233.96686425102428</v>
      </c>
      <c r="M411" s="76">
        <f>$C$392/($B$364-(COUNT($C$379:$C$384)+1))</f>
        <v>233.96686425102428</v>
      </c>
      <c r="P411" s="76">
        <f>$C$392/($B$364-(COUNT($C$379:$C$384)+1))</f>
        <v>233.96686425102428</v>
      </c>
      <c r="U411" s="89"/>
    </row>
    <row r="412" spans="1:22" ht="18" customHeight="1" x14ac:dyDescent="0.2">
      <c r="G412" s="76">
        <f>N387</f>
        <v>0.35758504547803582</v>
      </c>
      <c r="J412" s="76">
        <f>O388</f>
        <v>1.4162984237788207E-6</v>
      </c>
      <c r="M412" s="76">
        <f>P389</f>
        <v>8.7879983390641267E-8</v>
      </c>
      <c r="P412" s="76">
        <f>Q390</f>
        <v>38.774268778358191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30"/>
      <c r="G414" s="142">
        <f>SQRT(G411*G412)</f>
        <v>9.146750887258051</v>
      </c>
      <c r="I414" s="130"/>
      <c r="J414" s="142">
        <f>SQRT(J411*J412)</f>
        <v>1.8203485958881584E-2</v>
      </c>
      <c r="L414" s="130"/>
      <c r="M414" s="142">
        <f>SQRT(M411*M412)</f>
        <v>4.5344243454203135E-3</v>
      </c>
      <c r="O414" s="130"/>
      <c r="P414" s="142">
        <f>SQRT(P411*P412)</f>
        <v>95.246491167385585</v>
      </c>
      <c r="Q414" s="88"/>
      <c r="R414" s="92"/>
      <c r="S414" s="83"/>
      <c r="T414" s="88"/>
      <c r="U414" s="92"/>
    </row>
    <row r="415" spans="1:22" ht="18" customHeight="1" x14ac:dyDescent="0.2">
      <c r="F415" s="122"/>
      <c r="G415" s="128"/>
      <c r="I415" s="122"/>
      <c r="J415" s="128"/>
      <c r="L415" s="122"/>
      <c r="M415" s="128"/>
      <c r="O415" s="122"/>
      <c r="P415" s="128"/>
      <c r="Q415" s="88"/>
      <c r="R415" s="92"/>
      <c r="S415" s="83"/>
      <c r="T415" s="88"/>
      <c r="U415" s="92"/>
    </row>
    <row r="419" spans="2:21" ht="18" customHeight="1" x14ac:dyDescent="0.2">
      <c r="B419" s="132" t="s">
        <v>40</v>
      </c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8"/>
      <c r="G429" s="138"/>
      <c r="I429" s="138"/>
      <c r="J429" s="138"/>
      <c r="L429" s="138"/>
      <c r="M429" s="138"/>
      <c r="O429" s="138"/>
      <c r="P429" s="138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-61.317799999999998</v>
      </c>
      <c r="H431" s="14"/>
      <c r="I431" s="16" t="s">
        <v>37</v>
      </c>
      <c r="J431" s="16">
        <f>ROUND(J410-J414*$K$425,4)</f>
        <v>-0.1421</v>
      </c>
      <c r="L431" s="16" t="s">
        <v>37</v>
      </c>
      <c r="M431" s="16">
        <f>ROUND(M410-M414*$K$425,4)</f>
        <v>2.29E-2</v>
      </c>
      <c r="O431" s="16" t="s">
        <v>37</v>
      </c>
      <c r="P431" s="16">
        <f>ROUND(P410-P414*$K$194425,4)</f>
        <v>777.94280000000003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-28.921199999999999</v>
      </c>
      <c r="I432" s="13" t="s">
        <v>38</v>
      </c>
      <c r="J432" s="13">
        <f>ROUND(J410+J414*$K$425,4)</f>
        <v>-7.7700000000000005E-2</v>
      </c>
      <c r="L432" s="13" t="s">
        <v>38</v>
      </c>
      <c r="M432" s="13">
        <f>ROUND(M410+M414*$K$425,4)</f>
        <v>3.9E-2</v>
      </c>
      <c r="O432" s="13" t="s">
        <v>38</v>
      </c>
      <c r="P432" s="13">
        <f>ROUND(P410+P414*$K$425,4)</f>
        <v>946.61800000000005</v>
      </c>
      <c r="Q432" s="83"/>
      <c r="R432" s="83"/>
      <c r="S432" s="83"/>
      <c r="T432" s="83"/>
    </row>
    <row r="439" spans="2:21" ht="18" customHeight="1" x14ac:dyDescent="0.2">
      <c r="B439" s="132" t="s">
        <v>42</v>
      </c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8"/>
      <c r="G449" s="138"/>
      <c r="I449" s="138"/>
      <c r="J449" s="138"/>
      <c r="L449" s="138"/>
      <c r="M449" s="138"/>
      <c r="O449" s="138"/>
      <c r="P449" s="138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-64.879800000000003</v>
      </c>
      <c r="I451" s="16" t="s">
        <v>37</v>
      </c>
      <c r="J451" s="16">
        <f>ROUND(J410-J414*$K$445,4)</f>
        <v>-0.1492</v>
      </c>
      <c r="L451" s="16" t="s">
        <v>37</v>
      </c>
      <c r="M451" s="16">
        <f>ROUND(M410-M414*$K$445,4)</f>
        <v>2.12E-2</v>
      </c>
      <c r="O451" s="16" t="s">
        <v>37</v>
      </c>
      <c r="P451" s="16">
        <f>ROUND(P410-P414*$K$445,4)</f>
        <v>572.17529999999999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-25.359100000000002</v>
      </c>
      <c r="I452" s="13" t="s">
        <v>38</v>
      </c>
      <c r="J452" s="13">
        <f>ROUND(J410+J414*$K$445,4)</f>
        <v>-7.0599999999999996E-2</v>
      </c>
      <c r="L452" s="13" t="s">
        <v>38</v>
      </c>
      <c r="M452" s="13">
        <f>ROUND(M410+M414*$K$445,4)</f>
        <v>4.0800000000000003E-2</v>
      </c>
      <c r="O452" s="13" t="s">
        <v>38</v>
      </c>
      <c r="P452" s="13">
        <f>ROUND(P410+P414*$K$445,4)</f>
        <v>983.71029999999996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8"/>
      <c r="G463" s="138"/>
      <c r="I463" s="138"/>
      <c r="J463" s="138"/>
      <c r="L463" s="138"/>
      <c r="M463" s="138"/>
      <c r="O463" s="138"/>
      <c r="P463" s="138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2" t="s">
        <v>44</v>
      </c>
      <c r="G465" s="132"/>
      <c r="I465" s="132" t="s">
        <v>44</v>
      </c>
      <c r="J465" s="132"/>
      <c r="L465" s="132" t="s">
        <v>44</v>
      </c>
      <c r="M465" s="132"/>
      <c r="O465" s="132" t="s">
        <v>44</v>
      </c>
      <c r="P465" s="132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41" t="s">
        <v>45</v>
      </c>
      <c r="G470" s="141"/>
      <c r="I470" s="141" t="s">
        <v>45</v>
      </c>
      <c r="J470" s="141"/>
      <c r="L470" s="141" t="s">
        <v>45</v>
      </c>
      <c r="M470" s="141"/>
      <c r="O470" s="141" t="s">
        <v>45</v>
      </c>
      <c r="P470" s="141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-4.9328410056241463</v>
      </c>
      <c r="I477" s="55" t="s">
        <v>95</v>
      </c>
      <c r="J477">
        <f>J410/J414</f>
        <v>-6.0377025025085258</v>
      </c>
      <c r="L477" s="55" t="s">
        <v>95</v>
      </c>
      <c r="M477">
        <f>M410/M414</f>
        <v>6.8281449592226426</v>
      </c>
      <c r="O477" s="55" t="s">
        <v>95</v>
      </c>
      <c r="P477">
        <f>P410/P414</f>
        <v>8.1676793213715815</v>
      </c>
      <c r="Q477" s="90"/>
      <c r="R477" s="83"/>
      <c r="S477" s="83"/>
      <c r="T477" s="90"/>
      <c r="U477" s="83"/>
    </row>
    <row r="481" spans="2:21" ht="18" customHeight="1" x14ac:dyDescent="0.25">
      <c r="B481" s="140" t="s">
        <v>96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2.3646242515927849</v>
      </c>
      <c r="S523" s="56"/>
    </row>
    <row r="524" spans="2:19" ht="18" customHeight="1" x14ac:dyDescent="0.2">
      <c r="S524" s="56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34" t="s">
        <v>55</v>
      </c>
      <c r="G550" s="135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3596529.9601765014</v>
      </c>
      <c r="E551" s="114">
        <f>COUNT(C379:C384)</f>
        <v>3</v>
      </c>
      <c r="F551" s="136">
        <f>D551/E551</f>
        <v>1198843.3200588338</v>
      </c>
      <c r="G551" s="137"/>
      <c r="H551" s="77">
        <f>F551/F552</f>
        <v>5123.9876377220171</v>
      </c>
      <c r="I551" s="73"/>
    </row>
    <row r="552" spans="1:22" ht="18" customHeight="1" x14ac:dyDescent="0.25">
      <c r="C552" s="25" t="s">
        <v>58</v>
      </c>
      <c r="D552" s="60">
        <f>C392</f>
        <v>3041.5692352633155</v>
      </c>
      <c r="E552" s="114">
        <f>B364 - (E551+1)</f>
        <v>13</v>
      </c>
      <c r="F552" s="117">
        <f>D552/E552</f>
        <v>233.96686425102428</v>
      </c>
      <c r="G552" s="117"/>
      <c r="H552" s="64"/>
    </row>
    <row r="553" spans="1:22" ht="18" customHeight="1" x14ac:dyDescent="0.25">
      <c r="C553" s="25" t="s">
        <v>59</v>
      </c>
      <c r="D553" s="60">
        <f>C395</f>
        <v>3599571.5294117648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2022-06-18T13:46:42Z</dcterms:modified>
  <cp:category/>
  <cp:contentStatus/>
</cp:coreProperties>
</file>